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comments1.xml" ContentType="application/vnd.openxmlformats-officedocument.spreadsheetml.comments+xml"/>
  <Override PartName="/xl/tables/table10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A345FBF6-45DA-4930-A7FF-2CFB381B1557}" xr6:coauthVersionLast="47" xr6:coauthVersionMax="47" xr10:uidLastSave="{00000000-0000-0000-0000-000000000000}"/>
  <workbookProtection workbookAlgorithmName="SHA-512" workbookHashValue="Z74zvaD3iy9ZYVsSD793B7TZH7SUZwgN/YIyXPShhivwEfzPSq6a76QIjpPnHP8UYFxDn8Ge8eF0GAGNaKQojw==" workbookSaltValue="lwP0ha3ahCiYMLcN+aLBuw==" workbookSpinCount="100000" lockStructure="1"/>
  <bookViews>
    <workbookView xWindow="-120" yWindow="-120" windowWidth="29040" windowHeight="17520" tabRatio="732" firstSheet="4" activeTab="4" xr2:uid="{00000000-000D-0000-FFFF-FFFF00000000}"/>
  </bookViews>
  <sheets>
    <sheet name="Planner B-EdStudies" sheetId="13" state="hidden" r:id="rId1"/>
    <sheet name="Planner B-Ed (ECE)" sheetId="14" state="hidden" r:id="rId2"/>
    <sheet name="Planner B-Ed (Prim)" sheetId="5" state="hidden" r:id="rId3"/>
    <sheet name="Unitsets" sheetId="2" state="hidden" r:id="rId4"/>
    <sheet name="Planner B-Ed (Sec)" sheetId="11" r:id="rId5"/>
    <sheet name="Planner B-Ed (Sec) No Methods" sheetId="12" r:id="rId6"/>
    <sheet name="UnitsetsSecondary" sheetId="10" state="hidden" r:id="rId7"/>
    <sheet name="Handbook" sheetId="3" state="hidden" r:id="rId8"/>
    <sheet name="Structures" sheetId="8" state="hidden" r:id="rId9"/>
    <sheet name="Availabilities" sheetId="9" state="hidden" r:id="rId10"/>
    <sheet name="Issues Log" sheetId="16" state="hidden" r:id="rId11"/>
  </sheets>
  <definedNames>
    <definedName name="_xlnm._FilterDatabase" localSheetId="7" hidden="1">Handbook!#REF!</definedName>
    <definedName name="_xlnm.Print_Area" localSheetId="1">'Planner B-Ed (ECE)'!$A$3:$N$81</definedName>
    <definedName name="_xlnm.Print_Area" localSheetId="2">'Planner B-Ed (Prim)'!$A$3:$N$56</definedName>
    <definedName name="_xlnm.Print_Area" localSheetId="4">'Planner B-Ed (Sec)'!$A$3:$L$110</definedName>
    <definedName name="_xlnm.Print_Area" localSheetId="5">'Planner B-Ed (Sec) No Methods'!$A$3:$L$75</definedName>
    <definedName name="_xlnm.Print_Area" localSheetId="0">'Planner B-EdStudies'!$A$3:$N$46</definedName>
    <definedName name="RangeMajorsSec">UnitsetsSecondary!$Q$41:$CB$74</definedName>
    <definedName name="RangeMathNoMethods">UnitsetsSecondary!$Q$117:$T$124</definedName>
    <definedName name="RangeOptions">Unitsets!$L$43:$N$78</definedName>
    <definedName name="RangeStreamsAltCore">UnitsetsSecondary!$Q$83:$DD$111</definedName>
    <definedName name="RangeStreamsSec">UnitsetsSecondary!$Q$76:$DD$111</definedName>
    <definedName name="RangeTeachingAreaStreams">Unitsets!$L$37:$Q$41</definedName>
    <definedName name="RangeUnitsets">Unitsets!$L$3:$W$35</definedName>
    <definedName name="RangeUnitSetsSec">UnitsetsSecondary!$Q$3:$QJ$38</definedName>
    <definedName name="Streams">UnitsetsSecondary!$K$3</definedName>
    <definedName name="StreamsARDR1">UnitsetsSecondary!$K$4:$K$11</definedName>
    <definedName name="StreamsARME1">UnitsetsSecondary!$K$12:$K$18</definedName>
    <definedName name="StreamsARVA1">UnitsetsSecondary!$K$19:$K$26</definedName>
    <definedName name="StreamsENGL1">UnitsetsSecondary!$K$27:$K$36</definedName>
    <definedName name="StreamsHSEC1">UnitsetsSecondary!$K$37:$K$45</definedName>
    <definedName name="StreamsHSGE1">UnitsetsSecondary!$K$46:$K$54</definedName>
    <definedName name="StreamsHSHI1">UnitsetsSecondary!$K$55:$K$63</definedName>
    <definedName name="StreamsHSPL1">UnitsetsSecondary!$K$64:$K$72</definedName>
    <definedName name="StreamsMATH1">UnitsetsSecondary!$K$73:$K$82</definedName>
    <definedName name="StreamsMathsNoMethods">UnitsetsSecondary!$K$123:$K$135</definedName>
    <definedName name="StreamsPHYSE">UnitsetsSecondary!$K$83:$K$85</definedName>
    <definedName name="StreamsSCBI1">UnitsetsSecondary!$K$86:$K$94</definedName>
    <definedName name="StreamsSCCH1">UnitsetsSecondary!$K$95:$K$103</definedName>
    <definedName name="StreamsSCHB1">UnitsetsSecondary!$K$104:$K$112</definedName>
    <definedName name="StreamsSCPH1">UnitsetsSecondary!$K$113</definedName>
    <definedName name="StreamsSCPS1">UnitsetsSecondary!$K$114:$K$122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H36" i="10" l="1"/>
  <c r="QH35" i="10"/>
  <c r="QH34" i="10"/>
  <c r="QH33" i="10"/>
  <c r="QH32" i="10"/>
  <c r="QH31" i="10"/>
  <c r="QH30" i="10"/>
  <c r="QH29" i="10"/>
  <c r="QH28" i="10"/>
  <c r="QH27" i="10"/>
  <c r="QH26" i="10"/>
  <c r="QH25" i="10"/>
  <c r="QH24" i="10"/>
  <c r="QH23" i="10"/>
  <c r="QH22" i="10"/>
  <c r="QH21" i="10"/>
  <c r="QH20" i="10"/>
  <c r="QH19" i="10"/>
  <c r="QH18" i="10"/>
  <c r="QH17" i="10"/>
  <c r="QH16" i="10"/>
  <c r="QH15" i="10"/>
  <c r="QH14" i="10"/>
  <c r="QH13" i="10"/>
  <c r="QH12" i="10"/>
  <c r="QH11" i="10"/>
  <c r="QH10" i="10"/>
  <c r="QH9" i="10"/>
  <c r="QH8" i="10"/>
  <c r="QH7" i="10"/>
  <c r="QD36" i="10"/>
  <c r="QD35" i="10"/>
  <c r="QD34" i="10"/>
  <c r="QD33" i="10"/>
  <c r="QD32" i="10"/>
  <c r="QD31" i="10"/>
  <c r="QD30" i="10"/>
  <c r="QD29" i="10"/>
  <c r="QD28" i="10"/>
  <c r="QD27" i="10"/>
  <c r="QD26" i="10"/>
  <c r="QD25" i="10"/>
  <c r="QD24" i="10"/>
  <c r="QD23" i="10"/>
  <c r="QD22" i="10"/>
  <c r="QD21" i="10"/>
  <c r="QD20" i="10"/>
  <c r="QD19" i="10"/>
  <c r="QD18" i="10"/>
  <c r="QD17" i="10"/>
  <c r="QD16" i="10"/>
  <c r="QD15" i="10"/>
  <c r="QD14" i="10"/>
  <c r="QD13" i="10"/>
  <c r="QD12" i="10"/>
  <c r="QD11" i="10"/>
  <c r="QD10" i="10"/>
  <c r="QD9" i="10"/>
  <c r="QD8" i="10"/>
  <c r="QD7" i="10"/>
  <c r="PZ36" i="10"/>
  <c r="PZ35" i="10"/>
  <c r="PZ34" i="10"/>
  <c r="PZ33" i="10"/>
  <c r="PZ32" i="10"/>
  <c r="PZ31" i="10"/>
  <c r="PZ30" i="10"/>
  <c r="PZ29" i="10"/>
  <c r="PZ28" i="10"/>
  <c r="PZ27" i="10"/>
  <c r="PZ26" i="10"/>
  <c r="PZ25" i="10"/>
  <c r="PZ24" i="10"/>
  <c r="PZ23" i="10"/>
  <c r="PZ22" i="10"/>
  <c r="PZ21" i="10"/>
  <c r="PZ20" i="10"/>
  <c r="PZ19" i="10"/>
  <c r="PZ18" i="10"/>
  <c r="PZ17" i="10"/>
  <c r="PZ16" i="10"/>
  <c r="PZ15" i="10"/>
  <c r="PZ14" i="10"/>
  <c r="PZ13" i="10"/>
  <c r="PZ12" i="10"/>
  <c r="PZ11" i="10"/>
  <c r="PZ10" i="10"/>
  <c r="PZ9" i="10"/>
  <c r="PZ8" i="10"/>
  <c r="PZ7" i="10"/>
  <c r="PV36" i="10"/>
  <c r="PV35" i="10"/>
  <c r="PV34" i="10"/>
  <c r="PV33" i="10"/>
  <c r="PV32" i="10"/>
  <c r="PV31" i="10"/>
  <c r="PV30" i="10"/>
  <c r="PV29" i="10"/>
  <c r="PV28" i="10"/>
  <c r="PV27" i="10"/>
  <c r="PV26" i="10"/>
  <c r="PV25" i="10"/>
  <c r="PV24" i="10"/>
  <c r="PV23" i="10"/>
  <c r="PV22" i="10"/>
  <c r="PV21" i="10"/>
  <c r="PV20" i="10"/>
  <c r="PV19" i="10"/>
  <c r="PV18" i="10"/>
  <c r="PV17" i="10"/>
  <c r="PV16" i="10"/>
  <c r="PV15" i="10"/>
  <c r="PV14" i="10"/>
  <c r="PV13" i="10"/>
  <c r="PV12" i="10"/>
  <c r="PV11" i="10"/>
  <c r="PV10" i="10"/>
  <c r="PV9" i="10"/>
  <c r="PV8" i="10"/>
  <c r="PV7" i="10"/>
  <c r="PR36" i="10"/>
  <c r="PR35" i="10"/>
  <c r="PR34" i="10"/>
  <c r="PR33" i="10"/>
  <c r="PR32" i="10"/>
  <c r="PR31" i="10"/>
  <c r="PR30" i="10"/>
  <c r="PR29" i="10"/>
  <c r="PR28" i="10"/>
  <c r="PR27" i="10"/>
  <c r="PR26" i="10"/>
  <c r="PR25" i="10"/>
  <c r="PR24" i="10"/>
  <c r="PR23" i="10"/>
  <c r="PR22" i="10"/>
  <c r="PR21" i="10"/>
  <c r="PR20" i="10"/>
  <c r="PR19" i="10"/>
  <c r="PR18" i="10"/>
  <c r="PR17" i="10"/>
  <c r="PR16" i="10"/>
  <c r="PR15" i="10"/>
  <c r="PR14" i="10"/>
  <c r="PR13" i="10"/>
  <c r="PR12" i="10"/>
  <c r="PR11" i="10"/>
  <c r="PR10" i="10"/>
  <c r="PR9" i="10"/>
  <c r="PR8" i="10"/>
  <c r="PR7" i="10"/>
  <c r="PN36" i="10"/>
  <c r="PN35" i="10"/>
  <c r="PN34" i="10"/>
  <c r="PN33" i="10"/>
  <c r="PN32" i="10"/>
  <c r="PN31" i="10"/>
  <c r="PN30" i="10"/>
  <c r="PN29" i="10"/>
  <c r="PN28" i="10"/>
  <c r="PN27" i="10"/>
  <c r="PN26" i="10"/>
  <c r="PN25" i="10"/>
  <c r="PN24" i="10"/>
  <c r="PN23" i="10"/>
  <c r="PN22" i="10"/>
  <c r="PN21" i="10"/>
  <c r="PN20" i="10"/>
  <c r="PN19" i="10"/>
  <c r="PN18" i="10"/>
  <c r="PN17" i="10"/>
  <c r="PN16" i="10"/>
  <c r="PN15" i="10"/>
  <c r="PN14" i="10"/>
  <c r="PN13" i="10"/>
  <c r="PN12" i="10"/>
  <c r="PN11" i="10"/>
  <c r="PN10" i="10"/>
  <c r="PN9" i="10"/>
  <c r="PN8" i="10"/>
  <c r="PN7" i="10"/>
  <c r="PJ36" i="10"/>
  <c r="PJ35" i="10"/>
  <c r="PJ34" i="10"/>
  <c r="PJ33" i="10"/>
  <c r="PJ32" i="10"/>
  <c r="PJ31" i="10"/>
  <c r="PJ30" i="10"/>
  <c r="PJ29" i="10"/>
  <c r="PJ28" i="10"/>
  <c r="PJ27" i="10"/>
  <c r="PJ26" i="10"/>
  <c r="PJ25" i="10"/>
  <c r="PJ24" i="10"/>
  <c r="PJ23" i="10"/>
  <c r="PJ22" i="10"/>
  <c r="PJ21" i="10"/>
  <c r="PJ20" i="10"/>
  <c r="PJ19" i="10"/>
  <c r="PJ18" i="10"/>
  <c r="PJ17" i="10"/>
  <c r="PJ16" i="10"/>
  <c r="PJ15" i="10"/>
  <c r="PJ14" i="10"/>
  <c r="PJ13" i="10"/>
  <c r="PJ12" i="10"/>
  <c r="PJ11" i="10"/>
  <c r="PJ10" i="10"/>
  <c r="PJ9" i="10"/>
  <c r="PJ8" i="10"/>
  <c r="PJ7" i="10"/>
  <c r="PF36" i="10"/>
  <c r="PF35" i="10"/>
  <c r="PF34" i="10"/>
  <c r="PF33" i="10"/>
  <c r="PF32" i="10"/>
  <c r="PF31" i="10"/>
  <c r="PF30" i="10"/>
  <c r="PF29" i="10"/>
  <c r="PF28" i="10"/>
  <c r="PF27" i="10"/>
  <c r="PF26" i="10"/>
  <c r="PF25" i="10"/>
  <c r="PF24" i="10"/>
  <c r="PF23" i="10"/>
  <c r="PF22" i="10"/>
  <c r="PF21" i="10"/>
  <c r="PF20" i="10"/>
  <c r="PF19" i="10"/>
  <c r="PF18" i="10"/>
  <c r="PF17" i="10"/>
  <c r="PF16" i="10"/>
  <c r="PF15" i="10"/>
  <c r="PF14" i="10"/>
  <c r="PF13" i="10"/>
  <c r="PF12" i="10"/>
  <c r="PF11" i="10"/>
  <c r="PF10" i="10"/>
  <c r="PF9" i="10"/>
  <c r="PF8" i="10"/>
  <c r="PF7" i="10"/>
  <c r="PB36" i="10"/>
  <c r="PB35" i="10"/>
  <c r="PB34" i="10"/>
  <c r="PB33" i="10"/>
  <c r="PB32" i="10"/>
  <c r="PB31" i="10"/>
  <c r="PB30" i="10"/>
  <c r="PB29" i="10"/>
  <c r="PB28" i="10"/>
  <c r="PB27" i="10"/>
  <c r="PB26" i="10"/>
  <c r="PB25" i="10"/>
  <c r="PB24" i="10"/>
  <c r="PB23" i="10"/>
  <c r="PB22" i="10"/>
  <c r="PB21" i="10"/>
  <c r="PB20" i="10"/>
  <c r="PB19" i="10"/>
  <c r="PB18" i="10"/>
  <c r="PB17" i="10"/>
  <c r="PB16" i="10"/>
  <c r="PB15" i="10"/>
  <c r="PB14" i="10"/>
  <c r="PB13" i="10"/>
  <c r="PB12" i="10"/>
  <c r="PB11" i="10"/>
  <c r="PB10" i="10"/>
  <c r="PB9" i="10"/>
  <c r="PB8" i="10"/>
  <c r="PB7" i="10"/>
  <c r="OX36" i="10"/>
  <c r="OX35" i="10"/>
  <c r="OX34" i="10"/>
  <c r="OX33" i="10"/>
  <c r="OX32" i="10"/>
  <c r="OX31" i="10"/>
  <c r="OX30" i="10"/>
  <c r="OX29" i="10"/>
  <c r="OX28" i="10"/>
  <c r="OX27" i="10"/>
  <c r="OX26" i="10"/>
  <c r="OX25" i="10"/>
  <c r="OX24" i="10"/>
  <c r="OX23" i="10"/>
  <c r="OX22" i="10"/>
  <c r="OX21" i="10"/>
  <c r="OX20" i="10"/>
  <c r="OX19" i="10"/>
  <c r="OX18" i="10"/>
  <c r="OX17" i="10"/>
  <c r="OX16" i="10"/>
  <c r="OX15" i="10"/>
  <c r="OX14" i="10"/>
  <c r="OX13" i="10"/>
  <c r="OX12" i="10"/>
  <c r="OX11" i="10"/>
  <c r="OX10" i="10"/>
  <c r="OX9" i="10"/>
  <c r="OX8" i="10"/>
  <c r="OX7" i="10"/>
  <c r="OT36" i="10"/>
  <c r="OT35" i="10"/>
  <c r="OT34" i="10"/>
  <c r="OT33" i="10"/>
  <c r="OT32" i="10"/>
  <c r="OT31" i="10"/>
  <c r="OT30" i="10"/>
  <c r="OT29" i="10"/>
  <c r="OT28" i="10"/>
  <c r="OT27" i="10"/>
  <c r="OT26" i="10"/>
  <c r="OT25" i="10"/>
  <c r="OT24" i="10"/>
  <c r="OT23" i="10"/>
  <c r="OT22" i="10"/>
  <c r="OT21" i="10"/>
  <c r="OT20" i="10"/>
  <c r="OT19" i="10"/>
  <c r="OT18" i="10"/>
  <c r="OT17" i="10"/>
  <c r="OT16" i="10"/>
  <c r="OT15" i="10"/>
  <c r="OT14" i="10"/>
  <c r="OT13" i="10"/>
  <c r="OT12" i="10"/>
  <c r="OT11" i="10"/>
  <c r="OT10" i="10"/>
  <c r="OT9" i="10"/>
  <c r="OT8" i="10"/>
  <c r="OT7" i="10"/>
  <c r="OP36" i="10"/>
  <c r="OP35" i="10"/>
  <c r="OP34" i="10"/>
  <c r="OP33" i="10"/>
  <c r="OP32" i="10"/>
  <c r="OP31" i="10"/>
  <c r="OP30" i="10"/>
  <c r="OP29" i="10"/>
  <c r="OP28" i="10"/>
  <c r="OP27" i="10"/>
  <c r="OP26" i="10"/>
  <c r="OP25" i="10"/>
  <c r="OP24" i="10"/>
  <c r="OP23" i="10"/>
  <c r="OP22" i="10"/>
  <c r="OP21" i="10"/>
  <c r="OP20" i="10"/>
  <c r="OP19" i="10"/>
  <c r="OP18" i="10"/>
  <c r="OP17" i="10"/>
  <c r="OP16" i="10"/>
  <c r="OP15" i="10"/>
  <c r="OP14" i="10"/>
  <c r="OP13" i="10"/>
  <c r="OP12" i="10"/>
  <c r="OP11" i="10"/>
  <c r="OP10" i="10"/>
  <c r="OP9" i="10"/>
  <c r="OP8" i="10"/>
  <c r="OP7" i="10"/>
  <c r="OL36" i="10"/>
  <c r="OL35" i="10"/>
  <c r="OL34" i="10"/>
  <c r="OL33" i="10"/>
  <c r="OL32" i="10"/>
  <c r="OL31" i="10"/>
  <c r="OL30" i="10"/>
  <c r="OL29" i="10"/>
  <c r="OL28" i="10"/>
  <c r="OL27" i="10"/>
  <c r="OL26" i="10"/>
  <c r="OL25" i="10"/>
  <c r="OL24" i="10"/>
  <c r="OL23" i="10"/>
  <c r="OL22" i="10"/>
  <c r="OL21" i="10"/>
  <c r="OL20" i="10"/>
  <c r="OL19" i="10"/>
  <c r="OL18" i="10"/>
  <c r="OL17" i="10"/>
  <c r="OL16" i="10"/>
  <c r="OL15" i="10"/>
  <c r="OL14" i="10"/>
  <c r="OL13" i="10"/>
  <c r="OL12" i="10"/>
  <c r="OL11" i="10"/>
  <c r="OL10" i="10"/>
  <c r="OL9" i="10"/>
  <c r="OL8" i="10"/>
  <c r="OL7" i="10"/>
  <c r="OH36" i="10"/>
  <c r="OH35" i="10"/>
  <c r="OH34" i="10"/>
  <c r="OH33" i="10"/>
  <c r="OH32" i="10"/>
  <c r="OH31" i="10"/>
  <c r="OH30" i="10"/>
  <c r="OH29" i="10"/>
  <c r="OH28" i="10"/>
  <c r="OH27" i="10"/>
  <c r="OH26" i="10"/>
  <c r="OH25" i="10"/>
  <c r="OH24" i="10"/>
  <c r="OH23" i="10"/>
  <c r="OH22" i="10"/>
  <c r="OH21" i="10"/>
  <c r="OH20" i="10"/>
  <c r="OH19" i="10"/>
  <c r="OH18" i="10"/>
  <c r="OH17" i="10"/>
  <c r="OH16" i="10"/>
  <c r="OH15" i="10"/>
  <c r="OH14" i="10"/>
  <c r="OH13" i="10"/>
  <c r="OH12" i="10"/>
  <c r="OH11" i="10"/>
  <c r="OH10" i="10"/>
  <c r="OH9" i="10"/>
  <c r="OH8" i="10"/>
  <c r="OH7" i="10"/>
  <c r="OD36" i="10"/>
  <c r="OD35" i="10"/>
  <c r="OD34" i="10"/>
  <c r="OD33" i="10"/>
  <c r="OD32" i="10"/>
  <c r="OD31" i="10"/>
  <c r="OD30" i="10"/>
  <c r="OD29" i="10"/>
  <c r="OD28" i="10"/>
  <c r="OD27" i="10"/>
  <c r="OD26" i="10"/>
  <c r="OD25" i="10"/>
  <c r="OD24" i="10"/>
  <c r="OD23" i="10"/>
  <c r="OD22" i="10"/>
  <c r="OD21" i="10"/>
  <c r="OD20" i="10"/>
  <c r="OD19" i="10"/>
  <c r="OD18" i="10"/>
  <c r="OD17" i="10"/>
  <c r="OD16" i="10"/>
  <c r="OD15" i="10"/>
  <c r="OD14" i="10"/>
  <c r="OD13" i="10"/>
  <c r="OD12" i="10"/>
  <c r="OD11" i="10"/>
  <c r="OD10" i="10"/>
  <c r="OD9" i="10"/>
  <c r="OD8" i="10"/>
  <c r="OD7" i="10"/>
  <c r="NZ36" i="10"/>
  <c r="NZ35" i="10"/>
  <c r="NZ34" i="10"/>
  <c r="NZ33" i="10"/>
  <c r="NZ32" i="10"/>
  <c r="NZ31" i="10"/>
  <c r="NZ30" i="10"/>
  <c r="NZ29" i="10"/>
  <c r="NZ28" i="10"/>
  <c r="NZ27" i="10"/>
  <c r="NZ26" i="10"/>
  <c r="NZ25" i="10"/>
  <c r="NZ24" i="10"/>
  <c r="NZ23" i="10"/>
  <c r="NZ22" i="10"/>
  <c r="NZ21" i="10"/>
  <c r="NZ20" i="10"/>
  <c r="NZ19" i="10"/>
  <c r="NZ18" i="10"/>
  <c r="NZ17" i="10"/>
  <c r="NZ16" i="10"/>
  <c r="NZ15" i="10"/>
  <c r="NZ14" i="10"/>
  <c r="NZ13" i="10"/>
  <c r="NZ12" i="10"/>
  <c r="NZ11" i="10"/>
  <c r="NZ10" i="10"/>
  <c r="NZ9" i="10"/>
  <c r="NZ8" i="10"/>
  <c r="NZ7" i="10"/>
  <c r="NV36" i="10"/>
  <c r="NV35" i="10"/>
  <c r="NV34" i="10"/>
  <c r="NV33" i="10"/>
  <c r="NV32" i="10"/>
  <c r="NV31" i="10"/>
  <c r="NV30" i="10"/>
  <c r="NV29" i="10"/>
  <c r="NV28" i="10"/>
  <c r="NV27" i="10"/>
  <c r="NV26" i="10"/>
  <c r="NV25" i="10"/>
  <c r="NV24" i="10"/>
  <c r="NV23" i="10"/>
  <c r="NV22" i="10"/>
  <c r="NV21" i="10"/>
  <c r="NV20" i="10"/>
  <c r="NV19" i="10"/>
  <c r="NV18" i="10"/>
  <c r="NV17" i="10"/>
  <c r="NV16" i="10"/>
  <c r="NV15" i="10"/>
  <c r="NV14" i="10"/>
  <c r="NV13" i="10"/>
  <c r="NV12" i="10"/>
  <c r="NV11" i="10"/>
  <c r="NV10" i="10"/>
  <c r="NV9" i="10"/>
  <c r="NV8" i="10"/>
  <c r="NV7" i="10"/>
  <c r="NR36" i="10"/>
  <c r="NR35" i="10"/>
  <c r="NR34" i="10"/>
  <c r="NR33" i="10"/>
  <c r="NR32" i="10"/>
  <c r="NR31" i="10"/>
  <c r="NR30" i="10"/>
  <c r="NR29" i="10"/>
  <c r="NR28" i="10"/>
  <c r="NR27" i="10"/>
  <c r="NR26" i="10"/>
  <c r="NR25" i="10"/>
  <c r="NR24" i="10"/>
  <c r="NR23" i="10"/>
  <c r="NR22" i="10"/>
  <c r="NR21" i="10"/>
  <c r="NR20" i="10"/>
  <c r="NR19" i="10"/>
  <c r="NR18" i="10"/>
  <c r="NR17" i="10"/>
  <c r="NR16" i="10"/>
  <c r="NR15" i="10"/>
  <c r="NR14" i="10"/>
  <c r="NR13" i="10"/>
  <c r="NR12" i="10"/>
  <c r="NR11" i="10"/>
  <c r="NR10" i="10"/>
  <c r="NR9" i="10"/>
  <c r="NR8" i="10"/>
  <c r="NR7" i="10"/>
  <c r="NN36" i="10"/>
  <c r="NN35" i="10"/>
  <c r="NN34" i="10"/>
  <c r="NN33" i="10"/>
  <c r="NN32" i="10"/>
  <c r="NN31" i="10"/>
  <c r="NN30" i="10"/>
  <c r="NN29" i="10"/>
  <c r="NN28" i="10"/>
  <c r="NN27" i="10"/>
  <c r="NN26" i="10"/>
  <c r="NN25" i="10"/>
  <c r="NN24" i="10"/>
  <c r="NN23" i="10"/>
  <c r="NN22" i="10"/>
  <c r="NN21" i="10"/>
  <c r="NN20" i="10"/>
  <c r="NN19" i="10"/>
  <c r="NN18" i="10"/>
  <c r="NN17" i="10"/>
  <c r="NN16" i="10"/>
  <c r="NN15" i="10"/>
  <c r="NN14" i="10"/>
  <c r="NN13" i="10"/>
  <c r="NN12" i="10"/>
  <c r="NN11" i="10"/>
  <c r="NN10" i="10"/>
  <c r="NN9" i="10"/>
  <c r="NN8" i="10"/>
  <c r="NN7" i="10"/>
  <c r="NJ36" i="10"/>
  <c r="NJ35" i="10"/>
  <c r="NJ34" i="10"/>
  <c r="NJ33" i="10"/>
  <c r="NJ32" i="10"/>
  <c r="NJ31" i="10"/>
  <c r="NJ30" i="10"/>
  <c r="NJ29" i="10"/>
  <c r="NJ28" i="10"/>
  <c r="NJ27" i="10"/>
  <c r="NJ26" i="10"/>
  <c r="NJ25" i="10"/>
  <c r="NJ24" i="10"/>
  <c r="NJ23" i="10"/>
  <c r="NJ22" i="10"/>
  <c r="NJ21" i="10"/>
  <c r="NJ20" i="10"/>
  <c r="NJ19" i="10"/>
  <c r="NJ18" i="10"/>
  <c r="NJ17" i="10"/>
  <c r="NJ16" i="10"/>
  <c r="NJ15" i="10"/>
  <c r="NJ14" i="10"/>
  <c r="NJ13" i="10"/>
  <c r="NJ12" i="10"/>
  <c r="NJ11" i="10"/>
  <c r="NJ10" i="10"/>
  <c r="NJ9" i="10"/>
  <c r="NJ8" i="10"/>
  <c r="NJ7" i="10"/>
  <c r="NF36" i="10"/>
  <c r="NF35" i="10"/>
  <c r="NF34" i="10"/>
  <c r="NF33" i="10"/>
  <c r="NF32" i="10"/>
  <c r="NF31" i="10"/>
  <c r="NF30" i="10"/>
  <c r="NF29" i="10"/>
  <c r="NF28" i="10"/>
  <c r="NF27" i="10"/>
  <c r="NF26" i="10"/>
  <c r="NF25" i="10"/>
  <c r="NF24" i="10"/>
  <c r="NF23" i="10"/>
  <c r="NF22" i="10"/>
  <c r="NF21" i="10"/>
  <c r="NF20" i="10"/>
  <c r="NF19" i="10"/>
  <c r="NF18" i="10"/>
  <c r="NF17" i="10"/>
  <c r="NF16" i="10"/>
  <c r="NF15" i="10"/>
  <c r="NF14" i="10"/>
  <c r="NF13" i="10"/>
  <c r="NF12" i="10"/>
  <c r="NF11" i="10"/>
  <c r="NF10" i="10"/>
  <c r="NF9" i="10"/>
  <c r="NF8" i="10"/>
  <c r="NF7" i="10"/>
  <c r="NB36" i="10"/>
  <c r="NB35" i="10"/>
  <c r="NB34" i="10"/>
  <c r="NB33" i="10"/>
  <c r="NB32" i="10"/>
  <c r="NB31" i="10"/>
  <c r="NB30" i="10"/>
  <c r="NB29" i="10"/>
  <c r="NB28" i="10"/>
  <c r="NB27" i="10"/>
  <c r="NB26" i="10"/>
  <c r="NB25" i="10"/>
  <c r="NB24" i="10"/>
  <c r="NB23" i="10"/>
  <c r="NB22" i="10"/>
  <c r="NB21" i="10"/>
  <c r="NB20" i="10"/>
  <c r="NB19" i="10"/>
  <c r="NB18" i="10"/>
  <c r="NB17" i="10"/>
  <c r="NB16" i="10"/>
  <c r="NB15" i="10"/>
  <c r="NB14" i="10"/>
  <c r="NB13" i="10"/>
  <c r="NB12" i="10"/>
  <c r="NB11" i="10"/>
  <c r="NB10" i="10"/>
  <c r="NB9" i="10"/>
  <c r="NB8" i="10"/>
  <c r="NB7" i="10"/>
  <c r="MX36" i="10"/>
  <c r="MX35" i="10"/>
  <c r="MX34" i="10"/>
  <c r="MX33" i="10"/>
  <c r="MX32" i="10"/>
  <c r="MX31" i="10"/>
  <c r="MX30" i="10"/>
  <c r="MX29" i="10"/>
  <c r="MX28" i="10"/>
  <c r="MX27" i="10"/>
  <c r="MX26" i="10"/>
  <c r="MX25" i="10"/>
  <c r="MX24" i="10"/>
  <c r="MX23" i="10"/>
  <c r="MX22" i="10"/>
  <c r="MX21" i="10"/>
  <c r="MX20" i="10"/>
  <c r="MX19" i="10"/>
  <c r="MX18" i="10"/>
  <c r="MX17" i="10"/>
  <c r="MX16" i="10"/>
  <c r="MX15" i="10"/>
  <c r="MX14" i="10"/>
  <c r="MX13" i="10"/>
  <c r="MX12" i="10"/>
  <c r="MX11" i="10"/>
  <c r="MX10" i="10"/>
  <c r="MX9" i="10"/>
  <c r="MX8" i="10"/>
  <c r="MX7" i="10"/>
  <c r="MT36" i="10"/>
  <c r="MT35" i="10"/>
  <c r="MT34" i="10"/>
  <c r="MT33" i="10"/>
  <c r="MT32" i="10"/>
  <c r="MT31" i="10"/>
  <c r="MT30" i="10"/>
  <c r="MT29" i="10"/>
  <c r="MT28" i="10"/>
  <c r="MT27" i="10"/>
  <c r="MT26" i="10"/>
  <c r="MT25" i="10"/>
  <c r="MT24" i="10"/>
  <c r="MT23" i="10"/>
  <c r="MT22" i="10"/>
  <c r="MT21" i="10"/>
  <c r="MT20" i="10"/>
  <c r="MT19" i="10"/>
  <c r="MT18" i="10"/>
  <c r="MT17" i="10"/>
  <c r="MT16" i="10"/>
  <c r="MT15" i="10"/>
  <c r="MT14" i="10"/>
  <c r="MT13" i="10"/>
  <c r="MT12" i="10"/>
  <c r="MT11" i="10"/>
  <c r="MT10" i="10"/>
  <c r="MT9" i="10"/>
  <c r="MT8" i="10"/>
  <c r="MT7" i="10"/>
  <c r="MP36" i="10"/>
  <c r="MP35" i="10"/>
  <c r="MP34" i="10"/>
  <c r="MP33" i="10"/>
  <c r="MP32" i="10"/>
  <c r="MP31" i="10"/>
  <c r="MP30" i="10"/>
  <c r="MP29" i="10"/>
  <c r="MP28" i="10"/>
  <c r="MP27" i="10"/>
  <c r="MP26" i="10"/>
  <c r="MP25" i="10"/>
  <c r="MP24" i="10"/>
  <c r="MP23" i="10"/>
  <c r="MP22" i="10"/>
  <c r="MP21" i="10"/>
  <c r="MP20" i="10"/>
  <c r="MP19" i="10"/>
  <c r="MP18" i="10"/>
  <c r="MP17" i="10"/>
  <c r="MP16" i="10"/>
  <c r="MP15" i="10"/>
  <c r="MP14" i="10"/>
  <c r="MP13" i="10"/>
  <c r="MP12" i="10"/>
  <c r="MP11" i="10"/>
  <c r="MP10" i="10"/>
  <c r="MP9" i="10"/>
  <c r="MP8" i="10"/>
  <c r="MP7" i="10"/>
  <c r="ML36" i="10"/>
  <c r="ML35" i="10"/>
  <c r="ML34" i="10"/>
  <c r="ML33" i="10"/>
  <c r="ML32" i="10"/>
  <c r="ML31" i="10"/>
  <c r="ML30" i="10"/>
  <c r="ML29" i="10"/>
  <c r="ML28" i="10"/>
  <c r="ML27" i="10"/>
  <c r="ML26" i="10"/>
  <c r="ML25" i="10"/>
  <c r="ML24" i="10"/>
  <c r="ML23" i="10"/>
  <c r="ML22" i="10"/>
  <c r="ML21" i="10"/>
  <c r="ML20" i="10"/>
  <c r="ML19" i="10"/>
  <c r="ML18" i="10"/>
  <c r="ML17" i="10"/>
  <c r="ML16" i="10"/>
  <c r="ML15" i="10"/>
  <c r="ML14" i="10"/>
  <c r="ML13" i="10"/>
  <c r="ML12" i="10"/>
  <c r="ML11" i="10"/>
  <c r="ML10" i="10"/>
  <c r="ML9" i="10"/>
  <c r="ML8" i="10"/>
  <c r="ML7" i="10"/>
  <c r="MH36" i="10"/>
  <c r="MH35" i="10"/>
  <c r="MH34" i="10"/>
  <c r="MH33" i="10"/>
  <c r="MH32" i="10"/>
  <c r="MH31" i="10"/>
  <c r="MH30" i="10"/>
  <c r="MH29" i="10"/>
  <c r="MH28" i="10"/>
  <c r="MH27" i="10"/>
  <c r="MH26" i="10"/>
  <c r="MH25" i="10"/>
  <c r="MH24" i="10"/>
  <c r="MH23" i="10"/>
  <c r="MH22" i="10"/>
  <c r="MH21" i="10"/>
  <c r="MH20" i="10"/>
  <c r="MH19" i="10"/>
  <c r="MH18" i="10"/>
  <c r="MH17" i="10"/>
  <c r="MH16" i="10"/>
  <c r="MH15" i="10"/>
  <c r="MH14" i="10"/>
  <c r="MH13" i="10"/>
  <c r="MH12" i="10"/>
  <c r="MH11" i="10"/>
  <c r="MH10" i="10"/>
  <c r="MH9" i="10"/>
  <c r="MH8" i="10"/>
  <c r="MH7" i="10"/>
  <c r="MD36" i="10"/>
  <c r="MD35" i="10"/>
  <c r="MD34" i="10"/>
  <c r="MD33" i="10"/>
  <c r="MD32" i="10"/>
  <c r="MD31" i="10"/>
  <c r="MD30" i="10"/>
  <c r="MD29" i="10"/>
  <c r="MD28" i="10"/>
  <c r="MD27" i="10"/>
  <c r="MD26" i="10"/>
  <c r="MD25" i="10"/>
  <c r="MD24" i="10"/>
  <c r="MD23" i="10"/>
  <c r="MD22" i="10"/>
  <c r="MD21" i="10"/>
  <c r="MD20" i="10"/>
  <c r="MD19" i="10"/>
  <c r="MD18" i="10"/>
  <c r="MD17" i="10"/>
  <c r="MD16" i="10"/>
  <c r="MD15" i="10"/>
  <c r="MD14" i="10"/>
  <c r="MD13" i="10"/>
  <c r="MD12" i="10"/>
  <c r="MD11" i="10"/>
  <c r="MD10" i="10"/>
  <c r="MD9" i="10"/>
  <c r="MD8" i="10"/>
  <c r="MD7" i="10"/>
  <c r="LZ36" i="10"/>
  <c r="LZ35" i="10"/>
  <c r="LZ34" i="10"/>
  <c r="LZ33" i="10"/>
  <c r="LZ32" i="10"/>
  <c r="LZ31" i="10"/>
  <c r="LZ30" i="10"/>
  <c r="LZ29" i="10"/>
  <c r="LZ28" i="10"/>
  <c r="LZ27" i="10"/>
  <c r="LZ26" i="10"/>
  <c r="LZ25" i="10"/>
  <c r="LZ24" i="10"/>
  <c r="LZ23" i="10"/>
  <c r="LZ22" i="10"/>
  <c r="LZ21" i="10"/>
  <c r="LZ20" i="10"/>
  <c r="LZ19" i="10"/>
  <c r="LZ18" i="10"/>
  <c r="LZ17" i="10"/>
  <c r="LZ16" i="10"/>
  <c r="LZ15" i="10"/>
  <c r="LZ14" i="10"/>
  <c r="LZ13" i="10"/>
  <c r="LZ12" i="10"/>
  <c r="LZ11" i="10"/>
  <c r="LZ10" i="10"/>
  <c r="LZ9" i="10"/>
  <c r="LZ8" i="10"/>
  <c r="LZ7" i="10"/>
  <c r="LV36" i="10"/>
  <c r="LV35" i="10"/>
  <c r="LV34" i="10"/>
  <c r="LV33" i="10"/>
  <c r="LV32" i="10"/>
  <c r="LV31" i="10"/>
  <c r="LV30" i="10"/>
  <c r="LV29" i="10"/>
  <c r="LV28" i="10"/>
  <c r="LV27" i="10"/>
  <c r="LV26" i="10"/>
  <c r="LV25" i="10"/>
  <c r="LV24" i="10"/>
  <c r="LV23" i="10"/>
  <c r="LV22" i="10"/>
  <c r="LV21" i="10"/>
  <c r="LV20" i="10"/>
  <c r="LV19" i="10"/>
  <c r="LV18" i="10"/>
  <c r="LV17" i="10"/>
  <c r="LV16" i="10"/>
  <c r="LV15" i="10"/>
  <c r="LV14" i="10"/>
  <c r="LV13" i="10"/>
  <c r="LV12" i="10"/>
  <c r="LV11" i="10"/>
  <c r="LV10" i="10"/>
  <c r="LV9" i="10"/>
  <c r="LV8" i="10"/>
  <c r="LV7" i="10"/>
  <c r="LR36" i="10"/>
  <c r="LR35" i="10"/>
  <c r="LR34" i="10"/>
  <c r="LR33" i="10"/>
  <c r="LR32" i="10"/>
  <c r="LR31" i="10"/>
  <c r="LR30" i="10"/>
  <c r="LR29" i="10"/>
  <c r="LR28" i="10"/>
  <c r="LR27" i="10"/>
  <c r="LR26" i="10"/>
  <c r="LR25" i="10"/>
  <c r="LR24" i="10"/>
  <c r="LR23" i="10"/>
  <c r="LR22" i="10"/>
  <c r="LR21" i="10"/>
  <c r="LR20" i="10"/>
  <c r="LR19" i="10"/>
  <c r="LR18" i="10"/>
  <c r="LR17" i="10"/>
  <c r="LR16" i="10"/>
  <c r="LR15" i="10"/>
  <c r="LR14" i="10"/>
  <c r="LR13" i="10"/>
  <c r="LR12" i="10"/>
  <c r="LR11" i="10"/>
  <c r="LR10" i="10"/>
  <c r="LR9" i="10"/>
  <c r="LR8" i="10"/>
  <c r="LR7" i="10"/>
  <c r="LN36" i="10"/>
  <c r="LN35" i="10"/>
  <c r="LN34" i="10"/>
  <c r="LN33" i="10"/>
  <c r="LN32" i="10"/>
  <c r="LN31" i="10"/>
  <c r="LN30" i="10"/>
  <c r="LN29" i="10"/>
  <c r="LN28" i="10"/>
  <c r="LN27" i="10"/>
  <c r="LN26" i="10"/>
  <c r="LN25" i="10"/>
  <c r="LN24" i="10"/>
  <c r="LN23" i="10"/>
  <c r="LN22" i="10"/>
  <c r="LN21" i="10"/>
  <c r="LN20" i="10"/>
  <c r="LN19" i="10"/>
  <c r="LN18" i="10"/>
  <c r="LN17" i="10"/>
  <c r="LN16" i="10"/>
  <c r="LN15" i="10"/>
  <c r="LN14" i="10"/>
  <c r="LN13" i="10"/>
  <c r="LN12" i="10"/>
  <c r="LN11" i="10"/>
  <c r="LN10" i="10"/>
  <c r="LN9" i="10"/>
  <c r="LN8" i="10"/>
  <c r="LN7" i="10"/>
  <c r="LJ36" i="10"/>
  <c r="LJ35" i="10"/>
  <c r="LJ34" i="10"/>
  <c r="LJ33" i="10"/>
  <c r="LJ32" i="10"/>
  <c r="LJ31" i="10"/>
  <c r="LJ30" i="10"/>
  <c r="LJ29" i="10"/>
  <c r="LJ28" i="10"/>
  <c r="LJ27" i="10"/>
  <c r="LJ26" i="10"/>
  <c r="LJ25" i="10"/>
  <c r="LJ24" i="10"/>
  <c r="LJ23" i="10"/>
  <c r="LJ22" i="10"/>
  <c r="LJ21" i="10"/>
  <c r="LJ20" i="10"/>
  <c r="LJ19" i="10"/>
  <c r="LJ18" i="10"/>
  <c r="LJ17" i="10"/>
  <c r="LJ16" i="10"/>
  <c r="LJ15" i="10"/>
  <c r="LJ14" i="10"/>
  <c r="LJ13" i="10"/>
  <c r="LJ12" i="10"/>
  <c r="LJ11" i="10"/>
  <c r="LJ10" i="10"/>
  <c r="LJ9" i="10"/>
  <c r="LJ8" i="10"/>
  <c r="LJ7" i="10"/>
  <c r="LF36" i="10"/>
  <c r="LF35" i="10"/>
  <c r="LF34" i="10"/>
  <c r="LF33" i="10"/>
  <c r="LF32" i="10"/>
  <c r="LF31" i="10"/>
  <c r="LF30" i="10"/>
  <c r="LF29" i="10"/>
  <c r="LF28" i="10"/>
  <c r="LF27" i="10"/>
  <c r="LF26" i="10"/>
  <c r="LF25" i="10"/>
  <c r="LF24" i="10"/>
  <c r="LF23" i="10"/>
  <c r="LF22" i="10"/>
  <c r="LF21" i="10"/>
  <c r="LF20" i="10"/>
  <c r="LF19" i="10"/>
  <c r="LF18" i="10"/>
  <c r="LF17" i="10"/>
  <c r="LF16" i="10"/>
  <c r="LF15" i="10"/>
  <c r="LF14" i="10"/>
  <c r="LF13" i="10"/>
  <c r="LF12" i="10"/>
  <c r="LF11" i="10"/>
  <c r="LF10" i="10"/>
  <c r="LF9" i="10"/>
  <c r="LF8" i="10"/>
  <c r="LF7" i="10"/>
  <c r="LB36" i="10"/>
  <c r="LB35" i="10"/>
  <c r="LB33" i="10"/>
  <c r="LB32" i="10"/>
  <c r="LB31" i="10"/>
  <c r="LB30" i="10"/>
  <c r="LB29" i="10"/>
  <c r="LB28" i="10"/>
  <c r="LB27" i="10"/>
  <c r="LB25" i="10"/>
  <c r="LB24" i="10"/>
  <c r="LB23" i="10"/>
  <c r="LB22" i="10"/>
  <c r="LB21" i="10"/>
  <c r="LB20" i="10"/>
  <c r="LB19" i="10"/>
  <c r="LB18" i="10"/>
  <c r="LB17" i="10"/>
  <c r="LB15" i="10"/>
  <c r="LB14" i="10"/>
  <c r="LB13" i="10"/>
  <c r="LB12" i="10"/>
  <c r="LB11" i="10"/>
  <c r="LB9" i="10"/>
  <c r="LB8" i="10"/>
  <c r="LB7" i="10"/>
  <c r="KX36" i="10"/>
  <c r="KX35" i="10"/>
  <c r="KX33" i="10"/>
  <c r="KX32" i="10"/>
  <c r="KX31" i="10"/>
  <c r="KX30" i="10"/>
  <c r="KX29" i="10"/>
  <c r="KX28" i="10"/>
  <c r="KX27" i="10"/>
  <c r="KX25" i="10"/>
  <c r="KX24" i="10"/>
  <c r="KX23" i="10"/>
  <c r="KX22" i="10"/>
  <c r="KX21" i="10"/>
  <c r="KX20" i="10"/>
  <c r="KX19" i="10"/>
  <c r="KX18" i="10"/>
  <c r="KX17" i="10"/>
  <c r="KX15" i="10"/>
  <c r="KX14" i="10"/>
  <c r="KX13" i="10"/>
  <c r="KX12" i="10"/>
  <c r="KX11" i="10"/>
  <c r="KX9" i="10"/>
  <c r="KX8" i="10"/>
  <c r="KX7" i="10"/>
  <c r="KT36" i="10"/>
  <c r="KT35" i="10"/>
  <c r="KT34" i="10"/>
  <c r="KT33" i="10"/>
  <c r="KT32" i="10"/>
  <c r="KT31" i="10"/>
  <c r="KT30" i="10"/>
  <c r="KT29" i="10"/>
  <c r="KT28" i="10"/>
  <c r="KT27" i="10"/>
  <c r="KT26" i="10"/>
  <c r="KT25" i="10"/>
  <c r="KT24" i="10"/>
  <c r="KT23" i="10"/>
  <c r="KT22" i="10"/>
  <c r="KT21" i="10"/>
  <c r="KT20" i="10"/>
  <c r="KT19" i="10"/>
  <c r="KT18" i="10"/>
  <c r="KT17" i="10"/>
  <c r="KT16" i="10"/>
  <c r="KT15" i="10"/>
  <c r="KT14" i="10"/>
  <c r="KT13" i="10"/>
  <c r="KT12" i="10"/>
  <c r="KT11" i="10"/>
  <c r="KT10" i="10"/>
  <c r="KT9" i="10"/>
  <c r="KT8" i="10"/>
  <c r="KT7" i="10"/>
  <c r="KP36" i="10"/>
  <c r="KP35" i="10"/>
  <c r="KP34" i="10"/>
  <c r="KP33" i="10"/>
  <c r="KP32" i="10"/>
  <c r="KP31" i="10"/>
  <c r="KP30" i="10"/>
  <c r="KP29" i="10"/>
  <c r="KP28" i="10"/>
  <c r="KP27" i="10"/>
  <c r="KP26" i="10"/>
  <c r="KP25" i="10"/>
  <c r="KP24" i="10"/>
  <c r="KP23" i="10"/>
  <c r="KP22" i="10"/>
  <c r="KP21" i="10"/>
  <c r="KP20" i="10"/>
  <c r="KP19" i="10"/>
  <c r="KP18" i="10"/>
  <c r="KP17" i="10"/>
  <c r="KP16" i="10"/>
  <c r="KP15" i="10"/>
  <c r="KP14" i="10"/>
  <c r="KP13" i="10"/>
  <c r="KP12" i="10"/>
  <c r="KP11" i="10"/>
  <c r="KP10" i="10"/>
  <c r="KP9" i="10"/>
  <c r="KP8" i="10"/>
  <c r="KP7" i="10"/>
  <c r="KL36" i="10"/>
  <c r="KL35" i="10"/>
  <c r="KL34" i="10"/>
  <c r="KL33" i="10"/>
  <c r="KL32" i="10"/>
  <c r="KL31" i="10"/>
  <c r="KL30" i="10"/>
  <c r="KL29" i="10"/>
  <c r="KL28" i="10"/>
  <c r="KL27" i="10"/>
  <c r="KL26" i="10"/>
  <c r="KL25" i="10"/>
  <c r="KL24" i="10"/>
  <c r="KL23" i="10"/>
  <c r="KL22" i="10"/>
  <c r="KL21" i="10"/>
  <c r="KL20" i="10"/>
  <c r="KL19" i="10"/>
  <c r="KL18" i="10"/>
  <c r="KL17" i="10"/>
  <c r="KL16" i="10"/>
  <c r="KL15" i="10"/>
  <c r="KL14" i="10"/>
  <c r="KL13" i="10"/>
  <c r="KL12" i="10"/>
  <c r="KL11" i="10"/>
  <c r="KL10" i="10"/>
  <c r="KL9" i="10"/>
  <c r="KL8" i="10"/>
  <c r="KL7" i="10"/>
  <c r="KH36" i="10"/>
  <c r="KH35" i="10"/>
  <c r="KH34" i="10"/>
  <c r="KH33" i="10"/>
  <c r="KH32" i="10"/>
  <c r="KH31" i="10"/>
  <c r="KH30" i="10"/>
  <c r="KH29" i="10"/>
  <c r="KH28" i="10"/>
  <c r="KH27" i="10"/>
  <c r="KH26" i="10"/>
  <c r="KH25" i="10"/>
  <c r="KH24" i="10"/>
  <c r="KH23" i="10"/>
  <c r="KH22" i="10"/>
  <c r="KH21" i="10"/>
  <c r="KH20" i="10"/>
  <c r="KH19" i="10"/>
  <c r="KH18" i="10"/>
  <c r="KH17" i="10"/>
  <c r="KH16" i="10"/>
  <c r="KH15" i="10"/>
  <c r="KH14" i="10"/>
  <c r="KH13" i="10"/>
  <c r="KH12" i="10"/>
  <c r="KH11" i="10"/>
  <c r="KH10" i="10"/>
  <c r="KH9" i="10"/>
  <c r="KH8" i="10"/>
  <c r="KH7" i="10"/>
  <c r="KD36" i="10"/>
  <c r="KD35" i="10"/>
  <c r="KD34" i="10"/>
  <c r="KD33" i="10"/>
  <c r="KD32" i="10"/>
  <c r="KD31" i="10"/>
  <c r="KD30" i="10"/>
  <c r="KD29" i="10"/>
  <c r="KD28" i="10"/>
  <c r="KD27" i="10"/>
  <c r="KD26" i="10"/>
  <c r="KD25" i="10"/>
  <c r="KD24" i="10"/>
  <c r="KD23" i="10"/>
  <c r="KD22" i="10"/>
  <c r="KD21" i="10"/>
  <c r="KD20" i="10"/>
  <c r="KD19" i="10"/>
  <c r="KD18" i="10"/>
  <c r="KD17" i="10"/>
  <c r="KD16" i="10"/>
  <c r="KD15" i="10"/>
  <c r="KD14" i="10"/>
  <c r="KD13" i="10"/>
  <c r="KD12" i="10"/>
  <c r="KD11" i="10"/>
  <c r="KD10" i="10"/>
  <c r="KD9" i="10"/>
  <c r="KD8" i="10"/>
  <c r="KD7" i="10"/>
  <c r="JZ36" i="10"/>
  <c r="JZ35" i="10"/>
  <c r="JZ34" i="10"/>
  <c r="JZ33" i="10"/>
  <c r="JZ32" i="10"/>
  <c r="JZ31" i="10"/>
  <c r="JZ30" i="10"/>
  <c r="JZ29" i="10"/>
  <c r="JZ28" i="10"/>
  <c r="JZ27" i="10"/>
  <c r="JZ26" i="10"/>
  <c r="JZ25" i="10"/>
  <c r="JZ24" i="10"/>
  <c r="JZ23" i="10"/>
  <c r="JZ22" i="10"/>
  <c r="JZ21" i="10"/>
  <c r="JZ20" i="10"/>
  <c r="JZ19" i="10"/>
  <c r="JZ18" i="10"/>
  <c r="JZ17" i="10"/>
  <c r="JZ16" i="10"/>
  <c r="JZ15" i="10"/>
  <c r="JZ14" i="10"/>
  <c r="JZ13" i="10"/>
  <c r="JZ12" i="10"/>
  <c r="JZ11" i="10"/>
  <c r="JZ10" i="10"/>
  <c r="JZ9" i="10"/>
  <c r="JZ8" i="10"/>
  <c r="JZ7" i="10"/>
  <c r="JV36" i="10"/>
  <c r="JV35" i="10"/>
  <c r="JV34" i="10"/>
  <c r="JV33" i="10"/>
  <c r="JV32" i="10"/>
  <c r="JV31" i="10"/>
  <c r="JV30" i="10"/>
  <c r="JV29" i="10"/>
  <c r="JV28" i="10"/>
  <c r="JV27" i="10"/>
  <c r="JV26" i="10"/>
  <c r="JV25" i="10"/>
  <c r="JV24" i="10"/>
  <c r="JV23" i="10"/>
  <c r="JV22" i="10"/>
  <c r="JV21" i="10"/>
  <c r="JV20" i="10"/>
  <c r="JV19" i="10"/>
  <c r="JV18" i="10"/>
  <c r="JV17" i="10"/>
  <c r="JV16" i="10"/>
  <c r="JV15" i="10"/>
  <c r="JV14" i="10"/>
  <c r="JV13" i="10"/>
  <c r="JV12" i="10"/>
  <c r="JV11" i="10"/>
  <c r="JV10" i="10"/>
  <c r="JV9" i="10"/>
  <c r="JV8" i="10"/>
  <c r="JV7" i="10"/>
  <c r="JR36" i="10"/>
  <c r="JR35" i="10"/>
  <c r="JR34" i="10"/>
  <c r="JR33" i="10"/>
  <c r="JR32" i="10"/>
  <c r="JR31" i="10"/>
  <c r="JR30" i="10"/>
  <c r="JR29" i="10"/>
  <c r="JR28" i="10"/>
  <c r="JR27" i="10"/>
  <c r="JR26" i="10"/>
  <c r="JR25" i="10"/>
  <c r="JR24" i="10"/>
  <c r="JR23" i="10"/>
  <c r="JR22" i="10"/>
  <c r="JR21" i="10"/>
  <c r="JR20" i="10"/>
  <c r="JR19" i="10"/>
  <c r="JR18" i="10"/>
  <c r="JR17" i="10"/>
  <c r="JR16" i="10"/>
  <c r="JR15" i="10"/>
  <c r="JR14" i="10"/>
  <c r="JR13" i="10"/>
  <c r="JR12" i="10"/>
  <c r="JR11" i="10"/>
  <c r="JR10" i="10"/>
  <c r="JR9" i="10"/>
  <c r="JR8" i="10"/>
  <c r="JR7" i="10"/>
  <c r="JN36" i="10"/>
  <c r="JN35" i="10"/>
  <c r="JN34" i="10"/>
  <c r="JN33" i="10"/>
  <c r="JN32" i="10"/>
  <c r="JN31" i="10"/>
  <c r="JN30" i="10"/>
  <c r="JN29" i="10"/>
  <c r="JN28" i="10"/>
  <c r="JN27" i="10"/>
  <c r="JN26" i="10"/>
  <c r="JN25" i="10"/>
  <c r="JN24" i="10"/>
  <c r="JN23" i="10"/>
  <c r="JN22" i="10"/>
  <c r="JN21" i="10"/>
  <c r="JN20" i="10"/>
  <c r="JN19" i="10"/>
  <c r="JN18" i="10"/>
  <c r="JN17" i="10"/>
  <c r="JN16" i="10"/>
  <c r="JN15" i="10"/>
  <c r="JN14" i="10"/>
  <c r="JN13" i="10"/>
  <c r="JN12" i="10"/>
  <c r="JN11" i="10"/>
  <c r="JN10" i="10"/>
  <c r="JN9" i="10"/>
  <c r="JN8" i="10"/>
  <c r="JN7" i="10"/>
  <c r="JJ36" i="10"/>
  <c r="JJ35" i="10"/>
  <c r="JJ34" i="10"/>
  <c r="JJ33" i="10"/>
  <c r="JJ32" i="10"/>
  <c r="JJ31" i="10"/>
  <c r="JJ30" i="10"/>
  <c r="JJ29" i="10"/>
  <c r="JJ28" i="10"/>
  <c r="JJ27" i="10"/>
  <c r="JJ26" i="10"/>
  <c r="JJ25" i="10"/>
  <c r="JJ24" i="10"/>
  <c r="JJ23" i="10"/>
  <c r="JJ22" i="10"/>
  <c r="JJ21" i="10"/>
  <c r="JJ20" i="10"/>
  <c r="JJ19" i="10"/>
  <c r="JJ18" i="10"/>
  <c r="JJ17" i="10"/>
  <c r="JJ16" i="10"/>
  <c r="JJ15" i="10"/>
  <c r="JJ14" i="10"/>
  <c r="JJ13" i="10"/>
  <c r="JJ12" i="10"/>
  <c r="JJ11" i="10"/>
  <c r="JJ10" i="10"/>
  <c r="JJ9" i="10"/>
  <c r="JJ8" i="10"/>
  <c r="JJ7" i="10"/>
  <c r="JF36" i="10"/>
  <c r="JF35" i="10"/>
  <c r="JF34" i="10"/>
  <c r="JF33" i="10"/>
  <c r="JF32" i="10"/>
  <c r="JF31" i="10"/>
  <c r="JF30" i="10"/>
  <c r="JF29" i="10"/>
  <c r="JF28" i="10"/>
  <c r="JF27" i="10"/>
  <c r="JF26" i="10"/>
  <c r="JF25" i="10"/>
  <c r="JF24" i="10"/>
  <c r="JF23" i="10"/>
  <c r="JF22" i="10"/>
  <c r="JF21" i="10"/>
  <c r="JF20" i="10"/>
  <c r="JF19" i="10"/>
  <c r="JF18" i="10"/>
  <c r="JF17" i="10"/>
  <c r="JF16" i="10"/>
  <c r="JF15" i="10"/>
  <c r="JF14" i="10"/>
  <c r="JF13" i="10"/>
  <c r="JF12" i="10"/>
  <c r="JF11" i="10"/>
  <c r="JF10" i="10"/>
  <c r="JF9" i="10"/>
  <c r="JF8" i="10"/>
  <c r="JF7" i="10"/>
  <c r="JB36" i="10"/>
  <c r="JB35" i="10"/>
  <c r="JB34" i="10"/>
  <c r="JB33" i="10"/>
  <c r="JB32" i="10"/>
  <c r="JB31" i="10"/>
  <c r="JB30" i="10"/>
  <c r="JB29" i="10"/>
  <c r="JB28" i="10"/>
  <c r="JB27" i="10"/>
  <c r="JB26" i="10"/>
  <c r="JB25" i="10"/>
  <c r="JB24" i="10"/>
  <c r="JB23" i="10"/>
  <c r="JB22" i="10"/>
  <c r="JB21" i="10"/>
  <c r="JB20" i="10"/>
  <c r="JB19" i="10"/>
  <c r="JB18" i="10"/>
  <c r="JB17" i="10"/>
  <c r="JB16" i="10"/>
  <c r="JB15" i="10"/>
  <c r="JB14" i="10"/>
  <c r="JB13" i="10"/>
  <c r="JB12" i="10"/>
  <c r="JB11" i="10"/>
  <c r="JB10" i="10"/>
  <c r="JB9" i="10"/>
  <c r="JB8" i="10"/>
  <c r="JB7" i="10"/>
  <c r="IX36" i="10"/>
  <c r="IX35" i="10"/>
  <c r="IX34" i="10"/>
  <c r="IX33" i="10"/>
  <c r="IX32" i="10"/>
  <c r="IX31" i="10"/>
  <c r="IX30" i="10"/>
  <c r="IX29" i="10"/>
  <c r="IX28" i="10"/>
  <c r="IX27" i="10"/>
  <c r="IX26" i="10"/>
  <c r="IX25" i="10"/>
  <c r="IX24" i="10"/>
  <c r="IX23" i="10"/>
  <c r="IX22" i="10"/>
  <c r="IX21" i="10"/>
  <c r="IX20" i="10"/>
  <c r="IX19" i="10"/>
  <c r="IX18" i="10"/>
  <c r="IX17" i="10"/>
  <c r="IX16" i="10"/>
  <c r="IX15" i="10"/>
  <c r="IX14" i="10"/>
  <c r="IX13" i="10"/>
  <c r="IX12" i="10"/>
  <c r="IX11" i="10"/>
  <c r="IX10" i="10"/>
  <c r="IX9" i="10"/>
  <c r="IX8" i="10"/>
  <c r="IX7" i="10"/>
  <c r="IT36" i="10"/>
  <c r="IT35" i="10"/>
  <c r="IT34" i="10"/>
  <c r="IT33" i="10"/>
  <c r="IT32" i="10"/>
  <c r="IT31" i="10"/>
  <c r="IT30" i="10"/>
  <c r="IT29" i="10"/>
  <c r="IT28" i="10"/>
  <c r="IT27" i="10"/>
  <c r="IT26" i="10"/>
  <c r="IT25" i="10"/>
  <c r="IT24" i="10"/>
  <c r="IT23" i="10"/>
  <c r="IT22" i="10"/>
  <c r="IT21" i="10"/>
  <c r="IT20" i="10"/>
  <c r="IT19" i="10"/>
  <c r="IT18" i="10"/>
  <c r="IT17" i="10"/>
  <c r="IT16" i="10"/>
  <c r="IT15" i="10"/>
  <c r="IT14" i="10"/>
  <c r="IT13" i="10"/>
  <c r="IT12" i="10"/>
  <c r="IT11" i="10"/>
  <c r="IT10" i="10"/>
  <c r="IT9" i="10"/>
  <c r="IT8" i="10"/>
  <c r="IT7" i="10"/>
  <c r="IP36" i="10"/>
  <c r="IP35" i="10"/>
  <c r="IP34" i="10"/>
  <c r="IP33" i="10"/>
  <c r="IP32" i="10"/>
  <c r="IP31" i="10"/>
  <c r="IP30" i="10"/>
  <c r="IP29" i="10"/>
  <c r="IP28" i="10"/>
  <c r="IP27" i="10"/>
  <c r="IP26" i="10"/>
  <c r="IP25" i="10"/>
  <c r="IP24" i="10"/>
  <c r="IP23" i="10"/>
  <c r="IP22" i="10"/>
  <c r="IP21" i="10"/>
  <c r="IP20" i="10"/>
  <c r="IP19" i="10"/>
  <c r="IP18" i="10"/>
  <c r="IP17" i="10"/>
  <c r="IP16" i="10"/>
  <c r="IP15" i="10"/>
  <c r="IP14" i="10"/>
  <c r="IP13" i="10"/>
  <c r="IP12" i="10"/>
  <c r="IP11" i="10"/>
  <c r="IP10" i="10"/>
  <c r="IP9" i="10"/>
  <c r="IP8" i="10"/>
  <c r="IP7" i="10"/>
  <c r="IL36" i="10"/>
  <c r="IL35" i="10"/>
  <c r="IL34" i="10"/>
  <c r="IL33" i="10"/>
  <c r="IL32" i="10"/>
  <c r="IL31" i="10"/>
  <c r="IL30" i="10"/>
  <c r="IL29" i="10"/>
  <c r="IL28" i="10"/>
  <c r="IL27" i="10"/>
  <c r="IL26" i="10"/>
  <c r="IL25" i="10"/>
  <c r="IL24" i="10"/>
  <c r="IL23" i="10"/>
  <c r="IL22" i="10"/>
  <c r="IL21" i="10"/>
  <c r="IL20" i="10"/>
  <c r="IL19" i="10"/>
  <c r="IL18" i="10"/>
  <c r="IL17" i="10"/>
  <c r="IL16" i="10"/>
  <c r="IL15" i="10"/>
  <c r="IL14" i="10"/>
  <c r="IL13" i="10"/>
  <c r="IL12" i="10"/>
  <c r="IL11" i="10"/>
  <c r="IL10" i="10"/>
  <c r="IL9" i="10"/>
  <c r="IL8" i="10"/>
  <c r="IL7" i="10"/>
  <c r="IH36" i="10"/>
  <c r="IH35" i="10"/>
  <c r="IH34" i="10"/>
  <c r="IH33" i="10"/>
  <c r="IH32" i="10"/>
  <c r="IH31" i="10"/>
  <c r="IH30" i="10"/>
  <c r="IH29" i="10"/>
  <c r="IH28" i="10"/>
  <c r="IH27" i="10"/>
  <c r="IH26" i="10"/>
  <c r="IH25" i="10"/>
  <c r="IH24" i="10"/>
  <c r="IH23" i="10"/>
  <c r="IH22" i="10"/>
  <c r="IH21" i="10"/>
  <c r="IH20" i="10"/>
  <c r="IH19" i="10"/>
  <c r="IH18" i="10"/>
  <c r="IH17" i="10"/>
  <c r="IH16" i="10"/>
  <c r="IH15" i="10"/>
  <c r="IH14" i="10"/>
  <c r="IH13" i="10"/>
  <c r="IH12" i="10"/>
  <c r="IH11" i="10"/>
  <c r="IH10" i="10"/>
  <c r="IH9" i="10"/>
  <c r="IH8" i="10"/>
  <c r="IH7" i="10"/>
  <c r="ID36" i="10"/>
  <c r="ID35" i="10"/>
  <c r="ID34" i="10"/>
  <c r="ID33" i="10"/>
  <c r="ID32" i="10"/>
  <c r="ID31" i="10"/>
  <c r="ID30" i="10"/>
  <c r="ID29" i="10"/>
  <c r="ID28" i="10"/>
  <c r="ID27" i="10"/>
  <c r="ID26" i="10"/>
  <c r="ID25" i="10"/>
  <c r="ID24" i="10"/>
  <c r="ID23" i="10"/>
  <c r="ID22" i="10"/>
  <c r="ID21" i="10"/>
  <c r="ID20" i="10"/>
  <c r="ID19" i="10"/>
  <c r="ID18" i="10"/>
  <c r="ID17" i="10"/>
  <c r="ID16" i="10"/>
  <c r="ID15" i="10"/>
  <c r="ID14" i="10"/>
  <c r="ID13" i="10"/>
  <c r="ID12" i="10"/>
  <c r="ID11" i="10"/>
  <c r="ID10" i="10"/>
  <c r="ID9" i="10"/>
  <c r="ID8" i="10"/>
  <c r="ID7" i="10"/>
  <c r="HZ36" i="10"/>
  <c r="HZ35" i="10"/>
  <c r="HZ34" i="10"/>
  <c r="HZ33" i="10"/>
  <c r="HZ32" i="10"/>
  <c r="HZ31" i="10"/>
  <c r="HZ30" i="10"/>
  <c r="HZ29" i="10"/>
  <c r="HZ28" i="10"/>
  <c r="HZ27" i="10"/>
  <c r="HZ26" i="10"/>
  <c r="HZ25" i="10"/>
  <c r="HZ24" i="10"/>
  <c r="HZ23" i="10"/>
  <c r="HZ22" i="10"/>
  <c r="HZ21" i="10"/>
  <c r="HZ20" i="10"/>
  <c r="HZ19" i="10"/>
  <c r="HZ18" i="10"/>
  <c r="HZ17" i="10"/>
  <c r="HZ16" i="10"/>
  <c r="HZ15" i="10"/>
  <c r="HZ14" i="10"/>
  <c r="HZ13" i="10"/>
  <c r="HZ12" i="10"/>
  <c r="HZ11" i="10"/>
  <c r="HZ10" i="10"/>
  <c r="HZ9" i="10"/>
  <c r="HZ8" i="10"/>
  <c r="HZ7" i="10"/>
  <c r="HV36" i="10"/>
  <c r="HV35" i="10"/>
  <c r="HV34" i="10"/>
  <c r="HV33" i="10"/>
  <c r="HV32" i="10"/>
  <c r="HV31" i="10"/>
  <c r="HV30" i="10"/>
  <c r="HV29" i="10"/>
  <c r="HV28" i="10"/>
  <c r="HV27" i="10"/>
  <c r="HV26" i="10"/>
  <c r="HV25" i="10"/>
  <c r="HV24" i="10"/>
  <c r="HV23" i="10"/>
  <c r="HV22" i="10"/>
  <c r="HV21" i="10"/>
  <c r="HV20" i="10"/>
  <c r="HV19" i="10"/>
  <c r="HV18" i="10"/>
  <c r="HV17" i="10"/>
  <c r="HV16" i="10"/>
  <c r="HV15" i="10"/>
  <c r="HV14" i="10"/>
  <c r="HV13" i="10"/>
  <c r="HV12" i="10"/>
  <c r="HV11" i="10"/>
  <c r="HV10" i="10"/>
  <c r="HV9" i="10"/>
  <c r="HV8" i="10"/>
  <c r="HV7" i="10"/>
  <c r="HR36" i="10"/>
  <c r="HR35" i="10"/>
  <c r="HR34" i="10"/>
  <c r="HR33" i="10"/>
  <c r="HR32" i="10"/>
  <c r="HR31" i="10"/>
  <c r="HR30" i="10"/>
  <c r="HR29" i="10"/>
  <c r="HR28" i="10"/>
  <c r="HR27" i="10"/>
  <c r="HR26" i="10"/>
  <c r="HR25" i="10"/>
  <c r="HR24" i="10"/>
  <c r="HR23" i="10"/>
  <c r="HR22" i="10"/>
  <c r="HR21" i="10"/>
  <c r="HR20" i="10"/>
  <c r="HR19" i="10"/>
  <c r="HR18" i="10"/>
  <c r="HR17" i="10"/>
  <c r="HR16" i="10"/>
  <c r="HR15" i="10"/>
  <c r="HR14" i="10"/>
  <c r="HR13" i="10"/>
  <c r="HR12" i="10"/>
  <c r="HR11" i="10"/>
  <c r="HR10" i="10"/>
  <c r="HR9" i="10"/>
  <c r="HR8" i="10"/>
  <c r="HR7" i="10"/>
  <c r="HN36" i="10"/>
  <c r="HN35" i="10"/>
  <c r="HN34" i="10"/>
  <c r="HN33" i="10"/>
  <c r="HN32" i="10"/>
  <c r="HN31" i="10"/>
  <c r="HN30" i="10"/>
  <c r="HN29" i="10"/>
  <c r="HN28" i="10"/>
  <c r="HN27" i="10"/>
  <c r="HN26" i="10"/>
  <c r="HN25" i="10"/>
  <c r="HN24" i="10"/>
  <c r="HN23" i="10"/>
  <c r="HN22" i="10"/>
  <c r="HN21" i="10"/>
  <c r="HN20" i="10"/>
  <c r="HN19" i="10"/>
  <c r="HN18" i="10"/>
  <c r="HN17" i="10"/>
  <c r="HN16" i="10"/>
  <c r="HN15" i="10"/>
  <c r="HN14" i="10"/>
  <c r="HN13" i="10"/>
  <c r="HN12" i="10"/>
  <c r="HN11" i="10"/>
  <c r="HN10" i="10"/>
  <c r="HN9" i="10"/>
  <c r="HN8" i="10"/>
  <c r="HN7" i="10"/>
  <c r="HJ36" i="10"/>
  <c r="HJ35" i="10"/>
  <c r="HJ34" i="10"/>
  <c r="HJ33" i="10"/>
  <c r="HJ32" i="10"/>
  <c r="HJ31" i="10"/>
  <c r="HJ30" i="10"/>
  <c r="HJ29" i="10"/>
  <c r="HJ28" i="10"/>
  <c r="HJ27" i="10"/>
  <c r="HJ26" i="10"/>
  <c r="HJ25" i="10"/>
  <c r="HJ24" i="10"/>
  <c r="HJ23" i="10"/>
  <c r="HJ22" i="10"/>
  <c r="HJ21" i="10"/>
  <c r="HJ20" i="10"/>
  <c r="HJ19" i="10"/>
  <c r="HJ18" i="10"/>
  <c r="HJ17" i="10"/>
  <c r="HJ16" i="10"/>
  <c r="HJ15" i="10"/>
  <c r="HJ14" i="10"/>
  <c r="HJ13" i="10"/>
  <c r="HJ12" i="10"/>
  <c r="HJ11" i="10"/>
  <c r="HJ10" i="10"/>
  <c r="HJ9" i="10"/>
  <c r="HJ8" i="10"/>
  <c r="HJ7" i="10"/>
  <c r="HF36" i="10"/>
  <c r="HF35" i="10"/>
  <c r="HF34" i="10"/>
  <c r="HF33" i="10"/>
  <c r="HF32" i="10"/>
  <c r="HF31" i="10"/>
  <c r="HF30" i="10"/>
  <c r="HF29" i="10"/>
  <c r="HF28" i="10"/>
  <c r="HF27" i="10"/>
  <c r="HF26" i="10"/>
  <c r="HF25" i="10"/>
  <c r="HF24" i="10"/>
  <c r="HF23" i="10"/>
  <c r="HF22" i="10"/>
  <c r="HF21" i="10"/>
  <c r="HF20" i="10"/>
  <c r="HF19" i="10"/>
  <c r="HF18" i="10"/>
  <c r="HF17" i="10"/>
  <c r="HF16" i="10"/>
  <c r="HF15" i="10"/>
  <c r="HF14" i="10"/>
  <c r="HF13" i="10"/>
  <c r="HF12" i="10"/>
  <c r="HF11" i="10"/>
  <c r="HF10" i="10"/>
  <c r="HF9" i="10"/>
  <c r="HF8" i="10"/>
  <c r="HF7" i="10"/>
  <c r="HB36" i="10"/>
  <c r="HB35" i="10"/>
  <c r="HB34" i="10"/>
  <c r="HB33" i="10"/>
  <c r="HB32" i="10"/>
  <c r="HB31" i="10"/>
  <c r="HB30" i="10"/>
  <c r="HB29" i="10"/>
  <c r="HB28" i="10"/>
  <c r="HB27" i="10"/>
  <c r="HB26" i="10"/>
  <c r="HB25" i="10"/>
  <c r="HB24" i="10"/>
  <c r="HB23" i="10"/>
  <c r="HB22" i="10"/>
  <c r="HB21" i="10"/>
  <c r="HB20" i="10"/>
  <c r="HB19" i="10"/>
  <c r="HB18" i="10"/>
  <c r="HB17" i="10"/>
  <c r="HB16" i="10"/>
  <c r="HB15" i="10"/>
  <c r="HB14" i="10"/>
  <c r="HB13" i="10"/>
  <c r="HB12" i="10"/>
  <c r="HB11" i="10"/>
  <c r="HB10" i="10"/>
  <c r="HB9" i="10"/>
  <c r="HB8" i="10"/>
  <c r="HB7" i="10"/>
  <c r="GX36" i="10"/>
  <c r="GX35" i="10"/>
  <c r="GX34" i="10"/>
  <c r="GX33" i="10"/>
  <c r="GX32" i="10"/>
  <c r="GX31" i="10"/>
  <c r="GX30" i="10"/>
  <c r="GX29" i="10"/>
  <c r="GX28" i="10"/>
  <c r="GX27" i="10"/>
  <c r="GX26" i="10"/>
  <c r="GX25" i="10"/>
  <c r="GX24" i="10"/>
  <c r="GX23" i="10"/>
  <c r="GX22" i="10"/>
  <c r="GX21" i="10"/>
  <c r="GX20" i="10"/>
  <c r="GX19" i="10"/>
  <c r="GX18" i="10"/>
  <c r="GX17" i="10"/>
  <c r="GX16" i="10"/>
  <c r="GX15" i="10"/>
  <c r="GX14" i="10"/>
  <c r="GX13" i="10"/>
  <c r="GX12" i="10"/>
  <c r="GX11" i="10"/>
  <c r="GX10" i="10"/>
  <c r="GX9" i="10"/>
  <c r="GX8" i="10"/>
  <c r="GX7" i="10"/>
  <c r="GT36" i="10"/>
  <c r="GT35" i="10"/>
  <c r="GT34" i="10"/>
  <c r="GT33" i="10"/>
  <c r="GT32" i="10"/>
  <c r="GT31" i="10"/>
  <c r="GT30" i="10"/>
  <c r="GT29" i="10"/>
  <c r="GT28" i="10"/>
  <c r="GT27" i="10"/>
  <c r="GT26" i="10"/>
  <c r="GT25" i="10"/>
  <c r="GT24" i="10"/>
  <c r="GT23" i="10"/>
  <c r="GT22" i="10"/>
  <c r="GT21" i="10"/>
  <c r="GT20" i="10"/>
  <c r="GT19" i="10"/>
  <c r="GT18" i="10"/>
  <c r="GT17" i="10"/>
  <c r="GT16" i="10"/>
  <c r="GT15" i="10"/>
  <c r="GT14" i="10"/>
  <c r="GT13" i="10"/>
  <c r="GT12" i="10"/>
  <c r="GT11" i="10"/>
  <c r="GT10" i="10"/>
  <c r="GT9" i="10"/>
  <c r="GT8" i="10"/>
  <c r="GT7" i="10"/>
  <c r="FZ30" i="10"/>
  <c r="FV30" i="10"/>
  <c r="FR30" i="10"/>
  <c r="GP36" i="10"/>
  <c r="GP35" i="10"/>
  <c r="GP34" i="10"/>
  <c r="GP33" i="10"/>
  <c r="GP32" i="10"/>
  <c r="GP31" i="10"/>
  <c r="GP30" i="10"/>
  <c r="GP29" i="10"/>
  <c r="GP28" i="10"/>
  <c r="GP27" i="10"/>
  <c r="GP26" i="10"/>
  <c r="GP25" i="10"/>
  <c r="GP24" i="10"/>
  <c r="GP23" i="10"/>
  <c r="GP22" i="10"/>
  <c r="GP21" i="10"/>
  <c r="GP20" i="10"/>
  <c r="GP19" i="10"/>
  <c r="GP18" i="10"/>
  <c r="GP17" i="10"/>
  <c r="GP16" i="10"/>
  <c r="GP15" i="10"/>
  <c r="GP14" i="10"/>
  <c r="GP13" i="10"/>
  <c r="GP12" i="10"/>
  <c r="GP11" i="10"/>
  <c r="GP10" i="10"/>
  <c r="GP9" i="10"/>
  <c r="GP8" i="10"/>
  <c r="GP7" i="10"/>
  <c r="GL36" i="10"/>
  <c r="GL35" i="10"/>
  <c r="GL34" i="10"/>
  <c r="GL33" i="10"/>
  <c r="GL32" i="10"/>
  <c r="GL31" i="10"/>
  <c r="GL30" i="10"/>
  <c r="GL29" i="10"/>
  <c r="GL28" i="10"/>
  <c r="GL27" i="10"/>
  <c r="GL26" i="10"/>
  <c r="GL25" i="10"/>
  <c r="GL24" i="10"/>
  <c r="GL23" i="10"/>
  <c r="GL22" i="10"/>
  <c r="GL21" i="10"/>
  <c r="GL20" i="10"/>
  <c r="GL19" i="10"/>
  <c r="GL18" i="10"/>
  <c r="GL17" i="10"/>
  <c r="GL16" i="10"/>
  <c r="GL15" i="10"/>
  <c r="GL14" i="10"/>
  <c r="GL13" i="10"/>
  <c r="GL12" i="10"/>
  <c r="GL11" i="10"/>
  <c r="GL10" i="10"/>
  <c r="GL9" i="10"/>
  <c r="GL8" i="10"/>
  <c r="GL7" i="10"/>
  <c r="GH36" i="10"/>
  <c r="GH35" i="10"/>
  <c r="GH34" i="10"/>
  <c r="GH33" i="10"/>
  <c r="GH32" i="10"/>
  <c r="GH31" i="10"/>
  <c r="GH30" i="10"/>
  <c r="GH29" i="10"/>
  <c r="GH28" i="10"/>
  <c r="GH27" i="10"/>
  <c r="GH26" i="10"/>
  <c r="GH25" i="10"/>
  <c r="GH24" i="10"/>
  <c r="GH23" i="10"/>
  <c r="GH22" i="10"/>
  <c r="GH21" i="10"/>
  <c r="GH20" i="10"/>
  <c r="GH19" i="10"/>
  <c r="GH18" i="10"/>
  <c r="GH17" i="10"/>
  <c r="GH16" i="10"/>
  <c r="GH15" i="10"/>
  <c r="GH14" i="10"/>
  <c r="GH13" i="10"/>
  <c r="GH12" i="10"/>
  <c r="GH11" i="10"/>
  <c r="GH10" i="10"/>
  <c r="GH9" i="10"/>
  <c r="GH8" i="10"/>
  <c r="GH7" i="10"/>
  <c r="GD36" i="10"/>
  <c r="GD35" i="10"/>
  <c r="GD34" i="10"/>
  <c r="GD33" i="10"/>
  <c r="GD32" i="10"/>
  <c r="GD31" i="10"/>
  <c r="GD30" i="10"/>
  <c r="GD29" i="10"/>
  <c r="GD28" i="10"/>
  <c r="GD27" i="10"/>
  <c r="GD26" i="10"/>
  <c r="GD25" i="10"/>
  <c r="GD24" i="10"/>
  <c r="GD23" i="10"/>
  <c r="GD22" i="10"/>
  <c r="GD21" i="10"/>
  <c r="GD20" i="10"/>
  <c r="GD19" i="10"/>
  <c r="GD18" i="10"/>
  <c r="GD17" i="10"/>
  <c r="GD16" i="10"/>
  <c r="GD15" i="10"/>
  <c r="GD14" i="10"/>
  <c r="GD13" i="10"/>
  <c r="GD12" i="10"/>
  <c r="GD11" i="10"/>
  <c r="GD10" i="10"/>
  <c r="GD9" i="10"/>
  <c r="GD8" i="10"/>
  <c r="GD7" i="10"/>
  <c r="FZ36" i="10"/>
  <c r="FZ35" i="10"/>
  <c r="FZ34" i="10"/>
  <c r="FZ33" i="10"/>
  <c r="FZ32" i="10"/>
  <c r="FZ31" i="10"/>
  <c r="FZ29" i="10"/>
  <c r="FZ28" i="10"/>
  <c r="FZ27" i="10"/>
  <c r="FZ24" i="10"/>
  <c r="FZ23" i="10"/>
  <c r="FZ21" i="10"/>
  <c r="FZ20" i="10"/>
  <c r="FZ19" i="10"/>
  <c r="FZ17" i="10"/>
  <c r="FZ16" i="10"/>
  <c r="FZ15" i="10"/>
  <c r="FZ13" i="10"/>
  <c r="FZ12" i="10"/>
  <c r="FZ11" i="10"/>
  <c r="FZ10" i="10"/>
  <c r="FZ9" i="10"/>
  <c r="FZ8" i="10"/>
  <c r="FZ7" i="10"/>
  <c r="FV36" i="10"/>
  <c r="FV35" i="10"/>
  <c r="FV34" i="10"/>
  <c r="FV33" i="10"/>
  <c r="FV32" i="10"/>
  <c r="FV31" i="10"/>
  <c r="FV29" i="10"/>
  <c r="FV28" i="10"/>
  <c r="FV27" i="10"/>
  <c r="FV24" i="10"/>
  <c r="FV23" i="10"/>
  <c r="FV21" i="10"/>
  <c r="FV20" i="10"/>
  <c r="FV19" i="10"/>
  <c r="FV17" i="10"/>
  <c r="FV16" i="10"/>
  <c r="FV15" i="10"/>
  <c r="FV13" i="10"/>
  <c r="FV12" i="10"/>
  <c r="FV11" i="10"/>
  <c r="FV10" i="10"/>
  <c r="FV9" i="10"/>
  <c r="FV8" i="10"/>
  <c r="FV7" i="10"/>
  <c r="FR36" i="10"/>
  <c r="FR35" i="10"/>
  <c r="FR34" i="10"/>
  <c r="FR33" i="10"/>
  <c r="FR32" i="10"/>
  <c r="FR31" i="10"/>
  <c r="FR29" i="10"/>
  <c r="FR28" i="10"/>
  <c r="FR27" i="10"/>
  <c r="FR24" i="10"/>
  <c r="FR23" i="10"/>
  <c r="FR21" i="10"/>
  <c r="FR20" i="10"/>
  <c r="FR19" i="10"/>
  <c r="FR17" i="10"/>
  <c r="FR16" i="10"/>
  <c r="FR15" i="10"/>
  <c r="FR13" i="10"/>
  <c r="FR12" i="10"/>
  <c r="FR11" i="10"/>
  <c r="FR10" i="10"/>
  <c r="FR9" i="10"/>
  <c r="FR8" i="10"/>
  <c r="FR7" i="10"/>
  <c r="FN36" i="10"/>
  <c r="FN35" i="10"/>
  <c r="FN34" i="10"/>
  <c r="FN33" i="10"/>
  <c r="FN32" i="10"/>
  <c r="FN31" i="10"/>
  <c r="FN30" i="10"/>
  <c r="FN29" i="10"/>
  <c r="FN28" i="10"/>
  <c r="FN27" i="10"/>
  <c r="FN26" i="10"/>
  <c r="FN25" i="10"/>
  <c r="FN24" i="10"/>
  <c r="FN23" i="10"/>
  <c r="FN22" i="10"/>
  <c r="FN21" i="10"/>
  <c r="FN20" i="10"/>
  <c r="FN19" i="10"/>
  <c r="FN18" i="10"/>
  <c r="FN17" i="10"/>
  <c r="FN16" i="10"/>
  <c r="FN15" i="10"/>
  <c r="FN14" i="10"/>
  <c r="FN13" i="10"/>
  <c r="FN12" i="10"/>
  <c r="FN11" i="10"/>
  <c r="FN10" i="10"/>
  <c r="FN9" i="10"/>
  <c r="FN8" i="10"/>
  <c r="FN7" i="10"/>
  <c r="FJ36" i="10"/>
  <c r="FJ35" i="10"/>
  <c r="FJ32" i="10"/>
  <c r="FJ31" i="10"/>
  <c r="FJ30" i="10"/>
  <c r="FJ28" i="10"/>
  <c r="FJ27" i="10"/>
  <c r="FJ26" i="10"/>
  <c r="FJ25" i="10"/>
  <c r="FJ23" i="10"/>
  <c r="FJ22" i="10"/>
  <c r="FJ19" i="10"/>
  <c r="FJ18" i="10"/>
  <c r="FJ15" i="10"/>
  <c r="FJ14" i="10"/>
  <c r="FJ12" i="10"/>
  <c r="FJ11" i="10"/>
  <c r="FJ10" i="10"/>
  <c r="FJ9" i="10"/>
  <c r="FJ8" i="10"/>
  <c r="FJ7" i="10"/>
  <c r="FF36" i="10"/>
  <c r="FF35" i="10"/>
  <c r="FF32" i="10"/>
  <c r="FF31" i="10"/>
  <c r="FF30" i="10"/>
  <c r="FF28" i="10"/>
  <c r="FF27" i="10"/>
  <c r="FF26" i="10"/>
  <c r="FF25" i="10"/>
  <c r="FF23" i="10"/>
  <c r="FF22" i="10"/>
  <c r="FF19" i="10"/>
  <c r="FF18" i="10"/>
  <c r="FF15" i="10"/>
  <c r="FF14" i="10"/>
  <c r="FF12" i="10"/>
  <c r="FF11" i="10"/>
  <c r="FF10" i="10"/>
  <c r="FF9" i="10"/>
  <c r="FF8" i="10"/>
  <c r="FF7" i="10"/>
  <c r="FB36" i="10"/>
  <c r="FB35" i="10"/>
  <c r="FB32" i="10"/>
  <c r="FB31" i="10"/>
  <c r="FB30" i="10"/>
  <c r="FB28" i="10"/>
  <c r="FB27" i="10"/>
  <c r="FB26" i="10"/>
  <c r="FB25" i="10"/>
  <c r="FB23" i="10"/>
  <c r="FB22" i="10"/>
  <c r="FB19" i="10"/>
  <c r="FB18" i="10"/>
  <c r="FB15" i="10"/>
  <c r="FB14" i="10"/>
  <c r="FB12" i="10"/>
  <c r="FB11" i="10"/>
  <c r="FB10" i="10"/>
  <c r="FB9" i="10"/>
  <c r="FB8" i="10"/>
  <c r="FB7" i="10"/>
  <c r="EX36" i="10"/>
  <c r="EX35" i="10"/>
  <c r="EX32" i="10"/>
  <c r="EX31" i="10"/>
  <c r="EX30" i="10"/>
  <c r="EX28" i="10"/>
  <c r="EX27" i="10"/>
  <c r="EX26" i="10"/>
  <c r="EX25" i="10"/>
  <c r="EX23" i="10"/>
  <c r="EX22" i="10"/>
  <c r="EX19" i="10"/>
  <c r="EX18" i="10"/>
  <c r="EX15" i="10"/>
  <c r="EX14" i="10"/>
  <c r="EX12" i="10"/>
  <c r="EX11" i="10"/>
  <c r="EX10" i="10"/>
  <c r="EX9" i="10"/>
  <c r="EX8" i="10"/>
  <c r="EX7" i="10"/>
  <c r="ET36" i="10"/>
  <c r="ET35" i="10"/>
  <c r="ET32" i="10"/>
  <c r="ET31" i="10"/>
  <c r="ET30" i="10"/>
  <c r="ET28" i="10"/>
  <c r="ET27" i="10"/>
  <c r="ET26" i="10"/>
  <c r="ET25" i="10"/>
  <c r="ET23" i="10"/>
  <c r="ET22" i="10"/>
  <c r="ET19" i="10"/>
  <c r="ET18" i="10"/>
  <c r="ET15" i="10"/>
  <c r="ET14" i="10"/>
  <c r="ET12" i="10"/>
  <c r="ET11" i="10"/>
  <c r="ET10" i="10"/>
  <c r="ET9" i="10"/>
  <c r="ET8" i="10"/>
  <c r="ET7" i="10"/>
  <c r="EP36" i="10"/>
  <c r="EP35" i="10"/>
  <c r="EP32" i="10"/>
  <c r="EP31" i="10"/>
  <c r="EP30" i="10"/>
  <c r="EP28" i="10"/>
  <c r="EP27" i="10"/>
  <c r="EP26" i="10"/>
  <c r="EP25" i="10"/>
  <c r="EP23" i="10"/>
  <c r="EP22" i="10"/>
  <c r="EP19" i="10"/>
  <c r="EP18" i="10"/>
  <c r="EP15" i="10"/>
  <c r="EP14" i="10"/>
  <c r="EP12" i="10"/>
  <c r="EP11" i="10"/>
  <c r="EP10" i="10"/>
  <c r="EP9" i="10"/>
  <c r="EP8" i="10"/>
  <c r="EP7" i="10"/>
  <c r="EL36" i="10"/>
  <c r="EL35" i="10"/>
  <c r="EL32" i="10"/>
  <c r="EL31" i="10"/>
  <c r="EL30" i="10"/>
  <c r="EL28" i="10"/>
  <c r="EL27" i="10"/>
  <c r="EL26" i="10"/>
  <c r="EL25" i="10"/>
  <c r="EL23" i="10"/>
  <c r="EL22" i="10"/>
  <c r="EL19" i="10"/>
  <c r="EL18" i="10"/>
  <c r="EL15" i="10"/>
  <c r="EL14" i="10"/>
  <c r="EL12" i="10"/>
  <c r="EL11" i="10"/>
  <c r="EL10" i="10"/>
  <c r="EL9" i="10"/>
  <c r="EL8" i="10"/>
  <c r="EL7" i="10"/>
  <c r="EH36" i="10"/>
  <c r="EH35" i="10"/>
  <c r="EH34" i="10"/>
  <c r="EH33" i="10"/>
  <c r="EH32" i="10"/>
  <c r="EH31" i="10"/>
  <c r="EH30" i="10"/>
  <c r="EH29" i="10"/>
  <c r="EH28" i="10"/>
  <c r="EH27" i="10"/>
  <c r="EH26" i="10"/>
  <c r="EH25" i="10"/>
  <c r="EH24" i="10"/>
  <c r="EH23" i="10"/>
  <c r="EH22" i="10"/>
  <c r="EH21" i="10"/>
  <c r="EH20" i="10"/>
  <c r="EH19" i="10"/>
  <c r="EH18" i="10"/>
  <c r="EH17" i="10"/>
  <c r="EH16" i="10"/>
  <c r="EH15" i="10"/>
  <c r="EH14" i="10"/>
  <c r="EH13" i="10"/>
  <c r="EH12" i="10"/>
  <c r="EH11" i="10"/>
  <c r="EH10" i="10"/>
  <c r="EH9" i="10"/>
  <c r="EH8" i="10"/>
  <c r="EH7" i="10"/>
  <c r="DB26" i="10"/>
  <c r="ED36" i="10"/>
  <c r="ED35" i="10"/>
  <c r="ED32" i="10"/>
  <c r="ED31" i="10"/>
  <c r="ED30" i="10"/>
  <c r="ED28" i="10"/>
  <c r="ED27" i="10"/>
  <c r="ED26" i="10"/>
  <c r="ED25" i="10"/>
  <c r="ED23" i="10"/>
  <c r="ED22" i="10"/>
  <c r="ED19" i="10"/>
  <c r="ED18" i="10"/>
  <c r="ED15" i="10"/>
  <c r="ED14" i="10"/>
  <c r="ED12" i="10"/>
  <c r="ED11" i="10"/>
  <c r="ED10" i="10"/>
  <c r="ED9" i="10"/>
  <c r="ED8" i="10"/>
  <c r="ED7" i="10"/>
  <c r="DZ36" i="10"/>
  <c r="DZ35" i="10"/>
  <c r="DZ34" i="10"/>
  <c r="DZ33" i="10"/>
  <c r="DZ32" i="10"/>
  <c r="DZ31" i="10"/>
  <c r="DZ30" i="10"/>
  <c r="DZ29" i="10"/>
  <c r="DZ28" i="10"/>
  <c r="DZ27" i="10"/>
  <c r="DZ26" i="10"/>
  <c r="DZ25" i="10"/>
  <c r="DZ24" i="10"/>
  <c r="DZ23" i="10"/>
  <c r="DZ22" i="10"/>
  <c r="DZ21" i="10"/>
  <c r="DZ20" i="10"/>
  <c r="DZ19" i="10"/>
  <c r="DZ18" i="10"/>
  <c r="DZ17" i="10"/>
  <c r="DZ16" i="10"/>
  <c r="DZ15" i="10"/>
  <c r="DZ14" i="10"/>
  <c r="DZ13" i="10"/>
  <c r="DZ12" i="10"/>
  <c r="DZ11" i="10"/>
  <c r="DZ10" i="10"/>
  <c r="DZ9" i="10"/>
  <c r="DZ8" i="10"/>
  <c r="DZ7" i="10"/>
  <c r="DV36" i="10"/>
  <c r="DV35" i="10"/>
  <c r="DV34" i="10"/>
  <c r="DV33" i="10"/>
  <c r="DV32" i="10"/>
  <c r="DV31" i="10"/>
  <c r="DV30" i="10"/>
  <c r="DV29" i="10"/>
  <c r="DV28" i="10"/>
  <c r="DV27" i="10"/>
  <c r="DV26" i="10"/>
  <c r="DV25" i="10"/>
  <c r="DV24" i="10"/>
  <c r="DV23" i="10"/>
  <c r="DV22" i="10"/>
  <c r="DV21" i="10"/>
  <c r="DV20" i="10"/>
  <c r="DV19" i="10"/>
  <c r="DV18" i="10"/>
  <c r="DV17" i="10"/>
  <c r="DV16" i="10"/>
  <c r="DV15" i="10"/>
  <c r="DV14" i="10"/>
  <c r="DV13" i="10"/>
  <c r="DV12" i="10"/>
  <c r="DV11" i="10"/>
  <c r="DV10" i="10"/>
  <c r="DV9" i="10"/>
  <c r="DV8" i="10"/>
  <c r="DV7" i="10"/>
  <c r="DR36" i="10"/>
  <c r="DR35" i="10"/>
  <c r="DR34" i="10"/>
  <c r="DR33" i="10"/>
  <c r="DR32" i="10"/>
  <c r="DR31" i="10"/>
  <c r="DR30" i="10"/>
  <c r="DR29" i="10"/>
  <c r="DR28" i="10"/>
  <c r="DR27" i="10"/>
  <c r="DR26" i="10"/>
  <c r="DR25" i="10"/>
  <c r="DR24" i="10"/>
  <c r="DR23" i="10"/>
  <c r="DR22" i="10"/>
  <c r="DR21" i="10"/>
  <c r="DR20" i="10"/>
  <c r="DR19" i="10"/>
  <c r="DR18" i="10"/>
  <c r="DR17" i="10"/>
  <c r="DR16" i="10"/>
  <c r="DR15" i="10"/>
  <c r="DR14" i="10"/>
  <c r="DR13" i="10"/>
  <c r="DR12" i="10"/>
  <c r="DR11" i="10"/>
  <c r="DR10" i="10"/>
  <c r="DR9" i="10"/>
  <c r="DR8" i="10"/>
  <c r="DR7" i="10"/>
  <c r="DN36" i="10"/>
  <c r="DN35" i="10"/>
  <c r="DN34" i="10"/>
  <c r="DN33" i="10"/>
  <c r="DN32" i="10"/>
  <c r="DN31" i="10"/>
  <c r="DN30" i="10"/>
  <c r="DN29" i="10"/>
  <c r="DN28" i="10"/>
  <c r="DN27" i="10"/>
  <c r="DN26" i="10"/>
  <c r="DN25" i="10"/>
  <c r="DN24" i="10"/>
  <c r="DN23" i="10"/>
  <c r="DN22" i="10"/>
  <c r="DN21" i="10"/>
  <c r="DN20" i="10"/>
  <c r="DN19" i="10"/>
  <c r="DN18" i="10"/>
  <c r="DN17" i="10"/>
  <c r="DN16" i="10"/>
  <c r="DN15" i="10"/>
  <c r="DN14" i="10"/>
  <c r="DN13" i="10"/>
  <c r="DN12" i="10"/>
  <c r="DN11" i="10"/>
  <c r="DN10" i="10"/>
  <c r="DN9" i="10"/>
  <c r="DN8" i="10"/>
  <c r="DN7" i="10"/>
  <c r="DJ36" i="10"/>
  <c r="DJ35" i="10"/>
  <c r="DJ34" i="10"/>
  <c r="DJ33" i="10"/>
  <c r="DJ32" i="10"/>
  <c r="DJ31" i="10"/>
  <c r="DJ30" i="10"/>
  <c r="DJ29" i="10"/>
  <c r="DJ28" i="10"/>
  <c r="DJ27" i="10"/>
  <c r="DJ26" i="10"/>
  <c r="DJ25" i="10"/>
  <c r="DJ24" i="10"/>
  <c r="DJ23" i="10"/>
  <c r="DJ22" i="10"/>
  <c r="DJ21" i="10"/>
  <c r="DJ20" i="10"/>
  <c r="DJ19" i="10"/>
  <c r="DJ18" i="10"/>
  <c r="DJ17" i="10"/>
  <c r="DJ16" i="10"/>
  <c r="DJ15" i="10"/>
  <c r="DJ14" i="10"/>
  <c r="DJ13" i="10"/>
  <c r="DJ12" i="10"/>
  <c r="DJ11" i="10"/>
  <c r="DJ10" i="10"/>
  <c r="DJ9" i="10"/>
  <c r="DJ8" i="10"/>
  <c r="DJ7" i="10"/>
  <c r="DF36" i="10"/>
  <c r="DF35" i="10"/>
  <c r="DF34" i="10"/>
  <c r="DF33" i="10"/>
  <c r="DF32" i="10"/>
  <c r="DF31" i="10"/>
  <c r="DF30" i="10"/>
  <c r="DF29" i="10"/>
  <c r="DF28" i="10"/>
  <c r="DF27" i="10"/>
  <c r="DF26" i="10"/>
  <c r="DF25" i="10"/>
  <c r="DF24" i="10"/>
  <c r="DF23" i="10"/>
  <c r="DF22" i="10"/>
  <c r="DF21" i="10"/>
  <c r="DF20" i="10"/>
  <c r="DF19" i="10"/>
  <c r="DF18" i="10"/>
  <c r="DF17" i="10"/>
  <c r="DF16" i="10"/>
  <c r="DF15" i="10"/>
  <c r="DF14" i="10"/>
  <c r="DF13" i="10"/>
  <c r="DF12" i="10"/>
  <c r="DF11" i="10"/>
  <c r="DF10" i="10"/>
  <c r="DF9" i="10"/>
  <c r="DF8" i="10"/>
  <c r="DF7" i="10"/>
  <c r="DB36" i="10"/>
  <c r="DB35" i="10"/>
  <c r="DB34" i="10"/>
  <c r="DB33" i="10"/>
  <c r="DB32" i="10"/>
  <c r="DB31" i="10"/>
  <c r="DB30" i="10"/>
  <c r="DB29" i="10"/>
  <c r="DB28" i="10"/>
  <c r="DB27" i="10"/>
  <c r="DB24" i="10"/>
  <c r="DB23" i="10"/>
  <c r="DB22" i="10"/>
  <c r="DB21" i="10"/>
  <c r="DB20" i="10"/>
  <c r="DB19" i="10"/>
  <c r="DB17" i="10"/>
  <c r="DB16" i="10"/>
  <c r="DB15" i="10"/>
  <c r="DB14" i="10"/>
  <c r="DB13" i="10"/>
  <c r="DB12" i="10"/>
  <c r="DB11" i="10"/>
  <c r="DB10" i="10"/>
  <c r="DB9" i="10"/>
  <c r="DB8" i="10"/>
  <c r="DB7" i="10"/>
  <c r="CX36" i="10"/>
  <c r="CX35" i="10"/>
  <c r="CX34" i="10"/>
  <c r="CX33" i="10"/>
  <c r="CX32" i="10"/>
  <c r="CX31" i="10"/>
  <c r="CX30" i="10"/>
  <c r="CX29" i="10"/>
  <c r="CX28" i="10"/>
  <c r="CX27" i="10"/>
  <c r="CX26" i="10"/>
  <c r="CX25" i="10"/>
  <c r="CX24" i="10"/>
  <c r="CX23" i="10"/>
  <c r="CX22" i="10"/>
  <c r="CX21" i="10"/>
  <c r="CX20" i="10"/>
  <c r="CX19" i="10"/>
  <c r="CX18" i="10"/>
  <c r="CX17" i="10"/>
  <c r="CX16" i="10"/>
  <c r="CX15" i="10"/>
  <c r="CX14" i="10"/>
  <c r="CX13" i="10"/>
  <c r="CX12" i="10"/>
  <c r="CX11" i="10"/>
  <c r="CX10" i="10"/>
  <c r="CX9" i="10"/>
  <c r="CX8" i="10"/>
  <c r="CX7" i="10"/>
  <c r="CT36" i="10"/>
  <c r="CT35" i="10"/>
  <c r="CT34" i="10"/>
  <c r="CT33" i="10"/>
  <c r="CT32" i="10"/>
  <c r="CT31" i="10"/>
  <c r="CT30" i="10"/>
  <c r="CT29" i="10"/>
  <c r="CT28" i="10"/>
  <c r="CT27" i="10"/>
  <c r="CT26" i="10"/>
  <c r="CT25" i="10"/>
  <c r="CT24" i="10"/>
  <c r="CT23" i="10"/>
  <c r="CT22" i="10"/>
  <c r="CT21" i="10"/>
  <c r="CT20" i="10"/>
  <c r="CT19" i="10"/>
  <c r="CT18" i="10"/>
  <c r="CT17" i="10"/>
  <c r="CT16" i="10"/>
  <c r="CT15" i="10"/>
  <c r="CT14" i="10"/>
  <c r="CT13" i="10"/>
  <c r="CT12" i="10"/>
  <c r="CT11" i="10"/>
  <c r="CT10" i="10"/>
  <c r="CT9" i="10"/>
  <c r="CT8" i="10"/>
  <c r="CT7" i="10"/>
  <c r="CP36" i="10"/>
  <c r="CP35" i="10"/>
  <c r="CP32" i="10"/>
  <c r="CP31" i="10"/>
  <c r="CP30" i="10"/>
  <c r="CP28" i="10"/>
  <c r="CP27" i="10"/>
  <c r="CP26" i="10"/>
  <c r="CP25" i="10"/>
  <c r="CP23" i="10"/>
  <c r="CP22" i="10"/>
  <c r="CP19" i="10"/>
  <c r="CP18" i="10"/>
  <c r="CP15" i="10"/>
  <c r="CP14" i="10"/>
  <c r="CP12" i="10"/>
  <c r="CP11" i="10"/>
  <c r="CP10" i="10"/>
  <c r="CP9" i="10"/>
  <c r="CP8" i="10"/>
  <c r="CP7" i="10"/>
  <c r="CL36" i="10"/>
  <c r="CL35" i="10"/>
  <c r="CL32" i="10"/>
  <c r="CL31" i="10"/>
  <c r="CL30" i="10"/>
  <c r="CL28" i="10"/>
  <c r="CL27" i="10"/>
  <c r="CL26" i="10"/>
  <c r="CL25" i="10"/>
  <c r="CL23" i="10"/>
  <c r="CL22" i="10"/>
  <c r="CL19" i="10"/>
  <c r="CL18" i="10"/>
  <c r="CL15" i="10"/>
  <c r="CL14" i="10"/>
  <c r="CL12" i="10"/>
  <c r="CL11" i="10"/>
  <c r="CL10" i="10"/>
  <c r="CL9" i="10"/>
  <c r="CL8" i="10"/>
  <c r="CL7" i="10"/>
  <c r="CH36" i="10"/>
  <c r="CH35" i="10"/>
  <c r="CH32" i="10"/>
  <c r="CH31" i="10"/>
  <c r="CH30" i="10"/>
  <c r="CH28" i="10"/>
  <c r="CH27" i="10"/>
  <c r="CH26" i="10"/>
  <c r="CH25" i="10"/>
  <c r="CH23" i="10"/>
  <c r="CH22" i="10"/>
  <c r="CH19" i="10"/>
  <c r="CH18" i="10"/>
  <c r="CH15" i="10"/>
  <c r="CH14" i="10"/>
  <c r="CH12" i="10"/>
  <c r="CH11" i="10"/>
  <c r="CH10" i="10"/>
  <c r="CH9" i="10"/>
  <c r="CH8" i="10"/>
  <c r="CH7" i="10"/>
  <c r="CD36" i="10"/>
  <c r="CD35" i="10"/>
  <c r="CD32" i="10"/>
  <c r="CD31" i="10"/>
  <c r="CD30" i="10"/>
  <c r="CD28" i="10"/>
  <c r="CD27" i="10"/>
  <c r="CD26" i="10"/>
  <c r="CD25" i="10"/>
  <c r="CD23" i="10"/>
  <c r="CD22" i="10"/>
  <c r="CD19" i="10"/>
  <c r="CD18" i="10"/>
  <c r="CD15" i="10"/>
  <c r="CD14" i="10"/>
  <c r="CD12" i="10"/>
  <c r="CD11" i="10"/>
  <c r="CD10" i="10"/>
  <c r="CD9" i="10"/>
  <c r="CD8" i="10"/>
  <c r="CD7" i="10"/>
  <c r="BZ36" i="10"/>
  <c r="BZ35" i="10"/>
  <c r="BZ32" i="10"/>
  <c r="BZ31" i="10"/>
  <c r="BZ30" i="10"/>
  <c r="BZ28" i="10"/>
  <c r="BZ27" i="10"/>
  <c r="BZ26" i="10"/>
  <c r="BZ25" i="10"/>
  <c r="BZ23" i="10"/>
  <c r="BZ22" i="10"/>
  <c r="BZ19" i="10"/>
  <c r="BZ18" i="10"/>
  <c r="BZ15" i="10"/>
  <c r="BZ14" i="10"/>
  <c r="BZ12" i="10"/>
  <c r="BZ11" i="10"/>
  <c r="BZ10" i="10"/>
  <c r="BZ9" i="10"/>
  <c r="BZ8" i="10"/>
  <c r="BZ7" i="10"/>
  <c r="BV36" i="10"/>
  <c r="BV35" i="10"/>
  <c r="BV32" i="10"/>
  <c r="BV31" i="10"/>
  <c r="BV30" i="10"/>
  <c r="BV28" i="10"/>
  <c r="BV27" i="10"/>
  <c r="BV26" i="10"/>
  <c r="BV25" i="10"/>
  <c r="BV23" i="10"/>
  <c r="BV22" i="10"/>
  <c r="BV19" i="10"/>
  <c r="BV18" i="10"/>
  <c r="BV15" i="10"/>
  <c r="BV14" i="10"/>
  <c r="BV12" i="10"/>
  <c r="BV11" i="10"/>
  <c r="BV10" i="10"/>
  <c r="BV9" i="10"/>
  <c r="BV8" i="10"/>
  <c r="BV7" i="10"/>
  <c r="BF36" i="10"/>
  <c r="BF35" i="10"/>
  <c r="BF34" i="10"/>
  <c r="BF33" i="10"/>
  <c r="BF32" i="10"/>
  <c r="BF31" i="10"/>
  <c r="BF30" i="10"/>
  <c r="BF29" i="10"/>
  <c r="BF28" i="10"/>
  <c r="BF27" i="10"/>
  <c r="BF26" i="10"/>
  <c r="BF25" i="10"/>
  <c r="BF24" i="10"/>
  <c r="BF23" i="10"/>
  <c r="BF22" i="10"/>
  <c r="BF21" i="10"/>
  <c r="BF20" i="10"/>
  <c r="BF19" i="10"/>
  <c r="BF18" i="10"/>
  <c r="BF17" i="10"/>
  <c r="BF16" i="10"/>
  <c r="BF15" i="10"/>
  <c r="BF14" i="10"/>
  <c r="BF13" i="10"/>
  <c r="BF12" i="10"/>
  <c r="BF11" i="10"/>
  <c r="BF10" i="10"/>
  <c r="BF9" i="10"/>
  <c r="BF8" i="10"/>
  <c r="BF7" i="10"/>
  <c r="BR36" i="10"/>
  <c r="BR35" i="10"/>
  <c r="BR32" i="10"/>
  <c r="BR31" i="10"/>
  <c r="BR30" i="10"/>
  <c r="BR28" i="10"/>
  <c r="BR27" i="10"/>
  <c r="BR26" i="10"/>
  <c r="BR25" i="10"/>
  <c r="BR23" i="10"/>
  <c r="BR22" i="10"/>
  <c r="BR19" i="10"/>
  <c r="BR18" i="10"/>
  <c r="BR15" i="10"/>
  <c r="BR14" i="10"/>
  <c r="BR12" i="10"/>
  <c r="BR11" i="10"/>
  <c r="BR10" i="10"/>
  <c r="BR9" i="10"/>
  <c r="BR8" i="10"/>
  <c r="BR7" i="10"/>
  <c r="BN36" i="10"/>
  <c r="BN35" i="10"/>
  <c r="BN32" i="10"/>
  <c r="BN31" i="10"/>
  <c r="BN30" i="10"/>
  <c r="BN28" i="10"/>
  <c r="BN27" i="10"/>
  <c r="BN26" i="10"/>
  <c r="BN25" i="10"/>
  <c r="BN23" i="10"/>
  <c r="BN22" i="10"/>
  <c r="BN19" i="10"/>
  <c r="BN18" i="10"/>
  <c r="BN15" i="10"/>
  <c r="BN14" i="10"/>
  <c r="BN12" i="10"/>
  <c r="BN11" i="10"/>
  <c r="BN10" i="10"/>
  <c r="BN9" i="10"/>
  <c r="BN8" i="10"/>
  <c r="BN7" i="10"/>
  <c r="BJ36" i="10"/>
  <c r="BJ35" i="10"/>
  <c r="BJ32" i="10"/>
  <c r="BJ31" i="10"/>
  <c r="BJ30" i="10"/>
  <c r="BJ28" i="10"/>
  <c r="BJ27" i="10"/>
  <c r="BJ26" i="10"/>
  <c r="BJ25" i="10"/>
  <c r="BJ23" i="10"/>
  <c r="BJ22" i="10"/>
  <c r="BJ19" i="10"/>
  <c r="BJ18" i="10"/>
  <c r="BJ15" i="10"/>
  <c r="BJ14" i="10"/>
  <c r="BJ12" i="10"/>
  <c r="BJ11" i="10"/>
  <c r="BJ10" i="10"/>
  <c r="BJ9" i="10"/>
  <c r="BJ8" i="10"/>
  <c r="BJ7" i="10"/>
  <c r="BB36" i="10"/>
  <c r="BB35" i="10"/>
  <c r="BB32" i="10"/>
  <c r="BB31" i="10"/>
  <c r="BB30" i="10"/>
  <c r="BB28" i="10"/>
  <c r="BB27" i="10"/>
  <c r="BB26" i="10"/>
  <c r="BB25" i="10"/>
  <c r="BB23" i="10"/>
  <c r="BB22" i="10"/>
  <c r="BB19" i="10"/>
  <c r="BB18" i="10"/>
  <c r="BB15" i="10"/>
  <c r="BB14" i="10"/>
  <c r="BB12" i="10"/>
  <c r="BB11" i="10"/>
  <c r="BB10" i="10"/>
  <c r="BB9" i="10"/>
  <c r="BB8" i="10"/>
  <c r="BB7" i="10"/>
  <c r="AX36" i="10"/>
  <c r="AX35" i="10"/>
  <c r="AX32" i="10"/>
  <c r="AX31" i="10"/>
  <c r="AX30" i="10"/>
  <c r="AX28" i="10"/>
  <c r="AX27" i="10"/>
  <c r="AX26" i="10"/>
  <c r="AX25" i="10"/>
  <c r="AX23" i="10"/>
  <c r="AX22" i="10"/>
  <c r="AX19" i="10"/>
  <c r="AX18" i="10"/>
  <c r="AX15" i="10"/>
  <c r="AX14" i="10"/>
  <c r="AX12" i="10"/>
  <c r="AX11" i="10"/>
  <c r="AX10" i="10"/>
  <c r="AX9" i="10"/>
  <c r="AX8" i="10"/>
  <c r="AX7" i="10"/>
  <c r="AT36" i="10"/>
  <c r="AT35" i="10"/>
  <c r="AT34" i="10"/>
  <c r="AT33" i="10"/>
  <c r="AT32" i="10"/>
  <c r="AT31" i="10"/>
  <c r="AT30" i="10"/>
  <c r="AT29" i="10"/>
  <c r="AT28" i="10"/>
  <c r="AT27" i="10"/>
  <c r="AT26" i="10"/>
  <c r="AT25" i="10"/>
  <c r="AT24" i="10"/>
  <c r="AT23" i="10"/>
  <c r="AT22" i="10"/>
  <c r="AT21" i="10"/>
  <c r="AT20" i="10"/>
  <c r="AT19" i="10"/>
  <c r="AT18" i="10"/>
  <c r="AT17" i="10"/>
  <c r="AT16" i="10"/>
  <c r="AT15" i="10"/>
  <c r="AT14" i="10"/>
  <c r="AT13" i="10"/>
  <c r="AT12" i="10"/>
  <c r="AT11" i="10"/>
  <c r="AT10" i="10"/>
  <c r="AT9" i="10"/>
  <c r="AT8" i="10"/>
  <c r="AT7" i="10"/>
  <c r="AP36" i="10"/>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1" i="10"/>
  <c r="AL10" i="10"/>
  <c r="AL9" i="10"/>
  <c r="AL8" i="10"/>
  <c r="AL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2" i="10"/>
  <c r="AH11" i="10"/>
  <c r="AH10" i="10"/>
  <c r="AH9" i="10"/>
  <c r="AH8" i="10"/>
  <c r="AH7" i="10"/>
  <c r="AD36" i="10"/>
  <c r="AD35" i="10"/>
  <c r="AD34" i="10"/>
  <c r="AD33" i="10"/>
  <c r="AD32" i="10"/>
  <c r="AD31" i="10"/>
  <c r="AD30" i="10"/>
  <c r="AD29" i="10"/>
  <c r="AD28" i="10"/>
  <c r="AD27" i="10"/>
  <c r="AD26" i="10"/>
  <c r="AD25" i="10"/>
  <c r="AD24" i="10"/>
  <c r="AD23" i="10"/>
  <c r="AD22" i="10"/>
  <c r="AD21" i="10"/>
  <c r="AD20" i="10"/>
  <c r="AD19" i="10"/>
  <c r="AD18" i="10"/>
  <c r="AD17" i="10"/>
  <c r="AD16" i="10"/>
  <c r="AD15" i="10"/>
  <c r="AD14" i="10"/>
  <c r="AD13" i="10"/>
  <c r="AD12" i="10"/>
  <c r="AD11" i="10"/>
  <c r="AD10" i="10"/>
  <c r="AD9" i="10"/>
  <c r="AD8" i="10"/>
  <c r="AD7" i="10"/>
  <c r="Z36" i="10"/>
  <c r="Z35" i="10"/>
  <c r="Z34" i="10"/>
  <c r="Z33" i="10"/>
  <c r="Z32" i="10"/>
  <c r="Z31" i="10"/>
  <c r="Z30" i="10"/>
  <c r="Z29" i="10"/>
  <c r="Z28" i="10"/>
  <c r="Z27" i="10"/>
  <c r="Z26" i="10"/>
  <c r="Z25" i="10"/>
  <c r="Z24" i="10"/>
  <c r="Z23" i="10"/>
  <c r="Z22" i="10"/>
  <c r="Z21" i="10"/>
  <c r="Z20" i="10"/>
  <c r="Z19" i="10"/>
  <c r="Z18" i="10"/>
  <c r="Z17" i="10"/>
  <c r="Z16" i="10"/>
  <c r="Z15" i="10"/>
  <c r="Z14" i="10"/>
  <c r="Z13" i="10"/>
  <c r="Z12" i="10"/>
  <c r="Z11" i="10"/>
  <c r="Z10" i="10"/>
  <c r="Z9" i="10"/>
  <c r="Z8" i="10"/>
  <c r="Z7" i="10"/>
  <c r="V30" i="10"/>
  <c r="V26" i="10"/>
  <c r="V25" i="10"/>
  <c r="V22" i="10"/>
  <c r="V18" i="10"/>
  <c r="V14" i="10"/>
  <c r="V34" i="10"/>
  <c r="V33" i="10"/>
  <c r="V29" i="10"/>
  <c r="V24" i="10"/>
  <c r="V21" i="10"/>
  <c r="V20" i="10"/>
  <c r="V17" i="10"/>
  <c r="V16" i="10"/>
  <c r="V13" i="10"/>
  <c r="L7" i="11"/>
  <c r="A79" i="11" s="1"/>
  <c r="L6" i="11"/>
  <c r="L5" i="11"/>
  <c r="M16" i="11"/>
  <c r="M17" i="11" s="1"/>
  <c r="M18" i="11" s="1"/>
  <c r="M19" i="11" s="1"/>
  <c r="M21" i="11" s="1"/>
  <c r="M22" i="11" s="1"/>
  <c r="M23" i="11" s="1"/>
  <c r="M24" i="11" s="1"/>
  <c r="M26" i="11" s="1"/>
  <c r="M27" i="11" s="1"/>
  <c r="M28" i="11" s="1"/>
  <c r="M29" i="11" s="1"/>
  <c r="M31" i="11" s="1"/>
  <c r="M32" i="11" s="1"/>
  <c r="M33" i="11" s="1"/>
  <c r="M34" i="11" s="1"/>
  <c r="M36" i="11" s="1"/>
  <c r="M37" i="11" s="1"/>
  <c r="M38" i="11" s="1"/>
  <c r="M39" i="11" s="1"/>
  <c r="M41" i="11" s="1"/>
  <c r="M42" i="11" s="1"/>
  <c r="M43" i="11" s="1"/>
  <c r="M44" i="11" s="1"/>
  <c r="A11" i="11" l="1"/>
  <c r="A97" i="11"/>
  <c r="F97" i="11" s="1"/>
  <c r="A104" i="11"/>
  <c r="J104" i="11" s="1"/>
  <c r="A95" i="11"/>
  <c r="G95" i="11" s="1"/>
  <c r="A105" i="11"/>
  <c r="A100" i="11"/>
  <c r="F100" i="11" s="1"/>
  <c r="A99" i="11"/>
  <c r="G99" i="11" s="1"/>
  <c r="A101" i="11"/>
  <c r="B101" i="11" s="1"/>
  <c r="A103" i="11"/>
  <c r="G103" i="11" s="1"/>
  <c r="A107" i="11"/>
  <c r="D107" i="11" s="1"/>
  <c r="A98" i="11"/>
  <c r="I98" i="11" s="1"/>
  <c r="A106" i="11"/>
  <c r="H106" i="11" s="1"/>
  <c r="A102" i="11"/>
  <c r="J102" i="11" s="1"/>
  <c r="A96" i="11"/>
  <c r="C96" i="11" s="1"/>
  <c r="FZ25" i="10"/>
  <c r="FZ26" i="10"/>
  <c r="FZ18" i="10"/>
  <c r="FV25" i="10"/>
  <c r="FV26" i="10"/>
  <c r="FV18" i="10"/>
  <c r="FZ14" i="10"/>
  <c r="FZ22" i="10"/>
  <c r="FV14" i="10"/>
  <c r="FV22" i="10"/>
  <c r="FR25" i="10"/>
  <c r="FR18" i="10"/>
  <c r="FR26" i="10"/>
  <c r="FR14" i="10"/>
  <c r="FR22" i="10"/>
  <c r="DB25" i="10"/>
  <c r="DB18" i="10"/>
  <c r="A86" i="11"/>
  <c r="A87" i="11"/>
  <c r="A80" i="11"/>
  <c r="A88" i="11"/>
  <c r="A81" i="11"/>
  <c r="A89" i="11"/>
  <c r="A93" i="11"/>
  <c r="A82" i="11"/>
  <c r="A90" i="11"/>
  <c r="A94" i="11"/>
  <c r="A83" i="11"/>
  <c r="A91" i="11"/>
  <c r="A85" i="11"/>
  <c r="A84" i="11"/>
  <c r="A92" i="11"/>
  <c r="A19" i="11"/>
  <c r="A29" i="11"/>
  <c r="A39" i="11"/>
  <c r="A24" i="11"/>
  <c r="A34" i="11"/>
  <c r="A33" i="11"/>
  <c r="Q6" i="10"/>
  <c r="T6" i="10" s="1"/>
  <c r="S6" i="10"/>
  <c r="R6" i="10"/>
  <c r="QL6" i="10" s="1"/>
  <c r="QO6" i="10" s="1"/>
  <c r="QR6" i="10" s="1"/>
  <c r="QU6" i="10" s="1"/>
  <c r="QX6" i="10" s="1"/>
  <c r="RA6" i="10" s="1"/>
  <c r="RD6" i="10" s="1"/>
  <c r="RG6" i="10" s="1"/>
  <c r="RJ6" i="10" s="1"/>
  <c r="RM6" i="10" s="1"/>
  <c r="H104" i="11" l="1"/>
  <c r="C97" i="11"/>
  <c r="B97" i="11"/>
  <c r="H100" i="11"/>
  <c r="D104" i="11"/>
  <c r="F95" i="11"/>
  <c r="K104" i="11"/>
  <c r="I104" i="11"/>
  <c r="C104" i="11"/>
  <c r="G104" i="11"/>
  <c r="K102" i="11"/>
  <c r="F104" i="11"/>
  <c r="H97" i="11"/>
  <c r="D97" i="11"/>
  <c r="K97" i="11"/>
  <c r="B104" i="11"/>
  <c r="J97" i="11"/>
  <c r="I97" i="11"/>
  <c r="C101" i="11"/>
  <c r="D101" i="11"/>
  <c r="K98" i="11"/>
  <c r="J98" i="11"/>
  <c r="J101" i="11"/>
  <c r="K101" i="11"/>
  <c r="B98" i="11"/>
  <c r="D95" i="11"/>
  <c r="B95" i="11"/>
  <c r="I99" i="11"/>
  <c r="H99" i="11"/>
  <c r="G97" i="11"/>
  <c r="B96" i="11"/>
  <c r="F96" i="11"/>
  <c r="J105" i="11"/>
  <c r="B105" i="11"/>
  <c r="K105" i="11"/>
  <c r="C105" i="11"/>
  <c r="H105" i="11"/>
  <c r="D105" i="11"/>
  <c r="F105" i="11"/>
  <c r="G105" i="11"/>
  <c r="I105" i="11"/>
  <c r="D96" i="11"/>
  <c r="C95" i="11"/>
  <c r="I102" i="11"/>
  <c r="H107" i="11"/>
  <c r="F107" i="11"/>
  <c r="I106" i="11"/>
  <c r="G107" i="11"/>
  <c r="C98" i="11"/>
  <c r="F98" i="11"/>
  <c r="D98" i="11"/>
  <c r="H98" i="11"/>
  <c r="G98" i="11"/>
  <c r="G96" i="11"/>
  <c r="H103" i="11"/>
  <c r="D100" i="11"/>
  <c r="K100" i="11"/>
  <c r="I103" i="11"/>
  <c r="B102" i="11"/>
  <c r="B100" i="11"/>
  <c r="F101" i="11"/>
  <c r="I101" i="11"/>
  <c r="H101" i="11"/>
  <c r="G101" i="11"/>
  <c r="J106" i="11"/>
  <c r="C106" i="11"/>
  <c r="B106" i="11"/>
  <c r="F106" i="11"/>
  <c r="K106" i="11"/>
  <c r="D106" i="11"/>
  <c r="G106" i="11"/>
  <c r="J99" i="11"/>
  <c r="K99" i="11"/>
  <c r="F99" i="11"/>
  <c r="D99" i="11"/>
  <c r="C99" i="11"/>
  <c r="B99" i="11"/>
  <c r="G100" i="11"/>
  <c r="C100" i="11"/>
  <c r="C102" i="11"/>
  <c r="D102" i="11"/>
  <c r="G102" i="11"/>
  <c r="H102" i="11"/>
  <c r="F102" i="11"/>
  <c r="J107" i="11"/>
  <c r="K107" i="11"/>
  <c r="I107" i="11"/>
  <c r="C107" i="11"/>
  <c r="B107" i="11"/>
  <c r="J103" i="11"/>
  <c r="F103" i="11"/>
  <c r="D103" i="11"/>
  <c r="C103" i="11"/>
  <c r="B103" i="11"/>
  <c r="K103" i="11"/>
  <c r="J100" i="11"/>
  <c r="I100" i="11"/>
  <c r="QM6" i="10"/>
  <c r="QP6" i="10" s="1"/>
  <c r="QS6" i="10" s="1"/>
  <c r="QV6" i="10" s="1"/>
  <c r="QY6" i="10" s="1"/>
  <c r="RB6" i="10" s="1"/>
  <c r="RE6" i="10" s="1"/>
  <c r="RH6" i="10" s="1"/>
  <c r="RK6" i="10" s="1"/>
  <c r="QK6" i="10"/>
  <c r="QN6" i="10" s="1"/>
  <c r="QQ6" i="10" s="1"/>
  <c r="QT6" i="10" s="1"/>
  <c r="QW6" i="10" s="1"/>
  <c r="QZ6" i="10" s="1"/>
  <c r="RC6" i="10" s="1"/>
  <c r="RF6" i="10" s="1"/>
  <c r="RI6" i="10" s="1"/>
  <c r="RL6" i="10" s="1"/>
  <c r="K134" i="10"/>
  <c r="K133" i="10"/>
  <c r="K131" i="10"/>
  <c r="K130" i="10"/>
  <c r="K129" i="10"/>
  <c r="G288" i="3" l="1"/>
  <c r="H288" i="3"/>
  <c r="I288" i="3"/>
  <c r="J288" i="3"/>
  <c r="K288" i="3"/>
  <c r="L288" i="3"/>
  <c r="G287" i="3"/>
  <c r="H287" i="3"/>
  <c r="I287" i="3"/>
  <c r="J287" i="3"/>
  <c r="K287" i="3"/>
  <c r="L287" i="3"/>
  <c r="A77" i="11"/>
  <c r="A49" i="11"/>
  <c r="G82" i="3"/>
  <c r="H82" i="3"/>
  <c r="I82" i="3"/>
  <c r="J82" i="3"/>
  <c r="K82" i="3"/>
  <c r="L82" i="3"/>
  <c r="G393" i="3" l="1"/>
  <c r="H393" i="3"/>
  <c r="I393" i="3"/>
  <c r="J393" i="3"/>
  <c r="K393" i="3"/>
  <c r="L393" i="3"/>
  <c r="G273" i="3"/>
  <c r="G10" i="3"/>
  <c r="G11" i="3"/>
  <c r="G69" i="3"/>
  <c r="G303" i="3"/>
  <c r="G12" i="3"/>
  <c r="G13" i="3"/>
  <c r="G14" i="3"/>
  <c r="G15" i="3"/>
  <c r="G274" i="3"/>
  <c r="G17" i="3"/>
  <c r="G18" i="3"/>
  <c r="G16" i="3"/>
  <c r="G199" i="3"/>
  <c r="G200" i="3"/>
  <c r="G275" i="3"/>
  <c r="G321" i="3"/>
  <c r="G277" i="3"/>
  <c r="G278" i="3"/>
  <c r="G279" i="3"/>
  <c r="G280" i="3"/>
  <c r="G285" i="3"/>
  <c r="G36" i="3"/>
  <c r="G37" i="3"/>
  <c r="G38" i="3"/>
  <c r="G40" i="3"/>
  <c r="G289" i="3"/>
  <c r="G41" i="3"/>
  <c r="G42" i="3"/>
  <c r="G43" i="3"/>
  <c r="G44" i="3"/>
  <c r="G83" i="3"/>
  <c r="G290" i="3"/>
  <c r="G291" i="3"/>
  <c r="G45" i="3"/>
  <c r="G46" i="3"/>
  <c r="G47" i="3"/>
  <c r="G296" i="3"/>
  <c r="H273" i="3"/>
  <c r="H10" i="3"/>
  <c r="H11" i="3"/>
  <c r="H69" i="3"/>
  <c r="H303" i="3"/>
  <c r="H12" i="3"/>
  <c r="H13" i="3"/>
  <c r="H14" i="3"/>
  <c r="H15" i="3"/>
  <c r="H274" i="3"/>
  <c r="H17" i="3"/>
  <c r="H18" i="3"/>
  <c r="H16" i="3"/>
  <c r="H199" i="3"/>
  <c r="H200" i="3"/>
  <c r="H275" i="3"/>
  <c r="H321" i="3"/>
  <c r="H277" i="3"/>
  <c r="H278" i="3"/>
  <c r="H279" i="3"/>
  <c r="H280" i="3"/>
  <c r="H285" i="3"/>
  <c r="H36" i="3"/>
  <c r="H37" i="3"/>
  <c r="H38" i="3"/>
  <c r="H40" i="3"/>
  <c r="H289" i="3"/>
  <c r="H41" i="3"/>
  <c r="H42" i="3"/>
  <c r="H43" i="3"/>
  <c r="H44" i="3"/>
  <c r="H83" i="3"/>
  <c r="H290" i="3"/>
  <c r="H291" i="3"/>
  <c r="H45" i="3"/>
  <c r="H46" i="3"/>
  <c r="H47" i="3"/>
  <c r="H296" i="3"/>
  <c r="I273" i="3"/>
  <c r="I10" i="3"/>
  <c r="I11" i="3"/>
  <c r="I69" i="3"/>
  <c r="I303" i="3"/>
  <c r="I12" i="3"/>
  <c r="I13" i="3"/>
  <c r="I14" i="3"/>
  <c r="I15" i="3"/>
  <c r="I274" i="3"/>
  <c r="I17" i="3"/>
  <c r="I18" i="3"/>
  <c r="I16" i="3"/>
  <c r="I199" i="3"/>
  <c r="I200" i="3"/>
  <c r="I275" i="3"/>
  <c r="I321" i="3"/>
  <c r="I277" i="3"/>
  <c r="I278" i="3"/>
  <c r="I279" i="3"/>
  <c r="I280" i="3"/>
  <c r="I285" i="3"/>
  <c r="I36" i="3"/>
  <c r="I37" i="3"/>
  <c r="I38" i="3"/>
  <c r="I40" i="3"/>
  <c r="I289" i="3"/>
  <c r="I41" i="3"/>
  <c r="I42" i="3"/>
  <c r="I43" i="3"/>
  <c r="I44" i="3"/>
  <c r="I83" i="3"/>
  <c r="I290" i="3"/>
  <c r="I291" i="3"/>
  <c r="I45" i="3"/>
  <c r="I46" i="3"/>
  <c r="I47" i="3"/>
  <c r="I296" i="3"/>
  <c r="J273" i="3"/>
  <c r="J10" i="3"/>
  <c r="J11" i="3"/>
  <c r="J69" i="3"/>
  <c r="J303" i="3"/>
  <c r="J12" i="3"/>
  <c r="J13" i="3"/>
  <c r="J14" i="3"/>
  <c r="J15" i="3"/>
  <c r="J274" i="3"/>
  <c r="J17" i="3"/>
  <c r="J18" i="3"/>
  <c r="J16" i="3"/>
  <c r="J199" i="3"/>
  <c r="J200" i="3"/>
  <c r="J275" i="3"/>
  <c r="J321" i="3"/>
  <c r="J277" i="3"/>
  <c r="J278" i="3"/>
  <c r="J279" i="3"/>
  <c r="J280" i="3"/>
  <c r="J285" i="3"/>
  <c r="J36" i="3"/>
  <c r="J37" i="3"/>
  <c r="J38" i="3"/>
  <c r="J40" i="3"/>
  <c r="J289" i="3"/>
  <c r="J41" i="3"/>
  <c r="J42" i="3"/>
  <c r="J43" i="3"/>
  <c r="J44" i="3"/>
  <c r="J83" i="3"/>
  <c r="J290" i="3"/>
  <c r="J291" i="3"/>
  <c r="J45" i="3"/>
  <c r="J46" i="3"/>
  <c r="J47" i="3"/>
  <c r="J296" i="3"/>
  <c r="K273" i="3"/>
  <c r="K10" i="3"/>
  <c r="K11" i="3"/>
  <c r="K69" i="3"/>
  <c r="K303" i="3"/>
  <c r="K12" i="3"/>
  <c r="K13" i="3"/>
  <c r="K14" i="3"/>
  <c r="K15" i="3"/>
  <c r="K274" i="3"/>
  <c r="K17" i="3"/>
  <c r="K18" i="3"/>
  <c r="K16" i="3"/>
  <c r="K199" i="3"/>
  <c r="K200" i="3"/>
  <c r="K275" i="3"/>
  <c r="K321" i="3"/>
  <c r="K277" i="3"/>
  <c r="K278" i="3"/>
  <c r="K279" i="3"/>
  <c r="K280" i="3"/>
  <c r="K285" i="3"/>
  <c r="K36" i="3"/>
  <c r="K37" i="3"/>
  <c r="K38" i="3"/>
  <c r="K40" i="3"/>
  <c r="K289" i="3"/>
  <c r="K41" i="3"/>
  <c r="K42" i="3"/>
  <c r="K43" i="3"/>
  <c r="K44" i="3"/>
  <c r="K83" i="3"/>
  <c r="K290" i="3"/>
  <c r="K291" i="3"/>
  <c r="K45" i="3"/>
  <c r="K46" i="3"/>
  <c r="K47" i="3"/>
  <c r="K296" i="3"/>
  <c r="L273" i="3"/>
  <c r="L10" i="3"/>
  <c r="L11" i="3"/>
  <c r="L69" i="3"/>
  <c r="L303" i="3"/>
  <c r="L12" i="3"/>
  <c r="L13" i="3"/>
  <c r="L14" i="3"/>
  <c r="L15" i="3"/>
  <c r="L274" i="3"/>
  <c r="L17" i="3"/>
  <c r="L18" i="3"/>
  <c r="L16" i="3"/>
  <c r="L199" i="3"/>
  <c r="L200" i="3"/>
  <c r="L275" i="3"/>
  <c r="L321" i="3"/>
  <c r="L277" i="3"/>
  <c r="L278" i="3"/>
  <c r="L279" i="3"/>
  <c r="L280" i="3"/>
  <c r="L285" i="3"/>
  <c r="L36" i="3"/>
  <c r="L37" i="3"/>
  <c r="L38" i="3"/>
  <c r="L40" i="3"/>
  <c r="L289" i="3"/>
  <c r="L41" i="3"/>
  <c r="L42" i="3"/>
  <c r="L43" i="3"/>
  <c r="L44" i="3"/>
  <c r="L83" i="3"/>
  <c r="L290" i="3"/>
  <c r="L291" i="3"/>
  <c r="L45" i="3"/>
  <c r="L46" i="3"/>
  <c r="L47" i="3"/>
  <c r="L296" i="3"/>
  <c r="A928" i="8" l="1"/>
  <c r="B928" i="8"/>
  <c r="D928" i="8"/>
  <c r="E928" i="8"/>
  <c r="A628" i="8" l="1"/>
  <c r="B628" i="8"/>
  <c r="D628" i="8"/>
  <c r="E628" i="8"/>
  <c r="A625" i="8" l="1"/>
  <c r="A626" i="8"/>
  <c r="A627" i="8"/>
  <c r="A629" i="8"/>
  <c r="B625" i="8"/>
  <c r="B626" i="8"/>
  <c r="B627" i="8"/>
  <c r="B629" i="8"/>
  <c r="D625" i="8"/>
  <c r="D626" i="8"/>
  <c r="D627" i="8"/>
  <c r="D629" i="8"/>
  <c r="E625" i="8"/>
  <c r="E626" i="8"/>
  <c r="E627" i="8"/>
  <c r="E629" i="8"/>
  <c r="A630" i="8"/>
  <c r="A631" i="8"/>
  <c r="B630" i="8"/>
  <c r="B631" i="8"/>
  <c r="D630" i="8"/>
  <c r="D631" i="8"/>
  <c r="E630" i="8"/>
  <c r="E631" i="8"/>
  <c r="V36" i="10" l="1"/>
  <c r="V35" i="10"/>
  <c r="A46" i="11" s="1"/>
  <c r="V32" i="10"/>
  <c r="A42" i="11" s="1"/>
  <c r="V31" i="10"/>
  <c r="A41" i="11" s="1"/>
  <c r="V28" i="10"/>
  <c r="A37" i="11" s="1"/>
  <c r="V27" i="10"/>
  <c r="A36" i="11" s="1"/>
  <c r="V23" i="10"/>
  <c r="A31" i="11" s="1"/>
  <c r="V19" i="10"/>
  <c r="A26" i="11" s="1"/>
  <c r="V15" i="10"/>
  <c r="A21" i="11" s="1"/>
  <c r="V12" i="10"/>
  <c r="A17" i="11" s="1"/>
  <c r="V11" i="10"/>
  <c r="A16" i="11" s="1"/>
  <c r="V10" i="10"/>
  <c r="A14" i="11" s="1"/>
  <c r="V9" i="10"/>
  <c r="A13" i="11" s="1"/>
  <c r="V8" i="10"/>
  <c r="A12" i="11" s="1"/>
  <c r="V7" i="10"/>
  <c r="G131" i="3"/>
  <c r="G161" i="3"/>
  <c r="G8" i="3"/>
  <c r="G132" i="3"/>
  <c r="G133" i="3"/>
  <c r="G138" i="3"/>
  <c r="G139" i="3"/>
  <c r="G242" i="3"/>
  <c r="G243" i="3"/>
  <c r="G244" i="3"/>
  <c r="G245" i="3"/>
  <c r="G246" i="3"/>
  <c r="G247" i="3"/>
  <c r="G248" i="3"/>
  <c r="G249" i="3"/>
  <c r="G250" i="3"/>
  <c r="G251" i="3"/>
  <c r="G252" i="3"/>
  <c r="G253" i="3"/>
  <c r="G254" i="3"/>
  <c r="G255" i="3"/>
  <c r="G256" i="3"/>
  <c r="H131" i="3"/>
  <c r="H161" i="3"/>
  <c r="H8" i="3"/>
  <c r="H132" i="3"/>
  <c r="H133" i="3"/>
  <c r="H138" i="3"/>
  <c r="H139" i="3"/>
  <c r="H242" i="3"/>
  <c r="H243" i="3"/>
  <c r="H244" i="3"/>
  <c r="H245" i="3"/>
  <c r="H246" i="3"/>
  <c r="H247" i="3"/>
  <c r="H248" i="3"/>
  <c r="H249" i="3"/>
  <c r="H250" i="3"/>
  <c r="H251" i="3"/>
  <c r="H252" i="3"/>
  <c r="H253" i="3"/>
  <c r="H254" i="3"/>
  <c r="H255" i="3"/>
  <c r="H256" i="3"/>
  <c r="I131" i="3"/>
  <c r="I161" i="3"/>
  <c r="I8" i="3"/>
  <c r="I132" i="3"/>
  <c r="I133" i="3"/>
  <c r="I138" i="3"/>
  <c r="I139" i="3"/>
  <c r="I242" i="3"/>
  <c r="I243" i="3"/>
  <c r="I244" i="3"/>
  <c r="I245" i="3"/>
  <c r="I246" i="3"/>
  <c r="I247" i="3"/>
  <c r="I248" i="3"/>
  <c r="I249" i="3"/>
  <c r="I250" i="3"/>
  <c r="I251" i="3"/>
  <c r="I252" i="3"/>
  <c r="I253" i="3"/>
  <c r="I254" i="3"/>
  <c r="I255" i="3"/>
  <c r="I256" i="3"/>
  <c r="J131" i="3"/>
  <c r="J161" i="3"/>
  <c r="J8" i="3"/>
  <c r="J132" i="3"/>
  <c r="J133" i="3"/>
  <c r="J138" i="3"/>
  <c r="J139" i="3"/>
  <c r="J242" i="3"/>
  <c r="J243" i="3"/>
  <c r="J244" i="3"/>
  <c r="J245" i="3"/>
  <c r="J246" i="3"/>
  <c r="J247" i="3"/>
  <c r="J248" i="3"/>
  <c r="J249" i="3"/>
  <c r="J250" i="3"/>
  <c r="J251" i="3"/>
  <c r="J252" i="3"/>
  <c r="J253" i="3"/>
  <c r="J254" i="3"/>
  <c r="J255" i="3"/>
  <c r="J256" i="3"/>
  <c r="K131" i="3"/>
  <c r="K161" i="3"/>
  <c r="K8" i="3"/>
  <c r="K132" i="3"/>
  <c r="K133" i="3"/>
  <c r="K138" i="3"/>
  <c r="K139" i="3"/>
  <c r="K242" i="3"/>
  <c r="K243" i="3"/>
  <c r="K244" i="3"/>
  <c r="K245" i="3"/>
  <c r="K246" i="3"/>
  <c r="K247" i="3"/>
  <c r="K248" i="3"/>
  <c r="K249" i="3"/>
  <c r="K250" i="3"/>
  <c r="K251" i="3"/>
  <c r="K252" i="3"/>
  <c r="K253" i="3"/>
  <c r="K254" i="3"/>
  <c r="K255" i="3"/>
  <c r="K256" i="3"/>
  <c r="L131" i="3"/>
  <c r="L161" i="3"/>
  <c r="L8" i="3"/>
  <c r="L132" i="3"/>
  <c r="L133" i="3"/>
  <c r="L138" i="3"/>
  <c r="L139" i="3"/>
  <c r="L242" i="3"/>
  <c r="L243" i="3"/>
  <c r="L244" i="3"/>
  <c r="L245" i="3"/>
  <c r="L246" i="3"/>
  <c r="L247" i="3"/>
  <c r="L248" i="3"/>
  <c r="L249" i="3"/>
  <c r="L250" i="3"/>
  <c r="L251" i="3"/>
  <c r="L252" i="3"/>
  <c r="L253" i="3"/>
  <c r="L254" i="3"/>
  <c r="L255" i="3"/>
  <c r="L256" i="3"/>
  <c r="K87" i="10"/>
  <c r="K88" i="10"/>
  <c r="K89" i="10"/>
  <c r="K90" i="10"/>
  <c r="K92" i="10"/>
  <c r="K91" i="10"/>
  <c r="K93" i="10"/>
  <c r="K94" i="10"/>
  <c r="G267" i="3"/>
  <c r="G341" i="3"/>
  <c r="G374" i="3"/>
  <c r="G377" i="3"/>
  <c r="G343" i="3"/>
  <c r="G351" i="3"/>
  <c r="G353" i="3"/>
  <c r="G361" i="3"/>
  <c r="G362" i="3"/>
  <c r="G366" i="3"/>
  <c r="G268" i="3"/>
  <c r="G6" i="3"/>
  <c r="G259" i="3"/>
  <c r="G79" i="3"/>
  <c r="G260" i="3"/>
  <c r="G258" i="3"/>
  <c r="G269" i="3"/>
  <c r="G7" i="3"/>
  <c r="G221" i="3"/>
  <c r="G385" i="3"/>
  <c r="G386" i="3"/>
  <c r="G368" i="3"/>
  <c r="G384" i="3"/>
  <c r="G276" i="3"/>
  <c r="G20" i="3"/>
  <c r="G89" i="3"/>
  <c r="G91" i="3"/>
  <c r="G347" i="3"/>
  <c r="G359" i="3"/>
  <c r="G369" i="3"/>
  <c r="G320" i="3"/>
  <c r="G281" i="3"/>
  <c r="G21" i="3"/>
  <c r="G22" i="3"/>
  <c r="G23" i="3"/>
  <c r="G241" i="3"/>
  <c r="G19" i="3"/>
  <c r="G328" i="3"/>
  <c r="G346" i="3"/>
  <c r="G93" i="3"/>
  <c r="G282" i="3"/>
  <c r="G24" i="3"/>
  <c r="G25" i="3"/>
  <c r="G26" i="3"/>
  <c r="G27" i="3"/>
  <c r="G28" i="3"/>
  <c r="G301" i="3"/>
  <c r="G379" i="3"/>
  <c r="G378" i="3"/>
  <c r="G350" i="3"/>
  <c r="G194" i="3"/>
  <c r="G196" i="3"/>
  <c r="G197" i="3"/>
  <c r="G380" i="3"/>
  <c r="G283" i="3"/>
  <c r="G29" i="3"/>
  <c r="G30" i="3"/>
  <c r="G31" i="3"/>
  <c r="G54" i="3"/>
  <c r="G57" i="3"/>
  <c r="G80" i="3"/>
  <c r="G204" i="3"/>
  <c r="G352" i="3"/>
  <c r="G206" i="3"/>
  <c r="G284" i="3"/>
  <c r="G339" i="3"/>
  <c r="G32" i="3"/>
  <c r="G33" i="3"/>
  <c r="G34" i="3"/>
  <c r="G35" i="3"/>
  <c r="G340" i="3"/>
  <c r="G364" i="3"/>
  <c r="G56" i="3"/>
  <c r="G225" i="3"/>
  <c r="G59" i="3"/>
  <c r="G60" i="3"/>
  <c r="G39" i="3"/>
  <c r="G338" i="3"/>
  <c r="G360" i="3"/>
  <c r="G237" i="3"/>
  <c r="G355" i="3"/>
  <c r="G292" i="3"/>
  <c r="G48" i="3"/>
  <c r="G53" i="3"/>
  <c r="G342" i="3"/>
  <c r="G293" i="3"/>
  <c r="G49" i="3"/>
  <c r="G50" i="3"/>
  <c r="G70" i="3"/>
  <c r="G74" i="3"/>
  <c r="G191" i="3"/>
  <c r="G192" i="3"/>
  <c r="G345" i="3"/>
  <c r="G76" i="3"/>
  <c r="G78" i="3"/>
  <c r="G294" i="3"/>
  <c r="G218" i="3"/>
  <c r="G356" i="3"/>
  <c r="G334" i="3"/>
  <c r="G236" i="3"/>
  <c r="G61" i="3"/>
  <c r="G51" i="3"/>
  <c r="G295" i="3"/>
  <c r="G310" i="3"/>
  <c r="G314" i="3"/>
  <c r="G316" i="3"/>
  <c r="G365" i="3"/>
  <c r="H267" i="3"/>
  <c r="H341" i="3"/>
  <c r="H374" i="3"/>
  <c r="H377" i="3"/>
  <c r="H343" i="3"/>
  <c r="H351" i="3"/>
  <c r="H353" i="3"/>
  <c r="H361" i="3"/>
  <c r="H362" i="3"/>
  <c r="H366" i="3"/>
  <c r="H268" i="3"/>
  <c r="H6" i="3"/>
  <c r="H259" i="3"/>
  <c r="H79" i="3"/>
  <c r="H260" i="3"/>
  <c r="H258" i="3"/>
  <c r="H269" i="3"/>
  <c r="H7" i="3"/>
  <c r="H221" i="3"/>
  <c r="H385" i="3"/>
  <c r="H386" i="3"/>
  <c r="H368" i="3"/>
  <c r="H384" i="3"/>
  <c r="H276" i="3"/>
  <c r="H20" i="3"/>
  <c r="H89" i="3"/>
  <c r="H91" i="3"/>
  <c r="H347" i="3"/>
  <c r="H359" i="3"/>
  <c r="H369" i="3"/>
  <c r="H320" i="3"/>
  <c r="H281" i="3"/>
  <c r="H21" i="3"/>
  <c r="H22" i="3"/>
  <c r="H23" i="3"/>
  <c r="H241" i="3"/>
  <c r="H19" i="3"/>
  <c r="H328" i="3"/>
  <c r="H346" i="3"/>
  <c r="H93" i="3"/>
  <c r="H282" i="3"/>
  <c r="H24" i="3"/>
  <c r="H25" i="3"/>
  <c r="H26" i="3"/>
  <c r="H27" i="3"/>
  <c r="H28" i="3"/>
  <c r="H301" i="3"/>
  <c r="H379" i="3"/>
  <c r="H378" i="3"/>
  <c r="H350" i="3"/>
  <c r="H194" i="3"/>
  <c r="H196" i="3"/>
  <c r="H197" i="3"/>
  <c r="H380" i="3"/>
  <c r="H283" i="3"/>
  <c r="H29" i="3"/>
  <c r="H30" i="3"/>
  <c r="H31" i="3"/>
  <c r="H54" i="3"/>
  <c r="H57" i="3"/>
  <c r="H80" i="3"/>
  <c r="H204" i="3"/>
  <c r="H352" i="3"/>
  <c r="H206" i="3"/>
  <c r="H284" i="3"/>
  <c r="H339" i="3"/>
  <c r="H32" i="3"/>
  <c r="H33" i="3"/>
  <c r="H34" i="3"/>
  <c r="H35" i="3"/>
  <c r="H340" i="3"/>
  <c r="H364" i="3"/>
  <c r="H56" i="3"/>
  <c r="H225" i="3"/>
  <c r="H59" i="3"/>
  <c r="H60" i="3"/>
  <c r="H39" i="3"/>
  <c r="H338" i="3"/>
  <c r="H360" i="3"/>
  <c r="H237" i="3"/>
  <c r="H355" i="3"/>
  <c r="H292" i="3"/>
  <c r="H48" i="3"/>
  <c r="H53" i="3"/>
  <c r="H342" i="3"/>
  <c r="H293" i="3"/>
  <c r="H49" i="3"/>
  <c r="H50" i="3"/>
  <c r="H70" i="3"/>
  <c r="H74" i="3"/>
  <c r="H191" i="3"/>
  <c r="H192" i="3"/>
  <c r="H345" i="3"/>
  <c r="H76" i="3"/>
  <c r="H78" i="3"/>
  <c r="H294" i="3"/>
  <c r="H218" i="3"/>
  <c r="H356" i="3"/>
  <c r="H334" i="3"/>
  <c r="H236" i="3"/>
  <c r="H61" i="3"/>
  <c r="H51" i="3"/>
  <c r="H295" i="3"/>
  <c r="H310" i="3"/>
  <c r="H314" i="3"/>
  <c r="H316" i="3"/>
  <c r="H365" i="3"/>
  <c r="I267" i="3"/>
  <c r="I341" i="3"/>
  <c r="I374" i="3"/>
  <c r="I377" i="3"/>
  <c r="I343" i="3"/>
  <c r="I351" i="3"/>
  <c r="I353" i="3"/>
  <c r="I361" i="3"/>
  <c r="I362" i="3"/>
  <c r="I366" i="3"/>
  <c r="I268" i="3"/>
  <c r="I6" i="3"/>
  <c r="I259" i="3"/>
  <c r="I79" i="3"/>
  <c r="I260" i="3"/>
  <c r="I258" i="3"/>
  <c r="I269" i="3"/>
  <c r="I7" i="3"/>
  <c r="I221" i="3"/>
  <c r="I385" i="3"/>
  <c r="I386" i="3"/>
  <c r="I368" i="3"/>
  <c r="I384" i="3"/>
  <c r="I276" i="3"/>
  <c r="I20" i="3"/>
  <c r="I89" i="3"/>
  <c r="I91" i="3"/>
  <c r="I347" i="3"/>
  <c r="I359" i="3"/>
  <c r="I369" i="3"/>
  <c r="I320" i="3"/>
  <c r="I281" i="3"/>
  <c r="I21" i="3"/>
  <c r="I22" i="3"/>
  <c r="I23" i="3"/>
  <c r="I241" i="3"/>
  <c r="I19" i="3"/>
  <c r="I328" i="3"/>
  <c r="I346" i="3"/>
  <c r="I93" i="3"/>
  <c r="I282" i="3"/>
  <c r="I24" i="3"/>
  <c r="I25" i="3"/>
  <c r="I26" i="3"/>
  <c r="I27" i="3"/>
  <c r="I28" i="3"/>
  <c r="I301" i="3"/>
  <c r="I379" i="3"/>
  <c r="I378" i="3"/>
  <c r="I350" i="3"/>
  <c r="I194" i="3"/>
  <c r="I196" i="3"/>
  <c r="I197" i="3"/>
  <c r="I380" i="3"/>
  <c r="I283" i="3"/>
  <c r="I29" i="3"/>
  <c r="I30" i="3"/>
  <c r="I31" i="3"/>
  <c r="I54" i="3"/>
  <c r="I57" i="3"/>
  <c r="I80" i="3"/>
  <c r="I204" i="3"/>
  <c r="I352" i="3"/>
  <c r="I206" i="3"/>
  <c r="I284" i="3"/>
  <c r="I339" i="3"/>
  <c r="I32" i="3"/>
  <c r="I33" i="3"/>
  <c r="I34" i="3"/>
  <c r="I35" i="3"/>
  <c r="I340" i="3"/>
  <c r="I364" i="3"/>
  <c r="I56" i="3"/>
  <c r="I225" i="3"/>
  <c r="I59" i="3"/>
  <c r="I60" i="3"/>
  <c r="I39" i="3"/>
  <c r="I338" i="3"/>
  <c r="I360" i="3"/>
  <c r="I237" i="3"/>
  <c r="I355" i="3"/>
  <c r="I292" i="3"/>
  <c r="I48" i="3"/>
  <c r="I53" i="3"/>
  <c r="I342" i="3"/>
  <c r="I293" i="3"/>
  <c r="I49" i="3"/>
  <c r="I50" i="3"/>
  <c r="I70" i="3"/>
  <c r="I74" i="3"/>
  <c r="I191" i="3"/>
  <c r="I192" i="3"/>
  <c r="I345" i="3"/>
  <c r="I76" i="3"/>
  <c r="I78" i="3"/>
  <c r="I294" i="3"/>
  <c r="I218" i="3"/>
  <c r="I356" i="3"/>
  <c r="I334" i="3"/>
  <c r="I236" i="3"/>
  <c r="I61" i="3"/>
  <c r="I51" i="3"/>
  <c r="I295" i="3"/>
  <c r="I310" i="3"/>
  <c r="I314" i="3"/>
  <c r="I316" i="3"/>
  <c r="I365" i="3"/>
  <c r="J267" i="3"/>
  <c r="J341" i="3"/>
  <c r="J374" i="3"/>
  <c r="J377" i="3"/>
  <c r="J343" i="3"/>
  <c r="J351" i="3"/>
  <c r="J353" i="3"/>
  <c r="J361" i="3"/>
  <c r="J362" i="3"/>
  <c r="J366" i="3"/>
  <c r="J268" i="3"/>
  <c r="J6" i="3"/>
  <c r="J259" i="3"/>
  <c r="J79" i="3"/>
  <c r="J260" i="3"/>
  <c r="J258" i="3"/>
  <c r="J269" i="3"/>
  <c r="J7" i="3"/>
  <c r="J221" i="3"/>
  <c r="J385" i="3"/>
  <c r="J386" i="3"/>
  <c r="J368" i="3"/>
  <c r="J384" i="3"/>
  <c r="J276" i="3"/>
  <c r="J20" i="3"/>
  <c r="J89" i="3"/>
  <c r="J91" i="3"/>
  <c r="J347" i="3"/>
  <c r="J359" i="3"/>
  <c r="J369" i="3"/>
  <c r="J320" i="3"/>
  <c r="J281" i="3"/>
  <c r="J21" i="3"/>
  <c r="J22" i="3"/>
  <c r="J23" i="3"/>
  <c r="J241" i="3"/>
  <c r="J19" i="3"/>
  <c r="J328" i="3"/>
  <c r="J346" i="3"/>
  <c r="J93" i="3"/>
  <c r="J282" i="3"/>
  <c r="J24" i="3"/>
  <c r="J25" i="3"/>
  <c r="J26" i="3"/>
  <c r="J27" i="3"/>
  <c r="J28" i="3"/>
  <c r="J301" i="3"/>
  <c r="J379" i="3"/>
  <c r="J378" i="3"/>
  <c r="J350" i="3"/>
  <c r="J194" i="3"/>
  <c r="J196" i="3"/>
  <c r="J197" i="3"/>
  <c r="J380" i="3"/>
  <c r="J283" i="3"/>
  <c r="J29" i="3"/>
  <c r="J30" i="3"/>
  <c r="J31" i="3"/>
  <c r="J54" i="3"/>
  <c r="J57" i="3"/>
  <c r="J80" i="3"/>
  <c r="J204" i="3"/>
  <c r="J352" i="3"/>
  <c r="J206" i="3"/>
  <c r="J284" i="3"/>
  <c r="J339" i="3"/>
  <c r="J32" i="3"/>
  <c r="J33" i="3"/>
  <c r="J34" i="3"/>
  <c r="J35" i="3"/>
  <c r="J340" i="3"/>
  <c r="J364" i="3"/>
  <c r="J56" i="3"/>
  <c r="J225" i="3"/>
  <c r="J59" i="3"/>
  <c r="J60" i="3"/>
  <c r="J39" i="3"/>
  <c r="J338" i="3"/>
  <c r="J360" i="3"/>
  <c r="J237" i="3"/>
  <c r="J355" i="3"/>
  <c r="J292" i="3"/>
  <c r="J48" i="3"/>
  <c r="J53" i="3"/>
  <c r="J342" i="3"/>
  <c r="J293" i="3"/>
  <c r="J49" i="3"/>
  <c r="J50" i="3"/>
  <c r="J70" i="3"/>
  <c r="J74" i="3"/>
  <c r="J191" i="3"/>
  <c r="J192" i="3"/>
  <c r="J345" i="3"/>
  <c r="J76" i="3"/>
  <c r="J78" i="3"/>
  <c r="J294" i="3"/>
  <c r="J218" i="3"/>
  <c r="J356" i="3"/>
  <c r="J334" i="3"/>
  <c r="J236" i="3"/>
  <c r="J61" i="3"/>
  <c r="J51" i="3"/>
  <c r="J295" i="3"/>
  <c r="J310" i="3"/>
  <c r="J314" i="3"/>
  <c r="J316" i="3"/>
  <c r="J365" i="3"/>
  <c r="K267" i="3"/>
  <c r="K341" i="3"/>
  <c r="K374" i="3"/>
  <c r="K377" i="3"/>
  <c r="K343" i="3"/>
  <c r="K351" i="3"/>
  <c r="K353" i="3"/>
  <c r="K361" i="3"/>
  <c r="K362" i="3"/>
  <c r="K366" i="3"/>
  <c r="K268" i="3"/>
  <c r="K6" i="3"/>
  <c r="K259" i="3"/>
  <c r="K79" i="3"/>
  <c r="K260" i="3"/>
  <c r="K258" i="3"/>
  <c r="K269" i="3"/>
  <c r="K7" i="3"/>
  <c r="K221" i="3"/>
  <c r="K385" i="3"/>
  <c r="K386" i="3"/>
  <c r="K368" i="3"/>
  <c r="K384" i="3"/>
  <c r="K276" i="3"/>
  <c r="K20" i="3"/>
  <c r="K89" i="3"/>
  <c r="K91" i="3"/>
  <c r="K347" i="3"/>
  <c r="K359" i="3"/>
  <c r="K369" i="3"/>
  <c r="K320" i="3"/>
  <c r="K281" i="3"/>
  <c r="K21" i="3"/>
  <c r="K22" i="3"/>
  <c r="K23" i="3"/>
  <c r="K241" i="3"/>
  <c r="K19" i="3"/>
  <c r="K328" i="3"/>
  <c r="K346" i="3"/>
  <c r="K93" i="3"/>
  <c r="K282" i="3"/>
  <c r="K24" i="3"/>
  <c r="K25" i="3"/>
  <c r="K26" i="3"/>
  <c r="K27" i="3"/>
  <c r="K28" i="3"/>
  <c r="K301" i="3"/>
  <c r="K379" i="3"/>
  <c r="K378" i="3"/>
  <c r="K350" i="3"/>
  <c r="K194" i="3"/>
  <c r="K196" i="3"/>
  <c r="K197" i="3"/>
  <c r="K380" i="3"/>
  <c r="K283" i="3"/>
  <c r="K29" i="3"/>
  <c r="K30" i="3"/>
  <c r="K31" i="3"/>
  <c r="K54" i="3"/>
  <c r="K57" i="3"/>
  <c r="K80" i="3"/>
  <c r="K204" i="3"/>
  <c r="K352" i="3"/>
  <c r="K206" i="3"/>
  <c r="K284" i="3"/>
  <c r="K339" i="3"/>
  <c r="K32" i="3"/>
  <c r="K33" i="3"/>
  <c r="K34" i="3"/>
  <c r="K35" i="3"/>
  <c r="K340" i="3"/>
  <c r="K364" i="3"/>
  <c r="K56" i="3"/>
  <c r="K225" i="3"/>
  <c r="K59" i="3"/>
  <c r="K60" i="3"/>
  <c r="K39" i="3"/>
  <c r="K338" i="3"/>
  <c r="K360" i="3"/>
  <c r="K237" i="3"/>
  <c r="K355" i="3"/>
  <c r="K292" i="3"/>
  <c r="K48" i="3"/>
  <c r="K53" i="3"/>
  <c r="K342" i="3"/>
  <c r="K293" i="3"/>
  <c r="K49" i="3"/>
  <c r="K50" i="3"/>
  <c r="K70" i="3"/>
  <c r="K74" i="3"/>
  <c r="K191" i="3"/>
  <c r="K192" i="3"/>
  <c r="K345" i="3"/>
  <c r="K76" i="3"/>
  <c r="K78" i="3"/>
  <c r="K294" i="3"/>
  <c r="K218" i="3"/>
  <c r="K356" i="3"/>
  <c r="K334" i="3"/>
  <c r="K236" i="3"/>
  <c r="K61" i="3"/>
  <c r="K51" i="3"/>
  <c r="K295" i="3"/>
  <c r="K310" i="3"/>
  <c r="K314" i="3"/>
  <c r="K316" i="3"/>
  <c r="K365" i="3"/>
  <c r="L267" i="3"/>
  <c r="L341" i="3"/>
  <c r="L374" i="3"/>
  <c r="L377" i="3"/>
  <c r="L343" i="3"/>
  <c r="L351" i="3"/>
  <c r="L353" i="3"/>
  <c r="L361" i="3"/>
  <c r="L362" i="3"/>
  <c r="L366" i="3"/>
  <c r="L268" i="3"/>
  <c r="L6" i="3"/>
  <c r="L259" i="3"/>
  <c r="L79" i="3"/>
  <c r="L260" i="3"/>
  <c r="L258" i="3"/>
  <c r="L269" i="3"/>
  <c r="L7" i="3"/>
  <c r="L221" i="3"/>
  <c r="L385" i="3"/>
  <c r="L386" i="3"/>
  <c r="L368" i="3"/>
  <c r="L384" i="3"/>
  <c r="L276" i="3"/>
  <c r="L20" i="3"/>
  <c r="L89" i="3"/>
  <c r="L91" i="3"/>
  <c r="L347" i="3"/>
  <c r="L359" i="3"/>
  <c r="L369" i="3"/>
  <c r="L320" i="3"/>
  <c r="L281" i="3"/>
  <c r="L21" i="3"/>
  <c r="L22" i="3"/>
  <c r="L23" i="3"/>
  <c r="L241" i="3"/>
  <c r="L19" i="3"/>
  <c r="L328" i="3"/>
  <c r="L346" i="3"/>
  <c r="L93" i="3"/>
  <c r="L282" i="3"/>
  <c r="L24" i="3"/>
  <c r="L25" i="3"/>
  <c r="L26" i="3"/>
  <c r="L27" i="3"/>
  <c r="L28" i="3"/>
  <c r="L301" i="3"/>
  <c r="L379" i="3"/>
  <c r="L378" i="3"/>
  <c r="L350" i="3"/>
  <c r="L194" i="3"/>
  <c r="L196" i="3"/>
  <c r="L197" i="3"/>
  <c r="L380" i="3"/>
  <c r="L283" i="3"/>
  <c r="L29" i="3"/>
  <c r="L30" i="3"/>
  <c r="L31" i="3"/>
  <c r="L54" i="3"/>
  <c r="L57" i="3"/>
  <c r="L80" i="3"/>
  <c r="L204" i="3"/>
  <c r="L352" i="3"/>
  <c r="L206" i="3"/>
  <c r="L284" i="3"/>
  <c r="L339" i="3"/>
  <c r="L32" i="3"/>
  <c r="L33" i="3"/>
  <c r="L34" i="3"/>
  <c r="L35" i="3"/>
  <c r="L340" i="3"/>
  <c r="L364" i="3"/>
  <c r="L56" i="3"/>
  <c r="L225" i="3"/>
  <c r="L59" i="3"/>
  <c r="L60" i="3"/>
  <c r="L39" i="3"/>
  <c r="L338" i="3"/>
  <c r="L360" i="3"/>
  <c r="L237" i="3"/>
  <c r="L355" i="3"/>
  <c r="L292" i="3"/>
  <c r="L48" i="3"/>
  <c r="L53" i="3"/>
  <c r="L342" i="3"/>
  <c r="L293" i="3"/>
  <c r="L49" i="3"/>
  <c r="L50" i="3"/>
  <c r="L70" i="3"/>
  <c r="L74" i="3"/>
  <c r="L191" i="3"/>
  <c r="L192" i="3"/>
  <c r="L345" i="3"/>
  <c r="L76" i="3"/>
  <c r="L78" i="3"/>
  <c r="L294" i="3"/>
  <c r="L218" i="3"/>
  <c r="L356" i="3"/>
  <c r="L334" i="3"/>
  <c r="L236" i="3"/>
  <c r="L61" i="3"/>
  <c r="L51" i="3"/>
  <c r="L295" i="3"/>
  <c r="L310" i="3"/>
  <c r="L314" i="3"/>
  <c r="L316" i="3"/>
  <c r="L365" i="3"/>
  <c r="K122" i="10"/>
  <c r="K115" i="10"/>
  <c r="K121" i="10"/>
  <c r="K119" i="10"/>
  <c r="K120" i="10"/>
  <c r="K118" i="10"/>
  <c r="K117" i="10"/>
  <c r="A577" i="8"/>
  <c r="A578" i="8"/>
  <c r="A579" i="8"/>
  <c r="A580" i="8"/>
  <c r="B577" i="8"/>
  <c r="B578" i="8"/>
  <c r="B579" i="8"/>
  <c r="B580" i="8"/>
  <c r="D577" i="8"/>
  <c r="D578" i="8"/>
  <c r="D579" i="8"/>
  <c r="D580" i="8"/>
  <c r="E577" i="8"/>
  <c r="E578" i="8"/>
  <c r="E579" i="8"/>
  <c r="E580" i="8"/>
  <c r="ET20" i="10" l="1"/>
  <c r="EP29" i="10"/>
  <c r="EP21" i="10"/>
  <c r="EP13" i="10"/>
  <c r="FJ34" i="10"/>
  <c r="FF34" i="10"/>
  <c r="FB34" i="10"/>
  <c r="EX34" i="10"/>
  <c r="EP20" i="10"/>
  <c r="EL29" i="10"/>
  <c r="EL21" i="10"/>
  <c r="EL13" i="10"/>
  <c r="EL24" i="10"/>
  <c r="FJ33" i="10"/>
  <c r="FJ17" i="10"/>
  <c r="FF33" i="10"/>
  <c r="FF17" i="10"/>
  <c r="FB33" i="10"/>
  <c r="FB17" i="10"/>
  <c r="EX33" i="10"/>
  <c r="EX17" i="10"/>
  <c r="ET34" i="10"/>
  <c r="EL20" i="10"/>
  <c r="FB29" i="10"/>
  <c r="FJ24" i="10"/>
  <c r="FJ16" i="10"/>
  <c r="FF24" i="10"/>
  <c r="FF16" i="10"/>
  <c r="FB24" i="10"/>
  <c r="FB16" i="10"/>
  <c r="EX24" i="10"/>
  <c r="EX16" i="10"/>
  <c r="ET33" i="10"/>
  <c r="ET17" i="10"/>
  <c r="EP34" i="10"/>
  <c r="FJ13" i="10"/>
  <c r="FF29" i="10"/>
  <c r="FF13" i="10"/>
  <c r="FB13" i="10"/>
  <c r="EX21" i="10"/>
  <c r="ET24" i="10"/>
  <c r="ET16" i="10"/>
  <c r="EP33" i="10"/>
  <c r="EP17" i="10"/>
  <c r="EL34" i="10"/>
  <c r="FJ29" i="10"/>
  <c r="EP24" i="10"/>
  <c r="EP16" i="10"/>
  <c r="EL33" i="10"/>
  <c r="EL17" i="10"/>
  <c r="FJ21" i="10"/>
  <c r="FF21" i="10"/>
  <c r="FB21" i="10"/>
  <c r="EX29" i="10"/>
  <c r="EX13" i="10"/>
  <c r="EL16" i="10"/>
  <c r="FJ20" i="10"/>
  <c r="FF20" i="10"/>
  <c r="FB20" i="10"/>
  <c r="EX20" i="10"/>
  <c r="ET29" i="10"/>
  <c r="ET21" i="10"/>
  <c r="ET13" i="10"/>
  <c r="ED24" i="10"/>
  <c r="ED16" i="10"/>
  <c r="ED29" i="10"/>
  <c r="ED21" i="10"/>
  <c r="ED13" i="10"/>
  <c r="ED20" i="10"/>
  <c r="ED33" i="10"/>
  <c r="ED17" i="10"/>
  <c r="ED34" i="10"/>
  <c r="CP20" i="10"/>
  <c r="CL20" i="10"/>
  <c r="CH20" i="10"/>
  <c r="CD29" i="10"/>
  <c r="CD21" i="10"/>
  <c r="CD13" i="10"/>
  <c r="BZ29" i="10"/>
  <c r="BZ21" i="10"/>
  <c r="BZ13" i="10"/>
  <c r="BV29" i="10"/>
  <c r="BV21" i="10"/>
  <c r="BV13" i="10"/>
  <c r="CD20" i="10"/>
  <c r="BZ20" i="10"/>
  <c r="BV20" i="10"/>
  <c r="CP34" i="10"/>
  <c r="CL34" i="10"/>
  <c r="CH34" i="10"/>
  <c r="CP33" i="10"/>
  <c r="CP17" i="10"/>
  <c r="CL33" i="10"/>
  <c r="CL17" i="10"/>
  <c r="CH33" i="10"/>
  <c r="CH17" i="10"/>
  <c r="CD34" i="10"/>
  <c r="BZ34" i="10"/>
  <c r="BV34" i="10"/>
  <c r="CP24" i="10"/>
  <c r="CP16" i="10"/>
  <c r="CL24" i="10"/>
  <c r="CL16" i="10"/>
  <c r="CH24" i="10"/>
  <c r="CH16" i="10"/>
  <c r="CD33" i="10"/>
  <c r="CD17" i="10"/>
  <c r="BZ33" i="10"/>
  <c r="BZ17" i="10"/>
  <c r="BV33" i="10"/>
  <c r="BV17" i="10"/>
  <c r="CD24" i="10"/>
  <c r="CD16" i="10"/>
  <c r="BZ24" i="10"/>
  <c r="BZ16" i="10"/>
  <c r="BV24" i="10"/>
  <c r="BV16" i="10"/>
  <c r="CP29" i="10"/>
  <c r="CP21" i="10"/>
  <c r="CP13" i="10"/>
  <c r="CL29" i="10"/>
  <c r="CL21" i="10"/>
  <c r="CL13" i="10"/>
  <c r="CH29" i="10"/>
  <c r="CH21" i="10"/>
  <c r="CH13" i="10"/>
  <c r="BR20" i="10"/>
  <c r="BR34" i="10"/>
  <c r="BR33" i="10"/>
  <c r="BR17" i="10"/>
  <c r="BR24" i="10"/>
  <c r="BR16" i="10"/>
  <c r="BR29" i="10"/>
  <c r="BR21" i="10"/>
  <c r="BR13" i="10"/>
  <c r="BN20" i="10"/>
  <c r="BN34" i="10"/>
  <c r="BN33" i="10"/>
  <c r="BN17" i="10"/>
  <c r="BN24" i="10"/>
  <c r="BN16" i="10"/>
  <c r="BN13" i="10"/>
  <c r="BN29" i="10"/>
  <c r="BN21" i="10"/>
  <c r="BJ20" i="10"/>
  <c r="BJ34" i="10"/>
  <c r="BJ33" i="10"/>
  <c r="BJ17" i="10"/>
  <c r="BJ24" i="10"/>
  <c r="BJ16" i="10"/>
  <c r="BJ29" i="10"/>
  <c r="BJ21" i="10"/>
  <c r="BJ13" i="10"/>
  <c r="BB20" i="10"/>
  <c r="BB34" i="10"/>
  <c r="BB33" i="10"/>
  <c r="BB17" i="10"/>
  <c r="BB24" i="10"/>
  <c r="BB16" i="10"/>
  <c r="BB29" i="10"/>
  <c r="BB21" i="10"/>
  <c r="BB13" i="10"/>
  <c r="AX20" i="10"/>
  <c r="AX13" i="10"/>
  <c r="AX21" i="10"/>
  <c r="AX34" i="10"/>
  <c r="AX33" i="10"/>
  <c r="AX17" i="10"/>
  <c r="AX29" i="10"/>
  <c r="AX24" i="10"/>
  <c r="AX16" i="10"/>
  <c r="K128" i="10"/>
  <c r="K127" i="10"/>
  <c r="K126" i="10"/>
  <c r="K125" i="10"/>
  <c r="A32" i="11" l="1"/>
  <c r="A38" i="11"/>
  <c r="A22" i="11"/>
  <c r="A44" i="11"/>
  <c r="A43" i="11"/>
  <c r="A28" i="11"/>
  <c r="A18" i="11"/>
  <c r="A27" i="11"/>
  <c r="A23" i="11"/>
  <c r="A536" i="8"/>
  <c r="B536" i="8"/>
  <c r="D536" i="8"/>
  <c r="E536" i="8"/>
  <c r="A509" i="8" l="1"/>
  <c r="A510" i="8"/>
  <c r="A511" i="8"/>
  <c r="A512" i="8"/>
  <c r="B509" i="8"/>
  <c r="B510" i="8"/>
  <c r="B511" i="8"/>
  <c r="B512" i="8"/>
  <c r="D509" i="8"/>
  <c r="D510" i="8"/>
  <c r="D511" i="8"/>
  <c r="D512" i="8"/>
  <c r="E509" i="8"/>
  <c r="E510" i="8"/>
  <c r="E511" i="8"/>
  <c r="E512" i="8"/>
  <c r="A508" i="8"/>
  <c r="A513" i="8"/>
  <c r="A514" i="8"/>
  <c r="A515" i="8"/>
  <c r="B508" i="8"/>
  <c r="B513" i="8"/>
  <c r="B514" i="8"/>
  <c r="B515" i="8"/>
  <c r="D508" i="8"/>
  <c r="D513" i="8"/>
  <c r="D514" i="8"/>
  <c r="D515" i="8"/>
  <c r="E508" i="8"/>
  <c r="E513" i="8"/>
  <c r="E514" i="8"/>
  <c r="E515" i="8"/>
  <c r="A483" i="8" l="1"/>
  <c r="A484" i="8"/>
  <c r="A485" i="8"/>
  <c r="B483" i="8"/>
  <c r="B484" i="8"/>
  <c r="B485" i="8"/>
  <c r="D483" i="8"/>
  <c r="D484" i="8"/>
  <c r="D485" i="8"/>
  <c r="E483" i="8"/>
  <c r="E484" i="8"/>
  <c r="E485" i="8"/>
  <c r="A486" i="8"/>
  <c r="A487" i="8"/>
  <c r="B486" i="8"/>
  <c r="B487" i="8"/>
  <c r="D486" i="8"/>
  <c r="D487" i="8"/>
  <c r="E486" i="8"/>
  <c r="E487" i="8"/>
  <c r="K85" i="10" l="1"/>
  <c r="K84" i="10"/>
  <c r="A415" i="8" l="1"/>
  <c r="A416" i="8"/>
  <c r="B415" i="8"/>
  <c r="B416" i="8"/>
  <c r="D415" i="8"/>
  <c r="D416" i="8"/>
  <c r="E415" i="8"/>
  <c r="E416" i="8"/>
  <c r="A406" i="8"/>
  <c r="A407" i="8"/>
  <c r="A408" i="8"/>
  <c r="A409" i="8"/>
  <c r="A410" i="8"/>
  <c r="A411" i="8"/>
  <c r="B406" i="8"/>
  <c r="B407" i="8"/>
  <c r="B408" i="8"/>
  <c r="B409" i="8"/>
  <c r="B410" i="8"/>
  <c r="B411" i="8"/>
  <c r="D406" i="8"/>
  <c r="D407" i="8"/>
  <c r="D408" i="8"/>
  <c r="D409" i="8"/>
  <c r="D410" i="8"/>
  <c r="D411" i="8"/>
  <c r="E406" i="8"/>
  <c r="E407" i="8"/>
  <c r="E408" i="8"/>
  <c r="E409" i="8"/>
  <c r="E410" i="8"/>
  <c r="E411" i="8"/>
  <c r="A376" i="8" l="1"/>
  <c r="A377" i="8"/>
  <c r="A378" i="8"/>
  <c r="A379" i="8"/>
  <c r="A380" i="8"/>
  <c r="A381" i="8"/>
  <c r="A382" i="8"/>
  <c r="B376" i="8"/>
  <c r="B377" i="8"/>
  <c r="B378" i="8"/>
  <c r="B379" i="8"/>
  <c r="B380" i="8"/>
  <c r="B381" i="8"/>
  <c r="B382" i="8"/>
  <c r="D376" i="8"/>
  <c r="D377" i="8"/>
  <c r="D378" i="8"/>
  <c r="D379" i="8"/>
  <c r="D380" i="8"/>
  <c r="D381" i="8"/>
  <c r="D382" i="8"/>
  <c r="E376" i="8"/>
  <c r="E377" i="8"/>
  <c r="E378" i="8"/>
  <c r="E379" i="8"/>
  <c r="E380" i="8"/>
  <c r="E381" i="8"/>
  <c r="E382" i="8"/>
  <c r="A366" i="8"/>
  <c r="A367" i="8"/>
  <c r="A368" i="8"/>
  <c r="A369" i="8"/>
  <c r="A370" i="8"/>
  <c r="A371" i="8"/>
  <c r="A372" i="8"/>
  <c r="A373" i="8"/>
  <c r="A374" i="8"/>
  <c r="B366" i="8"/>
  <c r="B367" i="8"/>
  <c r="B368" i="8"/>
  <c r="B369" i="8"/>
  <c r="B370" i="8"/>
  <c r="B371" i="8"/>
  <c r="B372" i="8"/>
  <c r="B373" i="8"/>
  <c r="B374" i="8"/>
  <c r="D366" i="8"/>
  <c r="D367" i="8"/>
  <c r="D368" i="8"/>
  <c r="D369" i="8"/>
  <c r="D370" i="8"/>
  <c r="D371" i="8"/>
  <c r="D372" i="8"/>
  <c r="D373" i="8"/>
  <c r="D374" i="8"/>
  <c r="E366" i="8"/>
  <c r="E367" i="8"/>
  <c r="E368" i="8"/>
  <c r="E369" i="8"/>
  <c r="E370" i="8"/>
  <c r="E371" i="8"/>
  <c r="E372" i="8"/>
  <c r="E373" i="8"/>
  <c r="E374" i="8"/>
  <c r="A338" i="8" l="1"/>
  <c r="A339" i="8"/>
  <c r="A340" i="8"/>
  <c r="A341" i="8"/>
  <c r="A342" i="8"/>
  <c r="A343" i="8"/>
  <c r="A344" i="8"/>
  <c r="A345" i="8"/>
  <c r="B338" i="8"/>
  <c r="B339" i="8"/>
  <c r="B340" i="8"/>
  <c r="B341" i="8"/>
  <c r="B342" i="8"/>
  <c r="B343" i="8"/>
  <c r="B344" i="8"/>
  <c r="B345" i="8"/>
  <c r="D338" i="8"/>
  <c r="D339" i="8"/>
  <c r="D340" i="8"/>
  <c r="D341" i="8"/>
  <c r="D342" i="8"/>
  <c r="D343" i="8"/>
  <c r="D344" i="8"/>
  <c r="D345" i="8"/>
  <c r="E338" i="8"/>
  <c r="E339" i="8"/>
  <c r="E340" i="8"/>
  <c r="E341" i="8"/>
  <c r="E342" i="8"/>
  <c r="E343" i="8"/>
  <c r="E344" i="8"/>
  <c r="E345" i="8"/>
  <c r="A346" i="8"/>
  <c r="A347" i="8"/>
  <c r="A348" i="8"/>
  <c r="A349" i="8"/>
  <c r="B346" i="8"/>
  <c r="B347" i="8"/>
  <c r="B348" i="8"/>
  <c r="B349" i="8"/>
  <c r="D346" i="8"/>
  <c r="D347" i="8"/>
  <c r="D348" i="8"/>
  <c r="D349" i="8"/>
  <c r="E346" i="8"/>
  <c r="E347" i="8"/>
  <c r="E348" i="8"/>
  <c r="E349" i="8"/>
  <c r="A307" i="8" l="1"/>
  <c r="A308" i="8"/>
  <c r="A309" i="8"/>
  <c r="A310" i="8"/>
  <c r="A311" i="8"/>
  <c r="A312" i="8"/>
  <c r="A313" i="8"/>
  <c r="A314" i="8"/>
  <c r="B307" i="8"/>
  <c r="B308" i="8"/>
  <c r="B309" i="8"/>
  <c r="B310" i="8"/>
  <c r="B311" i="8"/>
  <c r="B312" i="8"/>
  <c r="B313" i="8"/>
  <c r="B314" i="8"/>
  <c r="D307" i="8"/>
  <c r="D308" i="8"/>
  <c r="D309" i="8"/>
  <c r="D310" i="8"/>
  <c r="D311" i="8"/>
  <c r="D312" i="8"/>
  <c r="D313" i="8"/>
  <c r="D314" i="8"/>
  <c r="E307" i="8"/>
  <c r="E308" i="8"/>
  <c r="E309" i="8"/>
  <c r="E310" i="8"/>
  <c r="E311" i="8"/>
  <c r="E312" i="8"/>
  <c r="E313" i="8"/>
  <c r="E314" i="8"/>
  <c r="A315" i="8"/>
  <c r="A316" i="8"/>
  <c r="A317" i="8"/>
  <c r="B315" i="8"/>
  <c r="B316" i="8"/>
  <c r="B317" i="8"/>
  <c r="D315" i="8"/>
  <c r="D316" i="8"/>
  <c r="D317" i="8"/>
  <c r="E315" i="8"/>
  <c r="E316" i="8"/>
  <c r="E317" i="8"/>
  <c r="A279" i="8" l="1"/>
  <c r="A280" i="8"/>
  <c r="A281" i="8"/>
  <c r="A282" i="8"/>
  <c r="B279" i="8"/>
  <c r="B280" i="8"/>
  <c r="B281" i="8"/>
  <c r="B282" i="8"/>
  <c r="D279" i="8"/>
  <c r="D280" i="8"/>
  <c r="D281" i="8"/>
  <c r="D282" i="8"/>
  <c r="E279" i="8"/>
  <c r="E280" i="8"/>
  <c r="E281" i="8"/>
  <c r="E282" i="8"/>
  <c r="A253" i="8" l="1"/>
  <c r="A254" i="8"/>
  <c r="A255" i="8"/>
  <c r="A256" i="8"/>
  <c r="B253" i="8"/>
  <c r="B254" i="8"/>
  <c r="B255" i="8"/>
  <c r="B256" i="8"/>
  <c r="D253" i="8"/>
  <c r="D254" i="8"/>
  <c r="D255" i="8"/>
  <c r="D256" i="8"/>
  <c r="E253" i="8"/>
  <c r="E254" i="8"/>
  <c r="E255" i="8"/>
  <c r="E256" i="8"/>
  <c r="A232" i="8" l="1"/>
  <c r="B232" i="8"/>
  <c r="D232" i="8"/>
  <c r="E232" i="8"/>
  <c r="A187" i="8" l="1"/>
  <c r="B187" i="8"/>
  <c r="D187" i="8"/>
  <c r="E187" i="8"/>
  <c r="G162" i="3" l="1"/>
  <c r="H162" i="3"/>
  <c r="I162" i="3"/>
  <c r="J162" i="3"/>
  <c r="K162" i="3"/>
  <c r="L162" i="3"/>
  <c r="G183" i="3"/>
  <c r="G184" i="3"/>
  <c r="G185" i="3"/>
  <c r="H183" i="3"/>
  <c r="H184" i="3"/>
  <c r="H185" i="3"/>
  <c r="I183" i="3"/>
  <c r="I184" i="3"/>
  <c r="I185" i="3"/>
  <c r="J183" i="3"/>
  <c r="J184" i="3"/>
  <c r="J185" i="3"/>
  <c r="K183" i="3"/>
  <c r="K184" i="3"/>
  <c r="K185" i="3"/>
  <c r="L183" i="3"/>
  <c r="L184" i="3"/>
  <c r="L185" i="3"/>
  <c r="G354" i="3"/>
  <c r="H354" i="3"/>
  <c r="I354" i="3"/>
  <c r="J354" i="3"/>
  <c r="K354" i="3"/>
  <c r="L354" i="3"/>
  <c r="G160" i="3"/>
  <c r="H160" i="3"/>
  <c r="I160" i="3"/>
  <c r="J160" i="3"/>
  <c r="K160" i="3"/>
  <c r="L160" i="3"/>
  <c r="K116" i="10"/>
  <c r="K106" i="10"/>
  <c r="K96" i="10"/>
  <c r="K74" i="10"/>
  <c r="K65" i="10"/>
  <c r="K56" i="10"/>
  <c r="K47" i="10"/>
  <c r="K38" i="10"/>
  <c r="K28" i="10"/>
  <c r="K13" i="10"/>
  <c r="K5" i="10"/>
  <c r="K20" i="10"/>
  <c r="K14" i="10"/>
  <c r="L50" i="12" l="1"/>
  <c r="K50" i="12"/>
  <c r="J50" i="12"/>
  <c r="I50" i="12"/>
  <c r="H50" i="12"/>
  <c r="L40" i="12"/>
  <c r="K40" i="12"/>
  <c r="J40" i="12"/>
  <c r="I40" i="12"/>
  <c r="H40" i="12"/>
  <c r="L30" i="12"/>
  <c r="K30" i="12"/>
  <c r="J30" i="12"/>
  <c r="I30" i="12"/>
  <c r="H30" i="12"/>
  <c r="L20" i="12"/>
  <c r="K20" i="12"/>
  <c r="J20" i="12"/>
  <c r="I20" i="12"/>
  <c r="H20" i="12"/>
  <c r="H49" i="12"/>
  <c r="L78" i="11"/>
  <c r="K78" i="11"/>
  <c r="J78" i="11"/>
  <c r="I78" i="11"/>
  <c r="H78" i="11"/>
  <c r="H77" i="11"/>
  <c r="L50" i="11"/>
  <c r="K50" i="11"/>
  <c r="J50" i="11"/>
  <c r="I50" i="11"/>
  <c r="H50" i="11"/>
  <c r="L40" i="11"/>
  <c r="K40" i="11"/>
  <c r="J40" i="11"/>
  <c r="I40" i="11"/>
  <c r="H40" i="11"/>
  <c r="L30" i="11"/>
  <c r="K30" i="11"/>
  <c r="J30" i="11"/>
  <c r="I30" i="11"/>
  <c r="H30" i="11"/>
  <c r="L20" i="11"/>
  <c r="K20" i="11"/>
  <c r="J20" i="11"/>
  <c r="I20" i="11"/>
  <c r="H20" i="11"/>
  <c r="H49" i="11"/>
  <c r="H48" i="5" l="1"/>
  <c r="N49" i="5"/>
  <c r="M49" i="5"/>
  <c r="L49" i="5"/>
  <c r="K49" i="5"/>
  <c r="J49" i="5"/>
  <c r="I49" i="5"/>
  <c r="H49" i="5"/>
  <c r="N39" i="5"/>
  <c r="M39" i="5"/>
  <c r="L39" i="5"/>
  <c r="K39" i="5"/>
  <c r="J39" i="5"/>
  <c r="I39" i="5"/>
  <c r="H39" i="5"/>
  <c r="N29" i="5"/>
  <c r="M29" i="5"/>
  <c r="L29" i="5"/>
  <c r="K29" i="5"/>
  <c r="J29" i="5"/>
  <c r="I29" i="5"/>
  <c r="H29" i="5"/>
  <c r="N19" i="5"/>
  <c r="M19" i="5"/>
  <c r="L19" i="5"/>
  <c r="K19" i="5"/>
  <c r="J19" i="5"/>
  <c r="I19" i="5"/>
  <c r="H19" i="5"/>
  <c r="H47" i="14" l="1"/>
  <c r="N48" i="14"/>
  <c r="M48" i="14"/>
  <c r="L48" i="14"/>
  <c r="K48" i="14"/>
  <c r="J48" i="14"/>
  <c r="I48" i="14"/>
  <c r="H48" i="14"/>
  <c r="N38" i="14"/>
  <c r="M38" i="14"/>
  <c r="L38" i="14"/>
  <c r="K38" i="14"/>
  <c r="J38" i="14"/>
  <c r="I38" i="14"/>
  <c r="H38" i="14"/>
  <c r="N28" i="14"/>
  <c r="M28" i="14"/>
  <c r="L28" i="14"/>
  <c r="K28" i="14"/>
  <c r="J28" i="14"/>
  <c r="I28" i="14"/>
  <c r="H28" i="14"/>
  <c r="N18" i="14"/>
  <c r="M18" i="14"/>
  <c r="L18" i="14"/>
  <c r="K18" i="14"/>
  <c r="J18" i="14"/>
  <c r="I18" i="14"/>
  <c r="H18" i="14"/>
  <c r="N40" i="13"/>
  <c r="M40" i="13"/>
  <c r="L40" i="13"/>
  <c r="K40" i="13"/>
  <c r="J40" i="13"/>
  <c r="I40" i="13"/>
  <c r="H40" i="13"/>
  <c r="N28" i="13"/>
  <c r="M28" i="13"/>
  <c r="L28" i="13"/>
  <c r="K28" i="13"/>
  <c r="J28" i="13"/>
  <c r="I28" i="13"/>
  <c r="H28" i="13"/>
  <c r="N18" i="13"/>
  <c r="M18" i="13"/>
  <c r="L18" i="13"/>
  <c r="K18" i="13"/>
  <c r="J18" i="13"/>
  <c r="I18" i="13"/>
  <c r="H18" i="13"/>
  <c r="H39" i="13"/>
  <c r="G6" i="13"/>
  <c r="N5" i="13"/>
  <c r="L6" i="12"/>
  <c r="L5" i="12"/>
  <c r="A31" i="12" s="1"/>
  <c r="G8" i="11"/>
  <c r="G7" i="5"/>
  <c r="G8" i="12"/>
  <c r="N5" i="5"/>
  <c r="N6" i="5"/>
  <c r="G6" i="5"/>
  <c r="N5" i="14"/>
  <c r="G6" i="14"/>
  <c r="A71" i="12" l="1"/>
  <c r="A67" i="12"/>
  <c r="A58" i="12"/>
  <c r="A70" i="12"/>
  <c r="A61" i="12"/>
  <c r="A66" i="12"/>
  <c r="A53" i="12"/>
  <c r="A69" i="12"/>
  <c r="A60" i="12"/>
  <c r="A57" i="12"/>
  <c r="A65" i="12"/>
  <c r="A56" i="12"/>
  <c r="A68" i="12"/>
  <c r="A52" i="12"/>
  <c r="A64" i="12"/>
  <c r="A55" i="12"/>
  <c r="A63" i="12"/>
  <c r="A62" i="12"/>
  <c r="A54" i="12"/>
  <c r="A59" i="12"/>
  <c r="A43" i="12"/>
  <c r="A38" i="12"/>
  <c r="A32" i="12"/>
  <c r="A28" i="12"/>
  <c r="A27" i="12"/>
  <c r="A23" i="12"/>
  <c r="A22" i="12"/>
  <c r="A18" i="12"/>
  <c r="L7" i="12"/>
  <c r="A66" i="11"/>
  <c r="A65" i="11"/>
  <c r="A67" i="11"/>
  <c r="A64" i="11"/>
  <c r="A68" i="11"/>
  <c r="F31" i="11"/>
  <c r="A71" i="11"/>
  <c r="A58" i="11"/>
  <c r="A70" i="11"/>
  <c r="A69" i="11"/>
  <c r="A63" i="11"/>
  <c r="A62" i="11"/>
  <c r="A61" i="11"/>
  <c r="A60" i="11"/>
  <c r="A59" i="11"/>
  <c r="A57" i="11"/>
  <c r="A56" i="11"/>
  <c r="A55" i="11"/>
  <c r="A54" i="11"/>
  <c r="BH1" i="3"/>
  <c r="BG1" i="3"/>
  <c r="BF1" i="3"/>
  <c r="BE1" i="3"/>
  <c r="BD1" i="3"/>
  <c r="BC1" i="3"/>
  <c r="BB1" i="3"/>
  <c r="BA1" i="3"/>
  <c r="AZ1" i="3"/>
  <c r="AY1" i="3"/>
  <c r="AX1" i="3"/>
  <c r="AW1" i="3"/>
  <c r="AV1" i="3"/>
  <c r="AU1" i="3"/>
  <c r="AT1" i="3"/>
  <c r="AS1" i="3"/>
  <c r="AR1" i="3"/>
  <c r="AQ1" i="3"/>
  <c r="AP1" i="3"/>
  <c r="AO1" i="3"/>
  <c r="AN1" i="3"/>
  <c r="AM1" i="3"/>
  <c r="AL1" i="3"/>
  <c r="AK1" i="3"/>
  <c r="AJ1" i="3"/>
  <c r="AI1" i="3"/>
  <c r="AH1" i="3"/>
  <c r="AF1" i="3"/>
  <c r="AE1" i="3"/>
  <c r="AD1" i="3"/>
  <c r="AC1" i="3"/>
  <c r="AB1" i="3"/>
  <c r="AG1" i="3"/>
  <c r="AA1" i="3"/>
  <c r="Z1" i="3"/>
  <c r="Y1" i="3"/>
  <c r="X1" i="3"/>
  <c r="W1" i="3"/>
  <c r="V1" i="3"/>
  <c r="U1" i="3"/>
  <c r="T1" i="3"/>
  <c r="S1" i="3"/>
  <c r="R1" i="3"/>
  <c r="Q1" i="3"/>
  <c r="P1" i="3"/>
  <c r="O1" i="3"/>
  <c r="N1" i="3"/>
  <c r="M1" i="3"/>
  <c r="L1" i="3"/>
  <c r="K1" i="3"/>
  <c r="J1" i="3"/>
  <c r="I1" i="3"/>
  <c r="H1" i="3"/>
  <c r="G1" i="3"/>
  <c r="F1" i="3"/>
  <c r="E1" i="3"/>
  <c r="D1" i="3"/>
  <c r="C1" i="3"/>
  <c r="B1" i="3"/>
  <c r="A1" i="3"/>
  <c r="G65" i="12" l="1"/>
  <c r="J65" i="12"/>
  <c r="I65" i="12"/>
  <c r="H65" i="12"/>
  <c r="C65" i="12"/>
  <c r="B65" i="12"/>
  <c r="D65" i="12"/>
  <c r="K65" i="12"/>
  <c r="F65" i="12"/>
  <c r="I60" i="12"/>
  <c r="K60" i="12"/>
  <c r="J60" i="12"/>
  <c r="F60" i="12"/>
  <c r="D60" i="12"/>
  <c r="B60" i="12"/>
  <c r="H60" i="12"/>
  <c r="G60" i="12"/>
  <c r="C60" i="12"/>
  <c r="J69" i="12"/>
  <c r="K69" i="12"/>
  <c r="F69" i="12"/>
  <c r="B69" i="12"/>
  <c r="D69" i="12"/>
  <c r="I69" i="12"/>
  <c r="H69" i="12"/>
  <c r="G69" i="12"/>
  <c r="C69" i="12"/>
  <c r="K64" i="12"/>
  <c r="B64" i="12"/>
  <c r="H64" i="12"/>
  <c r="C64" i="12"/>
  <c r="I64" i="12"/>
  <c r="G64" i="12"/>
  <c r="J64" i="12"/>
  <c r="F64" i="12"/>
  <c r="D64" i="12"/>
  <c r="G57" i="12"/>
  <c r="J57" i="12"/>
  <c r="I57" i="12"/>
  <c r="H57" i="12"/>
  <c r="C57" i="12"/>
  <c r="B57" i="12"/>
  <c r="F57" i="12"/>
  <c r="D57" i="12"/>
  <c r="K57" i="12"/>
  <c r="J53" i="12"/>
  <c r="K53" i="12"/>
  <c r="F53" i="12"/>
  <c r="C53" i="12"/>
  <c r="H53" i="12"/>
  <c r="B53" i="12"/>
  <c r="G53" i="12"/>
  <c r="D53" i="12"/>
  <c r="I53" i="12"/>
  <c r="K66" i="12"/>
  <c r="I66" i="12"/>
  <c r="B66" i="12"/>
  <c r="C66" i="12"/>
  <c r="G66" i="12"/>
  <c r="H66" i="12"/>
  <c r="F66" i="12"/>
  <c r="D66" i="12"/>
  <c r="J66" i="12"/>
  <c r="K55" i="12"/>
  <c r="G55" i="12"/>
  <c r="F55" i="12"/>
  <c r="D55" i="12"/>
  <c r="C55" i="12"/>
  <c r="I55" i="12"/>
  <c r="H55" i="12"/>
  <c r="B55" i="12"/>
  <c r="J55" i="12"/>
  <c r="J61" i="12"/>
  <c r="F61" i="12"/>
  <c r="K61" i="12"/>
  <c r="I61" i="12"/>
  <c r="G61" i="12"/>
  <c r="H61" i="12"/>
  <c r="C61" i="12"/>
  <c r="B61" i="12"/>
  <c r="D61" i="12"/>
  <c r="I68" i="12"/>
  <c r="K68" i="12"/>
  <c r="J68" i="12"/>
  <c r="F68" i="12"/>
  <c r="D68" i="12"/>
  <c r="C68" i="12"/>
  <c r="B68" i="12"/>
  <c r="H68" i="12"/>
  <c r="G68" i="12"/>
  <c r="B59" i="12"/>
  <c r="J59" i="12"/>
  <c r="I59" i="12"/>
  <c r="H59" i="12"/>
  <c r="F59" i="12"/>
  <c r="D59" i="12"/>
  <c r="C59" i="12"/>
  <c r="G59" i="12"/>
  <c r="K59" i="12"/>
  <c r="D70" i="12"/>
  <c r="B70" i="12"/>
  <c r="F70" i="12"/>
  <c r="G70" i="12"/>
  <c r="K70" i="12"/>
  <c r="I70" i="12"/>
  <c r="J70" i="12"/>
  <c r="H70" i="12"/>
  <c r="C70" i="12"/>
  <c r="I52" i="12"/>
  <c r="K52" i="12"/>
  <c r="J52" i="12"/>
  <c r="F52" i="12"/>
  <c r="D52" i="12"/>
  <c r="C52" i="12"/>
  <c r="G52" i="12"/>
  <c r="B52" i="12"/>
  <c r="H52" i="12"/>
  <c r="D54" i="12"/>
  <c r="J54" i="12"/>
  <c r="H54" i="12"/>
  <c r="G54" i="12"/>
  <c r="F54" i="12"/>
  <c r="B54" i="12"/>
  <c r="I54" i="12"/>
  <c r="K54" i="12"/>
  <c r="C54" i="12"/>
  <c r="J58" i="12"/>
  <c r="C58" i="12"/>
  <c r="I58" i="12"/>
  <c r="K58" i="12"/>
  <c r="H58" i="12"/>
  <c r="B58" i="12"/>
  <c r="F58" i="12"/>
  <c r="D58" i="12"/>
  <c r="G58" i="12"/>
  <c r="D62" i="12"/>
  <c r="G62" i="12"/>
  <c r="F62" i="12"/>
  <c r="J62" i="12"/>
  <c r="C62" i="12"/>
  <c r="K62" i="12"/>
  <c r="H62" i="12"/>
  <c r="B62" i="12"/>
  <c r="I62" i="12"/>
  <c r="B67" i="12"/>
  <c r="J67" i="12"/>
  <c r="I67" i="12"/>
  <c r="H67" i="12"/>
  <c r="C67" i="12"/>
  <c r="F67" i="12"/>
  <c r="D67" i="12"/>
  <c r="G67" i="12"/>
  <c r="K67" i="12"/>
  <c r="K56" i="12"/>
  <c r="B56" i="12"/>
  <c r="J56" i="12"/>
  <c r="D56" i="12"/>
  <c r="H56" i="12"/>
  <c r="C56" i="12"/>
  <c r="F56" i="12"/>
  <c r="I56" i="12"/>
  <c r="G56" i="12"/>
  <c r="K63" i="12"/>
  <c r="G63" i="12"/>
  <c r="I63" i="12"/>
  <c r="F63" i="12"/>
  <c r="D63" i="12"/>
  <c r="J63" i="12"/>
  <c r="C63" i="12"/>
  <c r="B63" i="12"/>
  <c r="H63" i="12"/>
  <c r="K71" i="12"/>
  <c r="H71" i="12"/>
  <c r="I71" i="12"/>
  <c r="D71" i="12"/>
  <c r="J71" i="12"/>
  <c r="F71" i="12"/>
  <c r="G71" i="12"/>
  <c r="C71" i="12"/>
  <c r="B71" i="12"/>
  <c r="C65" i="11"/>
  <c r="D65" i="11"/>
  <c r="F65" i="11"/>
  <c r="B65" i="11"/>
  <c r="G65" i="11"/>
  <c r="F66" i="11"/>
  <c r="G66" i="11"/>
  <c r="D66" i="11"/>
  <c r="B66" i="11"/>
  <c r="C66" i="11"/>
  <c r="D68" i="11"/>
  <c r="B68" i="11"/>
  <c r="G68" i="11"/>
  <c r="C68" i="11"/>
  <c r="F68" i="11"/>
  <c r="G64" i="11"/>
  <c r="F64" i="11"/>
  <c r="B64" i="11"/>
  <c r="C64" i="11"/>
  <c r="D64" i="11"/>
  <c r="C67" i="11"/>
  <c r="G67" i="11"/>
  <c r="D67" i="11"/>
  <c r="B67" i="11"/>
  <c r="F67" i="11"/>
  <c r="J31" i="11"/>
  <c r="E31" i="11"/>
  <c r="C31" i="11"/>
  <c r="D31" i="11"/>
  <c r="B31" i="11"/>
  <c r="I31" i="11"/>
  <c r="H31" i="11"/>
  <c r="G31" i="11"/>
  <c r="K31" i="11"/>
  <c r="D60" i="11"/>
  <c r="F60" i="11"/>
  <c r="B60" i="11"/>
  <c r="G60" i="11"/>
  <c r="C60" i="11"/>
  <c r="D61" i="11"/>
  <c r="C61" i="11"/>
  <c r="F61" i="11"/>
  <c r="G61" i="11"/>
  <c r="B61" i="11"/>
  <c r="K62" i="11"/>
  <c r="J62" i="11"/>
  <c r="D62" i="11"/>
  <c r="G62" i="11"/>
  <c r="H62" i="11"/>
  <c r="I62" i="11"/>
  <c r="C62" i="11"/>
  <c r="F62" i="11"/>
  <c r="B62" i="11"/>
  <c r="I63" i="11"/>
  <c r="H63" i="11"/>
  <c r="G63" i="11"/>
  <c r="B63" i="11"/>
  <c r="F63" i="11"/>
  <c r="D63" i="11"/>
  <c r="J63" i="11"/>
  <c r="K63" i="11"/>
  <c r="C63" i="11"/>
  <c r="D69" i="11"/>
  <c r="B69" i="11"/>
  <c r="F69" i="11"/>
  <c r="G69" i="11"/>
  <c r="C69" i="11"/>
  <c r="D70" i="11"/>
  <c r="B70" i="11"/>
  <c r="F70" i="11"/>
  <c r="G70" i="11"/>
  <c r="C70" i="11"/>
  <c r="F58" i="11"/>
  <c r="B58" i="11"/>
  <c r="C58" i="11"/>
  <c r="D58" i="11"/>
  <c r="G58" i="11"/>
  <c r="C59" i="11"/>
  <c r="D59" i="11"/>
  <c r="B59" i="11"/>
  <c r="G59" i="11"/>
  <c r="F59" i="11"/>
  <c r="F71" i="11"/>
  <c r="C71" i="11"/>
  <c r="G71" i="11"/>
  <c r="B71" i="11"/>
  <c r="D71" i="11"/>
  <c r="D54" i="11"/>
  <c r="G54" i="11"/>
  <c r="B54" i="11"/>
  <c r="C54" i="11"/>
  <c r="F54" i="11"/>
  <c r="D55" i="11"/>
  <c r="G55" i="11"/>
  <c r="F55" i="11"/>
  <c r="B55" i="11"/>
  <c r="C55" i="11"/>
  <c r="D56" i="11"/>
  <c r="G56" i="11"/>
  <c r="C56" i="11"/>
  <c r="B56" i="11"/>
  <c r="F56" i="11"/>
  <c r="D57" i="11"/>
  <c r="G57" i="11"/>
  <c r="B57" i="11"/>
  <c r="F57" i="11"/>
  <c r="C57" i="11"/>
  <c r="A53" i="5"/>
  <c r="A51" i="5" l="1"/>
  <c r="A52" i="5"/>
  <c r="A50" i="5"/>
  <c r="E155" i="8"/>
  <c r="D155" i="8"/>
  <c r="B155" i="8"/>
  <c r="A155" i="8"/>
  <c r="E154" i="8"/>
  <c r="D154" i="8"/>
  <c r="B154" i="8"/>
  <c r="A154" i="8"/>
  <c r="E153" i="8"/>
  <c r="D153" i="8"/>
  <c r="B153" i="8"/>
  <c r="A153" i="8"/>
  <c r="V288" i="3" l="1"/>
  <c r="V287" i="3"/>
  <c r="V82" i="3"/>
  <c r="V393" i="3"/>
  <c r="V273" i="3"/>
  <c r="V10" i="3"/>
  <c r="V11" i="3"/>
  <c r="V69" i="3"/>
  <c r="V303" i="3"/>
  <c r="V12" i="3"/>
  <c r="V13" i="3"/>
  <c r="V14" i="3"/>
  <c r="V15" i="3"/>
  <c r="V274" i="3"/>
  <c r="V17" i="3"/>
  <c r="V18" i="3"/>
  <c r="V16" i="3"/>
  <c r="V199" i="3"/>
  <c r="V200" i="3"/>
  <c r="V275" i="3"/>
  <c r="V321" i="3"/>
  <c r="V277" i="3"/>
  <c r="V278" i="3"/>
  <c r="V279" i="3"/>
  <c r="V280" i="3"/>
  <c r="V285" i="3"/>
  <c r="V36" i="3"/>
  <c r="V37" i="3"/>
  <c r="V38" i="3"/>
  <c r="V40" i="3"/>
  <c r="V289" i="3"/>
  <c r="V41" i="3"/>
  <c r="V42" i="3"/>
  <c r="V43" i="3"/>
  <c r="V44" i="3"/>
  <c r="V83" i="3"/>
  <c r="V290" i="3"/>
  <c r="V291" i="3"/>
  <c r="V45" i="3"/>
  <c r="V46" i="3"/>
  <c r="V47" i="3"/>
  <c r="V296" i="3"/>
  <c r="V162" i="3"/>
  <c r="V132" i="3"/>
  <c r="V242" i="3"/>
  <c r="V250" i="3"/>
  <c r="V133" i="3"/>
  <c r="V243" i="3"/>
  <c r="V251" i="3"/>
  <c r="V138" i="3"/>
  <c r="V244" i="3"/>
  <c r="V252" i="3"/>
  <c r="V245" i="3"/>
  <c r="V253" i="3"/>
  <c r="V139" i="3"/>
  <c r="V246" i="3"/>
  <c r="V254" i="3"/>
  <c r="V131" i="3"/>
  <c r="V247" i="3"/>
  <c r="V255" i="3"/>
  <c r="V8" i="3"/>
  <c r="V249" i="3"/>
  <c r="V248" i="3"/>
  <c r="V256" i="3"/>
  <c r="V161" i="3"/>
  <c r="V341" i="3"/>
  <c r="V361" i="3"/>
  <c r="V79" i="3"/>
  <c r="V221" i="3"/>
  <c r="V359" i="3"/>
  <c r="V19" i="3"/>
  <c r="V25" i="3"/>
  <c r="V378" i="3"/>
  <c r="V380" i="3"/>
  <c r="V31" i="3"/>
  <c r="V33" i="3"/>
  <c r="V70" i="3"/>
  <c r="V78" i="3"/>
  <c r="V314" i="3"/>
  <c r="V365" i="3"/>
  <c r="V362" i="3"/>
  <c r="V20" i="3"/>
  <c r="V89" i="3"/>
  <c r="V26" i="3"/>
  <c r="V194" i="3"/>
  <c r="V283" i="3"/>
  <c r="V206" i="3"/>
  <c r="V34" i="3"/>
  <c r="V74" i="3"/>
  <c r="V294" i="3"/>
  <c r="V356" i="3"/>
  <c r="V334" i="3"/>
  <c r="V316" i="3"/>
  <c r="V268" i="3"/>
  <c r="V385" i="3"/>
  <c r="V368" i="3"/>
  <c r="V282" i="3"/>
  <c r="V28" i="3"/>
  <c r="V350" i="3"/>
  <c r="V57" i="3"/>
  <c r="V192" i="3"/>
  <c r="V343" i="3"/>
  <c r="V6" i="3"/>
  <c r="V386" i="3"/>
  <c r="V369" i="3"/>
  <c r="V328" i="3"/>
  <c r="V24" i="3"/>
  <c r="V196" i="3"/>
  <c r="V364" i="3"/>
  <c r="V39" i="3"/>
  <c r="V218" i="3"/>
  <c r="V236" i="3"/>
  <c r="V51" i="3"/>
  <c r="V374" i="3"/>
  <c r="V384" i="3"/>
  <c r="V347" i="3"/>
  <c r="V22" i="3"/>
  <c r="V301" i="3"/>
  <c r="V197" i="3"/>
  <c r="V80" i="3"/>
  <c r="V339" i="3"/>
  <c r="V59" i="3"/>
  <c r="V338" i="3"/>
  <c r="V360" i="3"/>
  <c r="V355" i="3"/>
  <c r="V345" i="3"/>
  <c r="V295" i="3"/>
  <c r="V267" i="3"/>
  <c r="V377" i="3"/>
  <c r="V353" i="3"/>
  <c r="V258" i="3"/>
  <c r="V269" i="3"/>
  <c r="V281" i="3"/>
  <c r="V241" i="3"/>
  <c r="V30" i="3"/>
  <c r="V32" i="3"/>
  <c r="V56" i="3"/>
  <c r="V48" i="3"/>
  <c r="V53" i="3"/>
  <c r="V342" i="3"/>
  <c r="V293" i="3"/>
  <c r="V50" i="3"/>
  <c r="V310" i="3"/>
  <c r="V7" i="3"/>
  <c r="V91" i="3"/>
  <c r="V225" i="3"/>
  <c r="V351" i="3"/>
  <c r="V93" i="3"/>
  <c r="V60" i="3"/>
  <c r="V292" i="3"/>
  <c r="V49" i="3"/>
  <c r="V259" i="3"/>
  <c r="V320" i="3"/>
  <c r="V29" i="3"/>
  <c r="V260" i="3"/>
  <c r="V21" i="3"/>
  <c r="V27" i="3"/>
  <c r="V54" i="3"/>
  <c r="V35" i="3"/>
  <c r="V276" i="3"/>
  <c r="V23" i="3"/>
  <c r="V379" i="3"/>
  <c r="V204" i="3"/>
  <c r="V340" i="3"/>
  <c r="V76" i="3"/>
  <c r="V346" i="3"/>
  <c r="V352" i="3"/>
  <c r="V237" i="3"/>
  <c r="V366" i="3"/>
  <c r="V191" i="3"/>
  <c r="V61" i="3"/>
  <c r="V284" i="3"/>
  <c r="V183" i="3"/>
  <c r="V184" i="3"/>
  <c r="V185" i="3"/>
  <c r="V354" i="3"/>
  <c r="V160" i="3"/>
  <c r="V64" i="3"/>
  <c r="V84" i="3"/>
  <c r="V92" i="3"/>
  <c r="V101" i="3"/>
  <c r="V109" i="3"/>
  <c r="V121" i="3"/>
  <c r="V129" i="3"/>
  <c r="V142" i="3"/>
  <c r="V150" i="3"/>
  <c r="V158" i="3"/>
  <c r="V169" i="3"/>
  <c r="V176" i="3"/>
  <c r="V187" i="3"/>
  <c r="V201" i="3"/>
  <c r="V211" i="3"/>
  <c r="V220" i="3"/>
  <c r="V228" i="3"/>
  <c r="V263" i="3"/>
  <c r="V305" i="3"/>
  <c r="V315" i="3"/>
  <c r="V326" i="3"/>
  <c r="V336" i="3"/>
  <c r="V372" i="3"/>
  <c r="V383" i="3"/>
  <c r="V370" i="3"/>
  <c r="V71" i="3"/>
  <c r="V94" i="3"/>
  <c r="V102" i="3"/>
  <c r="V110" i="3"/>
  <c r="V114" i="3"/>
  <c r="V122" i="3"/>
  <c r="V130" i="3"/>
  <c r="V143" i="3"/>
  <c r="V151" i="3"/>
  <c r="V159" i="3"/>
  <c r="V170" i="3"/>
  <c r="V177" i="3"/>
  <c r="V188" i="3"/>
  <c r="V202" i="3"/>
  <c r="V212" i="3"/>
  <c r="V222" i="3"/>
  <c r="V229" i="3"/>
  <c r="V238" i="3"/>
  <c r="V264" i="3"/>
  <c r="V297" i="3"/>
  <c r="V306" i="3"/>
  <c r="V317" i="3"/>
  <c r="V327" i="3"/>
  <c r="V337" i="3"/>
  <c r="V387" i="3"/>
  <c r="V344" i="3"/>
  <c r="V3" i="3"/>
  <c r="V65" i="3"/>
  <c r="V72" i="3"/>
  <c r="V95" i="3"/>
  <c r="V103" i="3"/>
  <c r="V111" i="3"/>
  <c r="V115" i="3"/>
  <c r="V123" i="3"/>
  <c r="V134" i="3"/>
  <c r="V144" i="3"/>
  <c r="V152" i="3"/>
  <c r="V163" i="3"/>
  <c r="V171" i="3"/>
  <c r="V178" i="3"/>
  <c r="V189" i="3"/>
  <c r="V203" i="3"/>
  <c r="V213" i="3"/>
  <c r="V223" i="3"/>
  <c r="V230" i="3"/>
  <c r="V265" i="3"/>
  <c r="V298" i="3"/>
  <c r="V307" i="3"/>
  <c r="V318" i="3"/>
  <c r="V329" i="3"/>
  <c r="V373" i="3"/>
  <c r="V388" i="3"/>
  <c r="V348" i="3"/>
  <c r="V4" i="3"/>
  <c r="V55" i="3"/>
  <c r="V66" i="3"/>
  <c r="V73" i="3"/>
  <c r="V85" i="3"/>
  <c r="V96" i="3"/>
  <c r="V104" i="3"/>
  <c r="V112" i="3"/>
  <c r="V116" i="3"/>
  <c r="V124" i="3"/>
  <c r="V135" i="3"/>
  <c r="V145" i="3"/>
  <c r="V153" i="3"/>
  <c r="V164" i="3"/>
  <c r="V172" i="3"/>
  <c r="V179" i="3"/>
  <c r="V205" i="3"/>
  <c r="V214" i="3"/>
  <c r="V224" i="3"/>
  <c r="V231" i="3"/>
  <c r="V239" i="3"/>
  <c r="V266" i="3"/>
  <c r="V299" i="3"/>
  <c r="V308" i="3"/>
  <c r="V319" i="3"/>
  <c r="V330" i="3"/>
  <c r="V375" i="3"/>
  <c r="V389" i="3"/>
  <c r="V5" i="3"/>
  <c r="V58" i="3"/>
  <c r="V67" i="3"/>
  <c r="V75" i="3"/>
  <c r="V86" i="3"/>
  <c r="V97" i="3"/>
  <c r="V105" i="3"/>
  <c r="V113" i="3"/>
  <c r="V117" i="3"/>
  <c r="V125" i="3"/>
  <c r="V136" i="3"/>
  <c r="V146" i="3"/>
  <c r="V154" i="3"/>
  <c r="V165" i="3"/>
  <c r="V180" i="3"/>
  <c r="V190" i="3"/>
  <c r="V207" i="3"/>
  <c r="V215" i="3"/>
  <c r="V232" i="3"/>
  <c r="V240" i="3"/>
  <c r="V270" i="3"/>
  <c r="V300" i="3"/>
  <c r="V309" i="3"/>
  <c r="V322" i="3"/>
  <c r="V331" i="3"/>
  <c r="V376" i="3"/>
  <c r="V390" i="3"/>
  <c r="V357" i="3"/>
  <c r="V62" i="3"/>
  <c r="V77" i="3"/>
  <c r="V87" i="3"/>
  <c r="V98" i="3"/>
  <c r="V106" i="3"/>
  <c r="V118" i="3"/>
  <c r="V126" i="3"/>
  <c r="V137" i="3"/>
  <c r="V147" i="3"/>
  <c r="V155" i="3"/>
  <c r="V166" i="3"/>
  <c r="V173" i="3"/>
  <c r="V181" i="3"/>
  <c r="V193" i="3"/>
  <c r="V208" i="3"/>
  <c r="V216" i="3"/>
  <c r="V226" i="3"/>
  <c r="V233" i="3"/>
  <c r="V257" i="3"/>
  <c r="V271" i="3"/>
  <c r="V302" i="3"/>
  <c r="V311" i="3"/>
  <c r="V323" i="3"/>
  <c r="V332" i="3"/>
  <c r="V391" i="3"/>
  <c r="V358" i="3"/>
  <c r="V9" i="3"/>
  <c r="V68" i="3"/>
  <c r="V81" i="3"/>
  <c r="V88" i="3"/>
  <c r="V99" i="3"/>
  <c r="V107" i="3"/>
  <c r="V119" i="3"/>
  <c r="V127" i="3"/>
  <c r="V140" i="3"/>
  <c r="V148" i="3"/>
  <c r="V156" i="3"/>
  <c r="V167" i="3"/>
  <c r="V174" i="3"/>
  <c r="V182" i="3"/>
  <c r="V195" i="3"/>
  <c r="V209" i="3"/>
  <c r="V217" i="3"/>
  <c r="V227" i="3"/>
  <c r="V234" i="3"/>
  <c r="V261" i="3"/>
  <c r="V272" i="3"/>
  <c r="V304" i="3"/>
  <c r="V312" i="3"/>
  <c r="V324" i="3"/>
  <c r="V333" i="3"/>
  <c r="V349" i="3"/>
  <c r="V381" i="3"/>
  <c r="V367" i="3"/>
  <c r="V100" i="3"/>
  <c r="V168" i="3"/>
  <c r="V108" i="3"/>
  <c r="V175" i="3"/>
  <c r="V52" i="3"/>
  <c r="V186" i="3"/>
  <c r="V262" i="3"/>
  <c r="V363" i="3"/>
  <c r="V120" i="3"/>
  <c r="V198" i="3"/>
  <c r="V286" i="3"/>
  <c r="V371" i="3"/>
  <c r="V63" i="3"/>
  <c r="V128" i="3"/>
  <c r="V210" i="3"/>
  <c r="V382" i="3"/>
  <c r="V141" i="3"/>
  <c r="V219" i="3"/>
  <c r="V313" i="3"/>
  <c r="V392" i="3"/>
  <c r="V149" i="3"/>
  <c r="V325" i="3"/>
  <c r="V90" i="3"/>
  <c r="V157" i="3"/>
  <c r="V235" i="3"/>
  <c r="V335" i="3"/>
  <c r="D52" i="5"/>
  <c r="C52" i="5"/>
  <c r="F52" i="5"/>
  <c r="B52" i="5"/>
  <c r="G52" i="5"/>
  <c r="E150" i="8"/>
  <c r="D150" i="8"/>
  <c r="B150" i="8"/>
  <c r="A150" i="8"/>
  <c r="E149" i="8"/>
  <c r="D149" i="8"/>
  <c r="B149" i="8"/>
  <c r="A149" i="8"/>
  <c r="E148" i="8"/>
  <c r="D148" i="8"/>
  <c r="B148" i="8"/>
  <c r="A148" i="8"/>
  <c r="U288" i="3" l="1"/>
  <c r="U287" i="3"/>
  <c r="U82" i="3"/>
  <c r="U393" i="3"/>
  <c r="U273" i="3"/>
  <c r="U10" i="3"/>
  <c r="U11" i="3"/>
  <c r="U69" i="3"/>
  <c r="U303" i="3"/>
  <c r="U12" i="3"/>
  <c r="U13" i="3"/>
  <c r="U14" i="3"/>
  <c r="U15" i="3"/>
  <c r="U274" i="3"/>
  <c r="U17" i="3"/>
  <c r="U18" i="3"/>
  <c r="U16" i="3"/>
  <c r="U199" i="3"/>
  <c r="U200" i="3"/>
  <c r="U275" i="3"/>
  <c r="U321" i="3"/>
  <c r="U277" i="3"/>
  <c r="U278" i="3"/>
  <c r="U279" i="3"/>
  <c r="U280" i="3"/>
  <c r="U285" i="3"/>
  <c r="U36" i="3"/>
  <c r="U37" i="3"/>
  <c r="U38" i="3"/>
  <c r="U40" i="3"/>
  <c r="U289" i="3"/>
  <c r="U41" i="3"/>
  <c r="U42" i="3"/>
  <c r="U43" i="3"/>
  <c r="U44" i="3"/>
  <c r="U83" i="3"/>
  <c r="U290" i="3"/>
  <c r="U291" i="3"/>
  <c r="U45" i="3"/>
  <c r="U46" i="3"/>
  <c r="U47" i="3"/>
  <c r="U296" i="3"/>
  <c r="U161" i="3"/>
  <c r="U248" i="3"/>
  <c r="U256" i="3"/>
  <c r="U8" i="3"/>
  <c r="U249" i="3"/>
  <c r="U132" i="3"/>
  <c r="U242" i="3"/>
  <c r="U250" i="3"/>
  <c r="U133" i="3"/>
  <c r="U243" i="3"/>
  <c r="U251" i="3"/>
  <c r="U138" i="3"/>
  <c r="U244" i="3"/>
  <c r="U252" i="3"/>
  <c r="U245" i="3"/>
  <c r="U253" i="3"/>
  <c r="U131" i="3"/>
  <c r="U247" i="3"/>
  <c r="U255" i="3"/>
  <c r="U139" i="3"/>
  <c r="U246" i="3"/>
  <c r="U254" i="3"/>
  <c r="U268" i="3"/>
  <c r="U385" i="3"/>
  <c r="U368" i="3"/>
  <c r="U351" i="3"/>
  <c r="U259" i="3"/>
  <c r="U276" i="3"/>
  <c r="U362" i="3"/>
  <c r="U20" i="3"/>
  <c r="U89" i="3"/>
  <c r="U267" i="3"/>
  <c r="U343" i="3"/>
  <c r="U79" i="3"/>
  <c r="U91" i="3"/>
  <c r="U282" i="3"/>
  <c r="U28" i="3"/>
  <c r="U350" i="3"/>
  <c r="U57" i="3"/>
  <c r="U192" i="3"/>
  <c r="U341" i="3"/>
  <c r="U260" i="3"/>
  <c r="U269" i="3"/>
  <c r="U386" i="3"/>
  <c r="U369" i="3"/>
  <c r="U328" i="3"/>
  <c r="U24" i="3"/>
  <c r="U196" i="3"/>
  <c r="U364" i="3"/>
  <c r="U39" i="3"/>
  <c r="U218" i="3"/>
  <c r="U236" i="3"/>
  <c r="U51" i="3"/>
  <c r="U361" i="3"/>
  <c r="U7" i="3"/>
  <c r="U347" i="3"/>
  <c r="U320" i="3"/>
  <c r="U23" i="3"/>
  <c r="U346" i="3"/>
  <c r="U93" i="3"/>
  <c r="U379" i="3"/>
  <c r="U29" i="3"/>
  <c r="U204" i="3"/>
  <c r="U352" i="3"/>
  <c r="U340" i="3"/>
  <c r="U60" i="3"/>
  <c r="U292" i="3"/>
  <c r="U49" i="3"/>
  <c r="U76" i="3"/>
  <c r="U374" i="3"/>
  <c r="U366" i="3"/>
  <c r="U258" i="3"/>
  <c r="U281" i="3"/>
  <c r="U241" i="3"/>
  <c r="U30" i="3"/>
  <c r="U32" i="3"/>
  <c r="U56" i="3"/>
  <c r="U48" i="3"/>
  <c r="U53" i="3"/>
  <c r="U342" i="3"/>
  <c r="U293" i="3"/>
  <c r="U50" i="3"/>
  <c r="U310" i="3"/>
  <c r="U377" i="3"/>
  <c r="U6" i="3"/>
  <c r="U19" i="3"/>
  <c r="U25" i="3"/>
  <c r="U378" i="3"/>
  <c r="U380" i="3"/>
  <c r="U31" i="3"/>
  <c r="U33" i="3"/>
  <c r="U70" i="3"/>
  <c r="U78" i="3"/>
  <c r="U314" i="3"/>
  <c r="U365" i="3"/>
  <c r="U221" i="3"/>
  <c r="U384" i="3"/>
  <c r="U21" i="3"/>
  <c r="U27" i="3"/>
  <c r="U54" i="3"/>
  <c r="U284" i="3"/>
  <c r="U35" i="3"/>
  <c r="U225" i="3"/>
  <c r="U237" i="3"/>
  <c r="U191" i="3"/>
  <c r="U61" i="3"/>
  <c r="U353" i="3"/>
  <c r="U295" i="3"/>
  <c r="U194" i="3"/>
  <c r="U359" i="3"/>
  <c r="U283" i="3"/>
  <c r="U206" i="3"/>
  <c r="U74" i="3"/>
  <c r="U356" i="3"/>
  <c r="U316" i="3"/>
  <c r="U339" i="3"/>
  <c r="U338" i="3"/>
  <c r="U345" i="3"/>
  <c r="U26" i="3"/>
  <c r="U34" i="3"/>
  <c r="U334" i="3"/>
  <c r="U294" i="3"/>
  <c r="U22" i="3"/>
  <c r="U360" i="3"/>
  <c r="U355" i="3"/>
  <c r="U301" i="3"/>
  <c r="U80" i="3"/>
  <c r="U197" i="3"/>
  <c r="U59" i="3"/>
  <c r="U162" i="3"/>
  <c r="U183" i="3"/>
  <c r="U184" i="3"/>
  <c r="U185" i="3"/>
  <c r="U354" i="3"/>
  <c r="U160" i="3"/>
  <c r="U4" i="3"/>
  <c r="U55" i="3"/>
  <c r="U66" i="3"/>
  <c r="U73" i="3"/>
  <c r="U85" i="3"/>
  <c r="U96" i="3"/>
  <c r="U104" i="3"/>
  <c r="U112" i="3"/>
  <c r="U116" i="3"/>
  <c r="U124" i="3"/>
  <c r="U135" i="3"/>
  <c r="U145" i="3"/>
  <c r="U153" i="3"/>
  <c r="U164" i="3"/>
  <c r="U172" i="3"/>
  <c r="U179" i="3"/>
  <c r="U205" i="3"/>
  <c r="U214" i="3"/>
  <c r="U224" i="3"/>
  <c r="U231" i="3"/>
  <c r="U239" i="3"/>
  <c r="U266" i="3"/>
  <c r="U299" i="3"/>
  <c r="U308" i="3"/>
  <c r="U319" i="3"/>
  <c r="U330" i="3"/>
  <c r="U375" i="3"/>
  <c r="U389" i="3"/>
  <c r="U5" i="3"/>
  <c r="U58" i="3"/>
  <c r="U67" i="3"/>
  <c r="U75" i="3"/>
  <c r="U86" i="3"/>
  <c r="U97" i="3"/>
  <c r="U105" i="3"/>
  <c r="U113" i="3"/>
  <c r="U117" i="3"/>
  <c r="U125" i="3"/>
  <c r="U136" i="3"/>
  <c r="U146" i="3"/>
  <c r="U154" i="3"/>
  <c r="U165" i="3"/>
  <c r="U180" i="3"/>
  <c r="U190" i="3"/>
  <c r="U207" i="3"/>
  <c r="U215" i="3"/>
  <c r="U232" i="3"/>
  <c r="U240" i="3"/>
  <c r="U270" i="3"/>
  <c r="U300" i="3"/>
  <c r="U309" i="3"/>
  <c r="U322" i="3"/>
  <c r="U331" i="3"/>
  <c r="U376" i="3"/>
  <c r="U390" i="3"/>
  <c r="U357" i="3"/>
  <c r="U62" i="3"/>
  <c r="U77" i="3"/>
  <c r="U87" i="3"/>
  <c r="U98" i="3"/>
  <c r="U106" i="3"/>
  <c r="U118" i="3"/>
  <c r="U126" i="3"/>
  <c r="U137" i="3"/>
  <c r="U147" i="3"/>
  <c r="U155" i="3"/>
  <c r="U166" i="3"/>
  <c r="U173" i="3"/>
  <c r="U181" i="3"/>
  <c r="U193" i="3"/>
  <c r="U208" i="3"/>
  <c r="U216" i="3"/>
  <c r="U226" i="3"/>
  <c r="U233" i="3"/>
  <c r="U257" i="3"/>
  <c r="U271" i="3"/>
  <c r="U302" i="3"/>
  <c r="U311" i="3"/>
  <c r="U323" i="3"/>
  <c r="U332" i="3"/>
  <c r="U391" i="3"/>
  <c r="U358" i="3"/>
  <c r="U9" i="3"/>
  <c r="U68" i="3"/>
  <c r="U81" i="3"/>
  <c r="U88" i="3"/>
  <c r="U99" i="3"/>
  <c r="U107" i="3"/>
  <c r="U119" i="3"/>
  <c r="U127" i="3"/>
  <c r="U140" i="3"/>
  <c r="U148" i="3"/>
  <c r="U156" i="3"/>
  <c r="U167" i="3"/>
  <c r="U174" i="3"/>
  <c r="U182" i="3"/>
  <c r="U195" i="3"/>
  <c r="U209" i="3"/>
  <c r="U217" i="3"/>
  <c r="U227" i="3"/>
  <c r="U234" i="3"/>
  <c r="U261" i="3"/>
  <c r="U272" i="3"/>
  <c r="U304" i="3"/>
  <c r="U312" i="3"/>
  <c r="U324" i="3"/>
  <c r="U333" i="3"/>
  <c r="U349" i="3"/>
  <c r="U381" i="3"/>
  <c r="U367" i="3"/>
  <c r="U52" i="3"/>
  <c r="U63" i="3"/>
  <c r="U90" i="3"/>
  <c r="U100" i="3"/>
  <c r="U108" i="3"/>
  <c r="U120" i="3"/>
  <c r="U128" i="3"/>
  <c r="U141" i="3"/>
  <c r="U149" i="3"/>
  <c r="U157" i="3"/>
  <c r="U168" i="3"/>
  <c r="U175" i="3"/>
  <c r="U186" i="3"/>
  <c r="U198" i="3"/>
  <c r="U210" i="3"/>
  <c r="U219" i="3"/>
  <c r="U235" i="3"/>
  <c r="U262" i="3"/>
  <c r="U286" i="3"/>
  <c r="U313" i="3"/>
  <c r="U325" i="3"/>
  <c r="U335" i="3"/>
  <c r="U363" i="3"/>
  <c r="U371" i="3"/>
  <c r="U382" i="3"/>
  <c r="U392" i="3"/>
  <c r="U64" i="3"/>
  <c r="U84" i="3"/>
  <c r="U92" i="3"/>
  <c r="U101" i="3"/>
  <c r="U109" i="3"/>
  <c r="U121" i="3"/>
  <c r="U129" i="3"/>
  <c r="U142" i="3"/>
  <c r="U150" i="3"/>
  <c r="U158" i="3"/>
  <c r="U169" i="3"/>
  <c r="U176" i="3"/>
  <c r="U187" i="3"/>
  <c r="U201" i="3"/>
  <c r="U211" i="3"/>
  <c r="U220" i="3"/>
  <c r="U228" i="3"/>
  <c r="U263" i="3"/>
  <c r="U305" i="3"/>
  <c r="U315" i="3"/>
  <c r="U326" i="3"/>
  <c r="U336" i="3"/>
  <c r="U372" i="3"/>
  <c r="U383" i="3"/>
  <c r="U370" i="3"/>
  <c r="U71" i="3"/>
  <c r="U94" i="3"/>
  <c r="U102" i="3"/>
  <c r="U110" i="3"/>
  <c r="U114" i="3"/>
  <c r="U122" i="3"/>
  <c r="U130" i="3"/>
  <c r="U143" i="3"/>
  <c r="U151" i="3"/>
  <c r="U159" i="3"/>
  <c r="U170" i="3"/>
  <c r="U177" i="3"/>
  <c r="U188" i="3"/>
  <c r="U202" i="3"/>
  <c r="U212" i="3"/>
  <c r="U222" i="3"/>
  <c r="U229" i="3"/>
  <c r="U238" i="3"/>
  <c r="U264" i="3"/>
  <c r="U297" i="3"/>
  <c r="U306" i="3"/>
  <c r="U317" i="3"/>
  <c r="U327" i="3"/>
  <c r="U337" i="3"/>
  <c r="U387" i="3"/>
  <c r="U344" i="3"/>
  <c r="U123" i="3"/>
  <c r="U203" i="3"/>
  <c r="U298" i="3"/>
  <c r="U373" i="3"/>
  <c r="U65" i="3"/>
  <c r="U134" i="3"/>
  <c r="U213" i="3"/>
  <c r="U307" i="3"/>
  <c r="U388" i="3"/>
  <c r="U72" i="3"/>
  <c r="U144" i="3"/>
  <c r="U223" i="3"/>
  <c r="U318" i="3"/>
  <c r="U348" i="3"/>
  <c r="U152" i="3"/>
  <c r="U230" i="3"/>
  <c r="U329" i="3"/>
  <c r="U95" i="3"/>
  <c r="U163" i="3"/>
  <c r="U103" i="3"/>
  <c r="U171" i="3"/>
  <c r="U3" i="3"/>
  <c r="U111" i="3"/>
  <c r="U178" i="3"/>
  <c r="U189" i="3"/>
  <c r="U265" i="3"/>
  <c r="U115" i="3"/>
  <c r="E145" i="8"/>
  <c r="D145" i="8"/>
  <c r="B145" i="8"/>
  <c r="A145" i="8"/>
  <c r="E144" i="8"/>
  <c r="D144" i="8"/>
  <c r="B144" i="8"/>
  <c r="A144" i="8"/>
  <c r="E143" i="8"/>
  <c r="D143" i="8"/>
  <c r="B143" i="8"/>
  <c r="A143" i="8"/>
  <c r="T288" i="3" l="1"/>
  <c r="T287" i="3"/>
  <c r="T82" i="3"/>
  <c r="T393" i="3"/>
  <c r="T273" i="3"/>
  <c r="T10" i="3"/>
  <c r="T11" i="3"/>
  <c r="T69" i="3"/>
  <c r="T303" i="3"/>
  <c r="T12" i="3"/>
  <c r="T13" i="3"/>
  <c r="T14" i="3"/>
  <c r="T15" i="3"/>
  <c r="T274" i="3"/>
  <c r="T17" i="3"/>
  <c r="T18" i="3"/>
  <c r="T16" i="3"/>
  <c r="T199" i="3"/>
  <c r="T200" i="3"/>
  <c r="T275" i="3"/>
  <c r="T321" i="3"/>
  <c r="T277" i="3"/>
  <c r="T278" i="3"/>
  <c r="T279" i="3"/>
  <c r="T280" i="3"/>
  <c r="T285" i="3"/>
  <c r="T36" i="3"/>
  <c r="T37" i="3"/>
  <c r="T38" i="3"/>
  <c r="T40" i="3"/>
  <c r="T289" i="3"/>
  <c r="T41" i="3"/>
  <c r="T42" i="3"/>
  <c r="T43" i="3"/>
  <c r="T44" i="3"/>
  <c r="T83" i="3"/>
  <c r="T290" i="3"/>
  <c r="T291" i="3"/>
  <c r="T45" i="3"/>
  <c r="T46" i="3"/>
  <c r="T47" i="3"/>
  <c r="T296" i="3"/>
  <c r="T139" i="3"/>
  <c r="T246" i="3"/>
  <c r="T254" i="3"/>
  <c r="T131" i="3"/>
  <c r="T247" i="3"/>
  <c r="T255" i="3"/>
  <c r="T161" i="3"/>
  <c r="T248" i="3"/>
  <c r="T256" i="3"/>
  <c r="T8" i="3"/>
  <c r="T249" i="3"/>
  <c r="T132" i="3"/>
  <c r="T242" i="3"/>
  <c r="T250" i="3"/>
  <c r="T133" i="3"/>
  <c r="T243" i="3"/>
  <c r="T251" i="3"/>
  <c r="T245" i="3"/>
  <c r="T253" i="3"/>
  <c r="T138" i="3"/>
  <c r="T244" i="3"/>
  <c r="T252" i="3"/>
  <c r="T374" i="3"/>
  <c r="T384" i="3"/>
  <c r="T347" i="3"/>
  <c r="T22" i="3"/>
  <c r="T301" i="3"/>
  <c r="T351" i="3"/>
  <c r="T259" i="3"/>
  <c r="T276" i="3"/>
  <c r="T320" i="3"/>
  <c r="T23" i="3"/>
  <c r="T346" i="3"/>
  <c r="T93" i="3"/>
  <c r="T379" i="3"/>
  <c r="T29" i="3"/>
  <c r="T204" i="3"/>
  <c r="T352" i="3"/>
  <c r="T340" i="3"/>
  <c r="T60" i="3"/>
  <c r="T292" i="3"/>
  <c r="T49" i="3"/>
  <c r="T76" i="3"/>
  <c r="T341" i="3"/>
  <c r="T361" i="3"/>
  <c r="T79" i="3"/>
  <c r="T221" i="3"/>
  <c r="T359" i="3"/>
  <c r="T19" i="3"/>
  <c r="T25" i="3"/>
  <c r="T378" i="3"/>
  <c r="T380" i="3"/>
  <c r="T31" i="3"/>
  <c r="T362" i="3"/>
  <c r="T20" i="3"/>
  <c r="T89" i="3"/>
  <c r="T26" i="3"/>
  <c r="T194" i="3"/>
  <c r="T283" i="3"/>
  <c r="T206" i="3"/>
  <c r="T34" i="3"/>
  <c r="T74" i="3"/>
  <c r="T294" i="3"/>
  <c r="T356" i="3"/>
  <c r="T334" i="3"/>
  <c r="T316" i="3"/>
  <c r="T366" i="3"/>
  <c r="T260" i="3"/>
  <c r="T7" i="3"/>
  <c r="T91" i="3"/>
  <c r="T21" i="3"/>
  <c r="T27" i="3"/>
  <c r="T54" i="3"/>
  <c r="T343" i="3"/>
  <c r="T6" i="3"/>
  <c r="T386" i="3"/>
  <c r="T369" i="3"/>
  <c r="T328" i="3"/>
  <c r="T24" i="3"/>
  <c r="T196" i="3"/>
  <c r="T364" i="3"/>
  <c r="T39" i="3"/>
  <c r="T218" i="3"/>
  <c r="T236" i="3"/>
  <c r="T51" i="3"/>
  <c r="T353" i="3"/>
  <c r="T197" i="3"/>
  <c r="T59" i="3"/>
  <c r="T268" i="3"/>
  <c r="T385" i="3"/>
  <c r="T282" i="3"/>
  <c r="T339" i="3"/>
  <c r="T50" i="3"/>
  <c r="T61" i="3"/>
  <c r="T310" i="3"/>
  <c r="T368" i="3"/>
  <c r="T28" i="3"/>
  <c r="T33" i="3"/>
  <c r="T191" i="3"/>
  <c r="T295" i="3"/>
  <c r="T267" i="3"/>
  <c r="T258" i="3"/>
  <c r="T241" i="3"/>
  <c r="T30" i="3"/>
  <c r="T35" i="3"/>
  <c r="T56" i="3"/>
  <c r="T355" i="3"/>
  <c r="T293" i="3"/>
  <c r="T192" i="3"/>
  <c r="T78" i="3"/>
  <c r="T350" i="3"/>
  <c r="T57" i="3"/>
  <c r="T338" i="3"/>
  <c r="T237" i="3"/>
  <c r="T48" i="3"/>
  <c r="T345" i="3"/>
  <c r="T284" i="3"/>
  <c r="T342" i="3"/>
  <c r="T365" i="3"/>
  <c r="T269" i="3"/>
  <c r="T80" i="3"/>
  <c r="T281" i="3"/>
  <c r="T32" i="3"/>
  <c r="T314" i="3"/>
  <c r="T377" i="3"/>
  <c r="T225" i="3"/>
  <c r="T53" i="3"/>
  <c r="T70" i="3"/>
  <c r="T360" i="3"/>
  <c r="T162" i="3"/>
  <c r="T183" i="3"/>
  <c r="T184" i="3"/>
  <c r="T185" i="3"/>
  <c r="T354" i="3"/>
  <c r="T160" i="3"/>
  <c r="T9" i="3"/>
  <c r="T68" i="3"/>
  <c r="T81" i="3"/>
  <c r="T88" i="3"/>
  <c r="T99" i="3"/>
  <c r="T107" i="3"/>
  <c r="T119" i="3"/>
  <c r="T127" i="3"/>
  <c r="T140" i="3"/>
  <c r="T52" i="3"/>
  <c r="T63" i="3"/>
  <c r="T90" i="3"/>
  <c r="T100" i="3"/>
  <c r="T108" i="3"/>
  <c r="T120" i="3"/>
  <c r="T128" i="3"/>
  <c r="T64" i="3"/>
  <c r="T84" i="3"/>
  <c r="T92" i="3"/>
  <c r="T101" i="3"/>
  <c r="T109" i="3"/>
  <c r="T121" i="3"/>
  <c r="T129" i="3"/>
  <c r="T71" i="3"/>
  <c r="T94" i="3"/>
  <c r="T102" i="3"/>
  <c r="T110" i="3"/>
  <c r="T114" i="3"/>
  <c r="T122" i="3"/>
  <c r="T130" i="3"/>
  <c r="T3" i="3"/>
  <c r="T65" i="3"/>
  <c r="T72" i="3"/>
  <c r="T95" i="3"/>
  <c r="T103" i="3"/>
  <c r="T111" i="3"/>
  <c r="T115" i="3"/>
  <c r="T123" i="3"/>
  <c r="T134" i="3"/>
  <c r="T4" i="3"/>
  <c r="T55" i="3"/>
  <c r="T66" i="3"/>
  <c r="T73" i="3"/>
  <c r="T85" i="3"/>
  <c r="T96" i="3"/>
  <c r="T104" i="3"/>
  <c r="T112" i="3"/>
  <c r="T116" i="3"/>
  <c r="T124" i="3"/>
  <c r="T135" i="3"/>
  <c r="T5" i="3"/>
  <c r="T58" i="3"/>
  <c r="T67" i="3"/>
  <c r="T75" i="3"/>
  <c r="T86" i="3"/>
  <c r="T97" i="3"/>
  <c r="T105" i="3"/>
  <c r="T113" i="3"/>
  <c r="T117" i="3"/>
  <c r="T125" i="3"/>
  <c r="T136" i="3"/>
  <c r="T87" i="3"/>
  <c r="T142" i="3"/>
  <c r="T150" i="3"/>
  <c r="T158" i="3"/>
  <c r="T169" i="3"/>
  <c r="T176" i="3"/>
  <c r="T187" i="3"/>
  <c r="T201" i="3"/>
  <c r="T211" i="3"/>
  <c r="T220" i="3"/>
  <c r="T228" i="3"/>
  <c r="T263" i="3"/>
  <c r="T305" i="3"/>
  <c r="T315" i="3"/>
  <c r="T326" i="3"/>
  <c r="T336" i="3"/>
  <c r="T372" i="3"/>
  <c r="T383" i="3"/>
  <c r="T370" i="3"/>
  <c r="T98" i="3"/>
  <c r="T143" i="3"/>
  <c r="T151" i="3"/>
  <c r="T159" i="3"/>
  <c r="T170" i="3"/>
  <c r="T177" i="3"/>
  <c r="T188" i="3"/>
  <c r="T202" i="3"/>
  <c r="T212" i="3"/>
  <c r="T222" i="3"/>
  <c r="T229" i="3"/>
  <c r="T238" i="3"/>
  <c r="T264" i="3"/>
  <c r="T297" i="3"/>
  <c r="T306" i="3"/>
  <c r="T317" i="3"/>
  <c r="T327" i="3"/>
  <c r="T337" i="3"/>
  <c r="T387" i="3"/>
  <c r="T344" i="3"/>
  <c r="T106" i="3"/>
  <c r="T144" i="3"/>
  <c r="T152" i="3"/>
  <c r="T163" i="3"/>
  <c r="T171" i="3"/>
  <c r="T178" i="3"/>
  <c r="T189" i="3"/>
  <c r="T203" i="3"/>
  <c r="T213" i="3"/>
  <c r="T223" i="3"/>
  <c r="T230" i="3"/>
  <c r="T265" i="3"/>
  <c r="T298" i="3"/>
  <c r="T307" i="3"/>
  <c r="T318" i="3"/>
  <c r="T329" i="3"/>
  <c r="T373" i="3"/>
  <c r="T388" i="3"/>
  <c r="T348" i="3"/>
  <c r="T145" i="3"/>
  <c r="T153" i="3"/>
  <c r="T164" i="3"/>
  <c r="T172" i="3"/>
  <c r="T179" i="3"/>
  <c r="T205" i="3"/>
  <c r="T214" i="3"/>
  <c r="T224" i="3"/>
  <c r="T231" i="3"/>
  <c r="T239" i="3"/>
  <c r="T266" i="3"/>
  <c r="T299" i="3"/>
  <c r="T308" i="3"/>
  <c r="T319" i="3"/>
  <c r="T330" i="3"/>
  <c r="T375" i="3"/>
  <c r="T389" i="3"/>
  <c r="T118" i="3"/>
  <c r="T146" i="3"/>
  <c r="T154" i="3"/>
  <c r="T165" i="3"/>
  <c r="T180" i="3"/>
  <c r="T190" i="3"/>
  <c r="T207" i="3"/>
  <c r="T215" i="3"/>
  <c r="T232" i="3"/>
  <c r="T240" i="3"/>
  <c r="T270" i="3"/>
  <c r="T300" i="3"/>
  <c r="T309" i="3"/>
  <c r="T322" i="3"/>
  <c r="T331" i="3"/>
  <c r="T376" i="3"/>
  <c r="T390" i="3"/>
  <c r="T357" i="3"/>
  <c r="T62" i="3"/>
  <c r="T126" i="3"/>
  <c r="T147" i="3"/>
  <c r="T155" i="3"/>
  <c r="T166" i="3"/>
  <c r="T173" i="3"/>
  <c r="T181" i="3"/>
  <c r="T193" i="3"/>
  <c r="T208" i="3"/>
  <c r="T216" i="3"/>
  <c r="T226" i="3"/>
  <c r="T233" i="3"/>
  <c r="T257" i="3"/>
  <c r="T271" i="3"/>
  <c r="T302" i="3"/>
  <c r="T311" i="3"/>
  <c r="T323" i="3"/>
  <c r="T332" i="3"/>
  <c r="T391" i="3"/>
  <c r="T358" i="3"/>
  <c r="T137" i="3"/>
  <c r="T148" i="3"/>
  <c r="T156" i="3"/>
  <c r="T167" i="3"/>
  <c r="T174" i="3"/>
  <c r="T182" i="3"/>
  <c r="T195" i="3"/>
  <c r="T209" i="3"/>
  <c r="T217" i="3"/>
  <c r="T227" i="3"/>
  <c r="T234" i="3"/>
  <c r="T261" i="3"/>
  <c r="T272" i="3"/>
  <c r="T304" i="3"/>
  <c r="T312" i="3"/>
  <c r="T324" i="3"/>
  <c r="T333" i="3"/>
  <c r="T349" i="3"/>
  <c r="T381" i="3"/>
  <c r="T367" i="3"/>
  <c r="T175" i="3"/>
  <c r="T186" i="3"/>
  <c r="T262" i="3"/>
  <c r="T363" i="3"/>
  <c r="T198" i="3"/>
  <c r="T286" i="3"/>
  <c r="T371" i="3"/>
  <c r="T235" i="3"/>
  <c r="T77" i="3"/>
  <c r="T210" i="3"/>
  <c r="T382" i="3"/>
  <c r="T157" i="3"/>
  <c r="T141" i="3"/>
  <c r="T219" i="3"/>
  <c r="T313" i="3"/>
  <c r="T392" i="3"/>
  <c r="T149" i="3"/>
  <c r="T325" i="3"/>
  <c r="T168" i="3"/>
  <c r="T335" i="3"/>
  <c r="E140" i="8"/>
  <c r="D140" i="8"/>
  <c r="B140" i="8"/>
  <c r="A140" i="8"/>
  <c r="E139" i="8"/>
  <c r="D139" i="8"/>
  <c r="B139" i="8"/>
  <c r="A139" i="8"/>
  <c r="E138" i="8"/>
  <c r="D138" i="8"/>
  <c r="B138" i="8"/>
  <c r="A138" i="8"/>
  <c r="S288" i="3" l="1"/>
  <c r="S287" i="3"/>
  <c r="S82" i="3"/>
  <c r="S393" i="3"/>
  <c r="S273" i="3"/>
  <c r="S10" i="3"/>
  <c r="S11" i="3"/>
  <c r="S69" i="3"/>
  <c r="S303" i="3"/>
  <c r="S12" i="3"/>
  <c r="S13" i="3"/>
  <c r="S14" i="3"/>
  <c r="S15" i="3"/>
  <c r="S274" i="3"/>
  <c r="S17" i="3"/>
  <c r="S18" i="3"/>
  <c r="S16" i="3"/>
  <c r="S199" i="3"/>
  <c r="S200" i="3"/>
  <c r="S275" i="3"/>
  <c r="S321" i="3"/>
  <c r="S277" i="3"/>
  <c r="S278" i="3"/>
  <c r="S279" i="3"/>
  <c r="S280" i="3"/>
  <c r="S285" i="3"/>
  <c r="S36" i="3"/>
  <c r="S37" i="3"/>
  <c r="S38" i="3"/>
  <c r="S40" i="3"/>
  <c r="S289" i="3"/>
  <c r="S41" i="3"/>
  <c r="S42" i="3"/>
  <c r="S43" i="3"/>
  <c r="S44" i="3"/>
  <c r="S83" i="3"/>
  <c r="S290" i="3"/>
  <c r="S291" i="3"/>
  <c r="S45" i="3"/>
  <c r="S46" i="3"/>
  <c r="S47" i="3"/>
  <c r="S296" i="3"/>
  <c r="S138" i="3"/>
  <c r="S244" i="3"/>
  <c r="S252" i="3"/>
  <c r="S245" i="3"/>
  <c r="S253" i="3"/>
  <c r="S139" i="3"/>
  <c r="S246" i="3"/>
  <c r="S254" i="3"/>
  <c r="S131" i="3"/>
  <c r="S247" i="3"/>
  <c r="S255" i="3"/>
  <c r="S161" i="3"/>
  <c r="S248" i="3"/>
  <c r="S256" i="3"/>
  <c r="S8" i="3"/>
  <c r="S249" i="3"/>
  <c r="S133" i="3"/>
  <c r="S243" i="3"/>
  <c r="S251" i="3"/>
  <c r="S132" i="3"/>
  <c r="S242" i="3"/>
  <c r="S250" i="3"/>
  <c r="S341" i="3"/>
  <c r="S361" i="3"/>
  <c r="S79" i="3"/>
  <c r="S221" i="3"/>
  <c r="S359" i="3"/>
  <c r="S19" i="3"/>
  <c r="S25" i="3"/>
  <c r="S378" i="3"/>
  <c r="S380" i="3"/>
  <c r="S31" i="3"/>
  <c r="S33" i="3"/>
  <c r="S70" i="3"/>
  <c r="S78" i="3"/>
  <c r="S314" i="3"/>
  <c r="S365" i="3"/>
  <c r="S362" i="3"/>
  <c r="S20" i="3"/>
  <c r="S89" i="3"/>
  <c r="S26" i="3"/>
  <c r="S194" i="3"/>
  <c r="S283" i="3"/>
  <c r="S206" i="3"/>
  <c r="S34" i="3"/>
  <c r="S74" i="3"/>
  <c r="S294" i="3"/>
  <c r="S356" i="3"/>
  <c r="S334" i="3"/>
  <c r="S316" i="3"/>
  <c r="S268" i="3"/>
  <c r="S385" i="3"/>
  <c r="S368" i="3"/>
  <c r="S282" i="3"/>
  <c r="S28" i="3"/>
  <c r="S350" i="3"/>
  <c r="S57" i="3"/>
  <c r="S192" i="3"/>
  <c r="S343" i="3"/>
  <c r="S6" i="3"/>
  <c r="S386" i="3"/>
  <c r="S369" i="3"/>
  <c r="S328" i="3"/>
  <c r="S24" i="3"/>
  <c r="S196" i="3"/>
  <c r="S364" i="3"/>
  <c r="S39" i="3"/>
  <c r="S218" i="3"/>
  <c r="S236" i="3"/>
  <c r="S51" i="3"/>
  <c r="S374" i="3"/>
  <c r="S384" i="3"/>
  <c r="S347" i="3"/>
  <c r="S22" i="3"/>
  <c r="S301" i="3"/>
  <c r="S197" i="3"/>
  <c r="S80" i="3"/>
  <c r="S339" i="3"/>
  <c r="S59" i="3"/>
  <c r="S338" i="3"/>
  <c r="S360" i="3"/>
  <c r="S355" i="3"/>
  <c r="S345" i="3"/>
  <c r="S295" i="3"/>
  <c r="S267" i="3"/>
  <c r="S377" i="3"/>
  <c r="S353" i="3"/>
  <c r="S258" i="3"/>
  <c r="S269" i="3"/>
  <c r="S281" i="3"/>
  <c r="S241" i="3"/>
  <c r="S30" i="3"/>
  <c r="S32" i="3"/>
  <c r="S56" i="3"/>
  <c r="S48" i="3"/>
  <c r="S53" i="3"/>
  <c r="S342" i="3"/>
  <c r="S293" i="3"/>
  <c r="S50" i="3"/>
  <c r="S310" i="3"/>
  <c r="S7" i="3"/>
  <c r="S91" i="3"/>
  <c r="S225" i="3"/>
  <c r="S351" i="3"/>
  <c r="S93" i="3"/>
  <c r="S60" i="3"/>
  <c r="S292" i="3"/>
  <c r="S49" i="3"/>
  <c r="S259" i="3"/>
  <c r="S320" i="3"/>
  <c r="S29" i="3"/>
  <c r="S260" i="3"/>
  <c r="S21" i="3"/>
  <c r="S27" i="3"/>
  <c r="S54" i="3"/>
  <c r="S35" i="3"/>
  <c r="S276" i="3"/>
  <c r="S23" i="3"/>
  <c r="S379" i="3"/>
  <c r="S204" i="3"/>
  <c r="S340" i="3"/>
  <c r="S76" i="3"/>
  <c r="S346" i="3"/>
  <c r="S352" i="3"/>
  <c r="S284" i="3"/>
  <c r="S61" i="3"/>
  <c r="S237" i="3"/>
  <c r="S366" i="3"/>
  <c r="S191" i="3"/>
  <c r="S183" i="3"/>
  <c r="S162" i="3"/>
  <c r="S184" i="3"/>
  <c r="S185" i="3"/>
  <c r="S160" i="3"/>
  <c r="S354" i="3"/>
  <c r="S4" i="3"/>
  <c r="S55" i="3"/>
  <c r="S66" i="3"/>
  <c r="S73" i="3"/>
  <c r="S85" i="3"/>
  <c r="S96" i="3"/>
  <c r="S104" i="3"/>
  <c r="S112" i="3"/>
  <c r="S116" i="3"/>
  <c r="S124" i="3"/>
  <c r="S135" i="3"/>
  <c r="S145" i="3"/>
  <c r="S153" i="3"/>
  <c r="S164" i="3"/>
  <c r="S172" i="3"/>
  <c r="S179" i="3"/>
  <c r="S205" i="3"/>
  <c r="S214" i="3"/>
  <c r="S224" i="3"/>
  <c r="S231" i="3"/>
  <c r="S239" i="3"/>
  <c r="S266" i="3"/>
  <c r="S299" i="3"/>
  <c r="S308" i="3"/>
  <c r="S319" i="3"/>
  <c r="S330" i="3"/>
  <c r="S375" i="3"/>
  <c r="S389" i="3"/>
  <c r="S5" i="3"/>
  <c r="S58" i="3"/>
  <c r="S67" i="3"/>
  <c r="S75" i="3"/>
  <c r="S86" i="3"/>
  <c r="S97" i="3"/>
  <c r="S105" i="3"/>
  <c r="S113" i="3"/>
  <c r="S117" i="3"/>
  <c r="S125" i="3"/>
  <c r="S136" i="3"/>
  <c r="S146" i="3"/>
  <c r="S154" i="3"/>
  <c r="S165" i="3"/>
  <c r="S180" i="3"/>
  <c r="S190" i="3"/>
  <c r="S207" i="3"/>
  <c r="S215" i="3"/>
  <c r="S232" i="3"/>
  <c r="S62" i="3"/>
  <c r="S77" i="3"/>
  <c r="S87" i="3"/>
  <c r="S98" i="3"/>
  <c r="S106" i="3"/>
  <c r="S118" i="3"/>
  <c r="S126" i="3"/>
  <c r="S137" i="3"/>
  <c r="S147" i="3"/>
  <c r="S155" i="3"/>
  <c r="S166" i="3"/>
  <c r="S173" i="3"/>
  <c r="S181" i="3"/>
  <c r="S193" i="3"/>
  <c r="S208" i="3"/>
  <c r="S216" i="3"/>
  <c r="S226" i="3"/>
  <c r="S233" i="3"/>
  <c r="S257" i="3"/>
  <c r="S271" i="3"/>
  <c r="S302" i="3"/>
  <c r="S311" i="3"/>
  <c r="S323" i="3"/>
  <c r="S332" i="3"/>
  <c r="S391" i="3"/>
  <c r="S358" i="3"/>
  <c r="S9" i="3"/>
  <c r="S68" i="3"/>
  <c r="S81" i="3"/>
  <c r="S88" i="3"/>
  <c r="S99" i="3"/>
  <c r="S107" i="3"/>
  <c r="S119" i="3"/>
  <c r="S127" i="3"/>
  <c r="S140" i="3"/>
  <c r="S148" i="3"/>
  <c r="S156" i="3"/>
  <c r="S167" i="3"/>
  <c r="S174" i="3"/>
  <c r="S182" i="3"/>
  <c r="S195" i="3"/>
  <c r="S209" i="3"/>
  <c r="S217" i="3"/>
  <c r="S227" i="3"/>
  <c r="S234" i="3"/>
  <c r="S52" i="3"/>
  <c r="S63" i="3"/>
  <c r="S90" i="3"/>
  <c r="S100" i="3"/>
  <c r="S108" i="3"/>
  <c r="S120" i="3"/>
  <c r="S128" i="3"/>
  <c r="S141" i="3"/>
  <c r="S149" i="3"/>
  <c r="S157" i="3"/>
  <c r="S168" i="3"/>
  <c r="S175" i="3"/>
  <c r="S186" i="3"/>
  <c r="S198" i="3"/>
  <c r="S210" i="3"/>
  <c r="S219" i="3"/>
  <c r="S235" i="3"/>
  <c r="S262" i="3"/>
  <c r="S286" i="3"/>
  <c r="S313" i="3"/>
  <c r="S325" i="3"/>
  <c r="S335" i="3"/>
  <c r="S363" i="3"/>
  <c r="S371" i="3"/>
  <c r="S382" i="3"/>
  <c r="S392" i="3"/>
  <c r="S64" i="3"/>
  <c r="S84" i="3"/>
  <c r="S92" i="3"/>
  <c r="S101" i="3"/>
  <c r="S109" i="3"/>
  <c r="S121" i="3"/>
  <c r="S129" i="3"/>
  <c r="S142" i="3"/>
  <c r="S150" i="3"/>
  <c r="S158" i="3"/>
  <c r="S169" i="3"/>
  <c r="S176" i="3"/>
  <c r="S187" i="3"/>
  <c r="S201" i="3"/>
  <c r="S211" i="3"/>
  <c r="S220" i="3"/>
  <c r="S228" i="3"/>
  <c r="S263" i="3"/>
  <c r="S305" i="3"/>
  <c r="S315" i="3"/>
  <c r="S326" i="3"/>
  <c r="S336" i="3"/>
  <c r="S372" i="3"/>
  <c r="S383" i="3"/>
  <c r="S370" i="3"/>
  <c r="S71" i="3"/>
  <c r="S94" i="3"/>
  <c r="S102" i="3"/>
  <c r="S110" i="3"/>
  <c r="S114" i="3"/>
  <c r="S122" i="3"/>
  <c r="S130" i="3"/>
  <c r="S143" i="3"/>
  <c r="S151" i="3"/>
  <c r="S159" i="3"/>
  <c r="S170" i="3"/>
  <c r="S177" i="3"/>
  <c r="S188" i="3"/>
  <c r="S202" i="3"/>
  <c r="S212" i="3"/>
  <c r="S222" i="3"/>
  <c r="S229" i="3"/>
  <c r="S238" i="3"/>
  <c r="S264" i="3"/>
  <c r="S297" i="3"/>
  <c r="S306" i="3"/>
  <c r="S317" i="3"/>
  <c r="S327" i="3"/>
  <c r="S337" i="3"/>
  <c r="S387" i="3"/>
  <c r="S344" i="3"/>
  <c r="S65" i="3"/>
  <c r="S134" i="3"/>
  <c r="S213" i="3"/>
  <c r="S300" i="3"/>
  <c r="S329" i="3"/>
  <c r="S349" i="3"/>
  <c r="S376" i="3"/>
  <c r="S189" i="3"/>
  <c r="S72" i="3"/>
  <c r="S144" i="3"/>
  <c r="S223" i="3"/>
  <c r="S304" i="3"/>
  <c r="S331" i="3"/>
  <c r="S381" i="3"/>
  <c r="S115" i="3"/>
  <c r="S152" i="3"/>
  <c r="S230" i="3"/>
  <c r="S307" i="3"/>
  <c r="S333" i="3"/>
  <c r="S388" i="3"/>
  <c r="S322" i="3"/>
  <c r="S95" i="3"/>
  <c r="S163" i="3"/>
  <c r="S261" i="3"/>
  <c r="S309" i="3"/>
  <c r="S390" i="3"/>
  <c r="S103" i="3"/>
  <c r="S171" i="3"/>
  <c r="S240" i="3"/>
  <c r="S265" i="3"/>
  <c r="S312" i="3"/>
  <c r="S357" i="3"/>
  <c r="S3" i="3"/>
  <c r="S111" i="3"/>
  <c r="S178" i="3"/>
  <c r="S270" i="3"/>
  <c r="S318" i="3"/>
  <c r="S348" i="3"/>
  <c r="S123" i="3"/>
  <c r="S203" i="3"/>
  <c r="S298" i="3"/>
  <c r="S324" i="3"/>
  <c r="S373" i="3"/>
  <c r="S367" i="3"/>
  <c r="S272" i="3"/>
  <c r="E135" i="8"/>
  <c r="D135" i="8"/>
  <c r="B135" i="8"/>
  <c r="A135" i="8"/>
  <c r="E134" i="8"/>
  <c r="D134" i="8"/>
  <c r="B134" i="8"/>
  <c r="A134" i="8"/>
  <c r="E133" i="8"/>
  <c r="D133" i="8"/>
  <c r="B133" i="8"/>
  <c r="A133" i="8"/>
  <c r="R288" i="3" l="1"/>
  <c r="R287" i="3"/>
  <c r="R82" i="3"/>
  <c r="R393" i="3"/>
  <c r="R273" i="3"/>
  <c r="R10" i="3"/>
  <c r="R11" i="3"/>
  <c r="R69" i="3"/>
  <c r="R303" i="3"/>
  <c r="R12" i="3"/>
  <c r="R13" i="3"/>
  <c r="R14" i="3"/>
  <c r="R15" i="3"/>
  <c r="R274" i="3"/>
  <c r="R17" i="3"/>
  <c r="R18" i="3"/>
  <c r="R16" i="3"/>
  <c r="R199" i="3"/>
  <c r="R200" i="3"/>
  <c r="R275" i="3"/>
  <c r="R321" i="3"/>
  <c r="R277" i="3"/>
  <c r="R278" i="3"/>
  <c r="R279" i="3"/>
  <c r="R280" i="3"/>
  <c r="R285" i="3"/>
  <c r="R36" i="3"/>
  <c r="R37" i="3"/>
  <c r="R38" i="3"/>
  <c r="R40" i="3"/>
  <c r="R289" i="3"/>
  <c r="R41" i="3"/>
  <c r="R42" i="3"/>
  <c r="R43" i="3"/>
  <c r="R44" i="3"/>
  <c r="R83" i="3"/>
  <c r="R290" i="3"/>
  <c r="R291" i="3"/>
  <c r="R45" i="3"/>
  <c r="R46" i="3"/>
  <c r="R47" i="3"/>
  <c r="R296" i="3"/>
  <c r="R132" i="3"/>
  <c r="R242" i="3"/>
  <c r="R250" i="3"/>
  <c r="R133" i="3"/>
  <c r="R243" i="3"/>
  <c r="R251" i="3"/>
  <c r="R138" i="3"/>
  <c r="R244" i="3"/>
  <c r="R252" i="3"/>
  <c r="R245" i="3"/>
  <c r="R253" i="3"/>
  <c r="R139" i="3"/>
  <c r="R246" i="3"/>
  <c r="R254" i="3"/>
  <c r="R131" i="3"/>
  <c r="R247" i="3"/>
  <c r="R255" i="3"/>
  <c r="R8" i="3"/>
  <c r="R249" i="3"/>
  <c r="R161" i="3"/>
  <c r="R248" i="3"/>
  <c r="R256" i="3"/>
  <c r="R366" i="3"/>
  <c r="R260" i="3"/>
  <c r="R7" i="3"/>
  <c r="R91" i="3"/>
  <c r="R21" i="3"/>
  <c r="R27" i="3"/>
  <c r="R54" i="3"/>
  <c r="R284" i="3"/>
  <c r="R35" i="3"/>
  <c r="R225" i="3"/>
  <c r="R237" i="3"/>
  <c r="R191" i="3"/>
  <c r="R268" i="3"/>
  <c r="R385" i="3"/>
  <c r="R368" i="3"/>
  <c r="R282" i="3"/>
  <c r="R28" i="3"/>
  <c r="R350" i="3"/>
  <c r="R57" i="3"/>
  <c r="R192" i="3"/>
  <c r="R374" i="3"/>
  <c r="R384" i="3"/>
  <c r="R347" i="3"/>
  <c r="R22" i="3"/>
  <c r="R301" i="3"/>
  <c r="R197" i="3"/>
  <c r="R80" i="3"/>
  <c r="R339" i="3"/>
  <c r="R59" i="3"/>
  <c r="R338" i="3"/>
  <c r="R360" i="3"/>
  <c r="R355" i="3"/>
  <c r="R345" i="3"/>
  <c r="R295" i="3"/>
  <c r="R351" i="3"/>
  <c r="R259" i="3"/>
  <c r="R276" i="3"/>
  <c r="R320" i="3"/>
  <c r="R23" i="3"/>
  <c r="R346" i="3"/>
  <c r="R93" i="3"/>
  <c r="R379" i="3"/>
  <c r="R29" i="3"/>
  <c r="R204" i="3"/>
  <c r="R352" i="3"/>
  <c r="R340" i="3"/>
  <c r="R60" i="3"/>
  <c r="R292" i="3"/>
  <c r="R49" i="3"/>
  <c r="R76" i="3"/>
  <c r="R267" i="3"/>
  <c r="R377" i="3"/>
  <c r="R353" i="3"/>
  <c r="R258" i="3"/>
  <c r="R269" i="3"/>
  <c r="R281" i="3"/>
  <c r="R241" i="3"/>
  <c r="R30" i="3"/>
  <c r="R32" i="3"/>
  <c r="R56" i="3"/>
  <c r="R48" i="3"/>
  <c r="R53" i="3"/>
  <c r="R342" i="3"/>
  <c r="R293" i="3"/>
  <c r="R50" i="3"/>
  <c r="R362" i="3"/>
  <c r="R20" i="3"/>
  <c r="R89" i="3"/>
  <c r="R26" i="3"/>
  <c r="R194" i="3"/>
  <c r="R283" i="3"/>
  <c r="R206" i="3"/>
  <c r="R34" i="3"/>
  <c r="R74" i="3"/>
  <c r="R294" i="3"/>
  <c r="R356" i="3"/>
  <c r="R334" i="3"/>
  <c r="R328" i="3"/>
  <c r="R364" i="3"/>
  <c r="R61" i="3"/>
  <c r="R361" i="3"/>
  <c r="R221" i="3"/>
  <c r="R359" i="3"/>
  <c r="R380" i="3"/>
  <c r="R70" i="3"/>
  <c r="R6" i="3"/>
  <c r="R386" i="3"/>
  <c r="R369" i="3"/>
  <c r="R24" i="3"/>
  <c r="R39" i="3"/>
  <c r="R310" i="3"/>
  <c r="R79" i="3"/>
  <c r="R25" i="3"/>
  <c r="R31" i="3"/>
  <c r="R33" i="3"/>
  <c r="R314" i="3"/>
  <c r="R365" i="3"/>
  <c r="R341" i="3"/>
  <c r="R19" i="3"/>
  <c r="R378" i="3"/>
  <c r="R78" i="3"/>
  <c r="R51" i="3"/>
  <c r="R316" i="3"/>
  <c r="R343" i="3"/>
  <c r="R196" i="3"/>
  <c r="R236" i="3"/>
  <c r="R218" i="3"/>
  <c r="R162" i="3"/>
  <c r="R183" i="3"/>
  <c r="R184" i="3"/>
  <c r="R185" i="3"/>
  <c r="R354" i="3"/>
  <c r="R160" i="3"/>
  <c r="R9" i="3"/>
  <c r="R68" i="3"/>
  <c r="R81" i="3"/>
  <c r="R88" i="3"/>
  <c r="R99" i="3"/>
  <c r="R107" i="3"/>
  <c r="R119" i="3"/>
  <c r="R127" i="3"/>
  <c r="R140" i="3"/>
  <c r="R148" i="3"/>
  <c r="R64" i="3"/>
  <c r="R84" i="3"/>
  <c r="R92" i="3"/>
  <c r="R101" i="3"/>
  <c r="R109" i="3"/>
  <c r="R121" i="3"/>
  <c r="R129" i="3"/>
  <c r="R142" i="3"/>
  <c r="R3" i="3"/>
  <c r="R65" i="3"/>
  <c r="R72" i="3"/>
  <c r="R95" i="3"/>
  <c r="R103" i="3"/>
  <c r="R111" i="3"/>
  <c r="R115" i="3"/>
  <c r="R123" i="3"/>
  <c r="R134" i="3"/>
  <c r="R144" i="3"/>
  <c r="R4" i="3"/>
  <c r="R55" i="3"/>
  <c r="R66" i="3"/>
  <c r="R73" i="3"/>
  <c r="R85" i="3"/>
  <c r="R96" i="3"/>
  <c r="R104" i="3"/>
  <c r="R112" i="3"/>
  <c r="R116" i="3"/>
  <c r="R124" i="3"/>
  <c r="R135" i="3"/>
  <c r="R145" i="3"/>
  <c r="R5" i="3"/>
  <c r="R58" i="3"/>
  <c r="R67" i="3"/>
  <c r="R75" i="3"/>
  <c r="R86" i="3"/>
  <c r="R97" i="3"/>
  <c r="R105" i="3"/>
  <c r="R113" i="3"/>
  <c r="R117" i="3"/>
  <c r="R125" i="3"/>
  <c r="R136" i="3"/>
  <c r="R146" i="3"/>
  <c r="R90" i="3"/>
  <c r="R130" i="3"/>
  <c r="R152" i="3"/>
  <c r="R163" i="3"/>
  <c r="R171" i="3"/>
  <c r="R178" i="3"/>
  <c r="R189" i="3"/>
  <c r="R203" i="3"/>
  <c r="R213" i="3"/>
  <c r="R223" i="3"/>
  <c r="R230" i="3"/>
  <c r="R265" i="3"/>
  <c r="R298" i="3"/>
  <c r="R307" i="3"/>
  <c r="R318" i="3"/>
  <c r="R329" i="3"/>
  <c r="R373" i="3"/>
  <c r="R388" i="3"/>
  <c r="R348" i="3"/>
  <c r="R176" i="3"/>
  <c r="R326" i="3"/>
  <c r="R52" i="3"/>
  <c r="R94" i="3"/>
  <c r="R137" i="3"/>
  <c r="R153" i="3"/>
  <c r="R164" i="3"/>
  <c r="R172" i="3"/>
  <c r="R179" i="3"/>
  <c r="R205" i="3"/>
  <c r="R214" i="3"/>
  <c r="R224" i="3"/>
  <c r="R231" i="3"/>
  <c r="R239" i="3"/>
  <c r="R266" i="3"/>
  <c r="R299" i="3"/>
  <c r="R308" i="3"/>
  <c r="R319" i="3"/>
  <c r="R330" i="3"/>
  <c r="R375" i="3"/>
  <c r="R389" i="3"/>
  <c r="R150" i="3"/>
  <c r="R228" i="3"/>
  <c r="R305" i="3"/>
  <c r="R98" i="3"/>
  <c r="R114" i="3"/>
  <c r="R141" i="3"/>
  <c r="R154" i="3"/>
  <c r="R165" i="3"/>
  <c r="R180" i="3"/>
  <c r="R190" i="3"/>
  <c r="R207" i="3"/>
  <c r="R215" i="3"/>
  <c r="R232" i="3"/>
  <c r="R240" i="3"/>
  <c r="R270" i="3"/>
  <c r="R300" i="3"/>
  <c r="R309" i="3"/>
  <c r="R322" i="3"/>
  <c r="R331" i="3"/>
  <c r="R376" i="3"/>
  <c r="R390" i="3"/>
  <c r="R357" i="3"/>
  <c r="R126" i="3"/>
  <c r="R211" i="3"/>
  <c r="R263" i="3"/>
  <c r="R71" i="3"/>
  <c r="R100" i="3"/>
  <c r="R118" i="3"/>
  <c r="R143" i="3"/>
  <c r="R155" i="3"/>
  <c r="R166" i="3"/>
  <c r="R173" i="3"/>
  <c r="R181" i="3"/>
  <c r="R193" i="3"/>
  <c r="R208" i="3"/>
  <c r="R216" i="3"/>
  <c r="R226" i="3"/>
  <c r="R233" i="3"/>
  <c r="R257" i="3"/>
  <c r="R271" i="3"/>
  <c r="R302" i="3"/>
  <c r="R311" i="3"/>
  <c r="R323" i="3"/>
  <c r="R332" i="3"/>
  <c r="R391" i="3"/>
  <c r="R358" i="3"/>
  <c r="R169" i="3"/>
  <c r="R336" i="3"/>
  <c r="R370" i="3"/>
  <c r="R77" i="3"/>
  <c r="R102" i="3"/>
  <c r="R120" i="3"/>
  <c r="R147" i="3"/>
  <c r="R156" i="3"/>
  <c r="R167" i="3"/>
  <c r="R174" i="3"/>
  <c r="R182" i="3"/>
  <c r="R195" i="3"/>
  <c r="R209" i="3"/>
  <c r="R217" i="3"/>
  <c r="R227" i="3"/>
  <c r="R234" i="3"/>
  <c r="R261" i="3"/>
  <c r="R272" i="3"/>
  <c r="R304" i="3"/>
  <c r="R312" i="3"/>
  <c r="R324" i="3"/>
  <c r="R333" i="3"/>
  <c r="R349" i="3"/>
  <c r="R381" i="3"/>
  <c r="R367" i="3"/>
  <c r="R158" i="3"/>
  <c r="R220" i="3"/>
  <c r="R315" i="3"/>
  <c r="R372" i="3"/>
  <c r="R106" i="3"/>
  <c r="R122" i="3"/>
  <c r="R149" i="3"/>
  <c r="R157" i="3"/>
  <c r="R168" i="3"/>
  <c r="R175" i="3"/>
  <c r="R186" i="3"/>
  <c r="R198" i="3"/>
  <c r="R210" i="3"/>
  <c r="R219" i="3"/>
  <c r="R235" i="3"/>
  <c r="R262" i="3"/>
  <c r="R286" i="3"/>
  <c r="R313" i="3"/>
  <c r="R325" i="3"/>
  <c r="R335" i="3"/>
  <c r="R363" i="3"/>
  <c r="R371" i="3"/>
  <c r="R382" i="3"/>
  <c r="R392" i="3"/>
  <c r="R62" i="3"/>
  <c r="R201" i="3"/>
  <c r="R383" i="3"/>
  <c r="R63" i="3"/>
  <c r="R87" i="3"/>
  <c r="R110" i="3"/>
  <c r="R128" i="3"/>
  <c r="R151" i="3"/>
  <c r="R159" i="3"/>
  <c r="R170" i="3"/>
  <c r="R177" i="3"/>
  <c r="R188" i="3"/>
  <c r="R202" i="3"/>
  <c r="R212" i="3"/>
  <c r="R222" i="3"/>
  <c r="R229" i="3"/>
  <c r="R238" i="3"/>
  <c r="R264" i="3"/>
  <c r="R297" i="3"/>
  <c r="R306" i="3"/>
  <c r="R317" i="3"/>
  <c r="R327" i="3"/>
  <c r="R337" i="3"/>
  <c r="R387" i="3"/>
  <c r="R344" i="3"/>
  <c r="R108" i="3"/>
  <c r="R187" i="3"/>
  <c r="E130" i="8"/>
  <c r="D130" i="8"/>
  <c r="B130" i="8"/>
  <c r="A130" i="8"/>
  <c r="E129" i="8"/>
  <c r="D129" i="8"/>
  <c r="B129" i="8"/>
  <c r="A129" i="8"/>
  <c r="E128" i="8"/>
  <c r="D128" i="8"/>
  <c r="B128" i="8"/>
  <c r="A128" i="8"/>
  <c r="G370" i="3"/>
  <c r="G344" i="3"/>
  <c r="G348" i="3"/>
  <c r="G357" i="3"/>
  <c r="G358" i="3"/>
  <c r="G367" i="3"/>
  <c r="H370" i="3"/>
  <c r="H344" i="3"/>
  <c r="H348" i="3"/>
  <c r="H357" i="3"/>
  <c r="H358" i="3"/>
  <c r="H367" i="3"/>
  <c r="I370" i="3"/>
  <c r="I344" i="3"/>
  <c r="I348" i="3"/>
  <c r="I357" i="3"/>
  <c r="I358" i="3"/>
  <c r="I367" i="3"/>
  <c r="J370" i="3"/>
  <c r="J344" i="3"/>
  <c r="J348" i="3"/>
  <c r="J357" i="3"/>
  <c r="J358" i="3"/>
  <c r="J367" i="3"/>
  <c r="K370" i="3"/>
  <c r="K344" i="3"/>
  <c r="K348" i="3"/>
  <c r="K357" i="3"/>
  <c r="K358" i="3"/>
  <c r="K367" i="3"/>
  <c r="L370" i="3"/>
  <c r="L344" i="3"/>
  <c r="L348" i="3"/>
  <c r="L357" i="3"/>
  <c r="L358" i="3"/>
  <c r="L367" i="3"/>
  <c r="Q288" i="3" l="1"/>
  <c r="Q287" i="3"/>
  <c r="Q82" i="3"/>
  <c r="Q393" i="3"/>
  <c r="Q273" i="3"/>
  <c r="Q10" i="3"/>
  <c r="Q11" i="3"/>
  <c r="Q69" i="3"/>
  <c r="Q303" i="3"/>
  <c r="Q12" i="3"/>
  <c r="Q13" i="3"/>
  <c r="Q14" i="3"/>
  <c r="Q15" i="3"/>
  <c r="Q274" i="3"/>
  <c r="Q17" i="3"/>
  <c r="Q18" i="3"/>
  <c r="Q16" i="3"/>
  <c r="Q199" i="3"/>
  <c r="Q200" i="3"/>
  <c r="Q275" i="3"/>
  <c r="Q321" i="3"/>
  <c r="Q277" i="3"/>
  <c r="Q278" i="3"/>
  <c r="Q279" i="3"/>
  <c r="Q280" i="3"/>
  <c r="Q285" i="3"/>
  <c r="Q36" i="3"/>
  <c r="Q37" i="3"/>
  <c r="Q38" i="3"/>
  <c r="Q40" i="3"/>
  <c r="Q289" i="3"/>
  <c r="Q41" i="3"/>
  <c r="Q42" i="3"/>
  <c r="Q43" i="3"/>
  <c r="Q44" i="3"/>
  <c r="Q83" i="3"/>
  <c r="Q290" i="3"/>
  <c r="Q291" i="3"/>
  <c r="Q45" i="3"/>
  <c r="Q46" i="3"/>
  <c r="Q47" i="3"/>
  <c r="Q296" i="3"/>
  <c r="Q161" i="3"/>
  <c r="Q248" i="3"/>
  <c r="Q256" i="3"/>
  <c r="Q8" i="3"/>
  <c r="Q249" i="3"/>
  <c r="Q132" i="3"/>
  <c r="Q242" i="3"/>
  <c r="Q250" i="3"/>
  <c r="Q133" i="3"/>
  <c r="Q243" i="3"/>
  <c r="Q251" i="3"/>
  <c r="Q138" i="3"/>
  <c r="Q244" i="3"/>
  <c r="Q252" i="3"/>
  <c r="Q245" i="3"/>
  <c r="Q253" i="3"/>
  <c r="Q131" i="3"/>
  <c r="Q247" i="3"/>
  <c r="Q255" i="3"/>
  <c r="Q139" i="3"/>
  <c r="Q254" i="3"/>
  <c r="Q246" i="3"/>
  <c r="Q343" i="3"/>
  <c r="Q6" i="3"/>
  <c r="Q386" i="3"/>
  <c r="Q369" i="3"/>
  <c r="Q328" i="3"/>
  <c r="Q24" i="3"/>
  <c r="Q196" i="3"/>
  <c r="Q364" i="3"/>
  <c r="Q39" i="3"/>
  <c r="Q374" i="3"/>
  <c r="Q384" i="3"/>
  <c r="Q347" i="3"/>
  <c r="Q22" i="3"/>
  <c r="Q301" i="3"/>
  <c r="Q197" i="3"/>
  <c r="Q80" i="3"/>
  <c r="Q339" i="3"/>
  <c r="Q59" i="3"/>
  <c r="Q338" i="3"/>
  <c r="Q360" i="3"/>
  <c r="Q355" i="3"/>
  <c r="Q351" i="3"/>
  <c r="Q259" i="3"/>
  <c r="Q276" i="3"/>
  <c r="Q320" i="3"/>
  <c r="Q23" i="3"/>
  <c r="Q346" i="3"/>
  <c r="Q93" i="3"/>
  <c r="Q379" i="3"/>
  <c r="Q29" i="3"/>
  <c r="Q204" i="3"/>
  <c r="Q352" i="3"/>
  <c r="Q340" i="3"/>
  <c r="Q60" i="3"/>
  <c r="Q341" i="3"/>
  <c r="Q361" i="3"/>
  <c r="Q79" i="3"/>
  <c r="Q221" i="3"/>
  <c r="Q359" i="3"/>
  <c r="Q19" i="3"/>
  <c r="Q25" i="3"/>
  <c r="Q378" i="3"/>
  <c r="Q380" i="3"/>
  <c r="Q31" i="3"/>
  <c r="Q33" i="3"/>
  <c r="Q362" i="3"/>
  <c r="Q20" i="3"/>
  <c r="Q283" i="3"/>
  <c r="Q206" i="3"/>
  <c r="Q292" i="3"/>
  <c r="Q345" i="3"/>
  <c r="Q295" i="3"/>
  <c r="Q366" i="3"/>
  <c r="Q284" i="3"/>
  <c r="Q237" i="3"/>
  <c r="Q48" i="3"/>
  <c r="Q49" i="3"/>
  <c r="Q76" i="3"/>
  <c r="Q377" i="3"/>
  <c r="Q269" i="3"/>
  <c r="Q281" i="3"/>
  <c r="Q30" i="3"/>
  <c r="Q32" i="3"/>
  <c r="Q56" i="3"/>
  <c r="Q342" i="3"/>
  <c r="Q70" i="3"/>
  <c r="Q78" i="3"/>
  <c r="Q314" i="3"/>
  <c r="Q365" i="3"/>
  <c r="Q89" i="3"/>
  <c r="Q26" i="3"/>
  <c r="Q194" i="3"/>
  <c r="Q34" i="3"/>
  <c r="Q74" i="3"/>
  <c r="Q294" i="3"/>
  <c r="Q356" i="3"/>
  <c r="Q334" i="3"/>
  <c r="Q316" i="3"/>
  <c r="Q260" i="3"/>
  <c r="Q7" i="3"/>
  <c r="Q91" i="3"/>
  <c r="Q21" i="3"/>
  <c r="Q27" i="3"/>
  <c r="Q54" i="3"/>
  <c r="Q35" i="3"/>
  <c r="Q225" i="3"/>
  <c r="Q191" i="3"/>
  <c r="Q61" i="3"/>
  <c r="Q267" i="3"/>
  <c r="Q353" i="3"/>
  <c r="Q258" i="3"/>
  <c r="Q241" i="3"/>
  <c r="Q218" i="3"/>
  <c r="Q236" i="3"/>
  <c r="Q51" i="3"/>
  <c r="Q350" i="3"/>
  <c r="Q57" i="3"/>
  <c r="Q50" i="3"/>
  <c r="Q310" i="3"/>
  <c r="Q192" i="3"/>
  <c r="Q368" i="3"/>
  <c r="Q28" i="3"/>
  <c r="Q53" i="3"/>
  <c r="Q282" i="3"/>
  <c r="Q385" i="3"/>
  <c r="Q293" i="3"/>
  <c r="Q268" i="3"/>
  <c r="Q162" i="3"/>
  <c r="Q184" i="3"/>
  <c r="Q185" i="3"/>
  <c r="Q183" i="3"/>
  <c r="Q354" i="3"/>
  <c r="Q160" i="3"/>
  <c r="Q62" i="3"/>
  <c r="Q77" i="3"/>
  <c r="Q87" i="3"/>
  <c r="Q98" i="3"/>
  <c r="Q106" i="3"/>
  <c r="Q118" i="3"/>
  <c r="Q126" i="3"/>
  <c r="Q137" i="3"/>
  <c r="Q147" i="3"/>
  <c r="Q155" i="3"/>
  <c r="Q166" i="3"/>
  <c r="Q173" i="3"/>
  <c r="Q181" i="3"/>
  <c r="Q193" i="3"/>
  <c r="Q208" i="3"/>
  <c r="Q216" i="3"/>
  <c r="Q226" i="3"/>
  <c r="Q233" i="3"/>
  <c r="Q257" i="3"/>
  <c r="Q271" i="3"/>
  <c r="Q302" i="3"/>
  <c r="Q311" i="3"/>
  <c r="Q323" i="3"/>
  <c r="Q332" i="3"/>
  <c r="Q391" i="3"/>
  <c r="Q358" i="3"/>
  <c r="Q4" i="3"/>
  <c r="Q9" i="3"/>
  <c r="Q68" i="3"/>
  <c r="Q81" i="3"/>
  <c r="Q88" i="3"/>
  <c r="Q99" i="3"/>
  <c r="Q107" i="3"/>
  <c r="Q119" i="3"/>
  <c r="Q127" i="3"/>
  <c r="Q140" i="3"/>
  <c r="Q148" i="3"/>
  <c r="Q156" i="3"/>
  <c r="Q167" i="3"/>
  <c r="Q174" i="3"/>
  <c r="Q182" i="3"/>
  <c r="Q195" i="3"/>
  <c r="Q209" i="3"/>
  <c r="Q217" i="3"/>
  <c r="Q227" i="3"/>
  <c r="Q234" i="3"/>
  <c r="Q261" i="3"/>
  <c r="Q272" i="3"/>
  <c r="Q304" i="3"/>
  <c r="Q312" i="3"/>
  <c r="Q324" i="3"/>
  <c r="Q333" i="3"/>
  <c r="Q349" i="3"/>
  <c r="Q381" i="3"/>
  <c r="Q367" i="3"/>
  <c r="Q66" i="3"/>
  <c r="Q52" i="3"/>
  <c r="Q63" i="3"/>
  <c r="Q90" i="3"/>
  <c r="Q100" i="3"/>
  <c r="Q108" i="3"/>
  <c r="Q120" i="3"/>
  <c r="Q128" i="3"/>
  <c r="Q141" i="3"/>
  <c r="Q149" i="3"/>
  <c r="Q157" i="3"/>
  <c r="Q168" i="3"/>
  <c r="Q175" i="3"/>
  <c r="Q186" i="3"/>
  <c r="Q198" i="3"/>
  <c r="Q210" i="3"/>
  <c r="Q219" i="3"/>
  <c r="Q235" i="3"/>
  <c r="Q262" i="3"/>
  <c r="Q286" i="3"/>
  <c r="Q313" i="3"/>
  <c r="Q325" i="3"/>
  <c r="Q335" i="3"/>
  <c r="Q363" i="3"/>
  <c r="Q371" i="3"/>
  <c r="Q382" i="3"/>
  <c r="Q392" i="3"/>
  <c r="Q55" i="3"/>
  <c r="Q64" i="3"/>
  <c r="Q84" i="3"/>
  <c r="Q92" i="3"/>
  <c r="Q101" i="3"/>
  <c r="Q109" i="3"/>
  <c r="Q121" i="3"/>
  <c r="Q129" i="3"/>
  <c r="Q142" i="3"/>
  <c r="Q150" i="3"/>
  <c r="Q158" i="3"/>
  <c r="Q169" i="3"/>
  <c r="Q176" i="3"/>
  <c r="Q187" i="3"/>
  <c r="Q201" i="3"/>
  <c r="Q211" i="3"/>
  <c r="Q220" i="3"/>
  <c r="Q228" i="3"/>
  <c r="Q263" i="3"/>
  <c r="Q305" i="3"/>
  <c r="Q315" i="3"/>
  <c r="Q326" i="3"/>
  <c r="Q336" i="3"/>
  <c r="Q372" i="3"/>
  <c r="Q383" i="3"/>
  <c r="Q370" i="3"/>
  <c r="Q96" i="3"/>
  <c r="Q71" i="3"/>
  <c r="Q94" i="3"/>
  <c r="Q102" i="3"/>
  <c r="Q110" i="3"/>
  <c r="Q114" i="3"/>
  <c r="Q122" i="3"/>
  <c r="Q130" i="3"/>
  <c r="Q143" i="3"/>
  <c r="Q151" i="3"/>
  <c r="Q159" i="3"/>
  <c r="Q170" i="3"/>
  <c r="Q177" i="3"/>
  <c r="Q188" i="3"/>
  <c r="Q202" i="3"/>
  <c r="Q212" i="3"/>
  <c r="Q222" i="3"/>
  <c r="Q229" i="3"/>
  <c r="Q238" i="3"/>
  <c r="Q264" i="3"/>
  <c r="Q297" i="3"/>
  <c r="Q306" i="3"/>
  <c r="Q317" i="3"/>
  <c r="Q327" i="3"/>
  <c r="Q337" i="3"/>
  <c r="Q387" i="3"/>
  <c r="Q344" i="3"/>
  <c r="Q73" i="3"/>
  <c r="Q3" i="3"/>
  <c r="Q65" i="3"/>
  <c r="Q72" i="3"/>
  <c r="Q95" i="3"/>
  <c r="Q103" i="3"/>
  <c r="Q111" i="3"/>
  <c r="Q115" i="3"/>
  <c r="Q123" i="3"/>
  <c r="Q134" i="3"/>
  <c r="Q144" i="3"/>
  <c r="Q152" i="3"/>
  <c r="Q163" i="3"/>
  <c r="Q171" i="3"/>
  <c r="Q178" i="3"/>
  <c r="Q189" i="3"/>
  <c r="Q203" i="3"/>
  <c r="Q213" i="3"/>
  <c r="Q223" i="3"/>
  <c r="Q230" i="3"/>
  <c r="Q265" i="3"/>
  <c r="Q298" i="3"/>
  <c r="Q307" i="3"/>
  <c r="Q318" i="3"/>
  <c r="Q329" i="3"/>
  <c r="Q373" i="3"/>
  <c r="Q388" i="3"/>
  <c r="Q348" i="3"/>
  <c r="Q85" i="3"/>
  <c r="Q5" i="3"/>
  <c r="Q58" i="3"/>
  <c r="Q67" i="3"/>
  <c r="Q75" i="3"/>
  <c r="Q86" i="3"/>
  <c r="Q97" i="3"/>
  <c r="Q105" i="3"/>
  <c r="Q113" i="3"/>
  <c r="Q117" i="3"/>
  <c r="Q125" i="3"/>
  <c r="Q136" i="3"/>
  <c r="Q146" i="3"/>
  <c r="Q154" i="3"/>
  <c r="Q165" i="3"/>
  <c r="Q180" i="3"/>
  <c r="Q190" i="3"/>
  <c r="Q207" i="3"/>
  <c r="Q215" i="3"/>
  <c r="Q232" i="3"/>
  <c r="Q240" i="3"/>
  <c r="Q270" i="3"/>
  <c r="Q300" i="3"/>
  <c r="Q309" i="3"/>
  <c r="Q322" i="3"/>
  <c r="Q331" i="3"/>
  <c r="Q376" i="3"/>
  <c r="Q390" i="3"/>
  <c r="Q357" i="3"/>
  <c r="Q153" i="3"/>
  <c r="Q231" i="3"/>
  <c r="Q330" i="3"/>
  <c r="Q266" i="3"/>
  <c r="Q375" i="3"/>
  <c r="Q164" i="3"/>
  <c r="Q239" i="3"/>
  <c r="Q299" i="3"/>
  <c r="Q308" i="3"/>
  <c r="Q104" i="3"/>
  <c r="Q172" i="3"/>
  <c r="Q135" i="3"/>
  <c r="Q112" i="3"/>
  <c r="Q179" i="3"/>
  <c r="Q205" i="3"/>
  <c r="Q389" i="3"/>
  <c r="Q116" i="3"/>
  <c r="Q214" i="3"/>
  <c r="Q124" i="3"/>
  <c r="Q145" i="3"/>
  <c r="Q224" i="3"/>
  <c r="Q319" i="3"/>
  <c r="N47" i="14"/>
  <c r="G5" i="14"/>
  <c r="A24" i="14"/>
  <c r="E24" i="14" s="1"/>
  <c r="A78" i="14" l="1"/>
  <c r="C78" i="14" s="1"/>
  <c r="A71" i="14"/>
  <c r="G24" i="14"/>
  <c r="F24" i="14"/>
  <c r="D24" i="14"/>
  <c r="B24" i="14"/>
  <c r="C24" i="14"/>
  <c r="A36" i="14"/>
  <c r="D78" i="14"/>
  <c r="A37" i="14"/>
  <c r="A27" i="14"/>
  <c r="A17" i="14"/>
  <c r="A41" i="14"/>
  <c r="A31" i="14"/>
  <c r="A21" i="14"/>
  <c r="A35" i="14"/>
  <c r="A25" i="14"/>
  <c r="E25" i="14" s="1"/>
  <c r="A45" i="14"/>
  <c r="A39" i="14"/>
  <c r="E39" i="14" s="1"/>
  <c r="A29" i="14"/>
  <c r="E29" i="14" s="1"/>
  <c r="A19" i="14"/>
  <c r="E19" i="14" s="1"/>
  <c r="A42" i="14"/>
  <c r="A32" i="14"/>
  <c r="A22" i="14"/>
  <c r="A40" i="14"/>
  <c r="A30" i="14"/>
  <c r="A20" i="14"/>
  <c r="A10" i="14"/>
  <c r="A44" i="14"/>
  <c r="A12" i="14"/>
  <c r="A9" i="14"/>
  <c r="E9" i="14" s="1"/>
  <c r="A16" i="14"/>
  <c r="A14" i="14"/>
  <c r="E14" i="14" s="1"/>
  <c r="A34" i="14"/>
  <c r="E34" i="14" s="1"/>
  <c r="A15" i="14"/>
  <c r="A11" i="14"/>
  <c r="A26" i="14"/>
  <c r="G78" i="14"/>
  <c r="A49" i="14"/>
  <c r="A51" i="14"/>
  <c r="A53" i="14"/>
  <c r="A55" i="14"/>
  <c r="A57" i="14"/>
  <c r="A59" i="14"/>
  <c r="A61" i="14"/>
  <c r="A63" i="14"/>
  <c r="A65" i="14"/>
  <c r="A67" i="14"/>
  <c r="A69" i="14"/>
  <c r="A73" i="14"/>
  <c r="A75" i="14"/>
  <c r="A77" i="14"/>
  <c r="A50" i="14"/>
  <c r="A52" i="14"/>
  <c r="A54" i="14"/>
  <c r="A56" i="14"/>
  <c r="A58" i="14"/>
  <c r="A60" i="14"/>
  <c r="A62" i="14"/>
  <c r="A64" i="14"/>
  <c r="A66" i="14"/>
  <c r="A68" i="14"/>
  <c r="A70" i="14"/>
  <c r="A72" i="14"/>
  <c r="A74" i="14"/>
  <c r="A76" i="14"/>
  <c r="G272" i="3"/>
  <c r="H272" i="3"/>
  <c r="I272" i="3"/>
  <c r="J272" i="3"/>
  <c r="K272" i="3"/>
  <c r="L272" i="3"/>
  <c r="N39" i="13"/>
  <c r="G5" i="13"/>
  <c r="A34" i="13"/>
  <c r="E34" i="13" s="1"/>
  <c r="F78" i="14" l="1"/>
  <c r="B78" i="14"/>
  <c r="E26" i="14"/>
  <c r="E27" i="14" s="1"/>
  <c r="E35" i="14"/>
  <c r="E36" i="14" s="1"/>
  <c r="E37" i="14" s="1"/>
  <c r="E40" i="14"/>
  <c r="E41" i="14" s="1"/>
  <c r="E42" i="14" s="1"/>
  <c r="E20" i="14"/>
  <c r="E21" i="14" s="1"/>
  <c r="E22" i="14" s="1"/>
  <c r="E30" i="14"/>
  <c r="E31" i="14" s="1"/>
  <c r="E32" i="14" s="1"/>
  <c r="D58" i="14"/>
  <c r="C58" i="14"/>
  <c r="B58" i="14"/>
  <c r="F58" i="14"/>
  <c r="G58" i="14"/>
  <c r="G30" i="14"/>
  <c r="F30" i="14"/>
  <c r="D30" i="14"/>
  <c r="C30" i="14"/>
  <c r="B30" i="14"/>
  <c r="D72" i="14"/>
  <c r="C72" i="14"/>
  <c r="B72" i="14"/>
  <c r="F72" i="14"/>
  <c r="G72" i="14"/>
  <c r="D56" i="14"/>
  <c r="C56" i="14"/>
  <c r="B56" i="14"/>
  <c r="F56" i="14"/>
  <c r="G56" i="14"/>
  <c r="G69" i="14"/>
  <c r="F69" i="14"/>
  <c r="D69" i="14"/>
  <c r="C69" i="14"/>
  <c r="B69" i="14"/>
  <c r="G53" i="14"/>
  <c r="F53" i="14"/>
  <c r="D53" i="14"/>
  <c r="C53" i="14"/>
  <c r="B53" i="14"/>
  <c r="G14" i="14"/>
  <c r="F14" i="14"/>
  <c r="B14" i="14"/>
  <c r="E15" i="14"/>
  <c r="E16" i="14" s="1"/>
  <c r="E17" i="14" s="1"/>
  <c r="D14" i="14"/>
  <c r="C14" i="14"/>
  <c r="G40" i="14"/>
  <c r="F40" i="14"/>
  <c r="D40" i="14"/>
  <c r="C40" i="14"/>
  <c r="B40" i="14"/>
  <c r="C25" i="14"/>
  <c r="B25" i="14"/>
  <c r="G25" i="14"/>
  <c r="F25" i="14"/>
  <c r="D25" i="14"/>
  <c r="G55" i="14"/>
  <c r="F55" i="14"/>
  <c r="D55" i="14"/>
  <c r="C55" i="14"/>
  <c r="B55" i="14"/>
  <c r="D70" i="14"/>
  <c r="C70" i="14"/>
  <c r="B70" i="14"/>
  <c r="F70" i="14"/>
  <c r="G70" i="14"/>
  <c r="D54" i="14"/>
  <c r="C54" i="14"/>
  <c r="B54" i="14"/>
  <c r="F54" i="14"/>
  <c r="G54" i="14"/>
  <c r="G67" i="14"/>
  <c r="F67" i="14"/>
  <c r="D67" i="14"/>
  <c r="C67" i="14"/>
  <c r="B67" i="14"/>
  <c r="G51" i="14"/>
  <c r="F51" i="14"/>
  <c r="D51" i="14"/>
  <c r="C51" i="14"/>
  <c r="B51" i="14"/>
  <c r="F16" i="14"/>
  <c r="D16" i="14"/>
  <c r="C16" i="14"/>
  <c r="B16" i="14"/>
  <c r="G16" i="14"/>
  <c r="D22" i="14"/>
  <c r="C22" i="14"/>
  <c r="B22" i="14"/>
  <c r="G22" i="14"/>
  <c r="F22" i="14"/>
  <c r="C35" i="14"/>
  <c r="B35" i="14"/>
  <c r="G35" i="14"/>
  <c r="F35" i="14"/>
  <c r="D35" i="14"/>
  <c r="D68" i="14"/>
  <c r="C68" i="14"/>
  <c r="B68" i="14"/>
  <c r="F68" i="14"/>
  <c r="G68" i="14"/>
  <c r="D52" i="14"/>
  <c r="C52" i="14"/>
  <c r="B52" i="14"/>
  <c r="F52" i="14"/>
  <c r="G52" i="14"/>
  <c r="G65" i="14"/>
  <c r="F65" i="14"/>
  <c r="D65" i="14"/>
  <c r="C65" i="14"/>
  <c r="B65" i="14"/>
  <c r="G49" i="14"/>
  <c r="F49" i="14"/>
  <c r="D49" i="14"/>
  <c r="C49" i="14"/>
  <c r="B49" i="14"/>
  <c r="C9" i="14"/>
  <c r="B9" i="14"/>
  <c r="G9" i="14"/>
  <c r="F9" i="14"/>
  <c r="E10" i="14"/>
  <c r="E11" i="14" s="1"/>
  <c r="E12" i="14" s="1"/>
  <c r="D9" i="14"/>
  <c r="D32" i="14"/>
  <c r="C32" i="14"/>
  <c r="B32" i="14"/>
  <c r="G32" i="14"/>
  <c r="F32" i="14"/>
  <c r="B21" i="14"/>
  <c r="G21" i="14"/>
  <c r="F21" i="14"/>
  <c r="D21" i="14"/>
  <c r="C21" i="14"/>
  <c r="F36" i="14"/>
  <c r="D36" i="14"/>
  <c r="C36" i="14"/>
  <c r="B36" i="14"/>
  <c r="G36" i="14"/>
  <c r="G71" i="14"/>
  <c r="F71" i="14"/>
  <c r="D71" i="14"/>
  <c r="B71" i="14"/>
  <c r="D66" i="14"/>
  <c r="C66" i="14"/>
  <c r="B66" i="14"/>
  <c r="F66" i="14"/>
  <c r="G66" i="14"/>
  <c r="D12" i="14"/>
  <c r="C12" i="14"/>
  <c r="G12" i="14"/>
  <c r="F12" i="14"/>
  <c r="B12" i="14"/>
  <c r="D42" i="14"/>
  <c r="C42" i="14"/>
  <c r="B42" i="14"/>
  <c r="G42" i="14"/>
  <c r="F42" i="14"/>
  <c r="B31" i="14"/>
  <c r="G31" i="14"/>
  <c r="F31" i="14"/>
  <c r="D31" i="14"/>
  <c r="C31" i="14"/>
  <c r="G37" i="14"/>
  <c r="F37" i="14"/>
  <c r="C37" i="14"/>
  <c r="D37" i="14"/>
  <c r="B37" i="14"/>
  <c r="D64" i="14"/>
  <c r="C64" i="14"/>
  <c r="B64" i="14"/>
  <c r="F64" i="14"/>
  <c r="G64" i="14"/>
  <c r="G77" i="14"/>
  <c r="F77" i="14"/>
  <c r="D77" i="14"/>
  <c r="C77" i="14"/>
  <c r="B77" i="14"/>
  <c r="G61" i="14"/>
  <c r="F61" i="14"/>
  <c r="D61" i="14"/>
  <c r="C61" i="14"/>
  <c r="B61" i="14"/>
  <c r="F26" i="14"/>
  <c r="D26" i="14"/>
  <c r="C26" i="14"/>
  <c r="B26" i="14"/>
  <c r="G26" i="14"/>
  <c r="G44" i="14"/>
  <c r="F44" i="14"/>
  <c r="D44" i="14"/>
  <c r="B44" i="14"/>
  <c r="C44" i="14"/>
  <c r="D19" i="14"/>
  <c r="C19" i="14"/>
  <c r="B19" i="14"/>
  <c r="F19" i="14"/>
  <c r="G19" i="14"/>
  <c r="B41" i="14"/>
  <c r="G41" i="14"/>
  <c r="F41" i="14"/>
  <c r="D41" i="14"/>
  <c r="C41" i="14"/>
  <c r="D74" i="14"/>
  <c r="C74" i="14"/>
  <c r="B74" i="14"/>
  <c r="F74" i="14"/>
  <c r="G74" i="14"/>
  <c r="D45" i="14"/>
  <c r="C45" i="14"/>
  <c r="B45" i="14"/>
  <c r="G45" i="14"/>
  <c r="F45" i="14"/>
  <c r="G63" i="14"/>
  <c r="F63" i="14"/>
  <c r="D63" i="14"/>
  <c r="C63" i="14"/>
  <c r="B63" i="14"/>
  <c r="D62" i="14"/>
  <c r="C62" i="14"/>
  <c r="B62" i="14"/>
  <c r="F62" i="14"/>
  <c r="G62" i="14"/>
  <c r="G75" i="14"/>
  <c r="F75" i="14"/>
  <c r="D75" i="14"/>
  <c r="C75" i="14"/>
  <c r="B75" i="14"/>
  <c r="G59" i="14"/>
  <c r="F59" i="14"/>
  <c r="D59" i="14"/>
  <c r="C59" i="14"/>
  <c r="B59" i="14"/>
  <c r="G11" i="14"/>
  <c r="F11" i="14"/>
  <c r="B11" i="14"/>
  <c r="D11" i="14"/>
  <c r="C11" i="14"/>
  <c r="F10" i="14"/>
  <c r="D10" i="14"/>
  <c r="C10" i="14"/>
  <c r="B10" i="14"/>
  <c r="G10" i="14"/>
  <c r="D29" i="14"/>
  <c r="C29" i="14"/>
  <c r="B29" i="14"/>
  <c r="F29" i="14"/>
  <c r="G29" i="14"/>
  <c r="G17" i="14"/>
  <c r="F17" i="14"/>
  <c r="C17" i="14"/>
  <c r="B17" i="14"/>
  <c r="D17" i="14"/>
  <c r="G34" i="14"/>
  <c r="F34" i="14"/>
  <c r="D34" i="14"/>
  <c r="B34" i="14"/>
  <c r="C34" i="14"/>
  <c r="D50" i="14"/>
  <c r="C50" i="14"/>
  <c r="B50" i="14"/>
  <c r="F50" i="14"/>
  <c r="G50" i="14"/>
  <c r="D76" i="14"/>
  <c r="C76" i="14"/>
  <c r="B76" i="14"/>
  <c r="F76" i="14"/>
  <c r="G76" i="14"/>
  <c r="D60" i="14"/>
  <c r="C60" i="14"/>
  <c r="B60" i="14"/>
  <c r="F60" i="14"/>
  <c r="G60" i="14"/>
  <c r="G73" i="14"/>
  <c r="F73" i="14"/>
  <c r="D73" i="14"/>
  <c r="C73" i="14"/>
  <c r="B73" i="14"/>
  <c r="G57" i="14"/>
  <c r="F57" i="14"/>
  <c r="D57" i="14"/>
  <c r="C57" i="14"/>
  <c r="B57" i="14"/>
  <c r="G15" i="14"/>
  <c r="B15" i="14"/>
  <c r="F15" i="14"/>
  <c r="D15" i="14"/>
  <c r="C15" i="14"/>
  <c r="G20" i="14"/>
  <c r="F20" i="14"/>
  <c r="D20" i="14"/>
  <c r="C20" i="14"/>
  <c r="B20" i="14"/>
  <c r="D39" i="14"/>
  <c r="C39" i="14"/>
  <c r="B39" i="14"/>
  <c r="F39" i="14"/>
  <c r="G39" i="14"/>
  <c r="G27" i="14"/>
  <c r="F27" i="14"/>
  <c r="C27" i="14"/>
  <c r="B27" i="14"/>
  <c r="D27" i="14"/>
  <c r="A41" i="13"/>
  <c r="G41" i="13" s="1"/>
  <c r="A43" i="13"/>
  <c r="G43" i="13" s="1"/>
  <c r="G34" i="13"/>
  <c r="F34" i="13"/>
  <c r="D34" i="13"/>
  <c r="C34" i="13"/>
  <c r="B34" i="13"/>
  <c r="A12" i="13"/>
  <c r="A20" i="13"/>
  <c r="A36" i="13"/>
  <c r="A9" i="13"/>
  <c r="E9" i="13" s="1"/>
  <c r="A26" i="13"/>
  <c r="A15" i="13"/>
  <c r="A16" i="13"/>
  <c r="A11" i="13"/>
  <c r="A14" i="13"/>
  <c r="E14" i="13" s="1"/>
  <c r="A37" i="13"/>
  <c r="A27" i="13"/>
  <c r="A17" i="13"/>
  <c r="A31" i="13"/>
  <c r="A21" i="13"/>
  <c r="A35" i="13"/>
  <c r="E35" i="13" s="1"/>
  <c r="A25" i="13"/>
  <c r="A29" i="13"/>
  <c r="E29" i="13" s="1"/>
  <c r="A19" i="13"/>
  <c r="E19" i="13" s="1"/>
  <c r="E20" i="13" s="1"/>
  <c r="A32" i="13"/>
  <c r="A22" i="13"/>
  <c r="A10" i="13"/>
  <c r="A24" i="13"/>
  <c r="E24" i="13" s="1"/>
  <c r="A30" i="13"/>
  <c r="A42" i="13"/>
  <c r="G257" i="3"/>
  <c r="H257" i="3"/>
  <c r="I257" i="3"/>
  <c r="J257" i="3"/>
  <c r="K257" i="3"/>
  <c r="L257" i="3"/>
  <c r="E36" i="13" l="1"/>
  <c r="E37" i="13" s="1"/>
  <c r="E25" i="13"/>
  <c r="E26" i="13" s="1"/>
  <c r="E27" i="13" s="1"/>
  <c r="E10" i="13"/>
  <c r="E11" i="13" s="1"/>
  <c r="E12" i="13" s="1"/>
  <c r="E21" i="13"/>
  <c r="E22" i="13" s="1"/>
  <c r="E30" i="13"/>
  <c r="E31" i="13" s="1"/>
  <c r="E32" i="13" s="1"/>
  <c r="E15" i="13"/>
  <c r="E16" i="13" s="1"/>
  <c r="E17" i="13" s="1"/>
  <c r="C41" i="13"/>
  <c r="D41" i="13"/>
  <c r="F41" i="13"/>
  <c r="B41" i="13"/>
  <c r="B43" i="13"/>
  <c r="D43" i="13"/>
  <c r="F43" i="13"/>
  <c r="C43" i="13"/>
  <c r="D32" i="13"/>
  <c r="C32" i="13"/>
  <c r="B32" i="13"/>
  <c r="G32" i="13"/>
  <c r="F32" i="13"/>
  <c r="B21" i="13"/>
  <c r="G21" i="13"/>
  <c r="F21" i="13"/>
  <c r="D21" i="13"/>
  <c r="C21" i="13"/>
  <c r="F36" i="13"/>
  <c r="D36" i="13"/>
  <c r="C36" i="13"/>
  <c r="B36" i="13"/>
  <c r="G36" i="13"/>
  <c r="G24" i="13"/>
  <c r="F24" i="13"/>
  <c r="D24" i="13"/>
  <c r="B24" i="13"/>
  <c r="C24" i="13"/>
  <c r="B31" i="13"/>
  <c r="G31" i="13"/>
  <c r="F31" i="13"/>
  <c r="C31" i="13"/>
  <c r="D31" i="13"/>
  <c r="D11" i="13"/>
  <c r="C11" i="13"/>
  <c r="B11" i="13"/>
  <c r="G11" i="13"/>
  <c r="F11" i="13"/>
  <c r="G20" i="13"/>
  <c r="F20" i="13"/>
  <c r="D20" i="13"/>
  <c r="C20" i="13"/>
  <c r="B20" i="13"/>
  <c r="C35" i="13"/>
  <c r="B35" i="13"/>
  <c r="G35" i="13"/>
  <c r="F35" i="13"/>
  <c r="D35" i="13"/>
  <c r="C14" i="13"/>
  <c r="B14" i="13"/>
  <c r="G14" i="13"/>
  <c r="F14" i="13"/>
  <c r="D14" i="13"/>
  <c r="D19" i="13"/>
  <c r="C19" i="13"/>
  <c r="B19" i="13"/>
  <c r="G19" i="13"/>
  <c r="F19" i="13"/>
  <c r="F26" i="13"/>
  <c r="D26" i="13"/>
  <c r="C26" i="13"/>
  <c r="B26" i="13"/>
  <c r="G26" i="13"/>
  <c r="G12" i="13"/>
  <c r="F12" i="13"/>
  <c r="D12" i="13"/>
  <c r="C12" i="13"/>
  <c r="B12" i="13"/>
  <c r="D22" i="13"/>
  <c r="C22" i="13"/>
  <c r="B22" i="13"/>
  <c r="F22" i="13"/>
  <c r="G22" i="13"/>
  <c r="G17" i="13"/>
  <c r="F17" i="13"/>
  <c r="C17" i="13"/>
  <c r="B17" i="13"/>
  <c r="D17" i="13"/>
  <c r="G9" i="13"/>
  <c r="F9" i="13"/>
  <c r="C9" i="13"/>
  <c r="B9" i="13"/>
  <c r="D9" i="13"/>
  <c r="D29" i="13"/>
  <c r="C29" i="13"/>
  <c r="B29" i="13"/>
  <c r="F29" i="13"/>
  <c r="G29" i="13"/>
  <c r="G27" i="13"/>
  <c r="F27" i="13"/>
  <c r="D27" i="13"/>
  <c r="C27" i="13"/>
  <c r="B27" i="13"/>
  <c r="D42" i="13"/>
  <c r="C42" i="13"/>
  <c r="B42" i="13"/>
  <c r="G42" i="13"/>
  <c r="F42" i="13"/>
  <c r="G37" i="13"/>
  <c r="F37" i="13"/>
  <c r="D37" i="13"/>
  <c r="B37" i="13"/>
  <c r="C37" i="13"/>
  <c r="F16" i="13"/>
  <c r="D16" i="13"/>
  <c r="C16" i="13"/>
  <c r="B16" i="13"/>
  <c r="G16" i="13"/>
  <c r="G30" i="13"/>
  <c r="F30" i="13"/>
  <c r="D30" i="13"/>
  <c r="C30" i="13"/>
  <c r="B30" i="13"/>
  <c r="B10" i="13"/>
  <c r="G10" i="13"/>
  <c r="F10" i="13"/>
  <c r="D10" i="13"/>
  <c r="C10" i="13"/>
  <c r="C25" i="13"/>
  <c r="B25" i="13"/>
  <c r="G25" i="13"/>
  <c r="D25" i="13"/>
  <c r="F25" i="13"/>
  <c r="G15" i="13"/>
  <c r="F15" i="13"/>
  <c r="D15" i="13"/>
  <c r="B15" i="13"/>
  <c r="C15" i="13"/>
  <c r="A89" i="8"/>
  <c r="B89" i="8"/>
  <c r="D89" i="8"/>
  <c r="E89" i="8"/>
  <c r="G65" i="3" l="1"/>
  <c r="H65" i="11" s="1"/>
  <c r="H65" i="3"/>
  <c r="I65" i="11" s="1"/>
  <c r="I65" i="3"/>
  <c r="J65" i="3"/>
  <c r="J65" i="11" s="1"/>
  <c r="K65" i="3"/>
  <c r="K65" i="11" s="1"/>
  <c r="L65" i="3"/>
  <c r="G337" i="3" l="1"/>
  <c r="H337" i="3"/>
  <c r="I337" i="3"/>
  <c r="J337" i="3"/>
  <c r="K337" i="3"/>
  <c r="L337" i="3"/>
  <c r="G85" i="3"/>
  <c r="G86" i="3"/>
  <c r="H85" i="3"/>
  <c r="H86" i="3"/>
  <c r="I85" i="3"/>
  <c r="I86" i="3"/>
  <c r="J85" i="3"/>
  <c r="J86" i="3"/>
  <c r="K85" i="3"/>
  <c r="K86" i="3"/>
  <c r="L85" i="3"/>
  <c r="L86" i="3"/>
  <c r="G179" i="3"/>
  <c r="H179" i="3"/>
  <c r="I179" i="3"/>
  <c r="J179" i="3"/>
  <c r="K179" i="3"/>
  <c r="L179" i="3"/>
  <c r="G84" i="3"/>
  <c r="H84" i="3"/>
  <c r="I84" i="3"/>
  <c r="J84" i="3"/>
  <c r="K84" i="3"/>
  <c r="L84" i="3"/>
  <c r="G224" i="3"/>
  <c r="H68" i="11" s="1"/>
  <c r="H224" i="3"/>
  <c r="I68" i="11" s="1"/>
  <c r="I224" i="3"/>
  <c r="J224" i="3"/>
  <c r="J68" i="11" s="1"/>
  <c r="K224" i="3"/>
  <c r="K68" i="11" s="1"/>
  <c r="L224" i="3"/>
  <c r="G227" i="3"/>
  <c r="H227" i="3"/>
  <c r="I227" i="3"/>
  <c r="J227" i="3"/>
  <c r="K227" i="3"/>
  <c r="L227" i="3"/>
  <c r="H67" i="14" l="1"/>
  <c r="M67" i="14"/>
  <c r="M68" i="14"/>
  <c r="I68" i="14"/>
  <c r="K67" i="14"/>
  <c r="L67" i="14"/>
  <c r="J67" i="14"/>
  <c r="L68" i="14"/>
  <c r="H68" i="14"/>
  <c r="I67" i="14"/>
  <c r="K68" i="14"/>
  <c r="J68" i="14"/>
  <c r="A1074" i="8"/>
  <c r="A1075" i="8"/>
  <c r="B1074" i="8"/>
  <c r="B1075" i="8"/>
  <c r="D1074" i="8"/>
  <c r="D1075" i="8"/>
  <c r="E1074" i="8"/>
  <c r="E1075" i="8"/>
  <c r="A1032" i="8" l="1"/>
  <c r="A1033" i="8"/>
  <c r="B1032" i="8"/>
  <c r="B1033" i="8"/>
  <c r="D1032" i="8"/>
  <c r="D1033" i="8"/>
  <c r="E1032" i="8"/>
  <c r="E1033" i="8"/>
  <c r="A1000" i="8" l="1"/>
  <c r="A1001" i="8"/>
  <c r="B1000" i="8"/>
  <c r="B1001" i="8"/>
  <c r="D1000" i="8"/>
  <c r="D1001" i="8"/>
  <c r="E1000" i="8"/>
  <c r="E1001" i="8"/>
  <c r="A960" i="8" l="1"/>
  <c r="A961" i="8"/>
  <c r="B960" i="8"/>
  <c r="B961" i="8"/>
  <c r="D960" i="8"/>
  <c r="D961" i="8"/>
  <c r="E960" i="8"/>
  <c r="E961" i="8"/>
  <c r="A881" i="8" l="1"/>
  <c r="A882" i="8"/>
  <c r="B881" i="8"/>
  <c r="B882" i="8"/>
  <c r="D881" i="8"/>
  <c r="D882" i="8"/>
  <c r="E881" i="8"/>
  <c r="E882" i="8"/>
  <c r="A816" i="8" l="1"/>
  <c r="A817" i="8"/>
  <c r="B816" i="8"/>
  <c r="B817" i="8"/>
  <c r="D816" i="8"/>
  <c r="D817" i="8"/>
  <c r="E816" i="8"/>
  <c r="E817" i="8"/>
  <c r="A772" i="8" l="1"/>
  <c r="A773" i="8"/>
  <c r="A774" i="8"/>
  <c r="A775" i="8"/>
  <c r="B772" i="8"/>
  <c r="B773" i="8"/>
  <c r="B774" i="8"/>
  <c r="B775" i="8"/>
  <c r="D772" i="8"/>
  <c r="D773" i="8"/>
  <c r="D774" i="8"/>
  <c r="D775" i="8"/>
  <c r="E772" i="8"/>
  <c r="E773" i="8"/>
  <c r="E774" i="8"/>
  <c r="E775" i="8"/>
  <c r="A730" i="8" l="1"/>
  <c r="A731" i="8"/>
  <c r="B730" i="8"/>
  <c r="B731" i="8"/>
  <c r="D730" i="8"/>
  <c r="D731" i="8"/>
  <c r="E730" i="8"/>
  <c r="E731" i="8"/>
  <c r="A698" i="8" l="1"/>
  <c r="A699" i="8"/>
  <c r="B698" i="8"/>
  <c r="B699" i="8"/>
  <c r="D698" i="8"/>
  <c r="D699" i="8"/>
  <c r="E698" i="8"/>
  <c r="E699" i="8"/>
  <c r="A664" i="8" l="1"/>
  <c r="A665" i="8"/>
  <c r="B664" i="8"/>
  <c r="B665" i="8"/>
  <c r="D664" i="8"/>
  <c r="D665" i="8"/>
  <c r="E664" i="8"/>
  <c r="E665" i="8"/>
  <c r="A615" i="8" l="1"/>
  <c r="A616" i="8"/>
  <c r="B615" i="8"/>
  <c r="B616" i="8"/>
  <c r="D615" i="8"/>
  <c r="D616" i="8"/>
  <c r="E615" i="8"/>
  <c r="E616" i="8"/>
  <c r="A288" i="8" l="1"/>
  <c r="B288" i="8"/>
  <c r="D288" i="8"/>
  <c r="E288" i="8"/>
  <c r="K124" i="10" l="1"/>
  <c r="A929" i="8"/>
  <c r="B929" i="8"/>
  <c r="D929" i="8"/>
  <c r="E929" i="8"/>
  <c r="L231" i="3"/>
  <c r="K231" i="3"/>
  <c r="J231" i="3"/>
  <c r="I231" i="3"/>
  <c r="H231" i="3"/>
  <c r="G231" i="3"/>
  <c r="G232" i="3"/>
  <c r="H232" i="3"/>
  <c r="I232" i="3"/>
  <c r="J232" i="3"/>
  <c r="K232" i="3"/>
  <c r="L232" i="3"/>
  <c r="G7" i="12"/>
  <c r="G6" i="12"/>
  <c r="A11" i="12"/>
  <c r="E11" i="12" s="1"/>
  <c r="G5" i="12"/>
  <c r="K112" i="10"/>
  <c r="K110" i="10"/>
  <c r="K111" i="10"/>
  <c r="K109" i="10"/>
  <c r="K105" i="10"/>
  <c r="K108" i="10"/>
  <c r="K107" i="10"/>
  <c r="K103" i="10"/>
  <c r="K101" i="10"/>
  <c r="K102" i="10"/>
  <c r="K100" i="10"/>
  <c r="K99" i="10"/>
  <c r="K98" i="10"/>
  <c r="K97" i="10"/>
  <c r="K75" i="10"/>
  <c r="K79" i="10"/>
  <c r="K81" i="10"/>
  <c r="K82" i="10"/>
  <c r="K76" i="10"/>
  <c r="K80" i="10"/>
  <c r="K78" i="10"/>
  <c r="K77" i="10"/>
  <c r="K69" i="10"/>
  <c r="K66" i="10"/>
  <c r="K67" i="10"/>
  <c r="K72" i="10"/>
  <c r="K71" i="10"/>
  <c r="K68" i="10"/>
  <c r="K70" i="10"/>
  <c r="K60" i="10"/>
  <c r="K62" i="10"/>
  <c r="K63" i="10"/>
  <c r="K59" i="10"/>
  <c r="K58" i="10"/>
  <c r="K61" i="10"/>
  <c r="K57" i="10"/>
  <c r="K51" i="10"/>
  <c r="K53" i="10"/>
  <c r="K54" i="10"/>
  <c r="K50" i="10"/>
  <c r="K49" i="10"/>
  <c r="K52" i="10"/>
  <c r="K48" i="10"/>
  <c r="K42" i="10"/>
  <c r="K44" i="10"/>
  <c r="K45" i="10"/>
  <c r="K41" i="10"/>
  <c r="K43" i="10"/>
  <c r="K40" i="10"/>
  <c r="K39" i="10"/>
  <c r="K34" i="10"/>
  <c r="K33" i="10"/>
  <c r="K35" i="10"/>
  <c r="K36" i="10"/>
  <c r="K32" i="10"/>
  <c r="K31" i="10"/>
  <c r="K29" i="10"/>
  <c r="K30" i="10"/>
  <c r="K22" i="10"/>
  <c r="K26" i="10"/>
  <c r="K21" i="10"/>
  <c r="K25" i="10"/>
  <c r="K24" i="10"/>
  <c r="K23" i="10"/>
  <c r="K18" i="10"/>
  <c r="K17" i="10"/>
  <c r="K16" i="10"/>
  <c r="K15" i="10"/>
  <c r="K8" i="10"/>
  <c r="K9" i="10"/>
  <c r="K10" i="10"/>
  <c r="K11" i="10"/>
  <c r="K7" i="10"/>
  <c r="K6" i="10"/>
  <c r="H66" i="11" l="1"/>
  <c r="H70" i="11"/>
  <c r="J66" i="11"/>
  <c r="J70" i="11"/>
  <c r="I66" i="11"/>
  <c r="I70" i="11"/>
  <c r="K66" i="11"/>
  <c r="K70" i="11"/>
  <c r="A13" i="12"/>
  <c r="B13" i="12" s="1"/>
  <c r="A16" i="12"/>
  <c r="E16" i="12" s="1"/>
  <c r="A12" i="12"/>
  <c r="B12" i="12" s="1"/>
  <c r="E31" i="12"/>
  <c r="A51" i="12"/>
  <c r="D11" i="12"/>
  <c r="C11" i="12"/>
  <c r="F11" i="12"/>
  <c r="B11" i="12"/>
  <c r="G11" i="12"/>
  <c r="D18" i="12"/>
  <c r="B18" i="12"/>
  <c r="G18" i="12"/>
  <c r="F18" i="12"/>
  <c r="C18" i="12"/>
  <c r="A14" i="12"/>
  <c r="A47" i="12"/>
  <c r="A37" i="12"/>
  <c r="A17" i="12"/>
  <c r="A42" i="12"/>
  <c r="A46" i="12"/>
  <c r="A36" i="12"/>
  <c r="E36" i="12" s="1"/>
  <c r="A26" i="12"/>
  <c r="E26" i="12" s="1"/>
  <c r="A41" i="12"/>
  <c r="E41" i="12" s="1"/>
  <c r="A21" i="12"/>
  <c r="E21" i="12" s="1"/>
  <c r="E42" i="12" l="1"/>
  <c r="E43" i="12" s="1"/>
  <c r="E32" i="12"/>
  <c r="E37" i="12"/>
  <c r="E38" i="12" s="1"/>
  <c r="E17" i="12"/>
  <c r="E18" i="12" s="1"/>
  <c r="E27" i="12"/>
  <c r="E28" i="12" s="1"/>
  <c r="E22" i="12"/>
  <c r="E23" i="12" s="1"/>
  <c r="E12" i="12"/>
  <c r="E13" i="12" s="1"/>
  <c r="E14" i="12" s="1"/>
  <c r="C12" i="12"/>
  <c r="G13" i="12"/>
  <c r="G23" i="12"/>
  <c r="F12" i="12"/>
  <c r="F13" i="12"/>
  <c r="D12" i="12"/>
  <c r="C16" i="12"/>
  <c r="F16" i="12"/>
  <c r="G16" i="12"/>
  <c r="D16" i="12"/>
  <c r="D51" i="12"/>
  <c r="B51" i="12"/>
  <c r="A44" i="12"/>
  <c r="A33" i="12"/>
  <c r="A29" i="12"/>
  <c r="A24" i="12"/>
  <c r="A39" i="12"/>
  <c r="C39" i="12" s="1"/>
  <c r="A34" i="12"/>
  <c r="A19" i="12"/>
  <c r="C19" i="12" s="1"/>
  <c r="G31" i="12"/>
  <c r="F31" i="12"/>
  <c r="B31" i="12"/>
  <c r="B23" i="12"/>
  <c r="G12" i="12"/>
  <c r="B16" i="12"/>
  <c r="D13" i="12"/>
  <c r="C13" i="12"/>
  <c r="C31" i="12"/>
  <c r="C23" i="12"/>
  <c r="D23" i="12"/>
  <c r="C51" i="12"/>
  <c r="G51" i="12"/>
  <c r="D31" i="12"/>
  <c r="F51" i="12"/>
  <c r="F23" i="12"/>
  <c r="D28" i="12"/>
  <c r="B28" i="12"/>
  <c r="G28" i="12"/>
  <c r="F28" i="12"/>
  <c r="C28" i="12"/>
  <c r="C42" i="12"/>
  <c r="G42" i="12"/>
  <c r="F42" i="12"/>
  <c r="B42" i="12"/>
  <c r="D42" i="12"/>
  <c r="F14" i="12"/>
  <c r="D14" i="12"/>
  <c r="C14" i="12"/>
  <c r="B14" i="12"/>
  <c r="G14" i="12"/>
  <c r="F46" i="12"/>
  <c r="D46" i="12"/>
  <c r="B46" i="12"/>
  <c r="G46" i="12"/>
  <c r="C46" i="12"/>
  <c r="G27" i="12"/>
  <c r="D27" i="12"/>
  <c r="C27" i="12"/>
  <c r="B27" i="12"/>
  <c r="F27" i="12"/>
  <c r="G17" i="12"/>
  <c r="D17" i="12"/>
  <c r="C17" i="12"/>
  <c r="B17" i="12"/>
  <c r="F17" i="12"/>
  <c r="G37" i="12"/>
  <c r="D37" i="12"/>
  <c r="C37" i="12"/>
  <c r="F37" i="12"/>
  <c r="B37" i="12"/>
  <c r="G47" i="12"/>
  <c r="D47" i="12"/>
  <c r="C47" i="12"/>
  <c r="F47" i="12"/>
  <c r="B47" i="12"/>
  <c r="F43" i="12"/>
  <c r="D43" i="12"/>
  <c r="C43" i="12"/>
  <c r="B43" i="12"/>
  <c r="G43" i="12"/>
  <c r="B21" i="12"/>
  <c r="F21" i="12"/>
  <c r="D21" i="12"/>
  <c r="C21" i="12"/>
  <c r="G21" i="12"/>
  <c r="C32" i="12"/>
  <c r="G32" i="12"/>
  <c r="F32" i="12"/>
  <c r="D32" i="12"/>
  <c r="B32" i="12"/>
  <c r="B41" i="12"/>
  <c r="F41" i="12"/>
  <c r="D41" i="12"/>
  <c r="G41" i="12"/>
  <c r="C41" i="12"/>
  <c r="F26" i="12"/>
  <c r="D26" i="12"/>
  <c r="B26" i="12"/>
  <c r="G26" i="12"/>
  <c r="C26" i="12"/>
  <c r="C22" i="12"/>
  <c r="G22" i="12"/>
  <c r="F22" i="12"/>
  <c r="D22" i="12"/>
  <c r="B22" i="12"/>
  <c r="F36" i="12"/>
  <c r="D36" i="12"/>
  <c r="B36" i="12"/>
  <c r="G36" i="12"/>
  <c r="C36" i="12"/>
  <c r="D38" i="12"/>
  <c r="B38" i="12"/>
  <c r="G38" i="12"/>
  <c r="F38" i="12"/>
  <c r="C38" i="12"/>
  <c r="E33" i="12" l="1"/>
  <c r="E34" i="12" s="1"/>
  <c r="E44" i="12"/>
  <c r="E29" i="12"/>
  <c r="E24" i="12"/>
  <c r="E19" i="12"/>
  <c r="E39" i="12"/>
  <c r="D39" i="12"/>
  <c r="G44" i="12"/>
  <c r="B19" i="12"/>
  <c r="K19" i="12"/>
  <c r="B33" i="12"/>
  <c r="G29" i="12"/>
  <c r="G33" i="12"/>
  <c r="D29" i="12"/>
  <c r="B29" i="12"/>
  <c r="C29" i="12"/>
  <c r="F29" i="12"/>
  <c r="B24" i="12"/>
  <c r="C24" i="12"/>
  <c r="F24" i="12"/>
  <c r="G24" i="12"/>
  <c r="D24" i="12"/>
  <c r="D44" i="12"/>
  <c r="C44" i="12"/>
  <c r="B44" i="12"/>
  <c r="F33" i="12"/>
  <c r="F44" i="12"/>
  <c r="G39" i="12"/>
  <c r="F34" i="12"/>
  <c r="F39" i="12"/>
  <c r="G34" i="12"/>
  <c r="B39" i="12"/>
  <c r="B34" i="12"/>
  <c r="C34" i="12"/>
  <c r="D34" i="12"/>
  <c r="D19" i="12"/>
  <c r="J19" i="12"/>
  <c r="F19" i="12"/>
  <c r="H19" i="12"/>
  <c r="G19" i="12"/>
  <c r="I19" i="12"/>
  <c r="C33" i="12"/>
  <c r="D33" i="12"/>
  <c r="G7" i="11" l="1"/>
  <c r="G6" i="11"/>
  <c r="L8" i="11" s="1"/>
  <c r="G5" i="11"/>
  <c r="A52" i="11" l="1"/>
  <c r="A53" i="11"/>
  <c r="A51" i="11"/>
  <c r="E32" i="11"/>
  <c r="E21" i="11"/>
  <c r="E11" i="11"/>
  <c r="E41" i="11"/>
  <c r="E26" i="11"/>
  <c r="A47" i="11"/>
  <c r="E16" i="11"/>
  <c r="E36" i="11"/>
  <c r="E37" i="11" s="1"/>
  <c r="E38" i="11" l="1"/>
  <c r="E27" i="11"/>
  <c r="E28" i="11" s="1"/>
  <c r="E22" i="11"/>
  <c r="E23" i="11" s="1"/>
  <c r="E42" i="11"/>
  <c r="E43" i="11" s="1"/>
  <c r="E44" i="11" s="1"/>
  <c r="D17" i="11"/>
  <c r="D41" i="11"/>
  <c r="E33" i="11"/>
  <c r="G51" i="11"/>
  <c r="C51" i="11"/>
  <c r="B51" i="11"/>
  <c r="D51" i="11"/>
  <c r="F51" i="11"/>
  <c r="D21" i="11"/>
  <c r="F11" i="11"/>
  <c r="G21" i="11"/>
  <c r="C21" i="11"/>
  <c r="F21" i="11"/>
  <c r="C17" i="11"/>
  <c r="G16" i="11"/>
  <c r="B16" i="11"/>
  <c r="B41" i="11"/>
  <c r="C11" i="11"/>
  <c r="D11" i="11"/>
  <c r="C16" i="11"/>
  <c r="G17" i="11"/>
  <c r="B11" i="11"/>
  <c r="F41" i="11"/>
  <c r="F17" i="11"/>
  <c r="C41" i="11"/>
  <c r="B17" i="11"/>
  <c r="F16" i="11"/>
  <c r="D16" i="11"/>
  <c r="E12" i="11"/>
  <c r="E13" i="11" s="1"/>
  <c r="E14" i="11" s="1"/>
  <c r="E17" i="11"/>
  <c r="E18" i="11" s="1"/>
  <c r="G41" i="11"/>
  <c r="G11" i="11"/>
  <c r="B21" i="11"/>
  <c r="D47" i="11"/>
  <c r="C47" i="11"/>
  <c r="B47" i="11"/>
  <c r="G47" i="11"/>
  <c r="F47" i="11"/>
  <c r="G46" i="11"/>
  <c r="F46" i="11"/>
  <c r="B46" i="11"/>
  <c r="C46" i="11"/>
  <c r="D46" i="11"/>
  <c r="F44" i="11"/>
  <c r="D44" i="11"/>
  <c r="C44" i="11"/>
  <c r="G44" i="11"/>
  <c r="B44" i="11"/>
  <c r="D22" i="11"/>
  <c r="C22" i="11"/>
  <c r="B22" i="11"/>
  <c r="G22" i="11"/>
  <c r="F22" i="11"/>
  <c r="G28" i="11"/>
  <c r="F28" i="11"/>
  <c r="D28" i="11"/>
  <c r="B28" i="11"/>
  <c r="C28" i="11"/>
  <c r="C43" i="11"/>
  <c r="B43" i="11"/>
  <c r="D43" i="11"/>
  <c r="F43" i="11"/>
  <c r="G43" i="11"/>
  <c r="C12" i="11"/>
  <c r="B12" i="11"/>
  <c r="G12" i="11"/>
  <c r="F12" i="11"/>
  <c r="D12" i="11"/>
  <c r="G42" i="11"/>
  <c r="F42" i="11"/>
  <c r="D42" i="11"/>
  <c r="C42" i="11"/>
  <c r="B42" i="11"/>
  <c r="G14" i="11"/>
  <c r="D14" i="11"/>
  <c r="B14" i="11"/>
  <c r="C14" i="11"/>
  <c r="F14" i="11"/>
  <c r="G32" i="11"/>
  <c r="F32" i="11"/>
  <c r="D32" i="11"/>
  <c r="C32" i="11"/>
  <c r="B32" i="11"/>
  <c r="D23" i="11"/>
  <c r="G23" i="11"/>
  <c r="F23" i="11"/>
  <c r="B23" i="11"/>
  <c r="C23" i="11"/>
  <c r="D53" i="11"/>
  <c r="C53" i="11"/>
  <c r="B53" i="11"/>
  <c r="F53" i="11"/>
  <c r="G53" i="11"/>
  <c r="G38" i="11"/>
  <c r="F38" i="11"/>
  <c r="D38" i="11"/>
  <c r="C38" i="11"/>
  <c r="B38" i="11"/>
  <c r="G52" i="11"/>
  <c r="F52" i="11"/>
  <c r="D52" i="11"/>
  <c r="C52" i="11"/>
  <c r="B52" i="11"/>
  <c r="D27" i="11"/>
  <c r="C27" i="11"/>
  <c r="B27" i="11"/>
  <c r="G27" i="11"/>
  <c r="F27" i="11"/>
  <c r="G26" i="11"/>
  <c r="F26" i="11"/>
  <c r="B26" i="11"/>
  <c r="D26" i="11"/>
  <c r="C26" i="11"/>
  <c r="B18" i="11"/>
  <c r="F18" i="11"/>
  <c r="D18" i="11"/>
  <c r="C18" i="11"/>
  <c r="G18" i="11"/>
  <c r="D37" i="11"/>
  <c r="C37" i="11"/>
  <c r="B37" i="11"/>
  <c r="F37" i="11"/>
  <c r="G37" i="11"/>
  <c r="G36" i="11"/>
  <c r="F36" i="11"/>
  <c r="B36" i="11"/>
  <c r="D36" i="11"/>
  <c r="C36" i="11"/>
  <c r="F13" i="11"/>
  <c r="D13" i="11"/>
  <c r="B13" i="11"/>
  <c r="G13" i="11"/>
  <c r="C13" i="11"/>
  <c r="E39" i="11" l="1"/>
  <c r="E34" i="11"/>
  <c r="E29" i="11"/>
  <c r="E24" i="11"/>
  <c r="B39" i="11"/>
  <c r="D90" i="11"/>
  <c r="D29" i="11"/>
  <c r="B33" i="11"/>
  <c r="G81" i="11"/>
  <c r="D19" i="11"/>
  <c r="G34" i="11"/>
  <c r="D89" i="11"/>
  <c r="B91" i="11"/>
  <c r="G24" i="11"/>
  <c r="B84" i="11"/>
  <c r="G80" i="11"/>
  <c r="C92" i="11"/>
  <c r="C93" i="11"/>
  <c r="D79" i="11"/>
  <c r="B86" i="11"/>
  <c r="B82" i="11"/>
  <c r="D94" i="11"/>
  <c r="B29" i="11"/>
  <c r="F29" i="11"/>
  <c r="C29" i="11"/>
  <c r="B89" i="11"/>
  <c r="D91" i="11"/>
  <c r="G29" i="11"/>
  <c r="C90" i="11"/>
  <c r="G82" i="11"/>
  <c r="B90" i="11"/>
  <c r="C82" i="11"/>
  <c r="F93" i="11"/>
  <c r="B80" i="11"/>
  <c r="G93" i="11"/>
  <c r="F82" i="11"/>
  <c r="F90" i="11"/>
  <c r="D82" i="11"/>
  <c r="G90" i="11"/>
  <c r="F79" i="11"/>
  <c r="B88" i="11"/>
  <c r="G91" i="11"/>
  <c r="C83" i="11"/>
  <c r="B83" i="11"/>
  <c r="C91" i="11"/>
  <c r="F91" i="11"/>
  <c r="G83" i="11"/>
  <c r="F87" i="11"/>
  <c r="G88" i="11"/>
  <c r="B87" i="11"/>
  <c r="C80" i="11"/>
  <c r="C87" i="11"/>
  <c r="D80" i="11"/>
  <c r="C86" i="11"/>
  <c r="F86" i="11"/>
  <c r="F80" i="11"/>
  <c r="D88" i="11"/>
  <c r="G86" i="11"/>
  <c r="D86" i="11"/>
  <c r="D87" i="11"/>
  <c r="F88" i="11"/>
  <c r="C88" i="11"/>
  <c r="G87" i="11"/>
  <c r="G79" i="11"/>
  <c r="C94" i="11"/>
  <c r="F83" i="11"/>
  <c r="G92" i="11"/>
  <c r="F92" i="11"/>
  <c r="B94" i="11"/>
  <c r="D83" i="11"/>
  <c r="B92" i="11"/>
  <c r="G94" i="11"/>
  <c r="D92" i="11"/>
  <c r="F94" i="11"/>
  <c r="C79" i="11"/>
  <c r="C89" i="11"/>
  <c r="B79" i="11"/>
  <c r="D93" i="11"/>
  <c r="B93" i="11"/>
  <c r="G89" i="11"/>
  <c r="F89" i="11"/>
  <c r="F84" i="11"/>
  <c r="D85" i="11"/>
  <c r="D81" i="11"/>
  <c r="G85" i="11"/>
  <c r="F81" i="11"/>
  <c r="G84" i="11"/>
  <c r="C81" i="11"/>
  <c r="D84" i="11"/>
  <c r="C85" i="11"/>
  <c r="B81" i="11"/>
  <c r="B85" i="11"/>
  <c r="F85" i="11"/>
  <c r="C84" i="11"/>
  <c r="B24" i="11"/>
  <c r="D33" i="11"/>
  <c r="C33" i="11"/>
  <c r="D39" i="11"/>
  <c r="C39" i="11"/>
  <c r="F19" i="11"/>
  <c r="E19" i="11"/>
  <c r="B34" i="11"/>
  <c r="D34" i="11"/>
  <c r="D24" i="11"/>
  <c r="C24" i="11"/>
  <c r="F24" i="11"/>
  <c r="C34" i="11"/>
  <c r="F33" i="11"/>
  <c r="B19" i="11"/>
  <c r="F34" i="11"/>
  <c r="G33" i="11"/>
  <c r="C19" i="11"/>
  <c r="F39" i="11"/>
  <c r="G39" i="11"/>
  <c r="G19" i="11"/>
  <c r="L3" i="3"/>
  <c r="L4" i="3"/>
  <c r="L5" i="3"/>
  <c r="M45" i="14" s="1"/>
  <c r="L52" i="3"/>
  <c r="L9" i="3"/>
  <c r="L55" i="3"/>
  <c r="L58" i="3"/>
  <c r="L62" i="3"/>
  <c r="L63" i="3"/>
  <c r="L64" i="3"/>
  <c r="L66" i="3"/>
  <c r="L67" i="3"/>
  <c r="L68" i="3"/>
  <c r="L71" i="3"/>
  <c r="L72" i="3"/>
  <c r="L73" i="3"/>
  <c r="L75" i="3"/>
  <c r="L77" i="3"/>
  <c r="L81" i="3"/>
  <c r="L87" i="3"/>
  <c r="L88" i="3"/>
  <c r="L90" i="3"/>
  <c r="L92" i="3"/>
  <c r="L94" i="3"/>
  <c r="L95" i="3"/>
  <c r="L96" i="3"/>
  <c r="L97" i="3"/>
  <c r="L98" i="3"/>
  <c r="L99" i="3"/>
  <c r="L100" i="3"/>
  <c r="L101" i="3"/>
  <c r="L102" i="3"/>
  <c r="L103" i="3"/>
  <c r="L104" i="3"/>
  <c r="L105" i="3"/>
  <c r="L106" i="3"/>
  <c r="L107" i="3"/>
  <c r="L108" i="3"/>
  <c r="L109" i="3"/>
  <c r="L110" i="3"/>
  <c r="M34" i="14" s="1"/>
  <c r="L111" i="3"/>
  <c r="M35" i="14" s="1"/>
  <c r="L112" i="3"/>
  <c r="L113" i="3"/>
  <c r="M40" i="14" s="1"/>
  <c r="L114" i="3"/>
  <c r="L115" i="3"/>
  <c r="L116" i="3"/>
  <c r="L117" i="3"/>
  <c r="L118" i="3"/>
  <c r="L119" i="3"/>
  <c r="L120" i="3"/>
  <c r="L121" i="3"/>
  <c r="L122" i="3"/>
  <c r="L123" i="3"/>
  <c r="L124" i="3"/>
  <c r="L125" i="3"/>
  <c r="L126" i="3"/>
  <c r="L127" i="3"/>
  <c r="L128" i="3"/>
  <c r="L129" i="3"/>
  <c r="L130" i="3"/>
  <c r="L134" i="3"/>
  <c r="L135" i="3"/>
  <c r="L136" i="3"/>
  <c r="L137" i="3"/>
  <c r="L140" i="3"/>
  <c r="L141" i="3"/>
  <c r="L142" i="3"/>
  <c r="L143" i="3"/>
  <c r="L144" i="3"/>
  <c r="L145" i="3"/>
  <c r="L146" i="3"/>
  <c r="L147" i="3"/>
  <c r="L148" i="3"/>
  <c r="L149" i="3"/>
  <c r="L150" i="3"/>
  <c r="L151" i="3"/>
  <c r="L152" i="3"/>
  <c r="L153" i="3"/>
  <c r="L154" i="3"/>
  <c r="L155" i="3"/>
  <c r="L156" i="3"/>
  <c r="L157" i="3"/>
  <c r="L158" i="3"/>
  <c r="L159" i="3"/>
  <c r="L163" i="3"/>
  <c r="L164" i="3"/>
  <c r="L165" i="3"/>
  <c r="L166" i="3"/>
  <c r="L167" i="3"/>
  <c r="L168" i="3"/>
  <c r="L169" i="3"/>
  <c r="L170" i="3"/>
  <c r="L171" i="3"/>
  <c r="L172" i="3"/>
  <c r="L173" i="3"/>
  <c r="L174" i="3"/>
  <c r="L175" i="3"/>
  <c r="L176" i="3"/>
  <c r="M52" i="5" s="1"/>
  <c r="L177" i="3"/>
  <c r="M44" i="14" s="1"/>
  <c r="L178" i="3"/>
  <c r="L180" i="3"/>
  <c r="L181" i="3"/>
  <c r="M78" i="14" s="1"/>
  <c r="L182" i="3"/>
  <c r="M41" i="14" s="1"/>
  <c r="L186" i="3"/>
  <c r="L187" i="3"/>
  <c r="L188" i="3"/>
  <c r="L189" i="3"/>
  <c r="L190" i="3"/>
  <c r="L193" i="3"/>
  <c r="L195" i="3"/>
  <c r="L198" i="3"/>
  <c r="L201" i="3"/>
  <c r="L202" i="3"/>
  <c r="L203" i="3"/>
  <c r="L205" i="3"/>
  <c r="L207" i="3"/>
  <c r="L208" i="3"/>
  <c r="L209" i="3"/>
  <c r="L210" i="3"/>
  <c r="L211" i="3"/>
  <c r="L212" i="3"/>
  <c r="L213" i="3"/>
  <c r="L214" i="3"/>
  <c r="L215" i="3"/>
  <c r="L216" i="3"/>
  <c r="L217" i="3"/>
  <c r="L219" i="3"/>
  <c r="L220" i="3"/>
  <c r="L222" i="3"/>
  <c r="L223" i="3"/>
  <c r="L226" i="3"/>
  <c r="L228" i="3"/>
  <c r="L229" i="3"/>
  <c r="L230" i="3"/>
  <c r="L233" i="3"/>
  <c r="L234" i="3"/>
  <c r="L235" i="3"/>
  <c r="L238" i="3"/>
  <c r="L239" i="3"/>
  <c r="L240" i="3"/>
  <c r="L261" i="3"/>
  <c r="L262" i="3"/>
  <c r="L263" i="3"/>
  <c r="L264" i="3"/>
  <c r="L265" i="3"/>
  <c r="L266" i="3"/>
  <c r="L270" i="3"/>
  <c r="L286" i="3"/>
  <c r="L271" i="3"/>
  <c r="L297" i="3"/>
  <c r="M61" i="14" s="1"/>
  <c r="L298" i="3"/>
  <c r="L299" i="3"/>
  <c r="L300" i="3"/>
  <c r="L302" i="3"/>
  <c r="L304" i="3"/>
  <c r="L305" i="3"/>
  <c r="L306" i="3"/>
  <c r="L307" i="3"/>
  <c r="L308" i="3"/>
  <c r="L309" i="3"/>
  <c r="L311" i="3"/>
  <c r="L312" i="3"/>
  <c r="L313" i="3"/>
  <c r="L315" i="3"/>
  <c r="L317" i="3"/>
  <c r="L318" i="3"/>
  <c r="L319" i="3"/>
  <c r="L322" i="3"/>
  <c r="L323" i="3"/>
  <c r="L324" i="3"/>
  <c r="L325" i="3"/>
  <c r="L326" i="3"/>
  <c r="L327" i="3"/>
  <c r="L329" i="3"/>
  <c r="L330" i="3"/>
  <c r="L331" i="3"/>
  <c r="L332" i="3"/>
  <c r="L333" i="3"/>
  <c r="L335" i="3"/>
  <c r="L336" i="3"/>
  <c r="L349" i="3"/>
  <c r="L363" i="3"/>
  <c r="L371" i="3"/>
  <c r="L372" i="3"/>
  <c r="L373" i="3"/>
  <c r="L375" i="3"/>
  <c r="L376" i="3"/>
  <c r="L381" i="3"/>
  <c r="L382" i="3"/>
  <c r="L383" i="3"/>
  <c r="L387" i="3"/>
  <c r="L388" i="3"/>
  <c r="L389" i="3"/>
  <c r="L390" i="3"/>
  <c r="L391" i="3"/>
  <c r="L392" i="3"/>
  <c r="K3" i="3"/>
  <c r="K4" i="3"/>
  <c r="K5" i="3"/>
  <c r="K52" i="3"/>
  <c r="K9" i="3"/>
  <c r="K55" i="3"/>
  <c r="K58" i="3"/>
  <c r="K64" i="11" s="1"/>
  <c r="K62" i="3"/>
  <c r="K63" i="3"/>
  <c r="K64" i="3"/>
  <c r="K66" i="3"/>
  <c r="K67" i="3"/>
  <c r="K68" i="3"/>
  <c r="K71" i="3"/>
  <c r="K72" i="3"/>
  <c r="K73" i="3"/>
  <c r="K75" i="3"/>
  <c r="K77" i="3"/>
  <c r="K81" i="3"/>
  <c r="K87" i="3"/>
  <c r="K88" i="3"/>
  <c r="K90" i="3"/>
  <c r="K92" i="3"/>
  <c r="K94" i="3"/>
  <c r="K95" i="3"/>
  <c r="K96" i="3"/>
  <c r="K97" i="3"/>
  <c r="K98" i="3"/>
  <c r="K61" i="11" s="1"/>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4" i="3"/>
  <c r="K135" i="3"/>
  <c r="K136" i="3"/>
  <c r="K137" i="3"/>
  <c r="K140" i="3"/>
  <c r="K141" i="3"/>
  <c r="K34" i="12" s="1"/>
  <c r="K142" i="3"/>
  <c r="K39" i="12" s="1"/>
  <c r="K143" i="3"/>
  <c r="K144" i="3"/>
  <c r="K145" i="3"/>
  <c r="K146" i="3"/>
  <c r="K147" i="3"/>
  <c r="K148" i="3"/>
  <c r="K149" i="3"/>
  <c r="K150" i="3"/>
  <c r="K151" i="3"/>
  <c r="K152" i="3"/>
  <c r="K153" i="3"/>
  <c r="K154" i="3"/>
  <c r="K155" i="3"/>
  <c r="K156" i="3"/>
  <c r="K157" i="3"/>
  <c r="K158" i="3"/>
  <c r="K159" i="3"/>
  <c r="K163" i="3"/>
  <c r="K164" i="3"/>
  <c r="K165" i="3"/>
  <c r="K166" i="3"/>
  <c r="K167" i="3"/>
  <c r="K168" i="3"/>
  <c r="K169" i="3"/>
  <c r="K170" i="3"/>
  <c r="K171" i="3"/>
  <c r="K172" i="3"/>
  <c r="K173" i="3"/>
  <c r="K174" i="3"/>
  <c r="K175" i="3"/>
  <c r="K176" i="3"/>
  <c r="K177" i="3"/>
  <c r="K178" i="3"/>
  <c r="L60" i="14" s="1"/>
  <c r="K180" i="3"/>
  <c r="K95" i="11" s="1"/>
  <c r="K181" i="3"/>
  <c r="K96" i="11" s="1"/>
  <c r="K182" i="3"/>
  <c r="K186" i="3"/>
  <c r="K187" i="3"/>
  <c r="K188" i="3"/>
  <c r="K189" i="3"/>
  <c r="K190" i="3"/>
  <c r="K193" i="3"/>
  <c r="K195" i="3"/>
  <c r="K198" i="3"/>
  <c r="K201" i="3"/>
  <c r="K202" i="3"/>
  <c r="K203" i="3"/>
  <c r="K205" i="3"/>
  <c r="K207" i="3"/>
  <c r="K208" i="3"/>
  <c r="K209" i="3"/>
  <c r="K210" i="3"/>
  <c r="K211" i="3"/>
  <c r="K212" i="3"/>
  <c r="K213" i="3"/>
  <c r="K214" i="3"/>
  <c r="K215" i="3"/>
  <c r="K216" i="3"/>
  <c r="K217" i="3"/>
  <c r="K219" i="3"/>
  <c r="K220" i="3"/>
  <c r="K222" i="3"/>
  <c r="K223" i="3"/>
  <c r="K226" i="3"/>
  <c r="K69" i="11" s="1"/>
  <c r="K228" i="3"/>
  <c r="K229" i="3"/>
  <c r="K230" i="3"/>
  <c r="K233" i="3"/>
  <c r="K24" i="12" s="1"/>
  <c r="K234" i="3"/>
  <c r="K29" i="12" s="1"/>
  <c r="K235" i="3"/>
  <c r="K33" i="12" s="1"/>
  <c r="K238" i="3"/>
  <c r="K239" i="3"/>
  <c r="K240" i="3"/>
  <c r="K261" i="3"/>
  <c r="K262" i="3"/>
  <c r="K263" i="3"/>
  <c r="K264" i="3"/>
  <c r="K265" i="3"/>
  <c r="K266" i="3"/>
  <c r="K270" i="3"/>
  <c r="K286" i="3"/>
  <c r="K271" i="3"/>
  <c r="K297" i="3"/>
  <c r="L61" i="14" s="1"/>
  <c r="K298" i="3"/>
  <c r="K299" i="3"/>
  <c r="K300" i="3"/>
  <c r="K302" i="3"/>
  <c r="K304" i="3"/>
  <c r="K305" i="3"/>
  <c r="K306" i="3"/>
  <c r="K307" i="3"/>
  <c r="K308" i="3"/>
  <c r="K309" i="3"/>
  <c r="K311" i="3"/>
  <c r="K312" i="3"/>
  <c r="K313" i="3"/>
  <c r="K315" i="3"/>
  <c r="K317" i="3"/>
  <c r="K318" i="3"/>
  <c r="K319" i="3"/>
  <c r="K322" i="3"/>
  <c r="K323" i="3"/>
  <c r="K324" i="3"/>
  <c r="K325" i="3"/>
  <c r="K326" i="3"/>
  <c r="K327" i="3"/>
  <c r="K329" i="3"/>
  <c r="K330" i="3"/>
  <c r="K331" i="3"/>
  <c r="K332" i="3"/>
  <c r="K333" i="3"/>
  <c r="K335" i="3"/>
  <c r="K44" i="12" s="1"/>
  <c r="K336" i="3"/>
  <c r="K349" i="3"/>
  <c r="K363" i="3"/>
  <c r="K371" i="3"/>
  <c r="K372" i="3"/>
  <c r="K373" i="3"/>
  <c r="K375" i="3"/>
  <c r="K376" i="3"/>
  <c r="K381" i="3"/>
  <c r="K382" i="3"/>
  <c r="K383" i="3"/>
  <c r="K387" i="3"/>
  <c r="K388" i="3"/>
  <c r="K389" i="3"/>
  <c r="K390" i="3"/>
  <c r="K391" i="3"/>
  <c r="K392" i="3"/>
  <c r="J3" i="3"/>
  <c r="J4" i="3"/>
  <c r="J5" i="3"/>
  <c r="J52" i="3"/>
  <c r="J9" i="3"/>
  <c r="J55" i="3"/>
  <c r="J58" i="3"/>
  <c r="J64" i="11" s="1"/>
  <c r="J62" i="3"/>
  <c r="J63" i="3"/>
  <c r="J64" i="3"/>
  <c r="J66" i="3"/>
  <c r="J67" i="3"/>
  <c r="J68" i="3"/>
  <c r="J71" i="3"/>
  <c r="J72" i="3"/>
  <c r="J73" i="3"/>
  <c r="J75" i="3"/>
  <c r="J77" i="3"/>
  <c r="J81" i="3"/>
  <c r="J87" i="3"/>
  <c r="J88" i="3"/>
  <c r="J90" i="3"/>
  <c r="J92" i="3"/>
  <c r="J94" i="3"/>
  <c r="J95" i="3"/>
  <c r="J96" i="3"/>
  <c r="J97" i="3"/>
  <c r="J98" i="3"/>
  <c r="J61" i="11" s="1"/>
  <c r="J99" i="3"/>
  <c r="J100" i="3"/>
  <c r="J101" i="3"/>
  <c r="J102" i="3"/>
  <c r="J103" i="3"/>
  <c r="J104" i="3"/>
  <c r="J105" i="3"/>
  <c r="J106" i="3"/>
  <c r="J107" i="3"/>
  <c r="J108" i="3"/>
  <c r="J109" i="3"/>
  <c r="J110" i="3"/>
  <c r="K34" i="14" s="1"/>
  <c r="J111" i="3"/>
  <c r="J112" i="3"/>
  <c r="J113" i="3"/>
  <c r="K40" i="14" s="1"/>
  <c r="J114" i="3"/>
  <c r="J115" i="3"/>
  <c r="J116" i="3"/>
  <c r="J117" i="3"/>
  <c r="J118" i="3"/>
  <c r="J119" i="3"/>
  <c r="J120" i="3"/>
  <c r="J121" i="3"/>
  <c r="J122" i="3"/>
  <c r="J123" i="3"/>
  <c r="J124" i="3"/>
  <c r="J125" i="3"/>
  <c r="J126" i="3"/>
  <c r="J127" i="3"/>
  <c r="J128" i="3"/>
  <c r="J129" i="3"/>
  <c r="J130" i="3"/>
  <c r="J134" i="3"/>
  <c r="J135" i="3"/>
  <c r="J136" i="3"/>
  <c r="J137" i="3"/>
  <c r="J140" i="3"/>
  <c r="J141" i="3"/>
  <c r="J34" i="12" s="1"/>
  <c r="J142" i="3"/>
  <c r="J39" i="12" s="1"/>
  <c r="J143" i="3"/>
  <c r="J144" i="3"/>
  <c r="J145" i="3"/>
  <c r="J146" i="3"/>
  <c r="J147" i="3"/>
  <c r="J148" i="3"/>
  <c r="J149" i="3"/>
  <c r="J150" i="3"/>
  <c r="J151" i="3"/>
  <c r="J152" i="3"/>
  <c r="J153" i="3"/>
  <c r="J154" i="3"/>
  <c r="J155" i="3"/>
  <c r="J156" i="3"/>
  <c r="J157" i="3"/>
  <c r="J158" i="3"/>
  <c r="J159" i="3"/>
  <c r="J163" i="3"/>
  <c r="J164" i="3"/>
  <c r="J165" i="3"/>
  <c r="J166" i="3"/>
  <c r="J167" i="3"/>
  <c r="J168" i="3"/>
  <c r="J169" i="3"/>
  <c r="J170" i="3"/>
  <c r="J171" i="3"/>
  <c r="J172" i="3"/>
  <c r="J173" i="3"/>
  <c r="J174" i="3"/>
  <c r="J175" i="3"/>
  <c r="J176" i="3"/>
  <c r="K52" i="5" s="1"/>
  <c r="J177" i="3"/>
  <c r="J178" i="3"/>
  <c r="K60" i="14" s="1"/>
  <c r="J180" i="3"/>
  <c r="J95" i="11" s="1"/>
  <c r="J181" i="3"/>
  <c r="J182" i="3"/>
  <c r="J186" i="3"/>
  <c r="J187" i="3"/>
  <c r="J188" i="3"/>
  <c r="J189" i="3"/>
  <c r="J190" i="3"/>
  <c r="J193" i="3"/>
  <c r="J195" i="3"/>
  <c r="J198" i="3"/>
  <c r="J201" i="3"/>
  <c r="J202" i="3"/>
  <c r="J203" i="3"/>
  <c r="J205" i="3"/>
  <c r="J207" i="3"/>
  <c r="J208" i="3"/>
  <c r="J209" i="3"/>
  <c r="J210" i="3"/>
  <c r="J211" i="3"/>
  <c r="J212" i="3"/>
  <c r="J213" i="3"/>
  <c r="J214" i="3"/>
  <c r="J215" i="3"/>
  <c r="J216" i="3"/>
  <c r="J217" i="3"/>
  <c r="J219" i="3"/>
  <c r="J220" i="3"/>
  <c r="J222" i="3"/>
  <c r="J223" i="3"/>
  <c r="J226" i="3"/>
  <c r="J69" i="11" s="1"/>
  <c r="J228" i="3"/>
  <c r="J229" i="3"/>
  <c r="J230" i="3"/>
  <c r="J233" i="3"/>
  <c r="J24" i="12" s="1"/>
  <c r="J234" i="3"/>
  <c r="J29" i="12" s="1"/>
  <c r="J235" i="3"/>
  <c r="J33" i="12" s="1"/>
  <c r="J238" i="3"/>
  <c r="J239" i="3"/>
  <c r="J240" i="3"/>
  <c r="J261" i="3"/>
  <c r="J262" i="3"/>
  <c r="J263" i="3"/>
  <c r="J264" i="3"/>
  <c r="J265" i="3"/>
  <c r="J266" i="3"/>
  <c r="J270" i="3"/>
  <c r="J286" i="3"/>
  <c r="J271" i="3"/>
  <c r="J297" i="3"/>
  <c r="K61" i="14" s="1"/>
  <c r="J298" i="3"/>
  <c r="J299" i="3"/>
  <c r="J300" i="3"/>
  <c r="J302" i="3"/>
  <c r="J304" i="3"/>
  <c r="J305" i="3"/>
  <c r="J306" i="3"/>
  <c r="J307" i="3"/>
  <c r="J308" i="3"/>
  <c r="J309" i="3"/>
  <c r="J311" i="3"/>
  <c r="J312" i="3"/>
  <c r="J313" i="3"/>
  <c r="J315" i="3"/>
  <c r="J317" i="3"/>
  <c r="J318" i="3"/>
  <c r="J319" i="3"/>
  <c r="J322" i="3"/>
  <c r="J323" i="3"/>
  <c r="J324" i="3"/>
  <c r="J325" i="3"/>
  <c r="J326" i="3"/>
  <c r="J327" i="3"/>
  <c r="J329" i="3"/>
  <c r="J330" i="3"/>
  <c r="J331" i="3"/>
  <c r="J332" i="3"/>
  <c r="J333" i="3"/>
  <c r="J335" i="3"/>
  <c r="J44" i="12" s="1"/>
  <c r="J336" i="3"/>
  <c r="J349" i="3"/>
  <c r="J363" i="3"/>
  <c r="J371" i="3"/>
  <c r="J372" i="3"/>
  <c r="J373" i="3"/>
  <c r="J375" i="3"/>
  <c r="J376" i="3"/>
  <c r="J381" i="3"/>
  <c r="J382" i="3"/>
  <c r="J383" i="3"/>
  <c r="J387" i="3"/>
  <c r="J388" i="3"/>
  <c r="J389" i="3"/>
  <c r="J390" i="3"/>
  <c r="J391" i="3"/>
  <c r="J392" i="3"/>
  <c r="I3" i="3"/>
  <c r="I4" i="3"/>
  <c r="I5" i="3"/>
  <c r="J45" i="14" s="1"/>
  <c r="I52" i="3"/>
  <c r="I9" i="3"/>
  <c r="I55" i="3"/>
  <c r="I58" i="3"/>
  <c r="I62" i="3"/>
  <c r="I63" i="3"/>
  <c r="I64" i="3"/>
  <c r="I66" i="3"/>
  <c r="I67" i="3"/>
  <c r="I68" i="3"/>
  <c r="I71" i="3"/>
  <c r="I72" i="3"/>
  <c r="I73" i="3"/>
  <c r="I75" i="3"/>
  <c r="I77" i="3"/>
  <c r="I81" i="3"/>
  <c r="I87" i="3"/>
  <c r="I88" i="3"/>
  <c r="I90" i="3"/>
  <c r="I92" i="3"/>
  <c r="I94" i="3"/>
  <c r="I95" i="3"/>
  <c r="I96" i="3"/>
  <c r="I97" i="3"/>
  <c r="I98" i="3"/>
  <c r="I99" i="3"/>
  <c r="I100" i="3"/>
  <c r="I101" i="3"/>
  <c r="I102" i="3"/>
  <c r="I103" i="3"/>
  <c r="I104" i="3"/>
  <c r="I105" i="3"/>
  <c r="J27" i="14" s="1"/>
  <c r="I106" i="3"/>
  <c r="I107" i="3"/>
  <c r="I108" i="3"/>
  <c r="I109" i="3"/>
  <c r="I110" i="3"/>
  <c r="I111" i="3"/>
  <c r="I112" i="3"/>
  <c r="I113" i="3"/>
  <c r="J40" i="14" s="1"/>
  <c r="I114" i="3"/>
  <c r="I115" i="3"/>
  <c r="I116" i="3"/>
  <c r="I117" i="3"/>
  <c r="I118" i="3"/>
  <c r="I119" i="3"/>
  <c r="I120" i="3"/>
  <c r="I121" i="3"/>
  <c r="I122" i="3"/>
  <c r="I123" i="3"/>
  <c r="I124" i="3"/>
  <c r="I125" i="3"/>
  <c r="I126" i="3"/>
  <c r="I127" i="3"/>
  <c r="I128" i="3"/>
  <c r="I129" i="3"/>
  <c r="I130" i="3"/>
  <c r="I134" i="3"/>
  <c r="I135" i="3"/>
  <c r="I136" i="3"/>
  <c r="I137" i="3"/>
  <c r="I140" i="3"/>
  <c r="I141" i="3"/>
  <c r="I142" i="3"/>
  <c r="I143" i="3"/>
  <c r="I144" i="3"/>
  <c r="I145" i="3"/>
  <c r="I146" i="3"/>
  <c r="I147" i="3"/>
  <c r="I148" i="3"/>
  <c r="I149" i="3"/>
  <c r="I150" i="3"/>
  <c r="I151" i="3"/>
  <c r="I152" i="3"/>
  <c r="I153" i="3"/>
  <c r="I154" i="3"/>
  <c r="I155" i="3"/>
  <c r="I156" i="3"/>
  <c r="I157" i="3"/>
  <c r="I158" i="3"/>
  <c r="I159" i="3"/>
  <c r="I163" i="3"/>
  <c r="I164" i="3"/>
  <c r="I165" i="3"/>
  <c r="I166" i="3"/>
  <c r="I167" i="3"/>
  <c r="I168" i="3"/>
  <c r="I169" i="3"/>
  <c r="I170" i="3"/>
  <c r="I171" i="3"/>
  <c r="I172" i="3"/>
  <c r="I173" i="3"/>
  <c r="I174" i="3"/>
  <c r="I175" i="3"/>
  <c r="I176" i="3"/>
  <c r="J52" i="5" s="1"/>
  <c r="I177" i="3"/>
  <c r="J44" i="14" s="1"/>
  <c r="I178" i="3"/>
  <c r="I180" i="3"/>
  <c r="I181" i="3"/>
  <c r="J78" i="14" s="1"/>
  <c r="I182" i="3"/>
  <c r="J41" i="14" s="1"/>
  <c r="I186" i="3"/>
  <c r="I187" i="3"/>
  <c r="I188" i="3"/>
  <c r="I189" i="3"/>
  <c r="I190" i="3"/>
  <c r="I193" i="3"/>
  <c r="I195" i="3"/>
  <c r="I198" i="3"/>
  <c r="I201" i="3"/>
  <c r="I202" i="3"/>
  <c r="I203" i="3"/>
  <c r="I205" i="3"/>
  <c r="I207" i="3"/>
  <c r="I208" i="3"/>
  <c r="I209" i="3"/>
  <c r="I210" i="3"/>
  <c r="I211" i="3"/>
  <c r="I212" i="3"/>
  <c r="I213" i="3"/>
  <c r="I214" i="3"/>
  <c r="I215" i="3"/>
  <c r="I216" i="3"/>
  <c r="I217" i="3"/>
  <c r="I219" i="3"/>
  <c r="I220" i="3"/>
  <c r="I222" i="3"/>
  <c r="I223" i="3"/>
  <c r="I226" i="3"/>
  <c r="I228" i="3"/>
  <c r="I229" i="3"/>
  <c r="I230" i="3"/>
  <c r="I233" i="3"/>
  <c r="I234" i="3"/>
  <c r="I235" i="3"/>
  <c r="I238" i="3"/>
  <c r="I239" i="3"/>
  <c r="I240" i="3"/>
  <c r="I261" i="3"/>
  <c r="I262" i="3"/>
  <c r="I263" i="3"/>
  <c r="I264" i="3"/>
  <c r="I265" i="3"/>
  <c r="I266" i="3"/>
  <c r="I270" i="3"/>
  <c r="I286" i="3"/>
  <c r="I271" i="3"/>
  <c r="I297" i="3"/>
  <c r="J61" i="14" s="1"/>
  <c r="I298" i="3"/>
  <c r="I299" i="3"/>
  <c r="I300" i="3"/>
  <c r="I302" i="3"/>
  <c r="I304" i="3"/>
  <c r="I305" i="3"/>
  <c r="I306" i="3"/>
  <c r="I307" i="3"/>
  <c r="I308" i="3"/>
  <c r="I309" i="3"/>
  <c r="I311" i="3"/>
  <c r="I312" i="3"/>
  <c r="I313" i="3"/>
  <c r="I315" i="3"/>
  <c r="I317" i="3"/>
  <c r="I318" i="3"/>
  <c r="I319" i="3"/>
  <c r="I322" i="3"/>
  <c r="I323" i="3"/>
  <c r="I324" i="3"/>
  <c r="I325" i="3"/>
  <c r="I326" i="3"/>
  <c r="I327" i="3"/>
  <c r="I329" i="3"/>
  <c r="I330" i="3"/>
  <c r="I331" i="3"/>
  <c r="I332" i="3"/>
  <c r="I333" i="3"/>
  <c r="I335" i="3"/>
  <c r="I336" i="3"/>
  <c r="I349" i="3"/>
  <c r="I363" i="3"/>
  <c r="I371" i="3"/>
  <c r="I372" i="3"/>
  <c r="I373" i="3"/>
  <c r="I375" i="3"/>
  <c r="I376" i="3"/>
  <c r="I381" i="3"/>
  <c r="I382" i="3"/>
  <c r="I383" i="3"/>
  <c r="I387" i="3"/>
  <c r="I388" i="3"/>
  <c r="I389" i="3"/>
  <c r="I390" i="3"/>
  <c r="I391" i="3"/>
  <c r="I392" i="3"/>
  <c r="H3" i="3"/>
  <c r="H4" i="3"/>
  <c r="H5" i="3"/>
  <c r="H52" i="3"/>
  <c r="H9" i="3"/>
  <c r="H55" i="3"/>
  <c r="H58" i="3"/>
  <c r="I64" i="11" s="1"/>
  <c r="H62" i="3"/>
  <c r="H63" i="3"/>
  <c r="H64" i="3"/>
  <c r="H66" i="3"/>
  <c r="H67" i="3"/>
  <c r="H68" i="3"/>
  <c r="H71" i="3"/>
  <c r="H72" i="3"/>
  <c r="H73" i="3"/>
  <c r="H75" i="3"/>
  <c r="H77" i="3"/>
  <c r="H81" i="3"/>
  <c r="H87" i="3"/>
  <c r="H88" i="3"/>
  <c r="H90" i="3"/>
  <c r="H92" i="3"/>
  <c r="H94" i="3"/>
  <c r="H95" i="3"/>
  <c r="H96" i="3"/>
  <c r="H97" i="3"/>
  <c r="H98" i="3"/>
  <c r="I61" i="11" s="1"/>
  <c r="H99" i="3"/>
  <c r="H100" i="3"/>
  <c r="H101" i="3"/>
  <c r="H102" i="3"/>
  <c r="H103" i="3"/>
  <c r="H104" i="3"/>
  <c r="H105" i="3"/>
  <c r="H106" i="3"/>
  <c r="H107" i="3"/>
  <c r="H108" i="3"/>
  <c r="H109" i="3"/>
  <c r="H110" i="3"/>
  <c r="I34" i="14" s="1"/>
  <c r="H111" i="3"/>
  <c r="H112" i="3"/>
  <c r="H113" i="3"/>
  <c r="I40" i="14" s="1"/>
  <c r="H114" i="3"/>
  <c r="H115" i="3"/>
  <c r="H116" i="3"/>
  <c r="H117" i="3"/>
  <c r="H118" i="3"/>
  <c r="H119" i="3"/>
  <c r="H120" i="3"/>
  <c r="H121" i="3"/>
  <c r="H122" i="3"/>
  <c r="H123" i="3"/>
  <c r="H124" i="3"/>
  <c r="H125" i="3"/>
  <c r="H126" i="3"/>
  <c r="H127" i="3"/>
  <c r="H128" i="3"/>
  <c r="H129" i="3"/>
  <c r="H130" i="3"/>
  <c r="H134" i="3"/>
  <c r="H135" i="3"/>
  <c r="H136" i="3"/>
  <c r="H137" i="3"/>
  <c r="H140" i="3"/>
  <c r="H141" i="3"/>
  <c r="I34" i="12" s="1"/>
  <c r="H142" i="3"/>
  <c r="I39" i="12" s="1"/>
  <c r="H143" i="3"/>
  <c r="H144" i="3"/>
  <c r="H145" i="3"/>
  <c r="H146" i="3"/>
  <c r="H147" i="3"/>
  <c r="H148" i="3"/>
  <c r="H149" i="3"/>
  <c r="H150" i="3"/>
  <c r="H151" i="3"/>
  <c r="H152" i="3"/>
  <c r="H153" i="3"/>
  <c r="H154" i="3"/>
  <c r="H155" i="3"/>
  <c r="H156" i="3"/>
  <c r="H157" i="3"/>
  <c r="H158" i="3"/>
  <c r="H159" i="3"/>
  <c r="H163" i="3"/>
  <c r="H164" i="3"/>
  <c r="H165" i="3"/>
  <c r="H166" i="3"/>
  <c r="H167" i="3"/>
  <c r="H168" i="3"/>
  <c r="H169" i="3"/>
  <c r="H170" i="3"/>
  <c r="H171" i="3"/>
  <c r="H172" i="3"/>
  <c r="H173" i="3"/>
  <c r="H174" i="3"/>
  <c r="H175" i="3"/>
  <c r="H176" i="3"/>
  <c r="I52" i="5" s="1"/>
  <c r="H177" i="3"/>
  <c r="H178" i="3"/>
  <c r="I60" i="14" s="1"/>
  <c r="H180" i="3"/>
  <c r="I95" i="11" s="1"/>
  <c r="H181" i="3"/>
  <c r="H182" i="3"/>
  <c r="H186" i="3"/>
  <c r="H187" i="3"/>
  <c r="H188" i="3"/>
  <c r="H189" i="3"/>
  <c r="H190" i="3"/>
  <c r="H193" i="3"/>
  <c r="H195" i="3"/>
  <c r="H198" i="3"/>
  <c r="H201" i="3"/>
  <c r="H202" i="3"/>
  <c r="H203" i="3"/>
  <c r="H205" i="3"/>
  <c r="H207" i="3"/>
  <c r="H208" i="3"/>
  <c r="H209" i="3"/>
  <c r="H210" i="3"/>
  <c r="H211" i="3"/>
  <c r="H212" i="3"/>
  <c r="H213" i="3"/>
  <c r="H214" i="3"/>
  <c r="H215" i="3"/>
  <c r="H216" i="3"/>
  <c r="H217" i="3"/>
  <c r="H219" i="3"/>
  <c r="H220" i="3"/>
  <c r="H222" i="3"/>
  <c r="H223" i="3"/>
  <c r="H226" i="3"/>
  <c r="I69" i="11" s="1"/>
  <c r="H228" i="3"/>
  <c r="H229" i="3"/>
  <c r="H230" i="3"/>
  <c r="H233" i="3"/>
  <c r="I24" i="12" s="1"/>
  <c r="H234" i="3"/>
  <c r="I29" i="12" s="1"/>
  <c r="H235" i="3"/>
  <c r="I33" i="12" s="1"/>
  <c r="H238" i="3"/>
  <c r="H239" i="3"/>
  <c r="H240" i="3"/>
  <c r="H261" i="3"/>
  <c r="H262" i="3"/>
  <c r="H263" i="3"/>
  <c r="H264" i="3"/>
  <c r="H265" i="3"/>
  <c r="H266" i="3"/>
  <c r="H270" i="3"/>
  <c r="H286" i="3"/>
  <c r="H271" i="3"/>
  <c r="H297" i="3"/>
  <c r="I61" i="14" s="1"/>
  <c r="H298" i="3"/>
  <c r="H299" i="3"/>
  <c r="H300" i="3"/>
  <c r="H302" i="3"/>
  <c r="H304" i="3"/>
  <c r="H305" i="3"/>
  <c r="H306" i="3"/>
  <c r="H307" i="3"/>
  <c r="H308" i="3"/>
  <c r="H309" i="3"/>
  <c r="H311" i="3"/>
  <c r="H312" i="3"/>
  <c r="H313" i="3"/>
  <c r="H315" i="3"/>
  <c r="H317" i="3"/>
  <c r="H318" i="3"/>
  <c r="H319" i="3"/>
  <c r="H322" i="3"/>
  <c r="H323" i="3"/>
  <c r="H324" i="3"/>
  <c r="H325" i="3"/>
  <c r="H326" i="3"/>
  <c r="H327" i="3"/>
  <c r="H329" i="3"/>
  <c r="H330" i="3"/>
  <c r="H331" i="3"/>
  <c r="H332" i="3"/>
  <c r="H333" i="3"/>
  <c r="H335" i="3"/>
  <c r="I44" i="12" s="1"/>
  <c r="H336" i="3"/>
  <c r="H349" i="3"/>
  <c r="H363" i="3"/>
  <c r="H371" i="3"/>
  <c r="H372" i="3"/>
  <c r="H373" i="3"/>
  <c r="H375" i="3"/>
  <c r="H376" i="3"/>
  <c r="H381" i="3"/>
  <c r="H382" i="3"/>
  <c r="H383" i="3"/>
  <c r="H387" i="3"/>
  <c r="H388" i="3"/>
  <c r="H389" i="3"/>
  <c r="H390" i="3"/>
  <c r="H391" i="3"/>
  <c r="H392" i="3"/>
  <c r="G3" i="3"/>
  <c r="G4" i="3"/>
  <c r="G5" i="3"/>
  <c r="G52" i="3"/>
  <c r="G9" i="3"/>
  <c r="G55" i="3"/>
  <c r="G58" i="3"/>
  <c r="H64" i="11" s="1"/>
  <c r="G62" i="3"/>
  <c r="G63" i="3"/>
  <c r="G64" i="3"/>
  <c r="G66" i="3"/>
  <c r="G67" i="3"/>
  <c r="G68" i="3"/>
  <c r="G71" i="3"/>
  <c r="G72" i="3"/>
  <c r="G73" i="3"/>
  <c r="G75" i="3"/>
  <c r="G77" i="3"/>
  <c r="G81" i="3"/>
  <c r="G87" i="3"/>
  <c r="G88" i="3"/>
  <c r="G90" i="3"/>
  <c r="G92" i="3"/>
  <c r="G94" i="3"/>
  <c r="G95" i="3"/>
  <c r="G96" i="3"/>
  <c r="G97" i="3"/>
  <c r="G98" i="3"/>
  <c r="H61" i="11" s="1"/>
  <c r="G99" i="3"/>
  <c r="G100" i="3"/>
  <c r="G101" i="3"/>
  <c r="G102" i="3"/>
  <c r="G103" i="3"/>
  <c r="G104" i="3"/>
  <c r="G105" i="3"/>
  <c r="G106" i="3"/>
  <c r="G107" i="3"/>
  <c r="G108" i="3"/>
  <c r="G109" i="3"/>
  <c r="G110" i="3"/>
  <c r="G111" i="3"/>
  <c r="G112" i="3"/>
  <c r="G113" i="3"/>
  <c r="H40" i="14" s="1"/>
  <c r="G114" i="3"/>
  <c r="G115" i="3"/>
  <c r="G116" i="3"/>
  <c r="G117" i="3"/>
  <c r="G118" i="3"/>
  <c r="G119" i="3"/>
  <c r="G120" i="3"/>
  <c r="G121" i="3"/>
  <c r="G122" i="3"/>
  <c r="G123" i="3"/>
  <c r="G124" i="3"/>
  <c r="G125" i="3"/>
  <c r="G126" i="3"/>
  <c r="G127" i="3"/>
  <c r="G128" i="3"/>
  <c r="G129" i="3"/>
  <c r="G130" i="3"/>
  <c r="G134" i="3"/>
  <c r="G135" i="3"/>
  <c r="G136" i="3"/>
  <c r="G137" i="3"/>
  <c r="G140" i="3"/>
  <c r="G141" i="3"/>
  <c r="H34" i="12" s="1"/>
  <c r="G142" i="3"/>
  <c r="H39" i="12" s="1"/>
  <c r="G143" i="3"/>
  <c r="G144" i="3"/>
  <c r="G145" i="3"/>
  <c r="G146" i="3"/>
  <c r="G147" i="3"/>
  <c r="G148" i="3"/>
  <c r="G149" i="3"/>
  <c r="G150" i="3"/>
  <c r="G151" i="3"/>
  <c r="G152" i="3"/>
  <c r="G153" i="3"/>
  <c r="G154" i="3"/>
  <c r="G155" i="3"/>
  <c r="G156" i="3"/>
  <c r="G157" i="3"/>
  <c r="G158" i="3"/>
  <c r="G159" i="3"/>
  <c r="G163" i="3"/>
  <c r="G164" i="3"/>
  <c r="G165" i="3"/>
  <c r="G166" i="3"/>
  <c r="G167" i="3"/>
  <c r="G168" i="3"/>
  <c r="G169" i="3"/>
  <c r="G170" i="3"/>
  <c r="G171" i="3"/>
  <c r="G172" i="3"/>
  <c r="G173" i="3"/>
  <c r="G174" i="3"/>
  <c r="G175" i="3"/>
  <c r="G176" i="3"/>
  <c r="H52" i="5" s="1"/>
  <c r="G177" i="3"/>
  <c r="G178" i="3"/>
  <c r="H60" i="14" s="1"/>
  <c r="G180" i="3"/>
  <c r="H95" i="11" s="1"/>
  <c r="G181" i="3"/>
  <c r="G182" i="3"/>
  <c r="G186" i="3"/>
  <c r="G187" i="3"/>
  <c r="G188" i="3"/>
  <c r="G189" i="3"/>
  <c r="G190" i="3"/>
  <c r="G193" i="3"/>
  <c r="G195" i="3"/>
  <c r="G198" i="3"/>
  <c r="G201" i="3"/>
  <c r="G202" i="3"/>
  <c r="G203" i="3"/>
  <c r="G205" i="3"/>
  <c r="G207" i="3"/>
  <c r="G208" i="3"/>
  <c r="G209" i="3"/>
  <c r="G210" i="3"/>
  <c r="G211" i="3"/>
  <c r="G212" i="3"/>
  <c r="G213" i="3"/>
  <c r="G214" i="3"/>
  <c r="G215" i="3"/>
  <c r="G216" i="3"/>
  <c r="G217" i="3"/>
  <c r="G219" i="3"/>
  <c r="G220" i="3"/>
  <c r="G222" i="3"/>
  <c r="G223" i="3"/>
  <c r="G226" i="3"/>
  <c r="H69" i="11" s="1"/>
  <c r="G228" i="3"/>
  <c r="G229" i="3"/>
  <c r="G230" i="3"/>
  <c r="G233" i="3"/>
  <c r="H24" i="12" s="1"/>
  <c r="G234" i="3"/>
  <c r="H29" i="12" s="1"/>
  <c r="G235" i="3"/>
  <c r="H33" i="12" s="1"/>
  <c r="G238" i="3"/>
  <c r="G239" i="3"/>
  <c r="G240" i="3"/>
  <c r="G261" i="3"/>
  <c r="G262" i="3"/>
  <c r="G263" i="3"/>
  <c r="G264" i="3"/>
  <c r="G265" i="3"/>
  <c r="G266" i="3"/>
  <c r="G270" i="3"/>
  <c r="G286" i="3"/>
  <c r="G271" i="3"/>
  <c r="G297" i="3"/>
  <c r="H61" i="14" s="1"/>
  <c r="G298" i="3"/>
  <c r="G299" i="3"/>
  <c r="G300" i="3"/>
  <c r="G302" i="3"/>
  <c r="G304" i="3"/>
  <c r="G305" i="3"/>
  <c r="G306" i="3"/>
  <c r="G307" i="3"/>
  <c r="G308" i="3"/>
  <c r="G309" i="3"/>
  <c r="G311" i="3"/>
  <c r="G312" i="3"/>
  <c r="G313" i="3"/>
  <c r="G315" i="3"/>
  <c r="G317" i="3"/>
  <c r="G318" i="3"/>
  <c r="G319" i="3"/>
  <c r="G322" i="3"/>
  <c r="G323" i="3"/>
  <c r="G324" i="3"/>
  <c r="G325" i="3"/>
  <c r="G326" i="3"/>
  <c r="G327" i="3"/>
  <c r="G329" i="3"/>
  <c r="G330" i="3"/>
  <c r="G331" i="3"/>
  <c r="G332" i="3"/>
  <c r="G333" i="3"/>
  <c r="G335" i="3"/>
  <c r="H44" i="12" s="1"/>
  <c r="G336" i="3"/>
  <c r="G349" i="3"/>
  <c r="G363" i="3"/>
  <c r="G371" i="3"/>
  <c r="G372" i="3"/>
  <c r="G373" i="3"/>
  <c r="G375" i="3"/>
  <c r="G376" i="3"/>
  <c r="G381" i="3"/>
  <c r="G382" i="3"/>
  <c r="G383" i="3"/>
  <c r="G387" i="3"/>
  <c r="G388" i="3"/>
  <c r="G389" i="3"/>
  <c r="G390" i="3"/>
  <c r="G391" i="3"/>
  <c r="G392" i="3"/>
  <c r="H78" i="14" l="1"/>
  <c r="H96" i="11"/>
  <c r="I78" i="14"/>
  <c r="I96" i="11"/>
  <c r="K78" i="14"/>
  <c r="J96" i="11"/>
  <c r="H41" i="14"/>
  <c r="H44" i="14"/>
  <c r="H45" i="14"/>
  <c r="I41" i="14"/>
  <c r="I44" i="14"/>
  <c r="I45" i="14"/>
  <c r="K41" i="14"/>
  <c r="K44" i="14"/>
  <c r="K45" i="14"/>
  <c r="K43" i="12"/>
  <c r="K81" i="11"/>
  <c r="L41" i="14"/>
  <c r="L44" i="14"/>
  <c r="H35" i="14"/>
  <c r="J35" i="14"/>
  <c r="L35" i="14"/>
  <c r="H27" i="14"/>
  <c r="L40" i="14"/>
  <c r="M27" i="14"/>
  <c r="I21" i="14"/>
  <c r="H39" i="14"/>
  <c r="J39" i="14"/>
  <c r="I27" i="14"/>
  <c r="K27" i="14"/>
  <c r="H34" i="14"/>
  <c r="J34" i="14"/>
  <c r="I39" i="14"/>
  <c r="K39" i="14"/>
  <c r="K21" i="14"/>
  <c r="M39" i="14"/>
  <c r="M21" i="14"/>
  <c r="L34" i="14"/>
  <c r="I35" i="14"/>
  <c r="K35" i="14"/>
  <c r="L27" i="14"/>
  <c r="L45" i="14"/>
  <c r="H21" i="14"/>
  <c r="J21" i="14"/>
  <c r="L39" i="14"/>
  <c r="L21" i="14"/>
  <c r="H54" i="11"/>
  <c r="K54" i="11"/>
  <c r="H55" i="11"/>
  <c r="K55" i="11"/>
  <c r="I59" i="11"/>
  <c r="J59" i="11"/>
  <c r="I54" i="11"/>
  <c r="J54" i="11"/>
  <c r="I55" i="11"/>
  <c r="J55" i="11"/>
  <c r="H60" i="11"/>
  <c r="K60" i="11"/>
  <c r="H59" i="11"/>
  <c r="K59" i="11"/>
  <c r="I60" i="11"/>
  <c r="J60" i="11"/>
  <c r="I58" i="11"/>
  <c r="I56" i="11"/>
  <c r="J58" i="11"/>
  <c r="J56" i="11"/>
  <c r="H67" i="11"/>
  <c r="H71" i="11"/>
  <c r="K67" i="11"/>
  <c r="K71" i="11"/>
  <c r="H58" i="11"/>
  <c r="H56" i="11"/>
  <c r="K58" i="11"/>
  <c r="K56" i="11"/>
  <c r="I67" i="11"/>
  <c r="I71" i="11"/>
  <c r="J67" i="11"/>
  <c r="J71" i="11"/>
  <c r="K94" i="11"/>
  <c r="K44" i="11"/>
  <c r="J57" i="11"/>
  <c r="K57" i="11"/>
  <c r="I57" i="11"/>
  <c r="H57" i="11"/>
  <c r="K80" i="11"/>
  <c r="L41" i="13"/>
  <c r="M49" i="14"/>
  <c r="H49" i="14"/>
  <c r="J49" i="14"/>
  <c r="L49" i="14"/>
  <c r="K28" i="12"/>
  <c r="K38" i="12"/>
  <c r="H30" i="14"/>
  <c r="H32" i="14"/>
  <c r="H36" i="14"/>
  <c r="H29" i="14"/>
  <c r="H26" i="14"/>
  <c r="H25" i="14"/>
  <c r="H22" i="14"/>
  <c r="H24" i="14"/>
  <c r="I30" i="14"/>
  <c r="I32" i="14"/>
  <c r="I36" i="14"/>
  <c r="I29" i="14"/>
  <c r="I26" i="14"/>
  <c r="I25" i="14"/>
  <c r="I22" i="14"/>
  <c r="I24" i="14"/>
  <c r="J30" i="14"/>
  <c r="J32" i="14"/>
  <c r="J36" i="14"/>
  <c r="J29" i="14"/>
  <c r="J26" i="14"/>
  <c r="J25" i="14"/>
  <c r="J22" i="14"/>
  <c r="J24" i="14"/>
  <c r="K30" i="14"/>
  <c r="K32" i="14"/>
  <c r="K36" i="14"/>
  <c r="K29" i="14"/>
  <c r="K26" i="14"/>
  <c r="K25" i="14"/>
  <c r="K22" i="14"/>
  <c r="K24" i="14"/>
  <c r="L30" i="14"/>
  <c r="L32" i="14"/>
  <c r="L36" i="14"/>
  <c r="L29" i="14"/>
  <c r="L26" i="14"/>
  <c r="L25" i="14"/>
  <c r="L22" i="14"/>
  <c r="L24" i="14"/>
  <c r="M30" i="14"/>
  <c r="M32" i="14"/>
  <c r="M36" i="14"/>
  <c r="M29" i="14"/>
  <c r="M26" i="14"/>
  <c r="M25" i="14"/>
  <c r="M22" i="14"/>
  <c r="M24" i="14"/>
  <c r="H77" i="14"/>
  <c r="J77" i="14"/>
  <c r="L57" i="14"/>
  <c r="L55" i="14"/>
  <c r="L59" i="14"/>
  <c r="L51" i="14"/>
  <c r="K27" i="12"/>
  <c r="K22" i="12"/>
  <c r="I70" i="14"/>
  <c r="I69" i="14"/>
  <c r="K70" i="14"/>
  <c r="K69" i="14"/>
  <c r="M70" i="14"/>
  <c r="M69" i="14"/>
  <c r="H70" i="14"/>
  <c r="H69" i="14"/>
  <c r="J70" i="14"/>
  <c r="J69" i="14"/>
  <c r="L70" i="14"/>
  <c r="L69" i="14"/>
  <c r="I77" i="14"/>
  <c r="K77" i="14"/>
  <c r="L56" i="14"/>
  <c r="I49" i="14"/>
  <c r="K49" i="14"/>
  <c r="M77" i="14"/>
  <c r="K32" i="12"/>
  <c r="K23" i="12"/>
  <c r="K18" i="12"/>
  <c r="M29" i="13"/>
  <c r="H29" i="13"/>
  <c r="J29" i="13"/>
  <c r="I29" i="13"/>
  <c r="K29" i="13"/>
  <c r="K41" i="13"/>
  <c r="L29" i="13"/>
  <c r="H42" i="14"/>
  <c r="H37" i="14"/>
  <c r="H36" i="13"/>
  <c r="H31" i="14"/>
  <c r="H20" i="13"/>
  <c r="H19" i="14"/>
  <c r="H19" i="13"/>
  <c r="H20" i="14"/>
  <c r="H15" i="13"/>
  <c r="H15" i="14"/>
  <c r="H14" i="13"/>
  <c r="H14" i="14"/>
  <c r="H17" i="13"/>
  <c r="H17" i="14"/>
  <c r="H16" i="13"/>
  <c r="H16" i="14"/>
  <c r="H12" i="13"/>
  <c r="H11" i="14"/>
  <c r="H11" i="13"/>
  <c r="H10" i="14"/>
  <c r="H10" i="13"/>
  <c r="H9" i="14"/>
  <c r="H9" i="13"/>
  <c r="H12" i="14"/>
  <c r="H37" i="13"/>
  <c r="H34" i="13"/>
  <c r="H26" i="13"/>
  <c r="H22" i="13"/>
  <c r="I42" i="14"/>
  <c r="I37" i="14"/>
  <c r="I36" i="13"/>
  <c r="I31" i="14"/>
  <c r="I20" i="13"/>
  <c r="I19" i="14"/>
  <c r="I19" i="13"/>
  <c r="I20" i="14"/>
  <c r="I15" i="13"/>
  <c r="I15" i="14"/>
  <c r="I14" i="13"/>
  <c r="I14" i="14"/>
  <c r="I17" i="13"/>
  <c r="I17" i="14"/>
  <c r="I16" i="13"/>
  <c r="I16" i="14"/>
  <c r="I12" i="13"/>
  <c r="I11" i="14"/>
  <c r="I11" i="13"/>
  <c r="I10" i="14"/>
  <c r="I10" i="13"/>
  <c r="I9" i="14"/>
  <c r="I9" i="13"/>
  <c r="I12" i="14"/>
  <c r="I37" i="13"/>
  <c r="I34" i="13"/>
  <c r="I26" i="13"/>
  <c r="I22" i="13"/>
  <c r="J42" i="14"/>
  <c r="J37" i="14"/>
  <c r="J36" i="13"/>
  <c r="J31" i="14"/>
  <c r="J20" i="13"/>
  <c r="J19" i="14"/>
  <c r="J19" i="13"/>
  <c r="J20" i="14"/>
  <c r="J15" i="13"/>
  <c r="J15" i="14"/>
  <c r="J14" i="13"/>
  <c r="J14" i="14"/>
  <c r="J17" i="13"/>
  <c r="J17" i="14"/>
  <c r="J16" i="13"/>
  <c r="J16" i="14"/>
  <c r="J12" i="13"/>
  <c r="J11" i="14"/>
  <c r="J11" i="13"/>
  <c r="J10" i="14"/>
  <c r="J10" i="13"/>
  <c r="J9" i="14"/>
  <c r="J9" i="13"/>
  <c r="J12" i="14"/>
  <c r="J37" i="13"/>
  <c r="J34" i="13"/>
  <c r="J26" i="13"/>
  <c r="J22" i="13"/>
  <c r="K42" i="14"/>
  <c r="K37" i="14"/>
  <c r="K36" i="13"/>
  <c r="K31" i="14"/>
  <c r="K20" i="13"/>
  <c r="K19" i="14"/>
  <c r="K19" i="13"/>
  <c r="K20" i="14"/>
  <c r="K15" i="13"/>
  <c r="K15" i="14"/>
  <c r="K14" i="13"/>
  <c r="K14" i="14"/>
  <c r="K17" i="13"/>
  <c r="K17" i="14"/>
  <c r="K16" i="13"/>
  <c r="K16" i="14"/>
  <c r="K12" i="13"/>
  <c r="K11" i="14"/>
  <c r="K11" i="13"/>
  <c r="K10" i="14"/>
  <c r="K10" i="13"/>
  <c r="K9" i="14"/>
  <c r="K9" i="13"/>
  <c r="K12" i="14"/>
  <c r="K37" i="13"/>
  <c r="K34" i="13"/>
  <c r="K26" i="13"/>
  <c r="K22" i="13"/>
  <c r="L42" i="14"/>
  <c r="L37" i="14"/>
  <c r="L36" i="13"/>
  <c r="L31" i="14"/>
  <c r="L64" i="14"/>
  <c r="L52" i="5"/>
  <c r="L20" i="13"/>
  <c r="L19" i="14"/>
  <c r="L19" i="13"/>
  <c r="L20" i="14"/>
  <c r="L15" i="13"/>
  <c r="L15" i="14"/>
  <c r="L14" i="13"/>
  <c r="L14" i="14"/>
  <c r="L17" i="13"/>
  <c r="L17" i="14"/>
  <c r="L16" i="13"/>
  <c r="L16" i="14"/>
  <c r="L12" i="13"/>
  <c r="L11" i="14"/>
  <c r="L11" i="13"/>
  <c r="L10" i="14"/>
  <c r="L10" i="13"/>
  <c r="L9" i="14"/>
  <c r="L9" i="13"/>
  <c r="L12" i="14"/>
  <c r="L30" i="13"/>
  <c r="L37" i="13"/>
  <c r="L34" i="13"/>
  <c r="L26" i="13"/>
  <c r="L22" i="13"/>
  <c r="M42" i="14"/>
  <c r="M37" i="14"/>
  <c r="M36" i="13"/>
  <c r="M31" i="14"/>
  <c r="M20" i="13"/>
  <c r="M19" i="14"/>
  <c r="M19" i="13"/>
  <c r="M20" i="14"/>
  <c r="M15" i="13"/>
  <c r="M15" i="14"/>
  <c r="M14" i="13"/>
  <c r="M14" i="14"/>
  <c r="M17" i="13"/>
  <c r="M17" i="14"/>
  <c r="M16" i="13"/>
  <c r="M16" i="14"/>
  <c r="M12" i="13"/>
  <c r="M11" i="14"/>
  <c r="M11" i="13"/>
  <c r="M10" i="14"/>
  <c r="M10" i="13"/>
  <c r="M9" i="14"/>
  <c r="M9" i="13"/>
  <c r="M12" i="14"/>
  <c r="M30" i="13"/>
  <c r="M37" i="13"/>
  <c r="M34" i="13"/>
  <c r="M26" i="13"/>
  <c r="M22" i="13"/>
  <c r="I41" i="13"/>
  <c r="H41" i="13"/>
  <c r="J41" i="13"/>
  <c r="M41" i="13"/>
  <c r="H54" i="14"/>
  <c r="H64" i="14"/>
  <c r="H59" i="14"/>
  <c r="H35" i="13"/>
  <c r="H75" i="14"/>
  <c r="I63" i="14"/>
  <c r="J54" i="14"/>
  <c r="J64" i="14"/>
  <c r="J59" i="14"/>
  <c r="J35" i="13"/>
  <c r="J75" i="14"/>
  <c r="K63" i="14"/>
  <c r="L54" i="14"/>
  <c r="M53" i="14"/>
  <c r="M76" i="14"/>
  <c r="M21" i="13"/>
  <c r="M73" i="14"/>
  <c r="H66" i="14"/>
  <c r="H57" i="14"/>
  <c r="H31" i="13"/>
  <c r="H74" i="14"/>
  <c r="I58" i="14"/>
  <c r="I65" i="14"/>
  <c r="I56" i="14"/>
  <c r="I24" i="13"/>
  <c r="I72" i="14"/>
  <c r="J66" i="14"/>
  <c r="J57" i="14"/>
  <c r="J31" i="13"/>
  <c r="J74" i="14"/>
  <c r="K58" i="14"/>
  <c r="K65" i="14"/>
  <c r="K56" i="14"/>
  <c r="K24" i="13"/>
  <c r="K72" i="14"/>
  <c r="L66" i="14"/>
  <c r="L35" i="13"/>
  <c r="L75" i="14"/>
  <c r="M52" i="14"/>
  <c r="H53" i="14"/>
  <c r="H76" i="14"/>
  <c r="H21" i="13"/>
  <c r="H73" i="14"/>
  <c r="I42" i="13"/>
  <c r="I50" i="14"/>
  <c r="I55" i="14"/>
  <c r="I25" i="13"/>
  <c r="I71" i="14"/>
  <c r="J53" i="14"/>
  <c r="J76" i="14"/>
  <c r="J21" i="13"/>
  <c r="J73" i="14"/>
  <c r="K42" i="13"/>
  <c r="K50" i="14"/>
  <c r="K55" i="14"/>
  <c r="K25" i="13"/>
  <c r="K71" i="14"/>
  <c r="K83" i="11"/>
  <c r="L77" i="14"/>
  <c r="L31" i="13"/>
  <c r="L74" i="14"/>
  <c r="M63" i="14"/>
  <c r="H52" i="14"/>
  <c r="I62" i="14"/>
  <c r="I43" i="13"/>
  <c r="I51" i="14"/>
  <c r="J52" i="14"/>
  <c r="K62" i="14"/>
  <c r="K43" i="13"/>
  <c r="K51" i="14"/>
  <c r="L53" i="14"/>
  <c r="K82" i="11"/>
  <c r="L76" i="14"/>
  <c r="L21" i="13"/>
  <c r="L73" i="14"/>
  <c r="M58" i="14"/>
  <c r="M65" i="14"/>
  <c r="M56" i="14"/>
  <c r="M24" i="13"/>
  <c r="M72" i="14"/>
  <c r="H63" i="14"/>
  <c r="I54" i="14"/>
  <c r="I64" i="14"/>
  <c r="I59" i="14"/>
  <c r="I35" i="13"/>
  <c r="I75" i="14"/>
  <c r="J63" i="14"/>
  <c r="K54" i="14"/>
  <c r="K64" i="14"/>
  <c r="K59" i="14"/>
  <c r="K35" i="13"/>
  <c r="K75" i="14"/>
  <c r="L78" i="14"/>
  <c r="L52" i="14"/>
  <c r="M42" i="13"/>
  <c r="M50" i="14"/>
  <c r="M60" i="14"/>
  <c r="M55" i="14"/>
  <c r="M25" i="13"/>
  <c r="M71" i="14"/>
  <c r="H58" i="14"/>
  <c r="H65" i="14"/>
  <c r="H56" i="14"/>
  <c r="H24" i="13"/>
  <c r="H72" i="14"/>
  <c r="I66" i="14"/>
  <c r="I57" i="14"/>
  <c r="I31" i="13"/>
  <c r="I74" i="14"/>
  <c r="J58" i="14"/>
  <c r="J65" i="14"/>
  <c r="J56" i="14"/>
  <c r="J24" i="13"/>
  <c r="J72" i="14"/>
  <c r="K66" i="14"/>
  <c r="K57" i="14"/>
  <c r="K31" i="13"/>
  <c r="K74" i="14"/>
  <c r="L58" i="14"/>
  <c r="L65" i="14"/>
  <c r="L63" i="14"/>
  <c r="M62" i="14"/>
  <c r="M43" i="13"/>
  <c r="M51" i="14"/>
  <c r="H42" i="13"/>
  <c r="H50" i="14"/>
  <c r="H55" i="14"/>
  <c r="H25" i="13"/>
  <c r="H71" i="14"/>
  <c r="I53" i="14"/>
  <c r="I76" i="14"/>
  <c r="I21" i="13"/>
  <c r="I73" i="14"/>
  <c r="J42" i="13"/>
  <c r="J50" i="14"/>
  <c r="J60" i="14"/>
  <c r="J55" i="14"/>
  <c r="J25" i="13"/>
  <c r="J71" i="14"/>
  <c r="K53" i="14"/>
  <c r="K76" i="14"/>
  <c r="K21" i="13"/>
  <c r="K73" i="14"/>
  <c r="L42" i="13"/>
  <c r="L50" i="14"/>
  <c r="L24" i="13"/>
  <c r="L72" i="14"/>
  <c r="M54" i="14"/>
  <c r="M64" i="14"/>
  <c r="M59" i="14"/>
  <c r="M35" i="13"/>
  <c r="M75" i="14"/>
  <c r="H62" i="14"/>
  <c r="H43" i="13"/>
  <c r="H51" i="14"/>
  <c r="I52" i="14"/>
  <c r="J62" i="14"/>
  <c r="J43" i="13"/>
  <c r="J51" i="14"/>
  <c r="K52" i="14"/>
  <c r="L62" i="14"/>
  <c r="L25" i="13"/>
  <c r="L71" i="14"/>
  <c r="M66" i="14"/>
  <c r="M57" i="14"/>
  <c r="M31" i="13"/>
  <c r="M74" i="14"/>
  <c r="I30" i="13"/>
  <c r="K30" i="13"/>
  <c r="H30" i="13"/>
  <c r="J30" i="13"/>
  <c r="K92" i="11"/>
  <c r="K84" i="11"/>
  <c r="K85" i="11"/>
  <c r="L43" i="13"/>
  <c r="M27" i="13"/>
  <c r="M32" i="13"/>
  <c r="H32" i="13"/>
  <c r="H27" i="13"/>
  <c r="J32" i="13"/>
  <c r="J27" i="13"/>
  <c r="L27" i="13"/>
  <c r="L32" i="13"/>
  <c r="K91" i="11"/>
  <c r="K89" i="11"/>
  <c r="K88" i="11"/>
  <c r="K90" i="11"/>
  <c r="I27" i="13"/>
  <c r="I32" i="13"/>
  <c r="K27" i="13"/>
  <c r="K32" i="13"/>
  <c r="K87" i="11"/>
  <c r="K93" i="11"/>
  <c r="K86" i="11"/>
  <c r="K19" i="11"/>
  <c r="K53" i="11"/>
  <c r="K52" i="11"/>
  <c r="K27" i="11"/>
  <c r="K79" i="11"/>
  <c r="K38" i="11"/>
  <c r="K22" i="11"/>
  <c r="K29" i="11"/>
  <c r="K33" i="11"/>
  <c r="K23" i="11"/>
  <c r="K39" i="11"/>
  <c r="K28" i="11"/>
  <c r="K43" i="11"/>
  <c r="K18" i="11"/>
  <c r="K24" i="11"/>
  <c r="K34" i="11"/>
  <c r="H38" i="12"/>
  <c r="H27" i="12"/>
  <c r="H23" i="12"/>
  <c r="I27" i="12"/>
  <c r="I23" i="12"/>
  <c r="I32" i="12"/>
  <c r="J86" i="11"/>
  <c r="I38" i="12"/>
  <c r="K42" i="11"/>
  <c r="K42" i="12"/>
  <c r="K12" i="11"/>
  <c r="K12" i="12"/>
  <c r="K51" i="12"/>
  <c r="J27" i="12"/>
  <c r="J32" i="12"/>
  <c r="J38" i="12"/>
  <c r="J23" i="12"/>
  <c r="K11" i="11"/>
  <c r="K11" i="12"/>
  <c r="K31" i="12"/>
  <c r="K13" i="11"/>
  <c r="K13" i="12"/>
  <c r="K41" i="11"/>
  <c r="K41" i="12"/>
  <c r="K37" i="11"/>
  <c r="K37" i="12"/>
  <c r="K16" i="11"/>
  <c r="K16" i="12"/>
  <c r="K14" i="11"/>
  <c r="K14" i="12"/>
  <c r="K36" i="11"/>
  <c r="K36" i="12"/>
  <c r="K46" i="11"/>
  <c r="K46" i="12"/>
  <c r="K26" i="11"/>
  <c r="K26" i="12"/>
  <c r="K17" i="11"/>
  <c r="K17" i="12"/>
  <c r="H32" i="12"/>
  <c r="K21" i="11"/>
  <c r="K21" i="12"/>
  <c r="K47" i="11"/>
  <c r="K47" i="12"/>
  <c r="J93" i="11"/>
  <c r="H90" i="11"/>
  <c r="I86" i="11"/>
  <c r="J88" i="11"/>
  <c r="H92" i="11"/>
  <c r="I90" i="11"/>
  <c r="I83" i="11"/>
  <c r="I85" i="11"/>
  <c r="J87" i="11"/>
  <c r="H88" i="11"/>
  <c r="H87" i="11"/>
  <c r="H83" i="11"/>
  <c r="I88" i="11"/>
  <c r="H94" i="11"/>
  <c r="H86" i="11"/>
  <c r="K51" i="11"/>
  <c r="K32" i="11"/>
  <c r="H43" i="12"/>
  <c r="H22" i="12"/>
  <c r="H28" i="12"/>
  <c r="H18" i="12"/>
  <c r="I43" i="12"/>
  <c r="I22" i="12"/>
  <c r="I28" i="12"/>
  <c r="I18" i="12"/>
  <c r="J43" i="12"/>
  <c r="J22" i="12"/>
  <c r="J28" i="12"/>
  <c r="J18" i="12"/>
  <c r="J51" i="12"/>
  <c r="J31" i="12"/>
  <c r="H31" i="12"/>
  <c r="H51" i="12"/>
  <c r="I51" i="12"/>
  <c r="I31" i="12"/>
  <c r="H46" i="11"/>
  <c r="H46" i="12"/>
  <c r="H26" i="11"/>
  <c r="H26" i="12"/>
  <c r="I37" i="11"/>
  <c r="I37" i="12"/>
  <c r="I13" i="11"/>
  <c r="I13" i="12"/>
  <c r="I41" i="11"/>
  <c r="I41" i="12"/>
  <c r="J17" i="11"/>
  <c r="J17" i="12"/>
  <c r="I16" i="11"/>
  <c r="I16" i="12"/>
  <c r="H17" i="11"/>
  <c r="H17" i="12"/>
  <c r="I46" i="11"/>
  <c r="I46" i="12"/>
  <c r="I26" i="11"/>
  <c r="I26" i="12"/>
  <c r="H21" i="11"/>
  <c r="H21" i="12"/>
  <c r="H42" i="11"/>
  <c r="H42" i="12"/>
  <c r="H12" i="11"/>
  <c r="H12" i="12"/>
  <c r="I21" i="11"/>
  <c r="I21" i="12"/>
  <c r="I47" i="11"/>
  <c r="I47" i="12"/>
  <c r="J11" i="11"/>
  <c r="J11" i="12"/>
  <c r="H47" i="11"/>
  <c r="H47" i="12"/>
  <c r="I36" i="11"/>
  <c r="I36" i="12"/>
  <c r="J42" i="11"/>
  <c r="J42" i="12"/>
  <c r="J12" i="11"/>
  <c r="J12" i="12"/>
  <c r="I17" i="11"/>
  <c r="I17" i="12"/>
  <c r="J37" i="11"/>
  <c r="J37" i="12"/>
  <c r="J13" i="11"/>
  <c r="J13" i="12"/>
  <c r="J41" i="11"/>
  <c r="J41" i="12"/>
  <c r="H11" i="11"/>
  <c r="H11" i="12"/>
  <c r="I42" i="11"/>
  <c r="I42" i="12"/>
  <c r="I12" i="11"/>
  <c r="I12" i="12"/>
  <c r="J16" i="11"/>
  <c r="J16" i="12"/>
  <c r="J14" i="11"/>
  <c r="J14" i="12"/>
  <c r="J36" i="11"/>
  <c r="J36" i="12"/>
  <c r="H37" i="11"/>
  <c r="H37" i="12"/>
  <c r="H13" i="11"/>
  <c r="H13" i="12"/>
  <c r="H41" i="11"/>
  <c r="H41" i="12"/>
  <c r="J46" i="11"/>
  <c r="J46" i="12"/>
  <c r="J26" i="11"/>
  <c r="J26" i="12"/>
  <c r="I14" i="11"/>
  <c r="I14" i="12"/>
  <c r="H16" i="11"/>
  <c r="H16" i="12"/>
  <c r="H14" i="11"/>
  <c r="H14" i="12"/>
  <c r="H36" i="11"/>
  <c r="H36" i="12"/>
  <c r="I11" i="11"/>
  <c r="I11" i="12"/>
  <c r="J21" i="11"/>
  <c r="J21" i="12"/>
  <c r="J47" i="11"/>
  <c r="J47" i="12"/>
  <c r="J90" i="11"/>
  <c r="J84" i="11"/>
  <c r="H85" i="11"/>
  <c r="H84" i="11"/>
  <c r="I91" i="11"/>
  <c r="J89" i="11"/>
  <c r="I89" i="11"/>
  <c r="J83" i="11"/>
  <c r="H93" i="11"/>
  <c r="H82" i="11"/>
  <c r="I84" i="11"/>
  <c r="J94" i="11"/>
  <c r="I87" i="11"/>
  <c r="J85" i="11"/>
  <c r="J82" i="11"/>
  <c r="H91" i="11"/>
  <c r="I94" i="11"/>
  <c r="J92" i="11"/>
  <c r="I93" i="11"/>
  <c r="I82" i="11"/>
  <c r="J91" i="11"/>
  <c r="H89" i="11"/>
  <c r="I92" i="11"/>
  <c r="J24" i="11"/>
  <c r="I80" i="11"/>
  <c r="I52" i="11"/>
  <c r="I53" i="11"/>
  <c r="I81" i="11"/>
  <c r="H53" i="11"/>
  <c r="H81" i="11"/>
  <c r="H80" i="11"/>
  <c r="H52" i="11"/>
  <c r="J81" i="11"/>
  <c r="J53" i="11"/>
  <c r="J80" i="11"/>
  <c r="J52" i="11"/>
  <c r="H79" i="11"/>
  <c r="H51" i="11"/>
  <c r="J44" i="11"/>
  <c r="J79" i="11"/>
  <c r="J51" i="11"/>
  <c r="I79" i="11"/>
  <c r="I51" i="11"/>
  <c r="I44" i="11"/>
  <c r="H44" i="11"/>
  <c r="H19" i="11"/>
  <c r="I23" i="11"/>
  <c r="I19" i="11"/>
  <c r="H29" i="11"/>
  <c r="H39" i="11"/>
  <c r="H32" i="11"/>
  <c r="J34" i="11"/>
  <c r="J18" i="11"/>
  <c r="J27" i="11"/>
  <c r="J32" i="11"/>
  <c r="I32" i="11"/>
  <c r="H23" i="11"/>
  <c r="I34" i="11"/>
  <c r="I28" i="11"/>
  <c r="J29" i="11"/>
  <c r="I29" i="11"/>
  <c r="J33" i="11"/>
  <c r="J38" i="11"/>
  <c r="J23" i="11"/>
  <c r="H18" i="11"/>
  <c r="I18" i="11"/>
  <c r="H43" i="11"/>
  <c r="H34" i="11"/>
  <c r="H38" i="11"/>
  <c r="H27" i="11"/>
  <c r="I24" i="11"/>
  <c r="I33" i="11"/>
  <c r="J43" i="11"/>
  <c r="J39" i="11"/>
  <c r="H22" i="11"/>
  <c r="H28" i="11"/>
  <c r="I43" i="11"/>
  <c r="I39" i="11"/>
  <c r="J22" i="11"/>
  <c r="I38" i="11"/>
  <c r="I27" i="11"/>
  <c r="J28" i="11"/>
  <c r="I22" i="11"/>
  <c r="H24" i="11"/>
  <c r="H33" i="11"/>
  <c r="J19" i="11"/>
  <c r="E1083" i="8"/>
  <c r="D1083" i="8"/>
  <c r="B1083" i="8"/>
  <c r="A1083" i="8"/>
  <c r="E1082" i="8"/>
  <c r="D1082" i="8"/>
  <c r="B1082" i="8"/>
  <c r="A1082" i="8"/>
  <c r="E1081" i="8"/>
  <c r="D1081" i="8"/>
  <c r="B1081" i="8"/>
  <c r="A1081" i="8"/>
  <c r="E1080" i="8"/>
  <c r="D1080" i="8"/>
  <c r="B1080" i="8"/>
  <c r="A1080" i="8"/>
  <c r="E1079" i="8"/>
  <c r="D1079" i="8"/>
  <c r="B1079" i="8"/>
  <c r="A1079" i="8"/>
  <c r="E1078" i="8"/>
  <c r="D1078" i="8"/>
  <c r="B1078" i="8"/>
  <c r="A1078" i="8"/>
  <c r="BH288" i="3" l="1"/>
  <c r="BH287" i="3"/>
  <c r="BH82" i="3"/>
  <c r="BH393" i="3"/>
  <c r="BH273" i="3"/>
  <c r="BH10" i="3"/>
  <c r="BH11" i="3"/>
  <c r="BH69" i="3"/>
  <c r="BH303" i="3"/>
  <c r="BH12" i="3"/>
  <c r="BH13" i="3"/>
  <c r="BH14" i="3"/>
  <c r="BH15" i="3"/>
  <c r="BH274" i="3"/>
  <c r="BH17" i="3"/>
  <c r="BH18" i="3"/>
  <c r="BH16" i="3"/>
  <c r="BH199" i="3"/>
  <c r="BH200" i="3"/>
  <c r="BH275" i="3"/>
  <c r="BH321" i="3"/>
  <c r="BH277" i="3"/>
  <c r="BH278" i="3"/>
  <c r="BH279" i="3"/>
  <c r="BH280" i="3"/>
  <c r="BH285" i="3"/>
  <c r="BH36" i="3"/>
  <c r="BH37" i="3"/>
  <c r="BH38" i="3"/>
  <c r="BH40" i="3"/>
  <c r="BH289" i="3"/>
  <c r="BH41" i="3"/>
  <c r="BH42" i="3"/>
  <c r="BH43" i="3"/>
  <c r="BH44" i="3"/>
  <c r="BH83" i="3"/>
  <c r="BH290" i="3"/>
  <c r="BH291" i="3"/>
  <c r="BH45" i="3"/>
  <c r="BH46" i="3"/>
  <c r="BH47" i="3"/>
  <c r="BH296" i="3"/>
  <c r="BH3" i="3"/>
  <c r="BH19" i="3"/>
  <c r="BH27" i="3"/>
  <c r="BH35" i="3"/>
  <c r="BH52" i="3"/>
  <c r="BH74" i="3"/>
  <c r="BH80" i="3"/>
  <c r="BH85" i="3"/>
  <c r="BH92" i="3"/>
  <c r="BH101" i="3"/>
  <c r="BH109" i="3"/>
  <c r="BH121" i="3"/>
  <c r="BH129" i="3"/>
  <c r="BH136" i="3"/>
  <c r="BH141" i="3"/>
  <c r="BH148" i="3"/>
  <c r="BH151" i="3"/>
  <c r="BH156" i="3"/>
  <c r="BH170" i="3"/>
  <c r="BH177" i="3"/>
  <c r="BH183" i="3"/>
  <c r="BH194" i="3"/>
  <c r="BH210" i="3"/>
  <c r="BH215" i="3"/>
  <c r="BH227" i="3"/>
  <c r="BH237" i="3"/>
  <c r="BH245" i="3"/>
  <c r="BH253" i="3"/>
  <c r="BH256" i="3"/>
  <c r="BH264" i="3"/>
  <c r="BH272" i="3"/>
  <c r="BH292" i="3"/>
  <c r="BH312" i="3"/>
  <c r="BH348" i="3"/>
  <c r="BH351" i="3"/>
  <c r="BH356" i="3"/>
  <c r="BH363" i="3"/>
  <c r="BH378" i="3"/>
  <c r="BH4" i="3"/>
  <c r="BH20" i="3"/>
  <c r="BH28" i="3"/>
  <c r="BH39" i="3"/>
  <c r="BH58" i="3"/>
  <c r="BH63" i="3"/>
  <c r="BH66" i="3"/>
  <c r="BH75" i="3"/>
  <c r="BH81" i="3"/>
  <c r="BH86" i="3"/>
  <c r="BH97" i="3"/>
  <c r="BH102" i="3"/>
  <c r="BH110" i="3"/>
  <c r="BH114" i="3"/>
  <c r="BH122" i="3"/>
  <c r="BH130" i="3"/>
  <c r="BH137" i="3"/>
  <c r="BH157" i="3"/>
  <c r="BH163" i="3"/>
  <c r="BH171" i="3"/>
  <c r="BH184" i="3"/>
  <c r="BH195" i="3"/>
  <c r="BH202" i="3"/>
  <c r="BH206" i="3"/>
  <c r="BH220" i="3"/>
  <c r="BH224" i="3"/>
  <c r="BH231" i="3"/>
  <c r="BH233" i="3"/>
  <c r="BH241" i="3"/>
  <c r="BH254" i="3"/>
  <c r="BH257" i="3"/>
  <c r="BH265" i="3"/>
  <c r="BH276" i="3"/>
  <c r="BH293" i="3"/>
  <c r="BH300" i="3"/>
  <c r="BH305" i="3"/>
  <c r="BH308" i="3"/>
  <c r="BH313" i="3"/>
  <c r="BH318" i="3"/>
  <c r="BH324" i="3"/>
  <c r="BH328" i="3"/>
  <c r="BH332" i="3"/>
  <c r="BH337" i="3"/>
  <c r="BH343" i="3"/>
  <c r="BH349" i="3"/>
  <c r="BH366" i="3"/>
  <c r="BH370" i="3"/>
  <c r="BH379" i="3"/>
  <c r="BH384" i="3"/>
  <c r="BH390" i="3"/>
  <c r="BH5" i="3"/>
  <c r="BH6" i="3"/>
  <c r="BH22" i="3"/>
  <c r="BH30" i="3"/>
  <c r="BH48" i="3"/>
  <c r="BH55" i="3"/>
  <c r="BH64" i="3"/>
  <c r="BH67" i="3"/>
  <c r="BH71" i="3"/>
  <c r="BH76" i="3"/>
  <c r="BH94" i="3"/>
  <c r="BH98" i="3"/>
  <c r="BH104" i="3"/>
  <c r="BH112" i="3"/>
  <c r="BH116" i="3"/>
  <c r="BH124" i="3"/>
  <c r="BH132" i="3"/>
  <c r="BH142" i="3"/>
  <c r="BH153" i="3"/>
  <c r="BH159" i="3"/>
  <c r="BH165" i="3"/>
  <c r="BH179" i="3"/>
  <c r="BH186" i="3"/>
  <c r="BH196" i="3"/>
  <c r="BH203" i="3"/>
  <c r="BH212" i="3"/>
  <c r="BH221" i="3"/>
  <c r="BH228" i="3"/>
  <c r="BH243" i="3"/>
  <c r="BH246" i="3"/>
  <c r="BH259" i="3"/>
  <c r="BH267" i="3"/>
  <c r="BH282" i="3"/>
  <c r="BH295" i="3"/>
  <c r="BH301" i="3"/>
  <c r="BH306" i="3"/>
  <c r="BH309" i="3"/>
  <c r="BH314" i="3"/>
  <c r="BH319" i="3"/>
  <c r="BH325" i="3"/>
  <c r="BH329" i="3"/>
  <c r="BH339" i="3"/>
  <c r="BH344" i="3"/>
  <c r="BH353" i="3"/>
  <c r="BH358" i="3"/>
  <c r="BH367" i="3"/>
  <c r="BH375" i="3"/>
  <c r="BH381" i="3"/>
  <c r="BH386" i="3"/>
  <c r="BH391" i="3"/>
  <c r="BH7" i="3"/>
  <c r="BH23" i="3"/>
  <c r="BH31" i="3"/>
  <c r="BH49" i="3"/>
  <c r="BH59" i="3"/>
  <c r="BH77" i="3"/>
  <c r="BH88" i="3"/>
  <c r="BH105" i="3"/>
  <c r="BH113" i="3"/>
  <c r="BH117" i="3"/>
  <c r="BH125" i="3"/>
  <c r="BH133" i="3"/>
  <c r="BH138" i="3"/>
  <c r="BH144" i="3"/>
  <c r="BH147" i="3"/>
  <c r="BH160" i="3"/>
  <c r="BH166" i="3"/>
  <c r="BH173" i="3"/>
  <c r="BH180" i="3"/>
  <c r="BH187" i="3"/>
  <c r="BH191" i="3"/>
  <c r="BH197" i="3"/>
  <c r="BH208" i="3"/>
  <c r="BH217" i="3"/>
  <c r="BH222" i="3"/>
  <c r="BH225" i="3"/>
  <c r="BH234" i="3"/>
  <c r="BH247" i="3"/>
  <c r="BH250" i="3"/>
  <c r="BH260" i="3"/>
  <c r="BH268" i="3"/>
  <c r="BH283" i="3"/>
  <c r="BH297" i="3"/>
  <c r="BH302" i="3"/>
  <c r="BH315" i="3"/>
  <c r="BH320" i="3"/>
  <c r="BH330" i="3"/>
  <c r="BH334" i="3"/>
  <c r="BH340" i="3"/>
  <c r="BH354" i="3"/>
  <c r="BH359" i="3"/>
  <c r="BH364" i="3"/>
  <c r="BH372" i="3"/>
  <c r="BH376" i="3"/>
  <c r="BH387" i="3"/>
  <c r="BH24" i="3"/>
  <c r="BH32" i="3"/>
  <c r="BH50" i="3"/>
  <c r="BH60" i="3"/>
  <c r="BH72" i="3"/>
  <c r="BH84" i="3"/>
  <c r="BH89" i="3"/>
  <c r="BH95" i="3"/>
  <c r="BH99" i="3"/>
  <c r="BH106" i="3"/>
  <c r="BH118" i="3"/>
  <c r="BH126" i="3"/>
  <c r="BH134" i="3"/>
  <c r="BH139" i="3"/>
  <c r="BH154" i="3"/>
  <c r="BH167" i="3"/>
  <c r="BH174" i="3"/>
  <c r="BH181" i="3"/>
  <c r="BH188" i="3"/>
  <c r="BH192" i="3"/>
  <c r="BH198" i="3"/>
  <c r="BH209" i="3"/>
  <c r="BH213" i="3"/>
  <c r="BH226" i="3"/>
  <c r="BH229" i="3"/>
  <c r="BH235" i="3"/>
  <c r="BH248" i="3"/>
  <c r="BH261" i="3"/>
  <c r="BH269" i="3"/>
  <c r="BH284" i="3"/>
  <c r="BH298" i="3"/>
  <c r="BH307" i="3"/>
  <c r="BH310" i="3"/>
  <c r="BH322" i="3"/>
  <c r="BH326" i="3"/>
  <c r="BH335" i="3"/>
  <c r="BH341" i="3"/>
  <c r="BH345" i="3"/>
  <c r="BH355" i="3"/>
  <c r="BH368" i="3"/>
  <c r="BH382" i="3"/>
  <c r="BH8" i="3"/>
  <c r="BH25" i="3"/>
  <c r="BH33" i="3"/>
  <c r="BH56" i="3"/>
  <c r="BH61" i="3"/>
  <c r="BH65" i="3"/>
  <c r="BH68" i="3"/>
  <c r="BH78" i="3"/>
  <c r="BH90" i="3"/>
  <c r="BH107" i="3"/>
  <c r="BH119" i="3"/>
  <c r="BH127" i="3"/>
  <c r="BH135" i="3"/>
  <c r="BH140" i="3"/>
  <c r="BH143" i="3"/>
  <c r="BH150" i="3"/>
  <c r="BH161" i="3"/>
  <c r="BH168" i="3"/>
  <c r="BH175" i="3"/>
  <c r="BH182" i="3"/>
  <c r="BH193" i="3"/>
  <c r="BH204" i="3"/>
  <c r="BH214" i="3"/>
  <c r="BH218" i="3"/>
  <c r="BH232" i="3"/>
  <c r="BH239" i="3"/>
  <c r="BH249" i="3"/>
  <c r="BH251" i="3"/>
  <c r="BH262" i="3"/>
  <c r="BH9" i="3"/>
  <c r="BH26" i="3"/>
  <c r="BH34" i="3"/>
  <c r="BH51" i="3"/>
  <c r="BH57" i="3"/>
  <c r="BH62" i="3"/>
  <c r="BH73" i="3"/>
  <c r="BH79" i="3"/>
  <c r="BH91" i="3"/>
  <c r="BH96" i="3"/>
  <c r="BH100" i="3"/>
  <c r="BH108" i="3"/>
  <c r="BH120" i="3"/>
  <c r="BH128" i="3"/>
  <c r="BH146" i="3"/>
  <c r="BH155" i="3"/>
  <c r="BH162" i="3"/>
  <c r="BH169" i="3"/>
  <c r="BH176" i="3"/>
  <c r="BH189" i="3"/>
  <c r="BH201" i="3"/>
  <c r="BH205" i="3"/>
  <c r="BH219" i="3"/>
  <c r="BH223" i="3"/>
  <c r="BH230" i="3"/>
  <c r="BH236" i="3"/>
  <c r="BH240" i="3"/>
  <c r="BH244" i="3"/>
  <c r="BH21" i="3"/>
  <c r="BH70" i="3"/>
  <c r="BH115" i="3"/>
  <c r="BH149" i="3"/>
  <c r="BH286" i="3"/>
  <c r="BH317" i="3"/>
  <c r="BH347" i="3"/>
  <c r="BH357" i="3"/>
  <c r="BH392" i="3"/>
  <c r="BH29" i="3"/>
  <c r="BH123" i="3"/>
  <c r="BH152" i="3"/>
  <c r="BH255" i="3"/>
  <c r="BH331" i="3"/>
  <c r="BH365" i="3"/>
  <c r="BH380" i="3"/>
  <c r="BH131" i="3"/>
  <c r="BH158" i="3"/>
  <c r="BH207" i="3"/>
  <c r="BH258" i="3"/>
  <c r="BH294" i="3"/>
  <c r="BH333" i="3"/>
  <c r="BH352" i="3"/>
  <c r="BH53" i="3"/>
  <c r="BH87" i="3"/>
  <c r="BH164" i="3"/>
  <c r="BH211" i="3"/>
  <c r="BH238" i="3"/>
  <c r="BH263" i="3"/>
  <c r="BH323" i="3"/>
  <c r="BH362" i="3"/>
  <c r="BH371" i="3"/>
  <c r="BH383" i="3"/>
  <c r="BH54" i="3"/>
  <c r="BH93" i="3"/>
  <c r="BH172" i="3"/>
  <c r="BH216" i="3"/>
  <c r="BH242" i="3"/>
  <c r="BH266" i="3"/>
  <c r="BH299" i="3"/>
  <c r="BH311" i="3"/>
  <c r="BH336" i="3"/>
  <c r="BH385" i="3"/>
  <c r="BH178" i="3"/>
  <c r="BH270" i="3"/>
  <c r="BH338" i="3"/>
  <c r="BH346" i="3"/>
  <c r="BH360" i="3"/>
  <c r="BH373" i="3"/>
  <c r="BH388" i="3"/>
  <c r="BH103" i="3"/>
  <c r="BH145" i="3"/>
  <c r="BH185" i="3"/>
  <c r="BH271" i="3"/>
  <c r="BH304" i="3"/>
  <c r="BH327" i="3"/>
  <c r="BH350" i="3"/>
  <c r="BH361" i="3"/>
  <c r="BH374" i="3"/>
  <c r="BH389" i="3"/>
  <c r="BH316" i="3"/>
  <c r="BH369" i="3"/>
  <c r="BH111" i="3"/>
  <c r="BH377" i="3"/>
  <c r="BH342" i="3"/>
  <c r="BH190" i="3"/>
  <c r="BH252" i="3"/>
  <c r="BH281" i="3"/>
  <c r="E1073" i="8"/>
  <c r="D1073" i="8"/>
  <c r="B1073" i="8"/>
  <c r="A1073" i="8"/>
  <c r="E1072" i="8"/>
  <c r="D1072" i="8"/>
  <c r="B1072" i="8"/>
  <c r="A1072" i="8"/>
  <c r="E1071" i="8"/>
  <c r="D1071" i="8"/>
  <c r="B1071" i="8"/>
  <c r="A1071" i="8"/>
  <c r="E1070" i="8"/>
  <c r="D1070" i="8"/>
  <c r="B1070" i="8"/>
  <c r="A1070" i="8"/>
  <c r="E1069" i="8"/>
  <c r="D1069" i="8"/>
  <c r="B1069" i="8"/>
  <c r="A1069" i="8"/>
  <c r="E1068" i="8"/>
  <c r="D1068" i="8"/>
  <c r="B1068" i="8"/>
  <c r="A1068" i="8"/>
  <c r="E1067" i="8"/>
  <c r="D1067" i="8"/>
  <c r="B1067" i="8"/>
  <c r="A1067" i="8"/>
  <c r="E1066" i="8"/>
  <c r="D1066" i="8"/>
  <c r="B1066" i="8"/>
  <c r="A1066" i="8"/>
  <c r="E1065" i="8"/>
  <c r="D1065" i="8"/>
  <c r="B1065" i="8"/>
  <c r="A1065" i="8"/>
  <c r="E1064" i="8"/>
  <c r="D1064" i="8"/>
  <c r="B1064" i="8"/>
  <c r="A1064" i="8"/>
  <c r="E1063" i="8"/>
  <c r="D1063" i="8"/>
  <c r="B1063" i="8"/>
  <c r="A1063" i="8"/>
  <c r="E1062" i="8"/>
  <c r="D1062" i="8"/>
  <c r="B1062" i="8"/>
  <c r="A1062" i="8"/>
  <c r="E1061" i="8"/>
  <c r="D1061" i="8"/>
  <c r="B1061" i="8"/>
  <c r="A1061" i="8"/>
  <c r="E1060" i="8"/>
  <c r="D1060" i="8"/>
  <c r="B1060" i="8"/>
  <c r="A1060" i="8"/>
  <c r="E1059" i="8"/>
  <c r="D1059" i="8"/>
  <c r="B1059" i="8"/>
  <c r="A1059" i="8"/>
  <c r="E1058" i="8"/>
  <c r="D1058" i="8"/>
  <c r="B1058" i="8"/>
  <c r="A1058" i="8"/>
  <c r="E1057" i="8"/>
  <c r="D1057" i="8"/>
  <c r="B1057" i="8"/>
  <c r="A1057" i="8"/>
  <c r="E1056" i="8"/>
  <c r="D1056" i="8"/>
  <c r="B1056" i="8"/>
  <c r="A1056" i="8"/>
  <c r="E1055" i="8"/>
  <c r="D1055" i="8"/>
  <c r="B1055" i="8"/>
  <c r="A1055" i="8"/>
  <c r="E1054" i="8"/>
  <c r="D1054" i="8"/>
  <c r="B1054" i="8"/>
  <c r="A1054" i="8"/>
  <c r="E1053" i="8"/>
  <c r="D1053" i="8"/>
  <c r="B1053" i="8"/>
  <c r="A1053" i="8"/>
  <c r="E1052" i="8"/>
  <c r="D1052" i="8"/>
  <c r="B1052" i="8"/>
  <c r="A1052" i="8"/>
  <c r="E1051" i="8"/>
  <c r="D1051" i="8"/>
  <c r="B1051" i="8"/>
  <c r="A1051" i="8"/>
  <c r="E1050" i="8"/>
  <c r="D1050" i="8"/>
  <c r="B1050" i="8"/>
  <c r="A1050" i="8"/>
  <c r="E1049" i="8"/>
  <c r="D1049" i="8"/>
  <c r="B1049" i="8"/>
  <c r="A1049" i="8"/>
  <c r="E1048" i="8"/>
  <c r="D1048" i="8"/>
  <c r="B1048" i="8"/>
  <c r="A1048" i="8"/>
  <c r="E1047" i="8"/>
  <c r="D1047" i="8"/>
  <c r="B1047" i="8"/>
  <c r="A1047" i="8"/>
  <c r="E1046" i="8"/>
  <c r="D1046" i="8"/>
  <c r="B1046" i="8"/>
  <c r="A1046" i="8"/>
  <c r="BG288" i="3" l="1"/>
  <c r="BG287" i="3"/>
  <c r="BG82" i="3"/>
  <c r="BG393" i="3"/>
  <c r="BG273" i="3"/>
  <c r="BG10" i="3"/>
  <c r="BG11" i="3"/>
  <c r="BG69" i="3"/>
  <c r="BG303" i="3"/>
  <c r="BG12" i="3"/>
  <c r="BG13" i="3"/>
  <c r="BG14" i="3"/>
  <c r="BG15" i="3"/>
  <c r="BG274" i="3"/>
  <c r="BG17" i="3"/>
  <c r="BG18" i="3"/>
  <c r="BG16" i="3"/>
  <c r="BG199" i="3"/>
  <c r="BG200" i="3"/>
  <c r="BG275" i="3"/>
  <c r="BG321" i="3"/>
  <c r="BG277" i="3"/>
  <c r="BG278" i="3"/>
  <c r="BG279" i="3"/>
  <c r="BG280" i="3"/>
  <c r="BG285" i="3"/>
  <c r="BG36" i="3"/>
  <c r="BG37" i="3"/>
  <c r="BG38" i="3"/>
  <c r="BG40" i="3"/>
  <c r="BG289" i="3"/>
  <c r="BG41" i="3"/>
  <c r="BG42" i="3"/>
  <c r="BG43" i="3"/>
  <c r="BG44" i="3"/>
  <c r="BG83" i="3"/>
  <c r="BG290" i="3"/>
  <c r="BG291" i="3"/>
  <c r="BG45" i="3"/>
  <c r="BG46" i="3"/>
  <c r="BG47" i="3"/>
  <c r="BG296" i="3"/>
  <c r="BG3" i="3"/>
  <c r="BG5" i="3"/>
  <c r="BG6" i="3"/>
  <c r="BG7" i="3"/>
  <c r="BG21" i="3"/>
  <c r="BG29" i="3"/>
  <c r="BG53" i="3"/>
  <c r="BG54" i="3"/>
  <c r="BG70" i="3"/>
  <c r="BG87" i="3"/>
  <c r="BG93" i="3"/>
  <c r="BG103" i="3"/>
  <c r="BG111" i="3"/>
  <c r="BG115" i="3"/>
  <c r="BG123" i="3"/>
  <c r="BG131" i="3"/>
  <c r="BG145" i="3"/>
  <c r="BG149" i="3"/>
  <c r="BG152" i="3"/>
  <c r="BG158" i="3"/>
  <c r="BG164" i="3"/>
  <c r="BG172" i="3"/>
  <c r="BG178" i="3"/>
  <c r="BG185" i="3"/>
  <c r="BG190" i="3"/>
  <c r="BG207" i="3"/>
  <c r="BG211" i="3"/>
  <c r="BG216" i="3"/>
  <c r="BG238" i="3"/>
  <c r="BG242" i="3"/>
  <c r="BG258" i="3"/>
  <c r="BG266" i="3"/>
  <c r="BG281" i="3"/>
  <c r="BG294" i="3"/>
  <c r="BG333" i="3"/>
  <c r="BG338" i="3"/>
  <c r="BG22" i="3"/>
  <c r="BG30" i="3"/>
  <c r="BG48" i="3"/>
  <c r="BG55" i="3"/>
  <c r="BG64" i="3"/>
  <c r="BG67" i="3"/>
  <c r="BG71" i="3"/>
  <c r="BG76" i="3"/>
  <c r="BG94" i="3"/>
  <c r="BG98" i="3"/>
  <c r="BG104" i="3"/>
  <c r="BG112" i="3"/>
  <c r="BG116" i="3"/>
  <c r="BG124" i="3"/>
  <c r="BG132" i="3"/>
  <c r="BG142" i="3"/>
  <c r="BG153" i="3"/>
  <c r="BG159" i="3"/>
  <c r="BG165" i="3"/>
  <c r="BG179" i="3"/>
  <c r="BG186" i="3"/>
  <c r="BG196" i="3"/>
  <c r="BG203" i="3"/>
  <c r="BG212" i="3"/>
  <c r="BG221" i="3"/>
  <c r="BG228" i="3"/>
  <c r="BG243" i="3"/>
  <c r="BG4" i="3"/>
  <c r="BG23" i="3"/>
  <c r="BG31" i="3"/>
  <c r="BG49" i="3"/>
  <c r="BG59" i="3"/>
  <c r="BG77" i="3"/>
  <c r="BG88" i="3"/>
  <c r="BG105" i="3"/>
  <c r="BG113" i="3"/>
  <c r="BG117" i="3"/>
  <c r="BG125" i="3"/>
  <c r="BG133" i="3"/>
  <c r="BG138" i="3"/>
  <c r="BG144" i="3"/>
  <c r="BG147" i="3"/>
  <c r="BG160" i="3"/>
  <c r="BG166" i="3"/>
  <c r="BG173" i="3"/>
  <c r="BG180" i="3"/>
  <c r="BG187" i="3"/>
  <c r="BG191" i="3"/>
  <c r="BG197" i="3"/>
  <c r="BG208" i="3"/>
  <c r="BG217" i="3"/>
  <c r="BG222" i="3"/>
  <c r="BG225" i="3"/>
  <c r="BG234" i="3"/>
  <c r="BG247" i="3"/>
  <c r="BG250" i="3"/>
  <c r="BG260" i="3"/>
  <c r="BG268" i="3"/>
  <c r="BG283" i="3"/>
  <c r="BG297" i="3"/>
  <c r="BG302" i="3"/>
  <c r="BG315" i="3"/>
  <c r="BG320" i="3"/>
  <c r="BG330" i="3"/>
  <c r="BG334" i="3"/>
  <c r="BG340" i="3"/>
  <c r="BG24" i="3"/>
  <c r="BG32" i="3"/>
  <c r="BG50" i="3"/>
  <c r="BG60" i="3"/>
  <c r="BG72" i="3"/>
  <c r="BG84" i="3"/>
  <c r="BG89" i="3"/>
  <c r="BG95" i="3"/>
  <c r="BG99" i="3"/>
  <c r="BG106" i="3"/>
  <c r="BG118" i="3"/>
  <c r="BG126" i="3"/>
  <c r="BG134" i="3"/>
  <c r="BG139" i="3"/>
  <c r="BG154" i="3"/>
  <c r="BG167" i="3"/>
  <c r="BG174" i="3"/>
  <c r="BG181" i="3"/>
  <c r="BG188" i="3"/>
  <c r="BG192" i="3"/>
  <c r="BG198" i="3"/>
  <c r="BG209" i="3"/>
  <c r="BG213" i="3"/>
  <c r="BG226" i="3"/>
  <c r="BG229" i="3"/>
  <c r="BG235" i="3"/>
  <c r="BG248" i="3"/>
  <c r="BG8" i="3"/>
  <c r="BG25" i="3"/>
  <c r="BG33" i="3"/>
  <c r="BG56" i="3"/>
  <c r="BG61" i="3"/>
  <c r="BG65" i="3"/>
  <c r="BG68" i="3"/>
  <c r="BG78" i="3"/>
  <c r="BG90" i="3"/>
  <c r="BG107" i="3"/>
  <c r="BG119" i="3"/>
  <c r="BG127" i="3"/>
  <c r="BG135" i="3"/>
  <c r="BG140" i="3"/>
  <c r="BG143" i="3"/>
  <c r="BG150" i="3"/>
  <c r="BG161" i="3"/>
  <c r="BG168" i="3"/>
  <c r="BG175" i="3"/>
  <c r="BG182" i="3"/>
  <c r="BG193" i="3"/>
  <c r="BG204" i="3"/>
  <c r="BG214" i="3"/>
  <c r="BG218" i="3"/>
  <c r="BG232" i="3"/>
  <c r="BG239" i="3"/>
  <c r="BG249" i="3"/>
  <c r="BG251" i="3"/>
  <c r="BG262" i="3"/>
  <c r="BG270" i="3"/>
  <c r="BG286" i="3"/>
  <c r="BG304" i="3"/>
  <c r="BG311" i="3"/>
  <c r="BG316" i="3"/>
  <c r="BG9" i="3"/>
  <c r="BG26" i="3"/>
  <c r="BG34" i="3"/>
  <c r="BG51" i="3"/>
  <c r="BG57" i="3"/>
  <c r="BG62" i="3"/>
  <c r="BG73" i="3"/>
  <c r="BG79" i="3"/>
  <c r="BG91" i="3"/>
  <c r="BG96" i="3"/>
  <c r="BG100" i="3"/>
  <c r="BG108" i="3"/>
  <c r="BG120" i="3"/>
  <c r="BG128" i="3"/>
  <c r="BG146" i="3"/>
  <c r="BG155" i="3"/>
  <c r="BG162" i="3"/>
  <c r="BG169" i="3"/>
  <c r="BG176" i="3"/>
  <c r="BG189" i="3"/>
  <c r="BG201" i="3"/>
  <c r="BG205" i="3"/>
  <c r="BG219" i="3"/>
  <c r="BG223" i="3"/>
  <c r="BG230" i="3"/>
  <c r="BG236" i="3"/>
  <c r="BG240" i="3"/>
  <c r="BG244" i="3"/>
  <c r="BG252" i="3"/>
  <c r="BG255" i="3"/>
  <c r="BG263" i="3"/>
  <c r="BG271" i="3"/>
  <c r="BG299" i="3"/>
  <c r="BG317" i="3"/>
  <c r="BG323" i="3"/>
  <c r="BG327" i="3"/>
  <c r="BG331" i="3"/>
  <c r="BG336" i="3"/>
  <c r="BG342" i="3"/>
  <c r="BG346" i="3"/>
  <c r="BG347" i="3"/>
  <c r="BG19" i="3"/>
  <c r="BG27" i="3"/>
  <c r="BG35" i="3"/>
  <c r="BG52" i="3"/>
  <c r="BG74" i="3"/>
  <c r="BG80" i="3"/>
  <c r="BG85" i="3"/>
  <c r="BG92" i="3"/>
  <c r="BG101" i="3"/>
  <c r="BG109" i="3"/>
  <c r="BG121" i="3"/>
  <c r="BG129" i="3"/>
  <c r="BG136" i="3"/>
  <c r="BG141" i="3"/>
  <c r="BG148" i="3"/>
  <c r="BG151" i="3"/>
  <c r="BG156" i="3"/>
  <c r="BG170" i="3"/>
  <c r="BG177" i="3"/>
  <c r="BG183" i="3"/>
  <c r="BG194" i="3"/>
  <c r="BG210" i="3"/>
  <c r="BG215" i="3"/>
  <c r="BG227" i="3"/>
  <c r="BG237" i="3"/>
  <c r="BG245" i="3"/>
  <c r="BG253" i="3"/>
  <c r="BG256" i="3"/>
  <c r="BG264" i="3"/>
  <c r="BG272" i="3"/>
  <c r="BG292" i="3"/>
  <c r="BG312" i="3"/>
  <c r="BG348" i="3"/>
  <c r="BG58" i="3"/>
  <c r="BG97" i="3"/>
  <c r="BG220" i="3"/>
  <c r="BG257" i="3"/>
  <c r="BG284" i="3"/>
  <c r="BG306" i="3"/>
  <c r="BG318" i="3"/>
  <c r="BG349" i="3"/>
  <c r="BG352" i="3"/>
  <c r="BG357" i="3"/>
  <c r="BG361" i="3"/>
  <c r="BG371" i="3"/>
  <c r="BG374" i="3"/>
  <c r="BG380" i="3"/>
  <c r="BG385" i="3"/>
  <c r="BG63" i="3"/>
  <c r="BG102" i="3"/>
  <c r="BG184" i="3"/>
  <c r="BG224" i="3"/>
  <c r="BG246" i="3"/>
  <c r="BG259" i="3"/>
  <c r="BG293" i="3"/>
  <c r="BG307" i="3"/>
  <c r="BG319" i="3"/>
  <c r="BG332" i="3"/>
  <c r="BG353" i="3"/>
  <c r="BG358" i="3"/>
  <c r="BG367" i="3"/>
  <c r="BG375" i="3"/>
  <c r="BG381" i="3"/>
  <c r="BG386" i="3"/>
  <c r="BG391" i="3"/>
  <c r="BG66" i="3"/>
  <c r="BG110" i="3"/>
  <c r="BG261" i="3"/>
  <c r="BG295" i="3"/>
  <c r="BG308" i="3"/>
  <c r="BG322" i="3"/>
  <c r="BG354" i="3"/>
  <c r="BG359" i="3"/>
  <c r="BG364" i="3"/>
  <c r="BG372" i="3"/>
  <c r="BG376" i="3"/>
  <c r="BG387" i="3"/>
  <c r="BG20" i="3"/>
  <c r="BG114" i="3"/>
  <c r="BG195" i="3"/>
  <c r="BG231" i="3"/>
  <c r="BG265" i="3"/>
  <c r="BG298" i="3"/>
  <c r="BG309" i="3"/>
  <c r="BG324" i="3"/>
  <c r="BG335" i="3"/>
  <c r="BG344" i="3"/>
  <c r="BG355" i="3"/>
  <c r="BG368" i="3"/>
  <c r="BG382" i="3"/>
  <c r="BG28" i="3"/>
  <c r="BG75" i="3"/>
  <c r="BG122" i="3"/>
  <c r="BG202" i="3"/>
  <c r="BG267" i="3"/>
  <c r="BG300" i="3"/>
  <c r="BG310" i="3"/>
  <c r="BG325" i="3"/>
  <c r="BG337" i="3"/>
  <c r="BG345" i="3"/>
  <c r="BG377" i="3"/>
  <c r="BG388" i="3"/>
  <c r="BG392" i="3"/>
  <c r="BG39" i="3"/>
  <c r="BG81" i="3"/>
  <c r="BG130" i="3"/>
  <c r="BG157" i="3"/>
  <c r="BG206" i="3"/>
  <c r="BG233" i="3"/>
  <c r="BG254" i="3"/>
  <c r="BG269" i="3"/>
  <c r="BG301" i="3"/>
  <c r="BG313" i="3"/>
  <c r="BG326" i="3"/>
  <c r="BG339" i="3"/>
  <c r="BG350" i="3"/>
  <c r="BG360" i="3"/>
  <c r="BG362" i="3"/>
  <c r="BG365" i="3"/>
  <c r="BG369" i="3"/>
  <c r="BG373" i="3"/>
  <c r="BG383" i="3"/>
  <c r="BG389" i="3"/>
  <c r="BG171" i="3"/>
  <c r="BG241" i="3"/>
  <c r="BG282" i="3"/>
  <c r="BG305" i="3"/>
  <c r="BG329" i="3"/>
  <c r="BG343" i="3"/>
  <c r="BG366" i="3"/>
  <c r="BG370" i="3"/>
  <c r="BG379" i="3"/>
  <c r="BG384" i="3"/>
  <c r="BG390" i="3"/>
  <c r="BG351" i="3"/>
  <c r="BG276" i="3"/>
  <c r="BG86" i="3"/>
  <c r="BG314" i="3"/>
  <c r="BG356" i="3"/>
  <c r="BG137" i="3"/>
  <c r="BG328" i="3"/>
  <c r="BG163" i="3"/>
  <c r="BG341" i="3"/>
  <c r="BG363" i="3"/>
  <c r="BG378" i="3"/>
  <c r="E1043" i="8" l="1"/>
  <c r="D1043" i="8"/>
  <c r="B1043" i="8"/>
  <c r="A1043" i="8"/>
  <c r="E1042" i="8"/>
  <c r="D1042" i="8"/>
  <c r="B1042" i="8"/>
  <c r="A1042" i="8"/>
  <c r="E1041" i="8"/>
  <c r="D1041" i="8"/>
  <c r="B1041" i="8"/>
  <c r="A1041" i="8"/>
  <c r="E1040" i="8"/>
  <c r="D1040" i="8"/>
  <c r="B1040" i="8"/>
  <c r="A1040" i="8"/>
  <c r="E1039" i="8"/>
  <c r="D1039" i="8"/>
  <c r="B1039" i="8"/>
  <c r="A1039" i="8"/>
  <c r="E1038" i="8"/>
  <c r="D1038" i="8"/>
  <c r="B1038" i="8"/>
  <c r="A1038" i="8"/>
  <c r="E1037" i="8"/>
  <c r="D1037" i="8"/>
  <c r="B1037" i="8"/>
  <c r="A1037" i="8"/>
  <c r="E1036" i="8"/>
  <c r="D1036" i="8"/>
  <c r="B1036" i="8"/>
  <c r="A1036" i="8"/>
  <c r="BF288" i="3" l="1"/>
  <c r="BF287" i="3"/>
  <c r="BF82" i="3"/>
  <c r="BF393" i="3"/>
  <c r="BF273" i="3"/>
  <c r="BF10" i="3"/>
  <c r="BF11" i="3"/>
  <c r="BF69" i="3"/>
  <c r="BF303" i="3"/>
  <c r="BF12" i="3"/>
  <c r="BF13" i="3"/>
  <c r="BF14" i="3"/>
  <c r="BF15" i="3"/>
  <c r="BF274" i="3"/>
  <c r="BF17" i="3"/>
  <c r="BF18" i="3"/>
  <c r="BF16" i="3"/>
  <c r="BF199" i="3"/>
  <c r="BF200" i="3"/>
  <c r="BF275" i="3"/>
  <c r="BF321" i="3"/>
  <c r="BF277" i="3"/>
  <c r="BF278" i="3"/>
  <c r="BF279" i="3"/>
  <c r="BF280" i="3"/>
  <c r="BF285" i="3"/>
  <c r="BF36" i="3"/>
  <c r="BF37" i="3"/>
  <c r="BF38" i="3"/>
  <c r="BF40" i="3"/>
  <c r="BF289" i="3"/>
  <c r="BF41" i="3"/>
  <c r="BF42" i="3"/>
  <c r="BF43" i="3"/>
  <c r="BF44" i="3"/>
  <c r="BF83" i="3"/>
  <c r="BF290" i="3"/>
  <c r="BF291" i="3"/>
  <c r="BF45" i="3"/>
  <c r="BF46" i="3"/>
  <c r="BF47" i="3"/>
  <c r="BF296" i="3"/>
  <c r="BF4" i="3"/>
  <c r="BF20" i="3"/>
  <c r="BF28" i="3"/>
  <c r="BF39" i="3"/>
  <c r="BF58" i="3"/>
  <c r="BF63" i="3"/>
  <c r="BF66" i="3"/>
  <c r="BF75" i="3"/>
  <c r="BF81" i="3"/>
  <c r="BF86" i="3"/>
  <c r="BF97" i="3"/>
  <c r="BF102" i="3"/>
  <c r="BF110" i="3"/>
  <c r="BF5" i="3"/>
  <c r="BF21" i="3"/>
  <c r="BF29" i="3"/>
  <c r="BF53" i="3"/>
  <c r="BF54" i="3"/>
  <c r="BF70" i="3"/>
  <c r="BF87" i="3"/>
  <c r="BF93" i="3"/>
  <c r="BF103" i="3"/>
  <c r="BF111" i="3"/>
  <c r="BF115" i="3"/>
  <c r="BF123" i="3"/>
  <c r="BF131" i="3"/>
  <c r="BF145" i="3"/>
  <c r="BF149" i="3"/>
  <c r="BF152" i="3"/>
  <c r="BF158" i="3"/>
  <c r="BF164" i="3"/>
  <c r="BF172" i="3"/>
  <c r="BF178" i="3"/>
  <c r="BF185" i="3"/>
  <c r="BF190" i="3"/>
  <c r="BF207" i="3"/>
  <c r="BF211" i="3"/>
  <c r="BF216" i="3"/>
  <c r="BF238" i="3"/>
  <c r="BF242" i="3"/>
  <c r="BF258" i="3"/>
  <c r="BF266" i="3"/>
  <c r="BF6" i="3"/>
  <c r="BF22" i="3"/>
  <c r="BF30" i="3"/>
  <c r="BF48" i="3"/>
  <c r="BF55" i="3"/>
  <c r="BF64" i="3"/>
  <c r="BF67" i="3"/>
  <c r="BF71" i="3"/>
  <c r="BF76" i="3"/>
  <c r="BF94" i="3"/>
  <c r="BF98" i="3"/>
  <c r="BF104" i="3"/>
  <c r="BF112" i="3"/>
  <c r="BF116" i="3"/>
  <c r="BF124" i="3"/>
  <c r="BF132" i="3"/>
  <c r="BF142" i="3"/>
  <c r="BF153" i="3"/>
  <c r="BF159" i="3"/>
  <c r="BF165" i="3"/>
  <c r="BF179" i="3"/>
  <c r="BF186" i="3"/>
  <c r="BF196" i="3"/>
  <c r="BF203" i="3"/>
  <c r="BF212" i="3"/>
  <c r="BF221" i="3"/>
  <c r="BF228" i="3"/>
  <c r="BF243" i="3"/>
  <c r="BF246" i="3"/>
  <c r="BF259" i="3"/>
  <c r="BF267" i="3"/>
  <c r="BF7" i="3"/>
  <c r="BF23" i="3"/>
  <c r="BF31" i="3"/>
  <c r="BF49" i="3"/>
  <c r="BF59" i="3"/>
  <c r="BF77" i="3"/>
  <c r="BF88" i="3"/>
  <c r="BF105" i="3"/>
  <c r="BF113" i="3"/>
  <c r="BF117" i="3"/>
  <c r="BF125" i="3"/>
  <c r="BF133" i="3"/>
  <c r="BF138" i="3"/>
  <c r="BF144" i="3"/>
  <c r="BF147" i="3"/>
  <c r="BF160" i="3"/>
  <c r="BF166" i="3"/>
  <c r="BF173" i="3"/>
  <c r="BF180" i="3"/>
  <c r="BF187" i="3"/>
  <c r="BF191" i="3"/>
  <c r="BF197" i="3"/>
  <c r="BF208" i="3"/>
  <c r="BF217" i="3"/>
  <c r="BF222" i="3"/>
  <c r="BF225" i="3"/>
  <c r="BF234" i="3"/>
  <c r="BF247" i="3"/>
  <c r="BF250" i="3"/>
  <c r="BF260" i="3"/>
  <c r="BF268" i="3"/>
  <c r="BF24" i="3"/>
  <c r="BF32" i="3"/>
  <c r="BF50" i="3"/>
  <c r="BF60" i="3"/>
  <c r="BF72" i="3"/>
  <c r="BF84" i="3"/>
  <c r="BF89" i="3"/>
  <c r="BF95" i="3"/>
  <c r="BF99" i="3"/>
  <c r="BF106" i="3"/>
  <c r="BF118" i="3"/>
  <c r="BF126" i="3"/>
  <c r="BF134" i="3"/>
  <c r="BF8" i="3"/>
  <c r="BF25" i="3"/>
  <c r="BF33" i="3"/>
  <c r="BF56" i="3"/>
  <c r="BF61" i="3"/>
  <c r="BF65" i="3"/>
  <c r="BF68" i="3"/>
  <c r="BF78" i="3"/>
  <c r="BF90" i="3"/>
  <c r="BF107" i="3"/>
  <c r="BF119" i="3"/>
  <c r="BF127" i="3"/>
  <c r="BF135" i="3"/>
  <c r="BF140" i="3"/>
  <c r="BF143" i="3"/>
  <c r="BF150" i="3"/>
  <c r="BF161" i="3"/>
  <c r="BF168" i="3"/>
  <c r="BF175" i="3"/>
  <c r="BF182" i="3"/>
  <c r="BF193" i="3"/>
  <c r="BF204" i="3"/>
  <c r="BF214" i="3"/>
  <c r="BF218" i="3"/>
  <c r="BF232" i="3"/>
  <c r="BF239" i="3"/>
  <c r="BF249" i="3"/>
  <c r="BF251" i="3"/>
  <c r="BF262" i="3"/>
  <c r="BF270" i="3"/>
  <c r="BF3" i="3"/>
  <c r="BF19" i="3"/>
  <c r="BF27" i="3"/>
  <c r="BF35" i="3"/>
  <c r="BF52" i="3"/>
  <c r="BF74" i="3"/>
  <c r="BF80" i="3"/>
  <c r="BF85" i="3"/>
  <c r="BF92" i="3"/>
  <c r="BF101" i="3"/>
  <c r="BF109" i="3"/>
  <c r="BF121" i="3"/>
  <c r="BF129" i="3"/>
  <c r="BF136" i="3"/>
  <c r="BF141" i="3"/>
  <c r="BF148" i="3"/>
  <c r="BF151" i="3"/>
  <c r="BF156" i="3"/>
  <c r="BF170" i="3"/>
  <c r="BF177" i="3"/>
  <c r="BF183" i="3"/>
  <c r="BF194" i="3"/>
  <c r="BF210" i="3"/>
  <c r="BF215" i="3"/>
  <c r="BF227" i="3"/>
  <c r="BF237" i="3"/>
  <c r="BF245" i="3"/>
  <c r="BF62" i="3"/>
  <c r="BF100" i="3"/>
  <c r="BF162" i="3"/>
  <c r="BF181" i="3"/>
  <c r="BF195" i="3"/>
  <c r="BF231" i="3"/>
  <c r="BF236" i="3"/>
  <c r="BF248" i="3"/>
  <c r="BF269" i="3"/>
  <c r="BF286" i="3"/>
  <c r="BF304" i="3"/>
  <c r="BF311" i="3"/>
  <c r="BF316" i="3"/>
  <c r="BF108" i="3"/>
  <c r="BF137" i="3"/>
  <c r="BF163" i="3"/>
  <c r="BF198" i="3"/>
  <c r="BF223" i="3"/>
  <c r="BF255" i="3"/>
  <c r="BF271" i="3"/>
  <c r="BF299" i="3"/>
  <c r="BF317" i="3"/>
  <c r="BF323" i="3"/>
  <c r="BF327" i="3"/>
  <c r="BF331" i="3"/>
  <c r="BF336" i="3"/>
  <c r="BF342" i="3"/>
  <c r="BF346" i="3"/>
  <c r="BF347" i="3"/>
  <c r="BF350" i="3"/>
  <c r="BF9" i="3"/>
  <c r="BF139" i="3"/>
  <c r="BF167" i="3"/>
  <c r="BF184" i="3"/>
  <c r="BF201" i="3"/>
  <c r="BF213" i="3"/>
  <c r="BF224" i="3"/>
  <c r="BF256" i="3"/>
  <c r="BF272" i="3"/>
  <c r="BF292" i="3"/>
  <c r="BF312" i="3"/>
  <c r="BF348" i="3"/>
  <c r="BF351" i="3"/>
  <c r="BF356" i="3"/>
  <c r="BF363" i="3"/>
  <c r="BF378" i="3"/>
  <c r="BF26" i="3"/>
  <c r="BF73" i="3"/>
  <c r="BF114" i="3"/>
  <c r="BF169" i="3"/>
  <c r="BF188" i="3"/>
  <c r="BF202" i="3"/>
  <c r="BF226" i="3"/>
  <c r="BF240" i="3"/>
  <c r="BF257" i="3"/>
  <c r="BF276" i="3"/>
  <c r="BF293" i="3"/>
  <c r="BF300" i="3"/>
  <c r="BF305" i="3"/>
  <c r="BF308" i="3"/>
  <c r="BF313" i="3"/>
  <c r="BF318" i="3"/>
  <c r="BF324" i="3"/>
  <c r="BF328" i="3"/>
  <c r="BF332" i="3"/>
  <c r="BF337" i="3"/>
  <c r="BF343" i="3"/>
  <c r="BF349" i="3"/>
  <c r="BF34" i="3"/>
  <c r="BF79" i="3"/>
  <c r="BF120" i="3"/>
  <c r="BF146" i="3"/>
  <c r="BF154" i="3"/>
  <c r="BF171" i="3"/>
  <c r="BF189" i="3"/>
  <c r="BF241" i="3"/>
  <c r="BF261" i="3"/>
  <c r="BF281" i="3"/>
  <c r="BF294" i="3"/>
  <c r="BF333" i="3"/>
  <c r="BF338" i="3"/>
  <c r="BF352" i="3"/>
  <c r="BF357" i="3"/>
  <c r="BF361" i="3"/>
  <c r="BF371" i="3"/>
  <c r="BF374" i="3"/>
  <c r="BF380" i="3"/>
  <c r="BF385" i="3"/>
  <c r="BF51" i="3"/>
  <c r="BF122" i="3"/>
  <c r="BF155" i="3"/>
  <c r="BF174" i="3"/>
  <c r="BF205" i="3"/>
  <c r="BF252" i="3"/>
  <c r="BF263" i="3"/>
  <c r="BF282" i="3"/>
  <c r="BF295" i="3"/>
  <c r="BF301" i="3"/>
  <c r="BF306" i="3"/>
  <c r="BF309" i="3"/>
  <c r="BF314" i="3"/>
  <c r="BF319" i="3"/>
  <c r="BF325" i="3"/>
  <c r="BF329" i="3"/>
  <c r="BF339" i="3"/>
  <c r="BF344" i="3"/>
  <c r="BF353" i="3"/>
  <c r="BF358" i="3"/>
  <c r="BF57" i="3"/>
  <c r="BF96" i="3"/>
  <c r="BF130" i="3"/>
  <c r="BF209" i="3"/>
  <c r="BF220" i="3"/>
  <c r="BF230" i="3"/>
  <c r="BF235" i="3"/>
  <c r="BF254" i="3"/>
  <c r="BF265" i="3"/>
  <c r="BF284" i="3"/>
  <c r="BF298" i="3"/>
  <c r="BF307" i="3"/>
  <c r="BF310" i="3"/>
  <c r="BF322" i="3"/>
  <c r="BF326" i="3"/>
  <c r="BF335" i="3"/>
  <c r="BF341" i="3"/>
  <c r="BF345" i="3"/>
  <c r="BF355" i="3"/>
  <c r="BF368" i="3"/>
  <c r="BF382" i="3"/>
  <c r="BF244" i="3"/>
  <c r="BF315" i="3"/>
  <c r="BF369" i="3"/>
  <c r="BF372" i="3"/>
  <c r="BF379" i="3"/>
  <c r="BF388" i="3"/>
  <c r="BF157" i="3"/>
  <c r="BF253" i="3"/>
  <c r="BF320" i="3"/>
  <c r="BF360" i="3"/>
  <c r="BF381" i="3"/>
  <c r="BF389" i="3"/>
  <c r="BF176" i="3"/>
  <c r="BF264" i="3"/>
  <c r="BF373" i="3"/>
  <c r="BF390" i="3"/>
  <c r="BF192" i="3"/>
  <c r="BF283" i="3"/>
  <c r="BF330" i="3"/>
  <c r="BF391" i="3"/>
  <c r="BF206" i="3"/>
  <c r="BF297" i="3"/>
  <c r="BF334" i="3"/>
  <c r="BF364" i="3"/>
  <c r="BF375" i="3"/>
  <c r="BF383" i="3"/>
  <c r="BF91" i="3"/>
  <c r="BF219" i="3"/>
  <c r="BF302" i="3"/>
  <c r="BF340" i="3"/>
  <c r="BF354" i="3"/>
  <c r="BF367" i="3"/>
  <c r="BF376" i="3"/>
  <c r="BF384" i="3"/>
  <c r="BF392" i="3"/>
  <c r="BF128" i="3"/>
  <c r="BF229" i="3"/>
  <c r="BF359" i="3"/>
  <c r="BF365" i="3"/>
  <c r="BF370" i="3"/>
  <c r="BF377" i="3"/>
  <c r="BF386" i="3"/>
  <c r="BF233" i="3"/>
  <c r="BF387" i="3"/>
  <c r="BF362" i="3"/>
  <c r="BF366" i="3"/>
  <c r="E1031" i="8"/>
  <c r="D1031" i="8"/>
  <c r="B1031" i="8"/>
  <c r="A1031" i="8"/>
  <c r="E1030" i="8"/>
  <c r="D1030" i="8"/>
  <c r="B1030" i="8"/>
  <c r="A1030" i="8"/>
  <c r="E1029" i="8"/>
  <c r="D1029" i="8"/>
  <c r="B1029" i="8"/>
  <c r="A1029" i="8"/>
  <c r="E1028" i="8"/>
  <c r="D1028" i="8"/>
  <c r="B1028" i="8"/>
  <c r="A1028" i="8"/>
  <c r="E1027" i="8"/>
  <c r="D1027" i="8"/>
  <c r="B1027" i="8"/>
  <c r="A1027" i="8"/>
  <c r="E1026" i="8"/>
  <c r="D1026" i="8"/>
  <c r="B1026" i="8"/>
  <c r="A1026" i="8"/>
  <c r="E1025" i="8"/>
  <c r="D1025" i="8"/>
  <c r="B1025" i="8"/>
  <c r="A1025" i="8"/>
  <c r="E1024" i="8"/>
  <c r="D1024" i="8"/>
  <c r="B1024" i="8"/>
  <c r="A1024" i="8"/>
  <c r="E1023" i="8"/>
  <c r="D1023" i="8"/>
  <c r="B1023" i="8"/>
  <c r="A1023" i="8"/>
  <c r="E1022" i="8"/>
  <c r="D1022" i="8"/>
  <c r="B1022" i="8"/>
  <c r="A1022" i="8"/>
  <c r="E1021" i="8"/>
  <c r="D1021" i="8"/>
  <c r="B1021" i="8"/>
  <c r="A1021" i="8"/>
  <c r="E1020" i="8"/>
  <c r="D1020" i="8"/>
  <c r="B1020" i="8"/>
  <c r="A1020" i="8"/>
  <c r="E1019" i="8"/>
  <c r="D1019" i="8"/>
  <c r="B1019" i="8"/>
  <c r="A1019" i="8"/>
  <c r="E1018" i="8"/>
  <c r="D1018" i="8"/>
  <c r="B1018" i="8"/>
  <c r="A1018" i="8"/>
  <c r="E1017" i="8"/>
  <c r="D1017" i="8"/>
  <c r="B1017" i="8"/>
  <c r="A1017" i="8"/>
  <c r="E1016" i="8"/>
  <c r="D1016" i="8"/>
  <c r="B1016" i="8"/>
  <c r="A1016" i="8"/>
  <c r="E1015" i="8"/>
  <c r="D1015" i="8"/>
  <c r="B1015" i="8"/>
  <c r="A1015" i="8"/>
  <c r="E1014" i="8"/>
  <c r="D1014" i="8"/>
  <c r="B1014" i="8"/>
  <c r="A1014" i="8"/>
  <c r="E1013" i="8"/>
  <c r="D1013" i="8"/>
  <c r="B1013" i="8"/>
  <c r="A1013" i="8"/>
  <c r="E1012" i="8"/>
  <c r="D1012" i="8"/>
  <c r="B1012" i="8"/>
  <c r="A1012" i="8"/>
  <c r="E1011" i="8"/>
  <c r="D1011" i="8"/>
  <c r="B1011" i="8"/>
  <c r="A1011" i="8"/>
  <c r="E1010" i="8"/>
  <c r="D1010" i="8"/>
  <c r="B1010" i="8"/>
  <c r="A1010" i="8"/>
  <c r="E1009" i="8"/>
  <c r="D1009" i="8"/>
  <c r="B1009" i="8"/>
  <c r="A1009" i="8"/>
  <c r="E1008" i="8"/>
  <c r="D1008" i="8"/>
  <c r="B1008" i="8"/>
  <c r="A1008" i="8"/>
  <c r="E1007" i="8"/>
  <c r="D1007" i="8"/>
  <c r="B1007" i="8"/>
  <c r="A1007" i="8"/>
  <c r="E1006" i="8"/>
  <c r="D1006" i="8"/>
  <c r="B1006" i="8"/>
  <c r="A1006" i="8"/>
  <c r="E1005" i="8"/>
  <c r="D1005" i="8"/>
  <c r="B1005" i="8"/>
  <c r="A1005" i="8"/>
  <c r="E1004" i="8"/>
  <c r="D1004" i="8"/>
  <c r="B1004" i="8"/>
  <c r="A1004" i="8"/>
  <c r="BE288" i="3" l="1"/>
  <c r="BE287" i="3"/>
  <c r="BE82" i="3"/>
  <c r="BE393" i="3"/>
  <c r="BE273" i="3"/>
  <c r="BE10" i="3"/>
  <c r="BE11" i="3"/>
  <c r="BE69" i="3"/>
  <c r="BE303" i="3"/>
  <c r="BE12" i="3"/>
  <c r="BE13" i="3"/>
  <c r="BE14" i="3"/>
  <c r="BE15" i="3"/>
  <c r="BE274" i="3"/>
  <c r="BE17" i="3"/>
  <c r="BE18" i="3"/>
  <c r="BE16" i="3"/>
  <c r="BE199" i="3"/>
  <c r="BE200" i="3"/>
  <c r="BE275" i="3"/>
  <c r="BE321" i="3"/>
  <c r="BE277" i="3"/>
  <c r="BE278" i="3"/>
  <c r="BE279" i="3"/>
  <c r="BE280" i="3"/>
  <c r="BE285" i="3"/>
  <c r="BE36" i="3"/>
  <c r="BE37" i="3"/>
  <c r="BE38" i="3"/>
  <c r="BE40" i="3"/>
  <c r="BE289" i="3"/>
  <c r="BE41" i="3"/>
  <c r="BE42" i="3"/>
  <c r="BE43" i="3"/>
  <c r="BE44" i="3"/>
  <c r="BE83" i="3"/>
  <c r="BE290" i="3"/>
  <c r="BE291" i="3"/>
  <c r="BE45" i="3"/>
  <c r="BE46" i="3"/>
  <c r="BE47" i="3"/>
  <c r="BE296" i="3"/>
  <c r="BE9" i="3"/>
  <c r="BE26" i="3"/>
  <c r="BE34" i="3"/>
  <c r="BE51" i="3"/>
  <c r="BE57" i="3"/>
  <c r="BE62" i="3"/>
  <c r="BE73" i="3"/>
  <c r="BE79" i="3"/>
  <c r="BE91" i="3"/>
  <c r="BE96" i="3"/>
  <c r="BE100" i="3"/>
  <c r="BE108" i="3"/>
  <c r="BE120" i="3"/>
  <c r="BE128" i="3"/>
  <c r="BE146" i="3"/>
  <c r="BE155" i="3"/>
  <c r="BE162" i="3"/>
  <c r="BE169" i="3"/>
  <c r="BE176" i="3"/>
  <c r="BE189" i="3"/>
  <c r="BE4" i="3"/>
  <c r="BE20" i="3"/>
  <c r="BE28" i="3"/>
  <c r="BE39" i="3"/>
  <c r="BE58" i="3"/>
  <c r="BE63" i="3"/>
  <c r="BE66" i="3"/>
  <c r="BE75" i="3"/>
  <c r="BE81" i="3"/>
  <c r="BE86" i="3"/>
  <c r="BE97" i="3"/>
  <c r="BE102" i="3"/>
  <c r="BE110" i="3"/>
  <c r="BE114" i="3"/>
  <c r="BE122" i="3"/>
  <c r="BE130" i="3"/>
  <c r="BE137" i="3"/>
  <c r="BE157" i="3"/>
  <c r="BE163" i="3"/>
  <c r="BE171" i="3"/>
  <c r="BE184" i="3"/>
  <c r="BE7" i="3"/>
  <c r="BE23" i="3"/>
  <c r="BE31" i="3"/>
  <c r="BE49" i="3"/>
  <c r="BE59" i="3"/>
  <c r="BE77" i="3"/>
  <c r="BE88" i="3"/>
  <c r="BE105" i="3"/>
  <c r="BE113" i="3"/>
  <c r="BE117" i="3"/>
  <c r="BE125" i="3"/>
  <c r="BE133" i="3"/>
  <c r="BE138" i="3"/>
  <c r="BE144" i="3"/>
  <c r="BE147" i="3"/>
  <c r="BE160" i="3"/>
  <c r="BE166" i="3"/>
  <c r="BE173" i="3"/>
  <c r="BE180" i="3"/>
  <c r="BE187" i="3"/>
  <c r="BE191" i="3"/>
  <c r="BE5" i="3"/>
  <c r="BE25" i="3"/>
  <c r="BE48" i="3"/>
  <c r="BE60" i="3"/>
  <c r="BE92" i="3"/>
  <c r="BE99" i="3"/>
  <c r="BE111" i="3"/>
  <c r="BE119" i="3"/>
  <c r="BE132" i="3"/>
  <c r="BE141" i="3"/>
  <c r="BE150" i="3"/>
  <c r="BE159" i="3"/>
  <c r="BE170" i="3"/>
  <c r="BE181" i="3"/>
  <c r="BE207" i="3"/>
  <c r="BE211" i="3"/>
  <c r="BE216" i="3"/>
  <c r="BE238" i="3"/>
  <c r="BE242" i="3"/>
  <c r="BE258" i="3"/>
  <c r="BE266" i="3"/>
  <c r="BE281" i="3"/>
  <c r="BE294" i="3"/>
  <c r="BE6" i="3"/>
  <c r="BE27" i="3"/>
  <c r="BE50" i="3"/>
  <c r="BE54" i="3"/>
  <c r="BE61" i="3"/>
  <c r="BE67" i="3"/>
  <c r="BE74" i="3"/>
  <c r="BE84" i="3"/>
  <c r="BE93" i="3"/>
  <c r="BE112" i="3"/>
  <c r="BE121" i="3"/>
  <c r="BE134" i="3"/>
  <c r="BE151" i="3"/>
  <c r="BE172" i="3"/>
  <c r="BE182" i="3"/>
  <c r="BE190" i="3"/>
  <c r="BE196" i="3"/>
  <c r="BE203" i="3"/>
  <c r="BE212" i="3"/>
  <c r="BE221" i="3"/>
  <c r="BE228" i="3"/>
  <c r="BE243" i="3"/>
  <c r="BE246" i="3"/>
  <c r="BE259" i="3"/>
  <c r="BE267" i="3"/>
  <c r="BE282" i="3"/>
  <c r="BE295" i="3"/>
  <c r="BE301" i="3"/>
  <c r="BE306" i="3"/>
  <c r="BE309" i="3"/>
  <c r="BE314" i="3"/>
  <c r="BE319" i="3"/>
  <c r="BE325" i="3"/>
  <c r="BE329" i="3"/>
  <c r="BE29" i="3"/>
  <c r="BE55" i="3"/>
  <c r="BE94" i="3"/>
  <c r="BE101" i="3"/>
  <c r="BE123" i="3"/>
  <c r="BE135" i="3"/>
  <c r="BE142" i="3"/>
  <c r="BE152" i="3"/>
  <c r="BE161" i="3"/>
  <c r="BE183" i="3"/>
  <c r="BE197" i="3"/>
  <c r="BE208" i="3"/>
  <c r="BE217" i="3"/>
  <c r="BE222" i="3"/>
  <c r="BE225" i="3"/>
  <c r="BE234" i="3"/>
  <c r="BE247" i="3"/>
  <c r="BE250" i="3"/>
  <c r="BE260" i="3"/>
  <c r="BE268" i="3"/>
  <c r="BE283" i="3"/>
  <c r="BE297" i="3"/>
  <c r="BE302" i="3"/>
  <c r="BE315" i="3"/>
  <c r="BE320" i="3"/>
  <c r="BE330" i="3"/>
  <c r="BE334" i="3"/>
  <c r="BE340" i="3"/>
  <c r="BE354" i="3"/>
  <c r="BE359" i="3"/>
  <c r="BE364" i="3"/>
  <c r="BE372" i="3"/>
  <c r="BE376" i="3"/>
  <c r="BE387" i="3"/>
  <c r="BE8" i="3"/>
  <c r="BE30" i="3"/>
  <c r="BE52" i="3"/>
  <c r="BE68" i="3"/>
  <c r="BE76" i="3"/>
  <c r="BE85" i="3"/>
  <c r="BE95" i="3"/>
  <c r="BE103" i="3"/>
  <c r="BE124" i="3"/>
  <c r="BE136" i="3"/>
  <c r="BE145" i="3"/>
  <c r="BE153" i="3"/>
  <c r="BE174" i="3"/>
  <c r="BE185" i="3"/>
  <c r="BE192" i="3"/>
  <c r="BE198" i="3"/>
  <c r="BE209" i="3"/>
  <c r="BE213" i="3"/>
  <c r="BE226" i="3"/>
  <c r="BE229" i="3"/>
  <c r="BE235" i="3"/>
  <c r="BE248" i="3"/>
  <c r="BE261" i="3"/>
  <c r="BE269" i="3"/>
  <c r="BE284" i="3"/>
  <c r="BE298" i="3"/>
  <c r="BE307" i="3"/>
  <c r="BE310" i="3"/>
  <c r="BE322" i="3"/>
  <c r="BE326" i="3"/>
  <c r="BE19" i="3"/>
  <c r="BE32" i="3"/>
  <c r="BE53" i="3"/>
  <c r="BE56" i="3"/>
  <c r="BE64" i="3"/>
  <c r="BE87" i="3"/>
  <c r="BE104" i="3"/>
  <c r="BE126" i="3"/>
  <c r="BE143" i="3"/>
  <c r="BE148" i="3"/>
  <c r="BE154" i="3"/>
  <c r="BE164" i="3"/>
  <c r="BE175" i="3"/>
  <c r="BE186" i="3"/>
  <c r="BE193" i="3"/>
  <c r="BE204" i="3"/>
  <c r="BE214" i="3"/>
  <c r="BE218" i="3"/>
  <c r="BE232" i="3"/>
  <c r="BE239" i="3"/>
  <c r="BE249" i="3"/>
  <c r="BE251" i="3"/>
  <c r="BE262" i="3"/>
  <c r="BE270" i="3"/>
  <c r="BE286" i="3"/>
  <c r="BE304" i="3"/>
  <c r="BE311" i="3"/>
  <c r="BE316" i="3"/>
  <c r="BE377" i="3"/>
  <c r="BE388" i="3"/>
  <c r="BE392" i="3"/>
  <c r="BE21" i="3"/>
  <c r="BE33" i="3"/>
  <c r="BE70" i="3"/>
  <c r="BE78" i="3"/>
  <c r="BE106" i="3"/>
  <c r="BE115" i="3"/>
  <c r="BE127" i="3"/>
  <c r="BE149" i="3"/>
  <c r="BE165" i="3"/>
  <c r="BE177" i="3"/>
  <c r="BE188" i="3"/>
  <c r="BE201" i="3"/>
  <c r="BE205" i="3"/>
  <c r="BE219" i="3"/>
  <c r="BE223" i="3"/>
  <c r="BE230" i="3"/>
  <c r="BE236" i="3"/>
  <c r="BE240" i="3"/>
  <c r="BE244" i="3"/>
  <c r="BE252" i="3"/>
  <c r="BE255" i="3"/>
  <c r="BE263" i="3"/>
  <c r="BE271" i="3"/>
  <c r="BE299" i="3"/>
  <c r="BE317" i="3"/>
  <c r="BE323" i="3"/>
  <c r="BE327" i="3"/>
  <c r="BE331" i="3"/>
  <c r="BE336" i="3"/>
  <c r="BE342" i="3"/>
  <c r="BE22" i="3"/>
  <c r="BE35" i="3"/>
  <c r="BE65" i="3"/>
  <c r="BE71" i="3"/>
  <c r="BE80" i="3"/>
  <c r="BE89" i="3"/>
  <c r="BE107" i="3"/>
  <c r="BE116" i="3"/>
  <c r="BE129" i="3"/>
  <c r="BE139" i="3"/>
  <c r="BE156" i="3"/>
  <c r="BE167" i="3"/>
  <c r="BE178" i="3"/>
  <c r="BE194" i="3"/>
  <c r="BE210" i="3"/>
  <c r="BE215" i="3"/>
  <c r="BE227" i="3"/>
  <c r="BE237" i="3"/>
  <c r="BE245" i="3"/>
  <c r="BE253" i="3"/>
  <c r="BE256" i="3"/>
  <c r="BE264" i="3"/>
  <c r="BE272" i="3"/>
  <c r="BE292" i="3"/>
  <c r="BE312" i="3"/>
  <c r="BE348" i="3"/>
  <c r="BE351" i="3"/>
  <c r="BE356" i="3"/>
  <c r="BE363" i="3"/>
  <c r="BE378" i="3"/>
  <c r="BE140" i="3"/>
  <c r="BE195" i="3"/>
  <c r="BE231" i="3"/>
  <c r="BE257" i="3"/>
  <c r="BE318" i="3"/>
  <c r="BE337" i="3"/>
  <c r="BE375" i="3"/>
  <c r="BE384" i="3"/>
  <c r="BE72" i="3"/>
  <c r="BE202" i="3"/>
  <c r="BE265" i="3"/>
  <c r="BE324" i="3"/>
  <c r="BE338" i="3"/>
  <c r="BE365" i="3"/>
  <c r="BE367" i="3"/>
  <c r="BE370" i="3"/>
  <c r="BE385" i="3"/>
  <c r="BE206" i="3"/>
  <c r="BE233" i="3"/>
  <c r="BE276" i="3"/>
  <c r="BE328" i="3"/>
  <c r="BE339" i="3"/>
  <c r="BE347" i="3"/>
  <c r="BE355" i="3"/>
  <c r="BE366" i="3"/>
  <c r="BE368" i="3"/>
  <c r="BE371" i="3"/>
  <c r="BE386" i="3"/>
  <c r="BE3" i="3"/>
  <c r="BE90" i="3"/>
  <c r="BE293" i="3"/>
  <c r="BE341" i="3"/>
  <c r="BE344" i="3"/>
  <c r="BE349" i="3"/>
  <c r="BE352" i="3"/>
  <c r="BE369" i="3"/>
  <c r="BE379" i="3"/>
  <c r="BE24" i="3"/>
  <c r="BE98" i="3"/>
  <c r="BE158" i="3"/>
  <c r="BE241" i="3"/>
  <c r="BE300" i="3"/>
  <c r="BE332" i="3"/>
  <c r="BE343" i="3"/>
  <c r="BE345" i="3"/>
  <c r="BE350" i="3"/>
  <c r="BE353" i="3"/>
  <c r="BE380" i="3"/>
  <c r="BE389" i="3"/>
  <c r="BE109" i="3"/>
  <c r="BE168" i="3"/>
  <c r="BE220" i="3"/>
  <c r="BE305" i="3"/>
  <c r="BE333" i="3"/>
  <c r="BE346" i="3"/>
  <c r="BE357" i="3"/>
  <c r="BE360" i="3"/>
  <c r="BE373" i="3"/>
  <c r="BE381" i="3"/>
  <c r="BE390" i="3"/>
  <c r="BE131" i="3"/>
  <c r="BE254" i="3"/>
  <c r="BE313" i="3"/>
  <c r="BE335" i="3"/>
  <c r="BE361" i="3"/>
  <c r="BE362" i="3"/>
  <c r="BE374" i="3"/>
  <c r="BE383" i="3"/>
  <c r="BE391" i="3"/>
  <c r="BE118" i="3"/>
  <c r="BE179" i="3"/>
  <c r="BE224" i="3"/>
  <c r="BE382" i="3"/>
  <c r="BE358" i="3"/>
  <c r="BE308" i="3"/>
  <c r="E999" i="8" l="1"/>
  <c r="D999" i="8"/>
  <c r="B999" i="8"/>
  <c r="A999" i="8"/>
  <c r="E998" i="8"/>
  <c r="D998" i="8"/>
  <c r="B998" i="8"/>
  <c r="A998" i="8"/>
  <c r="E997" i="8"/>
  <c r="D997" i="8"/>
  <c r="B997" i="8"/>
  <c r="A997" i="8"/>
  <c r="E996" i="8"/>
  <c r="D996" i="8"/>
  <c r="B996" i="8"/>
  <c r="A996" i="8"/>
  <c r="E995" i="8"/>
  <c r="D995" i="8"/>
  <c r="B995" i="8"/>
  <c r="A995" i="8"/>
  <c r="E994" i="8"/>
  <c r="D994" i="8"/>
  <c r="B994" i="8"/>
  <c r="A994" i="8"/>
  <c r="E993" i="8"/>
  <c r="D993" i="8"/>
  <c r="B993" i="8"/>
  <c r="A993" i="8"/>
  <c r="E992" i="8"/>
  <c r="D992" i="8"/>
  <c r="B992" i="8"/>
  <c r="A992" i="8"/>
  <c r="E991" i="8"/>
  <c r="D991" i="8"/>
  <c r="B991" i="8"/>
  <c r="A991" i="8"/>
  <c r="E990" i="8"/>
  <c r="D990" i="8"/>
  <c r="B990" i="8"/>
  <c r="A990" i="8"/>
  <c r="E989" i="8"/>
  <c r="D989" i="8"/>
  <c r="B989" i="8"/>
  <c r="A989" i="8"/>
  <c r="E988" i="8"/>
  <c r="D988" i="8"/>
  <c r="B988" i="8"/>
  <c r="A988" i="8"/>
  <c r="E987" i="8"/>
  <c r="D987" i="8"/>
  <c r="B987" i="8"/>
  <c r="A987" i="8"/>
  <c r="E986" i="8"/>
  <c r="D986" i="8"/>
  <c r="B986" i="8"/>
  <c r="A986" i="8"/>
  <c r="E985" i="8"/>
  <c r="D985" i="8"/>
  <c r="B985" i="8"/>
  <c r="A985" i="8"/>
  <c r="E984" i="8"/>
  <c r="D984" i="8"/>
  <c r="B984" i="8"/>
  <c r="A984" i="8"/>
  <c r="E983" i="8"/>
  <c r="D983" i="8"/>
  <c r="B983" i="8"/>
  <c r="A983" i="8"/>
  <c r="E982" i="8"/>
  <c r="D982" i="8"/>
  <c r="B982" i="8"/>
  <c r="A982" i="8"/>
  <c r="E981" i="8"/>
  <c r="D981" i="8"/>
  <c r="B981" i="8"/>
  <c r="A981" i="8"/>
  <c r="E980" i="8"/>
  <c r="D980" i="8"/>
  <c r="B980" i="8"/>
  <c r="A980" i="8"/>
  <c r="E979" i="8"/>
  <c r="D979" i="8"/>
  <c r="B979" i="8"/>
  <c r="A979" i="8"/>
  <c r="E978" i="8"/>
  <c r="D978" i="8"/>
  <c r="B978" i="8"/>
  <c r="A978" i="8"/>
  <c r="E977" i="8"/>
  <c r="D977" i="8"/>
  <c r="B977" i="8"/>
  <c r="A977" i="8"/>
  <c r="E976" i="8"/>
  <c r="D976" i="8"/>
  <c r="B976" i="8"/>
  <c r="A976" i="8"/>
  <c r="E975" i="8"/>
  <c r="D975" i="8"/>
  <c r="B975" i="8"/>
  <c r="A975" i="8"/>
  <c r="E974" i="8"/>
  <c r="D974" i="8"/>
  <c r="B974" i="8"/>
  <c r="A974" i="8"/>
  <c r="E973" i="8"/>
  <c r="D973" i="8"/>
  <c r="B973" i="8"/>
  <c r="A973" i="8"/>
  <c r="E972" i="8"/>
  <c r="D972" i="8"/>
  <c r="B972" i="8"/>
  <c r="A972" i="8"/>
  <c r="BD288" i="3" l="1"/>
  <c r="BD287" i="3"/>
  <c r="BD82" i="3"/>
  <c r="BD393" i="3"/>
  <c r="BD273" i="3"/>
  <c r="BD10" i="3"/>
  <c r="BD11" i="3"/>
  <c r="BD69" i="3"/>
  <c r="BD303" i="3"/>
  <c r="BD12" i="3"/>
  <c r="BD13" i="3"/>
  <c r="BD14" i="3"/>
  <c r="BD15" i="3"/>
  <c r="BD274" i="3"/>
  <c r="BD17" i="3"/>
  <c r="BD18" i="3"/>
  <c r="BD16" i="3"/>
  <c r="BD199" i="3"/>
  <c r="BD200" i="3"/>
  <c r="BD275" i="3"/>
  <c r="BD321" i="3"/>
  <c r="BD277" i="3"/>
  <c r="BD278" i="3"/>
  <c r="BD279" i="3"/>
  <c r="BD280" i="3"/>
  <c r="BD285" i="3"/>
  <c r="BD36" i="3"/>
  <c r="BD37" i="3"/>
  <c r="BD38" i="3"/>
  <c r="BD40" i="3"/>
  <c r="BD289" i="3"/>
  <c r="BD41" i="3"/>
  <c r="BD42" i="3"/>
  <c r="BD43" i="3"/>
  <c r="BD44" i="3"/>
  <c r="BD83" i="3"/>
  <c r="BD290" i="3"/>
  <c r="BD291" i="3"/>
  <c r="BD45" i="3"/>
  <c r="BD46" i="3"/>
  <c r="BD47" i="3"/>
  <c r="BD296" i="3"/>
  <c r="BD6" i="3"/>
  <c r="BD9" i="3"/>
  <c r="BD19" i="3"/>
  <c r="BD27" i="3"/>
  <c r="BD35" i="3"/>
  <c r="BD52" i="3"/>
  <c r="BD74" i="3"/>
  <c r="BD80" i="3"/>
  <c r="BD85" i="3"/>
  <c r="BD92" i="3"/>
  <c r="BD101" i="3"/>
  <c r="BD109" i="3"/>
  <c r="BD121" i="3"/>
  <c r="BD129" i="3"/>
  <c r="BD136" i="3"/>
  <c r="BD141" i="3"/>
  <c r="BD148" i="3"/>
  <c r="BD151" i="3"/>
  <c r="BD156" i="3"/>
  <c r="BD170" i="3"/>
  <c r="BD177" i="3"/>
  <c r="BD183" i="3"/>
  <c r="BD194" i="3"/>
  <c r="BD210" i="3"/>
  <c r="BD215" i="3"/>
  <c r="BD227" i="3"/>
  <c r="BD237" i="3"/>
  <c r="BD245" i="3"/>
  <c r="BD253" i="3"/>
  <c r="BD256" i="3"/>
  <c r="BD264" i="3"/>
  <c r="BD272" i="3"/>
  <c r="BD292" i="3"/>
  <c r="BD312" i="3"/>
  <c r="BD20" i="3"/>
  <c r="BD28" i="3"/>
  <c r="BD39" i="3"/>
  <c r="BD58" i="3"/>
  <c r="BD63" i="3"/>
  <c r="BD3" i="3"/>
  <c r="BD21" i="3"/>
  <c r="BD29" i="3"/>
  <c r="BD53" i="3"/>
  <c r="BD54" i="3"/>
  <c r="BD70" i="3"/>
  <c r="BD87" i="3"/>
  <c r="BD93" i="3"/>
  <c r="BD103" i="3"/>
  <c r="BD111" i="3"/>
  <c r="BD115" i="3"/>
  <c r="BD123" i="3"/>
  <c r="BD131" i="3"/>
  <c r="BD145" i="3"/>
  <c r="BD149" i="3"/>
  <c r="BD152" i="3"/>
  <c r="BD158" i="3"/>
  <c r="BD164" i="3"/>
  <c r="BD172" i="3"/>
  <c r="BD178" i="3"/>
  <c r="BD185" i="3"/>
  <c r="BD190" i="3"/>
  <c r="BD207" i="3"/>
  <c r="BD211" i="3"/>
  <c r="BD216" i="3"/>
  <c r="BD238" i="3"/>
  <c r="BD242" i="3"/>
  <c r="BD258" i="3"/>
  <c r="BD266" i="3"/>
  <c r="BD281" i="3"/>
  <c r="BD294" i="3"/>
  <c r="BD333" i="3"/>
  <c r="BD338" i="3"/>
  <c r="BD4" i="3"/>
  <c r="BD22" i="3"/>
  <c r="BD30" i="3"/>
  <c r="BD48" i="3"/>
  <c r="BD55" i="3"/>
  <c r="BD64" i="3"/>
  <c r="BD67" i="3"/>
  <c r="BD71" i="3"/>
  <c r="BD76" i="3"/>
  <c r="BD94" i="3"/>
  <c r="BD98" i="3"/>
  <c r="BD104" i="3"/>
  <c r="BD112" i="3"/>
  <c r="BD116" i="3"/>
  <c r="BD124" i="3"/>
  <c r="BD132" i="3"/>
  <c r="BD142" i="3"/>
  <c r="BD153" i="3"/>
  <c r="BD159" i="3"/>
  <c r="BD165" i="3"/>
  <c r="BD179" i="3"/>
  <c r="BD186" i="3"/>
  <c r="BD196" i="3"/>
  <c r="BD203" i="3"/>
  <c r="BD212" i="3"/>
  <c r="BD221" i="3"/>
  <c r="BD228" i="3"/>
  <c r="BD243" i="3"/>
  <c r="BD246" i="3"/>
  <c r="BD259" i="3"/>
  <c r="BD267" i="3"/>
  <c r="BD282" i="3"/>
  <c r="BD295" i="3"/>
  <c r="BD301" i="3"/>
  <c r="BD306" i="3"/>
  <c r="BD309" i="3"/>
  <c r="BD314" i="3"/>
  <c r="BD319" i="3"/>
  <c r="BD325" i="3"/>
  <c r="BD329" i="3"/>
  <c r="BD339" i="3"/>
  <c r="BD5" i="3"/>
  <c r="BD23" i="3"/>
  <c r="BD31" i="3"/>
  <c r="BD49" i="3"/>
  <c r="BD59" i="3"/>
  <c r="BD77" i="3"/>
  <c r="BD88" i="3"/>
  <c r="BD105" i="3"/>
  <c r="BD113" i="3"/>
  <c r="BD117" i="3"/>
  <c r="BD125" i="3"/>
  <c r="BD133" i="3"/>
  <c r="BD138" i="3"/>
  <c r="BD144" i="3"/>
  <c r="BD147" i="3"/>
  <c r="BD160" i="3"/>
  <c r="BD166" i="3"/>
  <c r="BD173" i="3"/>
  <c r="BD180" i="3"/>
  <c r="BD187" i="3"/>
  <c r="BD191" i="3"/>
  <c r="BD197" i="3"/>
  <c r="BD208" i="3"/>
  <c r="BD217" i="3"/>
  <c r="BD222" i="3"/>
  <c r="BD225" i="3"/>
  <c r="BD234" i="3"/>
  <c r="BD247" i="3"/>
  <c r="BD250" i="3"/>
  <c r="BD260" i="3"/>
  <c r="BD268" i="3"/>
  <c r="BD283" i="3"/>
  <c r="BD297" i="3"/>
  <c r="BD302" i="3"/>
  <c r="BD315" i="3"/>
  <c r="BD320" i="3"/>
  <c r="BD330" i="3"/>
  <c r="BD334" i="3"/>
  <c r="BD340" i="3"/>
  <c r="BD7" i="3"/>
  <c r="BD24" i="3"/>
  <c r="BD32" i="3"/>
  <c r="BD50" i="3"/>
  <c r="BD60" i="3"/>
  <c r="BD8" i="3"/>
  <c r="BD26" i="3"/>
  <c r="BD34" i="3"/>
  <c r="BD51" i="3"/>
  <c r="BD57" i="3"/>
  <c r="BD62" i="3"/>
  <c r="BD73" i="3"/>
  <c r="BD79" i="3"/>
  <c r="BD91" i="3"/>
  <c r="BD96" i="3"/>
  <c r="BD100" i="3"/>
  <c r="BD108" i="3"/>
  <c r="BD120" i="3"/>
  <c r="BD128" i="3"/>
  <c r="BD146" i="3"/>
  <c r="BD155" i="3"/>
  <c r="BD162" i="3"/>
  <c r="BD169" i="3"/>
  <c r="BD176" i="3"/>
  <c r="BD189" i="3"/>
  <c r="BD201" i="3"/>
  <c r="BD205" i="3"/>
  <c r="BD219" i="3"/>
  <c r="BD223" i="3"/>
  <c r="BD230" i="3"/>
  <c r="BD236" i="3"/>
  <c r="BD240" i="3"/>
  <c r="BD244" i="3"/>
  <c r="BD252" i="3"/>
  <c r="BD255" i="3"/>
  <c r="BD263" i="3"/>
  <c r="BD271" i="3"/>
  <c r="BD299" i="3"/>
  <c r="BD317" i="3"/>
  <c r="BD323" i="3"/>
  <c r="BD327" i="3"/>
  <c r="BD331" i="3"/>
  <c r="BD336" i="3"/>
  <c r="BD342" i="3"/>
  <c r="BD33" i="3"/>
  <c r="BD99" i="3"/>
  <c r="BD114" i="3"/>
  <c r="BD135" i="3"/>
  <c r="BD161" i="3"/>
  <c r="BD181" i="3"/>
  <c r="BD195" i="3"/>
  <c r="BD231" i="3"/>
  <c r="BD248" i="3"/>
  <c r="BD257" i="3"/>
  <c r="BD286" i="3"/>
  <c r="BD307" i="3"/>
  <c r="BD318" i="3"/>
  <c r="BD377" i="3"/>
  <c r="BD388" i="3"/>
  <c r="BD392" i="3"/>
  <c r="BD72" i="3"/>
  <c r="BD86" i="3"/>
  <c r="BD118" i="3"/>
  <c r="BD137" i="3"/>
  <c r="BD163" i="3"/>
  <c r="BD182" i="3"/>
  <c r="BD198" i="3"/>
  <c r="BD249" i="3"/>
  <c r="BD261" i="3"/>
  <c r="BD293" i="3"/>
  <c r="BD322" i="3"/>
  <c r="BD332" i="3"/>
  <c r="BD346" i="3"/>
  <c r="BD347" i="3"/>
  <c r="BD350" i="3"/>
  <c r="BD360" i="3"/>
  <c r="BD362" i="3"/>
  <c r="BD365" i="3"/>
  <c r="BD369" i="3"/>
  <c r="BD373" i="3"/>
  <c r="BD383" i="3"/>
  <c r="BD89" i="3"/>
  <c r="BD102" i="3"/>
  <c r="BD119" i="3"/>
  <c r="BD139" i="3"/>
  <c r="BD150" i="3"/>
  <c r="BD167" i="3"/>
  <c r="BD184" i="3"/>
  <c r="BD213" i="3"/>
  <c r="BD224" i="3"/>
  <c r="BD262" i="3"/>
  <c r="BD298" i="3"/>
  <c r="BD308" i="3"/>
  <c r="BD335" i="3"/>
  <c r="BD348" i="3"/>
  <c r="BD351" i="3"/>
  <c r="BD356" i="3"/>
  <c r="BD363" i="3"/>
  <c r="BD378" i="3"/>
  <c r="BD56" i="3"/>
  <c r="BD75" i="3"/>
  <c r="BD90" i="3"/>
  <c r="BD106" i="3"/>
  <c r="BD122" i="3"/>
  <c r="BD140" i="3"/>
  <c r="BD168" i="3"/>
  <c r="BD188" i="3"/>
  <c r="BD202" i="3"/>
  <c r="BD214" i="3"/>
  <c r="BD226" i="3"/>
  <c r="BD239" i="3"/>
  <c r="BD265" i="3"/>
  <c r="BD310" i="3"/>
  <c r="BD324" i="3"/>
  <c r="BD349" i="3"/>
  <c r="BD366" i="3"/>
  <c r="BD370" i="3"/>
  <c r="BD379" i="3"/>
  <c r="BD384" i="3"/>
  <c r="BD390" i="3"/>
  <c r="BD61" i="3"/>
  <c r="BD107" i="3"/>
  <c r="BD126" i="3"/>
  <c r="BD154" i="3"/>
  <c r="BD171" i="3"/>
  <c r="BD241" i="3"/>
  <c r="BD251" i="3"/>
  <c r="BD269" i="3"/>
  <c r="BD300" i="3"/>
  <c r="BD311" i="3"/>
  <c r="BD326" i="3"/>
  <c r="BD337" i="3"/>
  <c r="BD352" i="3"/>
  <c r="BD357" i="3"/>
  <c r="BD361" i="3"/>
  <c r="BD371" i="3"/>
  <c r="BD374" i="3"/>
  <c r="BD380" i="3"/>
  <c r="BD385" i="3"/>
  <c r="BD65" i="3"/>
  <c r="BD78" i="3"/>
  <c r="BD95" i="3"/>
  <c r="BD110" i="3"/>
  <c r="BD127" i="3"/>
  <c r="BD174" i="3"/>
  <c r="BD204" i="3"/>
  <c r="BD232" i="3"/>
  <c r="BD254" i="3"/>
  <c r="BD270" i="3"/>
  <c r="BD313" i="3"/>
  <c r="BD341" i="3"/>
  <c r="BD344" i="3"/>
  <c r="BD353" i="3"/>
  <c r="BD358" i="3"/>
  <c r="BD367" i="3"/>
  <c r="BD375" i="3"/>
  <c r="BD381" i="3"/>
  <c r="BD386" i="3"/>
  <c r="BD66" i="3"/>
  <c r="BD81" i="3"/>
  <c r="BD130" i="3"/>
  <c r="BD143" i="3"/>
  <c r="BD157" i="3"/>
  <c r="BD175" i="3"/>
  <c r="BD192" i="3"/>
  <c r="BD206" i="3"/>
  <c r="BD218" i="3"/>
  <c r="BD229" i="3"/>
  <c r="BD233" i="3"/>
  <c r="BD276" i="3"/>
  <c r="BD304" i="3"/>
  <c r="BD328" i="3"/>
  <c r="BD354" i="3"/>
  <c r="BD359" i="3"/>
  <c r="BD364" i="3"/>
  <c r="BD372" i="3"/>
  <c r="BD376" i="3"/>
  <c r="BD387" i="3"/>
  <c r="BD235" i="3"/>
  <c r="BD345" i="3"/>
  <c r="BD25" i="3"/>
  <c r="BD382" i="3"/>
  <c r="BD68" i="3"/>
  <c r="BD284" i="3"/>
  <c r="BD84" i="3"/>
  <c r="BD193" i="3"/>
  <c r="BD305" i="3"/>
  <c r="BD389" i="3"/>
  <c r="BD97" i="3"/>
  <c r="BD209" i="3"/>
  <c r="BD316" i="3"/>
  <c r="BD391" i="3"/>
  <c r="BD220" i="3"/>
  <c r="BD355" i="3"/>
  <c r="BD368" i="3"/>
  <c r="BD134" i="3"/>
  <c r="BD343" i="3"/>
  <c r="E969" i="8"/>
  <c r="D969" i="8"/>
  <c r="B969" i="8"/>
  <c r="A969" i="8"/>
  <c r="E968" i="8"/>
  <c r="D968" i="8"/>
  <c r="B968" i="8"/>
  <c r="A968" i="8"/>
  <c r="E967" i="8"/>
  <c r="D967" i="8"/>
  <c r="B967" i="8"/>
  <c r="A967" i="8"/>
  <c r="E966" i="8"/>
  <c r="D966" i="8"/>
  <c r="B966" i="8"/>
  <c r="A966" i="8"/>
  <c r="E965" i="8"/>
  <c r="D965" i="8"/>
  <c r="B965" i="8"/>
  <c r="A965" i="8"/>
  <c r="E964" i="8"/>
  <c r="D964" i="8"/>
  <c r="B964" i="8"/>
  <c r="A964" i="8"/>
  <c r="BC288" i="3" l="1"/>
  <c r="BC287" i="3"/>
  <c r="BC82" i="3"/>
  <c r="BC393" i="3"/>
  <c r="BC273" i="3"/>
  <c r="BC10" i="3"/>
  <c r="BC11" i="3"/>
  <c r="BC69" i="3"/>
  <c r="BC303" i="3"/>
  <c r="BC12" i="3"/>
  <c r="BC13" i="3"/>
  <c r="BC14" i="3"/>
  <c r="BC15" i="3"/>
  <c r="BC274" i="3"/>
  <c r="BC17" i="3"/>
  <c r="BC18" i="3"/>
  <c r="BC16" i="3"/>
  <c r="BC199" i="3"/>
  <c r="BC200" i="3"/>
  <c r="BC275" i="3"/>
  <c r="BC321" i="3"/>
  <c r="BC277" i="3"/>
  <c r="BC278" i="3"/>
  <c r="BC279" i="3"/>
  <c r="BC280" i="3"/>
  <c r="BC285" i="3"/>
  <c r="BC36" i="3"/>
  <c r="BC37" i="3"/>
  <c r="BC38" i="3"/>
  <c r="BC40" i="3"/>
  <c r="BC289" i="3"/>
  <c r="BC41" i="3"/>
  <c r="BC42" i="3"/>
  <c r="BC43" i="3"/>
  <c r="BC44" i="3"/>
  <c r="BC83" i="3"/>
  <c r="BC290" i="3"/>
  <c r="BC291" i="3"/>
  <c r="BC45" i="3"/>
  <c r="BC46" i="3"/>
  <c r="BC47" i="3"/>
  <c r="BC296" i="3"/>
  <c r="BC24" i="3"/>
  <c r="BC32" i="3"/>
  <c r="BC50" i="3"/>
  <c r="BC60" i="3"/>
  <c r="BC72" i="3"/>
  <c r="BC84" i="3"/>
  <c r="BC89" i="3"/>
  <c r="BC95" i="3"/>
  <c r="BC99" i="3"/>
  <c r="BC106" i="3"/>
  <c r="BC118" i="3"/>
  <c r="BC126" i="3"/>
  <c r="BC134" i="3"/>
  <c r="BC139" i="3"/>
  <c r="BC154" i="3"/>
  <c r="BC167" i="3"/>
  <c r="BC174" i="3"/>
  <c r="BC181" i="3"/>
  <c r="BC188" i="3"/>
  <c r="BC192" i="3"/>
  <c r="BC198" i="3"/>
  <c r="BC209" i="3"/>
  <c r="BC213" i="3"/>
  <c r="BC226" i="3"/>
  <c r="BC9" i="3"/>
  <c r="BC26" i="3"/>
  <c r="BC34" i="3"/>
  <c r="BC51" i="3"/>
  <c r="BC57" i="3"/>
  <c r="BC62" i="3"/>
  <c r="BC73" i="3"/>
  <c r="BC79" i="3"/>
  <c r="BC91" i="3"/>
  <c r="BC96" i="3"/>
  <c r="BC100" i="3"/>
  <c r="BC108" i="3"/>
  <c r="BC120" i="3"/>
  <c r="BC128" i="3"/>
  <c r="BC146" i="3"/>
  <c r="BC155" i="3"/>
  <c r="BC162" i="3"/>
  <c r="BC169" i="3"/>
  <c r="BC176" i="3"/>
  <c r="BC189" i="3"/>
  <c r="BC201" i="3"/>
  <c r="BC205" i="3"/>
  <c r="BC219" i="3"/>
  <c r="BC223" i="3"/>
  <c r="BC3" i="3"/>
  <c r="BC19" i="3"/>
  <c r="BC27" i="3"/>
  <c r="BC35" i="3"/>
  <c r="BC52" i="3"/>
  <c r="BC74" i="3"/>
  <c r="BC80" i="3"/>
  <c r="BC85" i="3"/>
  <c r="BC92" i="3"/>
  <c r="BC101" i="3"/>
  <c r="BC109" i="3"/>
  <c r="BC121" i="3"/>
  <c r="BC129" i="3"/>
  <c r="BC136" i="3"/>
  <c r="BC141" i="3"/>
  <c r="BC148" i="3"/>
  <c r="BC151" i="3"/>
  <c r="BC156" i="3"/>
  <c r="BC170" i="3"/>
  <c r="BC177" i="3"/>
  <c r="BC183" i="3"/>
  <c r="BC194" i="3"/>
  <c r="BC210" i="3"/>
  <c r="BC215" i="3"/>
  <c r="BC4" i="3"/>
  <c r="BC20" i="3"/>
  <c r="BC28" i="3"/>
  <c r="BC39" i="3"/>
  <c r="BC58" i="3"/>
  <c r="BC63" i="3"/>
  <c r="BC66" i="3"/>
  <c r="BC75" i="3"/>
  <c r="BC81" i="3"/>
  <c r="BC86" i="3"/>
  <c r="BC97" i="3"/>
  <c r="BC102" i="3"/>
  <c r="BC110" i="3"/>
  <c r="BC114" i="3"/>
  <c r="BC122" i="3"/>
  <c r="BC130" i="3"/>
  <c r="BC137" i="3"/>
  <c r="BC157" i="3"/>
  <c r="BC163" i="3"/>
  <c r="BC171" i="3"/>
  <c r="BC184" i="3"/>
  <c r="BC195" i="3"/>
  <c r="BC202" i="3"/>
  <c r="BC206" i="3"/>
  <c r="BC220" i="3"/>
  <c r="BC224" i="3"/>
  <c r="BC6" i="3"/>
  <c r="BC22" i="3"/>
  <c r="BC30" i="3"/>
  <c r="BC48" i="3"/>
  <c r="BC55" i="3"/>
  <c r="BC64" i="3"/>
  <c r="BC67" i="3"/>
  <c r="BC71" i="3"/>
  <c r="BC76" i="3"/>
  <c r="BC94" i="3"/>
  <c r="BC98" i="3"/>
  <c r="BC104" i="3"/>
  <c r="BC112" i="3"/>
  <c r="BC116" i="3"/>
  <c r="BC124" i="3"/>
  <c r="BC132" i="3"/>
  <c r="BC142" i="3"/>
  <c r="BC153" i="3"/>
  <c r="BC159" i="3"/>
  <c r="BC165" i="3"/>
  <c r="BC179" i="3"/>
  <c r="BC186" i="3"/>
  <c r="BC196" i="3"/>
  <c r="BC203" i="3"/>
  <c r="BC212" i="3"/>
  <c r="BC221" i="3"/>
  <c r="BC5" i="3"/>
  <c r="BC33" i="3"/>
  <c r="BC78" i="3"/>
  <c r="BC111" i="3"/>
  <c r="BC127" i="3"/>
  <c r="BC173" i="3"/>
  <c r="BC190" i="3"/>
  <c r="BC204" i="3"/>
  <c r="BC217" i="3"/>
  <c r="BC230" i="3"/>
  <c r="BC236" i="3"/>
  <c r="BC240" i="3"/>
  <c r="BC244" i="3"/>
  <c r="BC252" i="3"/>
  <c r="BC255" i="3"/>
  <c r="BC263" i="3"/>
  <c r="BC271" i="3"/>
  <c r="BC299" i="3"/>
  <c r="BC317" i="3"/>
  <c r="BC323" i="3"/>
  <c r="BC327" i="3"/>
  <c r="BC331" i="3"/>
  <c r="BC336" i="3"/>
  <c r="BC342" i="3"/>
  <c r="BC346" i="3"/>
  <c r="BC347" i="3"/>
  <c r="BC350" i="3"/>
  <c r="BC360" i="3"/>
  <c r="BC362" i="3"/>
  <c r="BC365" i="3"/>
  <c r="BC369" i="3"/>
  <c r="BC373" i="3"/>
  <c r="BC383" i="3"/>
  <c r="BC389" i="3"/>
  <c r="BC7" i="3"/>
  <c r="BC56" i="3"/>
  <c r="BC113" i="3"/>
  <c r="BC131" i="3"/>
  <c r="BC143" i="3"/>
  <c r="BC147" i="3"/>
  <c r="BC158" i="3"/>
  <c r="BC175" i="3"/>
  <c r="BC191" i="3"/>
  <c r="BC207" i="3"/>
  <c r="BC218" i="3"/>
  <c r="BC227" i="3"/>
  <c r="BC237" i="3"/>
  <c r="BC245" i="3"/>
  <c r="BC253" i="3"/>
  <c r="BC256" i="3"/>
  <c r="BC264" i="3"/>
  <c r="BC272" i="3"/>
  <c r="BC292" i="3"/>
  <c r="BC312" i="3"/>
  <c r="BC348" i="3"/>
  <c r="BC351" i="3"/>
  <c r="BC356" i="3"/>
  <c r="BC363" i="3"/>
  <c r="BC378" i="3"/>
  <c r="BC8" i="3"/>
  <c r="BC49" i="3"/>
  <c r="BC68" i="3"/>
  <c r="BC133" i="3"/>
  <c r="BC160" i="3"/>
  <c r="BC178" i="3"/>
  <c r="BC193" i="3"/>
  <c r="BC208" i="3"/>
  <c r="BC231" i="3"/>
  <c r="BC233" i="3"/>
  <c r="BC241" i="3"/>
  <c r="BC254" i="3"/>
  <c r="BC257" i="3"/>
  <c r="BC265" i="3"/>
  <c r="BC276" i="3"/>
  <c r="BC293" i="3"/>
  <c r="BC300" i="3"/>
  <c r="BC305" i="3"/>
  <c r="BC308" i="3"/>
  <c r="BC313" i="3"/>
  <c r="BC318" i="3"/>
  <c r="BC324" i="3"/>
  <c r="BC328" i="3"/>
  <c r="BC332" i="3"/>
  <c r="BC337" i="3"/>
  <c r="BC343" i="3"/>
  <c r="BC349" i="3"/>
  <c r="BC366" i="3"/>
  <c r="BC370" i="3"/>
  <c r="BC379" i="3"/>
  <c r="BC384" i="3"/>
  <c r="BC390" i="3"/>
  <c r="BC21" i="3"/>
  <c r="BC59" i="3"/>
  <c r="BC70" i="3"/>
  <c r="BC115" i="3"/>
  <c r="BC135" i="3"/>
  <c r="BC144" i="3"/>
  <c r="BC149" i="3"/>
  <c r="BC161" i="3"/>
  <c r="BC180" i="3"/>
  <c r="BC222" i="3"/>
  <c r="BC238" i="3"/>
  <c r="BC242" i="3"/>
  <c r="BC258" i="3"/>
  <c r="BC266" i="3"/>
  <c r="BC281" i="3"/>
  <c r="BC294" i="3"/>
  <c r="BC333" i="3"/>
  <c r="BC338" i="3"/>
  <c r="BC352" i="3"/>
  <c r="BC357" i="3"/>
  <c r="BC361" i="3"/>
  <c r="BC371" i="3"/>
  <c r="BC374" i="3"/>
  <c r="BC380" i="3"/>
  <c r="BC385" i="3"/>
  <c r="BC23" i="3"/>
  <c r="BC53" i="3"/>
  <c r="BC61" i="3"/>
  <c r="BC87" i="3"/>
  <c r="BC117" i="3"/>
  <c r="BC164" i="3"/>
  <c r="BC182" i="3"/>
  <c r="BC197" i="3"/>
  <c r="BC211" i="3"/>
  <c r="BC228" i="3"/>
  <c r="BC243" i="3"/>
  <c r="BC246" i="3"/>
  <c r="BC259" i="3"/>
  <c r="BC267" i="3"/>
  <c r="BC282" i="3"/>
  <c r="BC295" i="3"/>
  <c r="BC301" i="3"/>
  <c r="BC306" i="3"/>
  <c r="BC309" i="3"/>
  <c r="BC314" i="3"/>
  <c r="BC319" i="3"/>
  <c r="BC325" i="3"/>
  <c r="BC329" i="3"/>
  <c r="BC339" i="3"/>
  <c r="BC344" i="3"/>
  <c r="BC353" i="3"/>
  <c r="BC358" i="3"/>
  <c r="BC367" i="3"/>
  <c r="BC375" i="3"/>
  <c r="BC381" i="3"/>
  <c r="BC386" i="3"/>
  <c r="BC391" i="3"/>
  <c r="BC25" i="3"/>
  <c r="BC88" i="3"/>
  <c r="BC103" i="3"/>
  <c r="BC119" i="3"/>
  <c r="BC138" i="3"/>
  <c r="BC145" i="3"/>
  <c r="BC150" i="3"/>
  <c r="BC166" i="3"/>
  <c r="BC185" i="3"/>
  <c r="BC234" i="3"/>
  <c r="BC247" i="3"/>
  <c r="BC250" i="3"/>
  <c r="BC260" i="3"/>
  <c r="BC268" i="3"/>
  <c r="BC283" i="3"/>
  <c r="BC297" i="3"/>
  <c r="BC302" i="3"/>
  <c r="BC315" i="3"/>
  <c r="BC320" i="3"/>
  <c r="BC330" i="3"/>
  <c r="BC334" i="3"/>
  <c r="BC340" i="3"/>
  <c r="BC354" i="3"/>
  <c r="BC359" i="3"/>
  <c r="BC364" i="3"/>
  <c r="BC372" i="3"/>
  <c r="BC376" i="3"/>
  <c r="BC387" i="3"/>
  <c r="BC29" i="3"/>
  <c r="BC90" i="3"/>
  <c r="BC105" i="3"/>
  <c r="BC123" i="3"/>
  <c r="BC140" i="3"/>
  <c r="BC152" i="3"/>
  <c r="BC168" i="3"/>
  <c r="BC187" i="3"/>
  <c r="BC214" i="3"/>
  <c r="BC225" i="3"/>
  <c r="BC229" i="3"/>
  <c r="BC235" i="3"/>
  <c r="BC248" i="3"/>
  <c r="BC261" i="3"/>
  <c r="BC269" i="3"/>
  <c r="BC284" i="3"/>
  <c r="BC298" i="3"/>
  <c r="BC307" i="3"/>
  <c r="BC310" i="3"/>
  <c r="BC322" i="3"/>
  <c r="BC326" i="3"/>
  <c r="BC335" i="3"/>
  <c r="BC341" i="3"/>
  <c r="BC345" i="3"/>
  <c r="BC355" i="3"/>
  <c r="BC368" i="3"/>
  <c r="BC382" i="3"/>
  <c r="BC65" i="3"/>
  <c r="BC172" i="3"/>
  <c r="BC286" i="3"/>
  <c r="BC392" i="3"/>
  <c r="BC77" i="3"/>
  <c r="BC239" i="3"/>
  <c r="BC93" i="3"/>
  <c r="BC304" i="3"/>
  <c r="BC107" i="3"/>
  <c r="BC216" i="3"/>
  <c r="BC249" i="3"/>
  <c r="BC125" i="3"/>
  <c r="BC251" i="3"/>
  <c r="BC311" i="3"/>
  <c r="BC316" i="3"/>
  <c r="BC377" i="3"/>
  <c r="BC54" i="3"/>
  <c r="BC232" i="3"/>
  <c r="BC270" i="3"/>
  <c r="BC388" i="3"/>
  <c r="BC31" i="3"/>
  <c r="BC262" i="3"/>
  <c r="E959" i="8"/>
  <c r="D959" i="8"/>
  <c r="B959" i="8"/>
  <c r="A959" i="8"/>
  <c r="E958" i="8"/>
  <c r="D958" i="8"/>
  <c r="B958" i="8"/>
  <c r="A958" i="8"/>
  <c r="E957" i="8"/>
  <c r="D957" i="8"/>
  <c r="B957" i="8"/>
  <c r="A957" i="8"/>
  <c r="E956" i="8"/>
  <c r="D956" i="8"/>
  <c r="B956" i="8"/>
  <c r="A956" i="8"/>
  <c r="E955" i="8"/>
  <c r="D955" i="8"/>
  <c r="B955" i="8"/>
  <c r="A955" i="8"/>
  <c r="E954" i="8"/>
  <c r="D954" i="8"/>
  <c r="B954" i="8"/>
  <c r="A954" i="8"/>
  <c r="E953" i="8"/>
  <c r="D953" i="8"/>
  <c r="B953" i="8"/>
  <c r="A953" i="8"/>
  <c r="E952" i="8"/>
  <c r="D952" i="8"/>
  <c r="B952" i="8"/>
  <c r="A952" i="8"/>
  <c r="E951" i="8"/>
  <c r="D951" i="8"/>
  <c r="B951" i="8"/>
  <c r="A951" i="8"/>
  <c r="E950" i="8"/>
  <c r="D950" i="8"/>
  <c r="B950" i="8"/>
  <c r="A950" i="8"/>
  <c r="E949" i="8"/>
  <c r="D949" i="8"/>
  <c r="B949" i="8"/>
  <c r="A949" i="8"/>
  <c r="E948" i="8"/>
  <c r="D948" i="8"/>
  <c r="B948" i="8"/>
  <c r="A948" i="8"/>
  <c r="E947" i="8"/>
  <c r="D947" i="8"/>
  <c r="B947" i="8"/>
  <c r="A947" i="8"/>
  <c r="E946" i="8"/>
  <c r="D946" i="8"/>
  <c r="B946" i="8"/>
  <c r="A946" i="8"/>
  <c r="E945" i="8"/>
  <c r="D945" i="8"/>
  <c r="B945" i="8"/>
  <c r="A945" i="8"/>
  <c r="E944" i="8"/>
  <c r="D944" i="8"/>
  <c r="B944" i="8"/>
  <c r="A944" i="8"/>
  <c r="E943" i="8"/>
  <c r="D943" i="8"/>
  <c r="B943" i="8"/>
  <c r="A943" i="8"/>
  <c r="E942" i="8"/>
  <c r="D942" i="8"/>
  <c r="B942" i="8"/>
  <c r="A942" i="8"/>
  <c r="E941" i="8"/>
  <c r="D941" i="8"/>
  <c r="B941" i="8"/>
  <c r="A941" i="8"/>
  <c r="E940" i="8"/>
  <c r="D940" i="8"/>
  <c r="B940" i="8"/>
  <c r="A940" i="8"/>
  <c r="E939" i="8"/>
  <c r="D939" i="8"/>
  <c r="B939" i="8"/>
  <c r="A939" i="8"/>
  <c r="E938" i="8"/>
  <c r="D938" i="8"/>
  <c r="B938" i="8"/>
  <c r="A938" i="8"/>
  <c r="E937" i="8"/>
  <c r="D937" i="8"/>
  <c r="B937" i="8"/>
  <c r="A937" i="8"/>
  <c r="E936" i="8"/>
  <c r="D936" i="8"/>
  <c r="B936" i="8"/>
  <c r="A936" i="8"/>
  <c r="E935" i="8"/>
  <c r="D935" i="8"/>
  <c r="B935" i="8"/>
  <c r="A935" i="8"/>
  <c r="E934" i="8"/>
  <c r="D934" i="8"/>
  <c r="B934" i="8"/>
  <c r="A934" i="8"/>
  <c r="E933" i="8"/>
  <c r="D933" i="8"/>
  <c r="B933" i="8"/>
  <c r="A933" i="8"/>
  <c r="E932" i="8"/>
  <c r="D932" i="8"/>
  <c r="B932" i="8"/>
  <c r="A932" i="8"/>
  <c r="BB288" i="3" l="1"/>
  <c r="BB287" i="3"/>
  <c r="BB82" i="3"/>
  <c r="BB393" i="3"/>
  <c r="BB273" i="3"/>
  <c r="BB10" i="3"/>
  <c r="BB11" i="3"/>
  <c r="BB69" i="3"/>
  <c r="BB303" i="3"/>
  <c r="BB12" i="3"/>
  <c r="BB13" i="3"/>
  <c r="BB14" i="3"/>
  <c r="BB15" i="3"/>
  <c r="BB274" i="3"/>
  <c r="BB17" i="3"/>
  <c r="BB18" i="3"/>
  <c r="BB16" i="3"/>
  <c r="BB199" i="3"/>
  <c r="BB200" i="3"/>
  <c r="BB275" i="3"/>
  <c r="BB321" i="3"/>
  <c r="BB277" i="3"/>
  <c r="BB278" i="3"/>
  <c r="BB279" i="3"/>
  <c r="BB280" i="3"/>
  <c r="BB285" i="3"/>
  <c r="BB36" i="3"/>
  <c r="BB37" i="3"/>
  <c r="BB38" i="3"/>
  <c r="BB40" i="3"/>
  <c r="BB289" i="3"/>
  <c r="BB41" i="3"/>
  <c r="BB42" i="3"/>
  <c r="BB43" i="3"/>
  <c r="BB44" i="3"/>
  <c r="BB83" i="3"/>
  <c r="BB290" i="3"/>
  <c r="BB291" i="3"/>
  <c r="BB45" i="3"/>
  <c r="BB46" i="3"/>
  <c r="BB47" i="3"/>
  <c r="BB296" i="3"/>
  <c r="BB8" i="3"/>
  <c r="BB25" i="3"/>
  <c r="BB33" i="3"/>
  <c r="BB56" i="3"/>
  <c r="BB61" i="3"/>
  <c r="BB65" i="3"/>
  <c r="BB68" i="3"/>
  <c r="BB78" i="3"/>
  <c r="BB90" i="3"/>
  <c r="BB107" i="3"/>
  <c r="BB119" i="3"/>
  <c r="BB127" i="3"/>
  <c r="BB135" i="3"/>
  <c r="BB140" i="3"/>
  <c r="BB143" i="3"/>
  <c r="BB150" i="3"/>
  <c r="BB161" i="3"/>
  <c r="BB168" i="3"/>
  <c r="BB175" i="3"/>
  <c r="BB182" i="3"/>
  <c r="BB193" i="3"/>
  <c r="BB204" i="3"/>
  <c r="BB214" i="3"/>
  <c r="BB218" i="3"/>
  <c r="BB232" i="3"/>
  <c r="BB239" i="3"/>
  <c r="BB249" i="3"/>
  <c r="BB251" i="3"/>
  <c r="BB262" i="3"/>
  <c r="BB270" i="3"/>
  <c r="BB286" i="3"/>
  <c r="BB304" i="3"/>
  <c r="BB311" i="3"/>
  <c r="BB316" i="3"/>
  <c r="BB377" i="3"/>
  <c r="BB388" i="3"/>
  <c r="BB392" i="3"/>
  <c r="BB9" i="3"/>
  <c r="BB26" i="3"/>
  <c r="BB34" i="3"/>
  <c r="BB51" i="3"/>
  <c r="BB57" i="3"/>
  <c r="BB62" i="3"/>
  <c r="BB73" i="3"/>
  <c r="BB79" i="3"/>
  <c r="BB91" i="3"/>
  <c r="BB96" i="3"/>
  <c r="BB100" i="3"/>
  <c r="BB108" i="3"/>
  <c r="BB120" i="3"/>
  <c r="BB128" i="3"/>
  <c r="BB146" i="3"/>
  <c r="BB155" i="3"/>
  <c r="BB162" i="3"/>
  <c r="BB169" i="3"/>
  <c r="BB176" i="3"/>
  <c r="BB189" i="3"/>
  <c r="BB201" i="3"/>
  <c r="BB205" i="3"/>
  <c r="BB219" i="3"/>
  <c r="BB223" i="3"/>
  <c r="BB230" i="3"/>
  <c r="BB236" i="3"/>
  <c r="BB240" i="3"/>
  <c r="BB244" i="3"/>
  <c r="BB252" i="3"/>
  <c r="BB255" i="3"/>
  <c r="BB263" i="3"/>
  <c r="BB271" i="3"/>
  <c r="BB299" i="3"/>
  <c r="BB317" i="3"/>
  <c r="BB323" i="3"/>
  <c r="BB327" i="3"/>
  <c r="BB331" i="3"/>
  <c r="BB336" i="3"/>
  <c r="BB342" i="3"/>
  <c r="BB346" i="3"/>
  <c r="BB347" i="3"/>
  <c r="BB350" i="3"/>
  <c r="BB360" i="3"/>
  <c r="BB362" i="3"/>
  <c r="BB365" i="3"/>
  <c r="BB369" i="3"/>
  <c r="BB3" i="3"/>
  <c r="BB19" i="3"/>
  <c r="BB27" i="3"/>
  <c r="BB35" i="3"/>
  <c r="BB52" i="3"/>
  <c r="BB74" i="3"/>
  <c r="BB80" i="3"/>
  <c r="BB85" i="3"/>
  <c r="BB92" i="3"/>
  <c r="BB101" i="3"/>
  <c r="BB109" i="3"/>
  <c r="BB121" i="3"/>
  <c r="BB129" i="3"/>
  <c r="BB136" i="3"/>
  <c r="BB141" i="3"/>
  <c r="BB148" i="3"/>
  <c r="BB151" i="3"/>
  <c r="BB156" i="3"/>
  <c r="BB170" i="3"/>
  <c r="BB177" i="3"/>
  <c r="BB183" i="3"/>
  <c r="BB194" i="3"/>
  <c r="BB210" i="3"/>
  <c r="BB215" i="3"/>
  <c r="BB227" i="3"/>
  <c r="BB237" i="3"/>
  <c r="BB245" i="3"/>
  <c r="BB253" i="3"/>
  <c r="BB256" i="3"/>
  <c r="BB264" i="3"/>
  <c r="BB272" i="3"/>
  <c r="BB292" i="3"/>
  <c r="BB312" i="3"/>
  <c r="BB348" i="3"/>
  <c r="BB351" i="3"/>
  <c r="BB356" i="3"/>
  <c r="BB363" i="3"/>
  <c r="BB378" i="3"/>
  <c r="BB4" i="3"/>
  <c r="BB20" i="3"/>
  <c r="BB28" i="3"/>
  <c r="BB39" i="3"/>
  <c r="BB58" i="3"/>
  <c r="BB63" i="3"/>
  <c r="BB66" i="3"/>
  <c r="BB75" i="3"/>
  <c r="BB81" i="3"/>
  <c r="BB86" i="3"/>
  <c r="BB97" i="3"/>
  <c r="BB102" i="3"/>
  <c r="BB110" i="3"/>
  <c r="BB114" i="3"/>
  <c r="BB122" i="3"/>
  <c r="BB130" i="3"/>
  <c r="BB137" i="3"/>
  <c r="BB157" i="3"/>
  <c r="BB163" i="3"/>
  <c r="BB171" i="3"/>
  <c r="BB184" i="3"/>
  <c r="BB195" i="3"/>
  <c r="BB202" i="3"/>
  <c r="BB206" i="3"/>
  <c r="BB220" i="3"/>
  <c r="BB224" i="3"/>
  <c r="BB231" i="3"/>
  <c r="BB233" i="3"/>
  <c r="BB241" i="3"/>
  <c r="BB254" i="3"/>
  <c r="BB257" i="3"/>
  <c r="BB265" i="3"/>
  <c r="BB276" i="3"/>
  <c r="BB293" i="3"/>
  <c r="BB300" i="3"/>
  <c r="BB305" i="3"/>
  <c r="BB308" i="3"/>
  <c r="BB313" i="3"/>
  <c r="BB318" i="3"/>
  <c r="BB324" i="3"/>
  <c r="BB328" i="3"/>
  <c r="BB332" i="3"/>
  <c r="BB337" i="3"/>
  <c r="BB343" i="3"/>
  <c r="BB349" i="3"/>
  <c r="BB366" i="3"/>
  <c r="BB370" i="3"/>
  <c r="BB379" i="3"/>
  <c r="BB384" i="3"/>
  <c r="BB390" i="3"/>
  <c r="BB5" i="3"/>
  <c r="BB21" i="3"/>
  <c r="BB29" i="3"/>
  <c r="BB53" i="3"/>
  <c r="BB54" i="3"/>
  <c r="BB70" i="3"/>
  <c r="BB87" i="3"/>
  <c r="BB93" i="3"/>
  <c r="BB103" i="3"/>
  <c r="BB111" i="3"/>
  <c r="BB115" i="3"/>
  <c r="BB123" i="3"/>
  <c r="BB131" i="3"/>
  <c r="BB145" i="3"/>
  <c r="BB149" i="3"/>
  <c r="BB152" i="3"/>
  <c r="BB158" i="3"/>
  <c r="BB164" i="3"/>
  <c r="BB172" i="3"/>
  <c r="BB178" i="3"/>
  <c r="BB185" i="3"/>
  <c r="BB190" i="3"/>
  <c r="BB207" i="3"/>
  <c r="BB211" i="3"/>
  <c r="BB216" i="3"/>
  <c r="BB238" i="3"/>
  <c r="BB242" i="3"/>
  <c r="BB258" i="3"/>
  <c r="BB266" i="3"/>
  <c r="BB281" i="3"/>
  <c r="BB294" i="3"/>
  <c r="BB333" i="3"/>
  <c r="BB338" i="3"/>
  <c r="BB352" i="3"/>
  <c r="BB357" i="3"/>
  <c r="BB361" i="3"/>
  <c r="BB371" i="3"/>
  <c r="BB374" i="3"/>
  <c r="BB380" i="3"/>
  <c r="BB385" i="3"/>
  <c r="BB6" i="3"/>
  <c r="BB22" i="3"/>
  <c r="BB30" i="3"/>
  <c r="BB48" i="3"/>
  <c r="BB55" i="3"/>
  <c r="BB64" i="3"/>
  <c r="BB67" i="3"/>
  <c r="BB71" i="3"/>
  <c r="BB76" i="3"/>
  <c r="BB94" i="3"/>
  <c r="BB98" i="3"/>
  <c r="BB104" i="3"/>
  <c r="BB112" i="3"/>
  <c r="BB116" i="3"/>
  <c r="BB124" i="3"/>
  <c r="BB132" i="3"/>
  <c r="BB142" i="3"/>
  <c r="BB153" i="3"/>
  <c r="BB159" i="3"/>
  <c r="BB165" i="3"/>
  <c r="BB179" i="3"/>
  <c r="BB186" i="3"/>
  <c r="BB196" i="3"/>
  <c r="BB203" i="3"/>
  <c r="BB212" i="3"/>
  <c r="BB221" i="3"/>
  <c r="BB228" i="3"/>
  <c r="BB243" i="3"/>
  <c r="BB246" i="3"/>
  <c r="BB259" i="3"/>
  <c r="BB267" i="3"/>
  <c r="BB282" i="3"/>
  <c r="BB295" i="3"/>
  <c r="BB301" i="3"/>
  <c r="BB306" i="3"/>
  <c r="BB309" i="3"/>
  <c r="BB314" i="3"/>
  <c r="BB319" i="3"/>
  <c r="BB325" i="3"/>
  <c r="BB329" i="3"/>
  <c r="BB339" i="3"/>
  <c r="BB344" i="3"/>
  <c r="BB353" i="3"/>
  <c r="BB358" i="3"/>
  <c r="BB367" i="3"/>
  <c r="BB375" i="3"/>
  <c r="BB381" i="3"/>
  <c r="BB386" i="3"/>
  <c r="BB7" i="3"/>
  <c r="BB23" i="3"/>
  <c r="BB31" i="3"/>
  <c r="BB49" i="3"/>
  <c r="BB59" i="3"/>
  <c r="BB77" i="3"/>
  <c r="BB88" i="3"/>
  <c r="BB105" i="3"/>
  <c r="BB113" i="3"/>
  <c r="BB117" i="3"/>
  <c r="BB125" i="3"/>
  <c r="BB133" i="3"/>
  <c r="BB138" i="3"/>
  <c r="BB144" i="3"/>
  <c r="BB147" i="3"/>
  <c r="BB160" i="3"/>
  <c r="BB166" i="3"/>
  <c r="BB173" i="3"/>
  <c r="BB180" i="3"/>
  <c r="BB187" i="3"/>
  <c r="BB191" i="3"/>
  <c r="BB197" i="3"/>
  <c r="BB208" i="3"/>
  <c r="BB217" i="3"/>
  <c r="BB222" i="3"/>
  <c r="BB225" i="3"/>
  <c r="BB234" i="3"/>
  <c r="BB247" i="3"/>
  <c r="BB250" i="3"/>
  <c r="BB260" i="3"/>
  <c r="BB268" i="3"/>
  <c r="BB283" i="3"/>
  <c r="BB297" i="3"/>
  <c r="BB302" i="3"/>
  <c r="BB315" i="3"/>
  <c r="BB320" i="3"/>
  <c r="BB330" i="3"/>
  <c r="BB334" i="3"/>
  <c r="BB340" i="3"/>
  <c r="BB354" i="3"/>
  <c r="BB359" i="3"/>
  <c r="BB364" i="3"/>
  <c r="BB372" i="3"/>
  <c r="BB376" i="3"/>
  <c r="BB387" i="3"/>
  <c r="BB106" i="3"/>
  <c r="BB188" i="3"/>
  <c r="BB226" i="3"/>
  <c r="BB310" i="3"/>
  <c r="BB345" i="3"/>
  <c r="BB389" i="3"/>
  <c r="BB192" i="3"/>
  <c r="BB229" i="3"/>
  <c r="BB391" i="3"/>
  <c r="BB24" i="3"/>
  <c r="BB72" i="3"/>
  <c r="BB118" i="3"/>
  <c r="BB198" i="3"/>
  <c r="BB261" i="3"/>
  <c r="BB322" i="3"/>
  <c r="BB373" i="3"/>
  <c r="BB32" i="3"/>
  <c r="BB126" i="3"/>
  <c r="BB154" i="3"/>
  <c r="BB269" i="3"/>
  <c r="BB326" i="3"/>
  <c r="BB50" i="3"/>
  <c r="BB84" i="3"/>
  <c r="BB134" i="3"/>
  <c r="BB209" i="3"/>
  <c r="BB235" i="3"/>
  <c r="BB284" i="3"/>
  <c r="BB89" i="3"/>
  <c r="BB139" i="3"/>
  <c r="BB167" i="3"/>
  <c r="BB213" i="3"/>
  <c r="BB298" i="3"/>
  <c r="BB335" i="3"/>
  <c r="BB382" i="3"/>
  <c r="BB60" i="3"/>
  <c r="BB99" i="3"/>
  <c r="BB181" i="3"/>
  <c r="BB248" i="3"/>
  <c r="BB307" i="3"/>
  <c r="BB355" i="3"/>
  <c r="BB95" i="3"/>
  <c r="BB368" i="3"/>
  <c r="BB383" i="3"/>
  <c r="BB174" i="3"/>
  <c r="BB341" i="3"/>
  <c r="E927" i="8"/>
  <c r="D927" i="8"/>
  <c r="B927" i="8"/>
  <c r="A927" i="8"/>
  <c r="E926" i="8"/>
  <c r="D926" i="8"/>
  <c r="B926" i="8"/>
  <c r="A926" i="8"/>
  <c r="E925" i="8"/>
  <c r="D925" i="8"/>
  <c r="B925" i="8"/>
  <c r="A925" i="8"/>
  <c r="E924" i="8"/>
  <c r="D924" i="8"/>
  <c r="B924" i="8"/>
  <c r="A924" i="8"/>
  <c r="E923" i="8"/>
  <c r="D923" i="8"/>
  <c r="B923" i="8"/>
  <c r="A923" i="8"/>
  <c r="E922" i="8"/>
  <c r="D922" i="8"/>
  <c r="B922" i="8"/>
  <c r="A922" i="8"/>
  <c r="BA288" i="3" l="1"/>
  <c r="BA287" i="3"/>
  <c r="BA82" i="3"/>
  <c r="BA393" i="3"/>
  <c r="BA273" i="3"/>
  <c r="BA10" i="3"/>
  <c r="BA11" i="3"/>
  <c r="BA69" i="3"/>
  <c r="BA303" i="3"/>
  <c r="BA12" i="3"/>
  <c r="BA13" i="3"/>
  <c r="BA14" i="3"/>
  <c r="BA15" i="3"/>
  <c r="BA274" i="3"/>
  <c r="BA17" i="3"/>
  <c r="BA18" i="3"/>
  <c r="BA16" i="3"/>
  <c r="BA199" i="3"/>
  <c r="BA200" i="3"/>
  <c r="BA275" i="3"/>
  <c r="BA321" i="3"/>
  <c r="BA277" i="3"/>
  <c r="BA278" i="3"/>
  <c r="BA279" i="3"/>
  <c r="BA280" i="3"/>
  <c r="BA285" i="3"/>
  <c r="BA36" i="3"/>
  <c r="BA37" i="3"/>
  <c r="BA38" i="3"/>
  <c r="BA40" i="3"/>
  <c r="BA289" i="3"/>
  <c r="BA41" i="3"/>
  <c r="BA42" i="3"/>
  <c r="BA43" i="3"/>
  <c r="BA44" i="3"/>
  <c r="BA83" i="3"/>
  <c r="BA290" i="3"/>
  <c r="BA291" i="3"/>
  <c r="BA45" i="3"/>
  <c r="BA46" i="3"/>
  <c r="BA47" i="3"/>
  <c r="BA296" i="3"/>
  <c r="BA24" i="3"/>
  <c r="BA32" i="3"/>
  <c r="BA50" i="3"/>
  <c r="BA60" i="3"/>
  <c r="BA72" i="3"/>
  <c r="BA84" i="3"/>
  <c r="BA89" i="3"/>
  <c r="BA95" i="3"/>
  <c r="BA99" i="3"/>
  <c r="BA106" i="3"/>
  <c r="BA118" i="3"/>
  <c r="BA126" i="3"/>
  <c r="BA9" i="3"/>
  <c r="BA26" i="3"/>
  <c r="BA34" i="3"/>
  <c r="BA51" i="3"/>
  <c r="BA57" i="3"/>
  <c r="BA62" i="3"/>
  <c r="BA73" i="3"/>
  <c r="BA79" i="3"/>
  <c r="BA91" i="3"/>
  <c r="BA96" i="3"/>
  <c r="BA100" i="3"/>
  <c r="BA108" i="3"/>
  <c r="BA120" i="3"/>
  <c r="BA128" i="3"/>
  <c r="BA3" i="3"/>
  <c r="BA19" i="3"/>
  <c r="BA27" i="3"/>
  <c r="BA35" i="3"/>
  <c r="BA52" i="3"/>
  <c r="BA74" i="3"/>
  <c r="BA80" i="3"/>
  <c r="BA85" i="3"/>
  <c r="BA92" i="3"/>
  <c r="BA101" i="3"/>
  <c r="BA109" i="3"/>
  <c r="BA121" i="3"/>
  <c r="BA129" i="3"/>
  <c r="BA136" i="3"/>
  <c r="BA4" i="3"/>
  <c r="BA20" i="3"/>
  <c r="BA28" i="3"/>
  <c r="BA39" i="3"/>
  <c r="BA58" i="3"/>
  <c r="BA63" i="3"/>
  <c r="BA66" i="3"/>
  <c r="BA75" i="3"/>
  <c r="BA81" i="3"/>
  <c r="BA86" i="3"/>
  <c r="BA97" i="3"/>
  <c r="BA102" i="3"/>
  <c r="BA110" i="3"/>
  <c r="BA114" i="3"/>
  <c r="BA122" i="3"/>
  <c r="BA130" i="3"/>
  <c r="BA137" i="3"/>
  <c r="BA6" i="3"/>
  <c r="BA22" i="3"/>
  <c r="BA30" i="3"/>
  <c r="BA48" i="3"/>
  <c r="BA55" i="3"/>
  <c r="BA64" i="3"/>
  <c r="BA67" i="3"/>
  <c r="BA71" i="3"/>
  <c r="BA76" i="3"/>
  <c r="BA94" i="3"/>
  <c r="BA98" i="3"/>
  <c r="BA104" i="3"/>
  <c r="BA112" i="3"/>
  <c r="BA116" i="3"/>
  <c r="BA124" i="3"/>
  <c r="BA132" i="3"/>
  <c r="BA23" i="3"/>
  <c r="BA53" i="3"/>
  <c r="BA61" i="3"/>
  <c r="BA87" i="3"/>
  <c r="BA117" i="3"/>
  <c r="BA135" i="3"/>
  <c r="BA145" i="3"/>
  <c r="BA149" i="3"/>
  <c r="BA152" i="3"/>
  <c r="BA158" i="3"/>
  <c r="BA164" i="3"/>
  <c r="BA172" i="3"/>
  <c r="BA178" i="3"/>
  <c r="BA185" i="3"/>
  <c r="BA190" i="3"/>
  <c r="BA207" i="3"/>
  <c r="BA211" i="3"/>
  <c r="BA216" i="3"/>
  <c r="BA238" i="3"/>
  <c r="BA242" i="3"/>
  <c r="BA258" i="3"/>
  <c r="BA266" i="3"/>
  <c r="BA281" i="3"/>
  <c r="BA294" i="3"/>
  <c r="BA333" i="3"/>
  <c r="BA338" i="3"/>
  <c r="BA352" i="3"/>
  <c r="BA357" i="3"/>
  <c r="BA361" i="3"/>
  <c r="BA371" i="3"/>
  <c r="BA374" i="3"/>
  <c r="BA380" i="3"/>
  <c r="BA385" i="3"/>
  <c r="BA25" i="3"/>
  <c r="BA88" i="3"/>
  <c r="BA103" i="3"/>
  <c r="BA119" i="3"/>
  <c r="BA142" i="3"/>
  <c r="BA153" i="3"/>
  <c r="BA159" i="3"/>
  <c r="BA165" i="3"/>
  <c r="BA179" i="3"/>
  <c r="BA186" i="3"/>
  <c r="BA196" i="3"/>
  <c r="BA203" i="3"/>
  <c r="BA212" i="3"/>
  <c r="BA221" i="3"/>
  <c r="BA228" i="3"/>
  <c r="BA243" i="3"/>
  <c r="BA246" i="3"/>
  <c r="BA259" i="3"/>
  <c r="BA267" i="3"/>
  <c r="BA282" i="3"/>
  <c r="BA295" i="3"/>
  <c r="BA301" i="3"/>
  <c r="BA306" i="3"/>
  <c r="BA309" i="3"/>
  <c r="BA314" i="3"/>
  <c r="BA319" i="3"/>
  <c r="BA325" i="3"/>
  <c r="BA329" i="3"/>
  <c r="BA339" i="3"/>
  <c r="BA344" i="3"/>
  <c r="BA353" i="3"/>
  <c r="BA358" i="3"/>
  <c r="BA367" i="3"/>
  <c r="BA375" i="3"/>
  <c r="BA381" i="3"/>
  <c r="BA386" i="3"/>
  <c r="BA391" i="3"/>
  <c r="BA29" i="3"/>
  <c r="BA90" i="3"/>
  <c r="BA105" i="3"/>
  <c r="BA123" i="3"/>
  <c r="BA138" i="3"/>
  <c r="BA144" i="3"/>
  <c r="BA147" i="3"/>
  <c r="BA160" i="3"/>
  <c r="BA166" i="3"/>
  <c r="BA173" i="3"/>
  <c r="BA180" i="3"/>
  <c r="BA187" i="3"/>
  <c r="BA191" i="3"/>
  <c r="BA197" i="3"/>
  <c r="BA208" i="3"/>
  <c r="BA217" i="3"/>
  <c r="BA222" i="3"/>
  <c r="BA225" i="3"/>
  <c r="BA234" i="3"/>
  <c r="BA247" i="3"/>
  <c r="BA250" i="3"/>
  <c r="BA260" i="3"/>
  <c r="BA268" i="3"/>
  <c r="BA283" i="3"/>
  <c r="BA297" i="3"/>
  <c r="BA302" i="3"/>
  <c r="BA315" i="3"/>
  <c r="BA320" i="3"/>
  <c r="BA330" i="3"/>
  <c r="BA334" i="3"/>
  <c r="BA340" i="3"/>
  <c r="BA354" i="3"/>
  <c r="BA359" i="3"/>
  <c r="BA364" i="3"/>
  <c r="BA372" i="3"/>
  <c r="BA376" i="3"/>
  <c r="BA387" i="3"/>
  <c r="BA31" i="3"/>
  <c r="BA54" i="3"/>
  <c r="BA65" i="3"/>
  <c r="BA77" i="3"/>
  <c r="BA93" i="3"/>
  <c r="BA107" i="3"/>
  <c r="BA125" i="3"/>
  <c r="BA139" i="3"/>
  <c r="BA154" i="3"/>
  <c r="BA167" i="3"/>
  <c r="BA174" i="3"/>
  <c r="BA181" i="3"/>
  <c r="BA188" i="3"/>
  <c r="BA192" i="3"/>
  <c r="BA198" i="3"/>
  <c r="BA209" i="3"/>
  <c r="BA213" i="3"/>
  <c r="BA226" i="3"/>
  <c r="BA229" i="3"/>
  <c r="BA235" i="3"/>
  <c r="BA248" i="3"/>
  <c r="BA261" i="3"/>
  <c r="BA269" i="3"/>
  <c r="BA284" i="3"/>
  <c r="BA298" i="3"/>
  <c r="BA307" i="3"/>
  <c r="BA310" i="3"/>
  <c r="BA322" i="3"/>
  <c r="BA326" i="3"/>
  <c r="BA335" i="3"/>
  <c r="BA341" i="3"/>
  <c r="BA345" i="3"/>
  <c r="BA355" i="3"/>
  <c r="BA368" i="3"/>
  <c r="BA382" i="3"/>
  <c r="BA5" i="3"/>
  <c r="BA33" i="3"/>
  <c r="BA78" i="3"/>
  <c r="BA111" i="3"/>
  <c r="BA127" i="3"/>
  <c r="BA140" i="3"/>
  <c r="BA143" i="3"/>
  <c r="BA150" i="3"/>
  <c r="BA161" i="3"/>
  <c r="BA168" i="3"/>
  <c r="BA175" i="3"/>
  <c r="BA182" i="3"/>
  <c r="BA193" i="3"/>
  <c r="BA204" i="3"/>
  <c r="BA214" i="3"/>
  <c r="BA218" i="3"/>
  <c r="BA232" i="3"/>
  <c r="BA239" i="3"/>
  <c r="BA249" i="3"/>
  <c r="BA251" i="3"/>
  <c r="BA262" i="3"/>
  <c r="BA270" i="3"/>
  <c r="BA286" i="3"/>
  <c r="BA304" i="3"/>
  <c r="BA311" i="3"/>
  <c r="BA316" i="3"/>
  <c r="BA377" i="3"/>
  <c r="BA388" i="3"/>
  <c r="BA392" i="3"/>
  <c r="BA7" i="3"/>
  <c r="BA56" i="3"/>
  <c r="BA113" i="3"/>
  <c r="BA131" i="3"/>
  <c r="BA146" i="3"/>
  <c r="BA155" i="3"/>
  <c r="BA162" i="3"/>
  <c r="BA169" i="3"/>
  <c r="BA176" i="3"/>
  <c r="BA189" i="3"/>
  <c r="BA201" i="3"/>
  <c r="BA205" i="3"/>
  <c r="BA219" i="3"/>
  <c r="BA223" i="3"/>
  <c r="BA230" i="3"/>
  <c r="BA236" i="3"/>
  <c r="BA240" i="3"/>
  <c r="BA244" i="3"/>
  <c r="BA252" i="3"/>
  <c r="BA255" i="3"/>
  <c r="BA263" i="3"/>
  <c r="BA271" i="3"/>
  <c r="BA299" i="3"/>
  <c r="BA317" i="3"/>
  <c r="BA323" i="3"/>
  <c r="BA327" i="3"/>
  <c r="BA331" i="3"/>
  <c r="BA336" i="3"/>
  <c r="BA342" i="3"/>
  <c r="BA346" i="3"/>
  <c r="BA347" i="3"/>
  <c r="BA350" i="3"/>
  <c r="BA360" i="3"/>
  <c r="BA362" i="3"/>
  <c r="BA365" i="3"/>
  <c r="BA369" i="3"/>
  <c r="BA373" i="3"/>
  <c r="BA383" i="3"/>
  <c r="BA389" i="3"/>
  <c r="BA21" i="3"/>
  <c r="BA59" i="3"/>
  <c r="BA70" i="3"/>
  <c r="BA115" i="3"/>
  <c r="BA134" i="3"/>
  <c r="BA157" i="3"/>
  <c r="BA163" i="3"/>
  <c r="BA171" i="3"/>
  <c r="BA184" i="3"/>
  <c r="BA195" i="3"/>
  <c r="BA202" i="3"/>
  <c r="BA206" i="3"/>
  <c r="BA220" i="3"/>
  <c r="BA224" i="3"/>
  <c r="BA231" i="3"/>
  <c r="BA233" i="3"/>
  <c r="BA241" i="3"/>
  <c r="BA254" i="3"/>
  <c r="BA257" i="3"/>
  <c r="BA265" i="3"/>
  <c r="BA276" i="3"/>
  <c r="BA293" i="3"/>
  <c r="BA300" i="3"/>
  <c r="BA305" i="3"/>
  <c r="BA308" i="3"/>
  <c r="BA313" i="3"/>
  <c r="BA318" i="3"/>
  <c r="BA324" i="3"/>
  <c r="BA328" i="3"/>
  <c r="BA332" i="3"/>
  <c r="BA337" i="3"/>
  <c r="BA343" i="3"/>
  <c r="BA349" i="3"/>
  <c r="BA366" i="3"/>
  <c r="BA370" i="3"/>
  <c r="BA379" i="3"/>
  <c r="BA384" i="3"/>
  <c r="BA390" i="3"/>
  <c r="BA151" i="3"/>
  <c r="BA264" i="3"/>
  <c r="BA363" i="3"/>
  <c r="BA156" i="3"/>
  <c r="BA272" i="3"/>
  <c r="BA351" i="3"/>
  <c r="BA133" i="3"/>
  <c r="BA210" i="3"/>
  <c r="BA237" i="3"/>
  <c r="BA292" i="3"/>
  <c r="BA8" i="3"/>
  <c r="BA141" i="3"/>
  <c r="BA170" i="3"/>
  <c r="BA215" i="3"/>
  <c r="BA49" i="3"/>
  <c r="BA177" i="3"/>
  <c r="BA245" i="3"/>
  <c r="BA356" i="3"/>
  <c r="BA183" i="3"/>
  <c r="BA68" i="3"/>
  <c r="BA227" i="3"/>
  <c r="BA253" i="3"/>
  <c r="BA312" i="3"/>
  <c r="BA348" i="3"/>
  <c r="BA378" i="3"/>
  <c r="BA148" i="3"/>
  <c r="BA194" i="3"/>
  <c r="BA256" i="3"/>
  <c r="E919" i="8"/>
  <c r="D919" i="8"/>
  <c r="B919" i="8"/>
  <c r="A919" i="8"/>
  <c r="E918" i="8"/>
  <c r="D918" i="8"/>
  <c r="B918" i="8"/>
  <c r="A918" i="8"/>
  <c r="E917" i="8"/>
  <c r="D917" i="8"/>
  <c r="B917" i="8"/>
  <c r="A917" i="8"/>
  <c r="E916" i="8"/>
  <c r="D916" i="8"/>
  <c r="B916" i="8"/>
  <c r="A916" i="8"/>
  <c r="E915" i="8"/>
  <c r="D915" i="8"/>
  <c r="B915" i="8"/>
  <c r="A915" i="8"/>
  <c r="E914" i="8"/>
  <c r="D914" i="8"/>
  <c r="B914" i="8"/>
  <c r="A914" i="8"/>
  <c r="E913" i="8"/>
  <c r="D913" i="8"/>
  <c r="B913" i="8"/>
  <c r="A913" i="8"/>
  <c r="E912" i="8"/>
  <c r="D912" i="8"/>
  <c r="B912" i="8"/>
  <c r="A912" i="8"/>
  <c r="E911" i="8"/>
  <c r="D911" i="8"/>
  <c r="B911" i="8"/>
  <c r="A911" i="8"/>
  <c r="E910" i="8"/>
  <c r="D910" i="8"/>
  <c r="B910" i="8"/>
  <c r="A910" i="8"/>
  <c r="E909" i="8"/>
  <c r="D909" i="8"/>
  <c r="B909" i="8"/>
  <c r="A909" i="8"/>
  <c r="E908" i="8"/>
  <c r="D908" i="8"/>
  <c r="B908" i="8"/>
  <c r="A908" i="8"/>
  <c r="E907" i="8"/>
  <c r="D907" i="8"/>
  <c r="B907" i="8"/>
  <c r="A907" i="8"/>
  <c r="E906" i="8"/>
  <c r="D906" i="8"/>
  <c r="B906" i="8"/>
  <c r="A906" i="8"/>
  <c r="E905" i="8"/>
  <c r="D905" i="8"/>
  <c r="B905" i="8"/>
  <c r="A905" i="8"/>
  <c r="E904" i="8"/>
  <c r="D904" i="8"/>
  <c r="B904" i="8"/>
  <c r="A904" i="8"/>
  <c r="E903" i="8"/>
  <c r="D903" i="8"/>
  <c r="B903" i="8"/>
  <c r="A903" i="8"/>
  <c r="E902" i="8"/>
  <c r="D902" i="8"/>
  <c r="B902" i="8"/>
  <c r="A902" i="8"/>
  <c r="E901" i="8"/>
  <c r="D901" i="8"/>
  <c r="B901" i="8"/>
  <c r="A901" i="8"/>
  <c r="E900" i="8"/>
  <c r="D900" i="8"/>
  <c r="B900" i="8"/>
  <c r="A900" i="8"/>
  <c r="E899" i="8"/>
  <c r="D899" i="8"/>
  <c r="B899" i="8"/>
  <c r="A899" i="8"/>
  <c r="E898" i="8"/>
  <c r="D898" i="8"/>
  <c r="B898" i="8"/>
  <c r="A898" i="8"/>
  <c r="E897" i="8"/>
  <c r="D897" i="8"/>
  <c r="B897" i="8"/>
  <c r="A897" i="8"/>
  <c r="E896" i="8"/>
  <c r="D896" i="8"/>
  <c r="B896" i="8"/>
  <c r="A896" i="8"/>
  <c r="E895" i="8"/>
  <c r="D895" i="8"/>
  <c r="B895" i="8"/>
  <c r="A895" i="8"/>
  <c r="E894" i="8"/>
  <c r="D894" i="8"/>
  <c r="B894" i="8"/>
  <c r="A894" i="8"/>
  <c r="E893" i="8"/>
  <c r="D893" i="8"/>
  <c r="B893" i="8"/>
  <c r="A893" i="8"/>
  <c r="AZ288" i="3" l="1"/>
  <c r="AZ287" i="3"/>
  <c r="AZ82" i="3"/>
  <c r="AZ393" i="3"/>
  <c r="AZ273" i="3"/>
  <c r="AZ10" i="3"/>
  <c r="AZ11" i="3"/>
  <c r="AZ69" i="3"/>
  <c r="AZ303" i="3"/>
  <c r="AZ12" i="3"/>
  <c r="AZ13" i="3"/>
  <c r="AZ14" i="3"/>
  <c r="AZ15" i="3"/>
  <c r="AZ274" i="3"/>
  <c r="AZ17" i="3"/>
  <c r="AZ18" i="3"/>
  <c r="AZ16" i="3"/>
  <c r="AZ199" i="3"/>
  <c r="AZ200" i="3"/>
  <c r="AZ275" i="3"/>
  <c r="AZ321" i="3"/>
  <c r="AZ277" i="3"/>
  <c r="AZ278" i="3"/>
  <c r="AZ279" i="3"/>
  <c r="AZ280" i="3"/>
  <c r="AZ285" i="3"/>
  <c r="AZ36" i="3"/>
  <c r="AZ37" i="3"/>
  <c r="AZ38" i="3"/>
  <c r="AZ40" i="3"/>
  <c r="AZ289" i="3"/>
  <c r="AZ41" i="3"/>
  <c r="AZ42" i="3"/>
  <c r="AZ43" i="3"/>
  <c r="AZ44" i="3"/>
  <c r="AZ83" i="3"/>
  <c r="AZ290" i="3"/>
  <c r="AZ291" i="3"/>
  <c r="AZ45" i="3"/>
  <c r="AZ46" i="3"/>
  <c r="AZ47" i="3"/>
  <c r="AZ296" i="3"/>
  <c r="AZ4" i="3"/>
  <c r="AZ20" i="3"/>
  <c r="AZ28" i="3"/>
  <c r="AZ39" i="3"/>
  <c r="AZ58" i="3"/>
  <c r="AZ63" i="3"/>
  <c r="AZ66" i="3"/>
  <c r="AZ75" i="3"/>
  <c r="AZ81" i="3"/>
  <c r="AZ86" i="3"/>
  <c r="AZ97" i="3"/>
  <c r="AZ102" i="3"/>
  <c r="AZ110" i="3"/>
  <c r="AZ114" i="3"/>
  <c r="AZ122" i="3"/>
  <c r="AZ130" i="3"/>
  <c r="AZ137" i="3"/>
  <c r="AZ157" i="3"/>
  <c r="AZ163" i="3"/>
  <c r="AZ171" i="3"/>
  <c r="AZ184" i="3"/>
  <c r="AZ195" i="3"/>
  <c r="AZ202" i="3"/>
  <c r="AZ206" i="3"/>
  <c r="AZ220" i="3"/>
  <c r="AZ224" i="3"/>
  <c r="AZ231" i="3"/>
  <c r="AZ233" i="3"/>
  <c r="AZ241" i="3"/>
  <c r="AZ254" i="3"/>
  <c r="AZ257" i="3"/>
  <c r="AZ265" i="3"/>
  <c r="AZ276" i="3"/>
  <c r="AZ293" i="3"/>
  <c r="AZ300" i="3"/>
  <c r="AZ305" i="3"/>
  <c r="AZ308" i="3"/>
  <c r="AZ313" i="3"/>
  <c r="AZ318" i="3"/>
  <c r="AZ324" i="3"/>
  <c r="AZ328" i="3"/>
  <c r="AZ332" i="3"/>
  <c r="AZ337" i="3"/>
  <c r="AZ343" i="3"/>
  <c r="AZ349" i="3"/>
  <c r="AZ366" i="3"/>
  <c r="AZ5" i="3"/>
  <c r="AZ21" i="3"/>
  <c r="AZ29" i="3"/>
  <c r="AZ53" i="3"/>
  <c r="AZ54" i="3"/>
  <c r="AZ70" i="3"/>
  <c r="AZ87" i="3"/>
  <c r="AZ93" i="3"/>
  <c r="AZ103" i="3"/>
  <c r="AZ111" i="3"/>
  <c r="AZ115" i="3"/>
  <c r="AZ123" i="3"/>
  <c r="AZ131" i="3"/>
  <c r="AZ145" i="3"/>
  <c r="AZ149" i="3"/>
  <c r="AZ152" i="3"/>
  <c r="AZ158" i="3"/>
  <c r="AZ164" i="3"/>
  <c r="AZ172" i="3"/>
  <c r="AZ178" i="3"/>
  <c r="AZ185" i="3"/>
  <c r="AZ190" i="3"/>
  <c r="AZ6" i="3"/>
  <c r="AZ22" i="3"/>
  <c r="AZ30" i="3"/>
  <c r="AZ48" i="3"/>
  <c r="AZ55" i="3"/>
  <c r="AZ64" i="3"/>
  <c r="AZ67" i="3"/>
  <c r="AZ71" i="3"/>
  <c r="AZ76" i="3"/>
  <c r="AZ94" i="3"/>
  <c r="AZ98" i="3"/>
  <c r="AZ104" i="3"/>
  <c r="AZ112" i="3"/>
  <c r="AZ116" i="3"/>
  <c r="AZ124" i="3"/>
  <c r="AZ132" i="3"/>
  <c r="AZ142" i="3"/>
  <c r="AZ153" i="3"/>
  <c r="AZ159" i="3"/>
  <c r="AZ165" i="3"/>
  <c r="AZ179" i="3"/>
  <c r="AZ186" i="3"/>
  <c r="AZ196" i="3"/>
  <c r="AZ203" i="3"/>
  <c r="AZ212" i="3"/>
  <c r="AZ221" i="3"/>
  <c r="AZ228" i="3"/>
  <c r="AZ243" i="3"/>
  <c r="AZ246" i="3"/>
  <c r="AZ259" i="3"/>
  <c r="AZ267" i="3"/>
  <c r="AZ282" i="3"/>
  <c r="AZ295" i="3"/>
  <c r="AZ301" i="3"/>
  <c r="AZ306" i="3"/>
  <c r="AZ309" i="3"/>
  <c r="AZ314" i="3"/>
  <c r="AZ319" i="3"/>
  <c r="AZ325" i="3"/>
  <c r="AZ329" i="3"/>
  <c r="AZ339" i="3"/>
  <c r="AZ344" i="3"/>
  <c r="AZ353" i="3"/>
  <c r="AZ358" i="3"/>
  <c r="AZ367" i="3"/>
  <c r="AZ7" i="3"/>
  <c r="AZ23" i="3"/>
  <c r="AZ31" i="3"/>
  <c r="AZ49" i="3"/>
  <c r="AZ59" i="3"/>
  <c r="AZ77" i="3"/>
  <c r="AZ88" i="3"/>
  <c r="AZ105" i="3"/>
  <c r="AZ113" i="3"/>
  <c r="AZ117" i="3"/>
  <c r="AZ125" i="3"/>
  <c r="AZ133" i="3"/>
  <c r="AZ138" i="3"/>
  <c r="AZ144" i="3"/>
  <c r="AZ147" i="3"/>
  <c r="AZ160" i="3"/>
  <c r="AZ166" i="3"/>
  <c r="AZ173" i="3"/>
  <c r="AZ180" i="3"/>
  <c r="AZ187" i="3"/>
  <c r="AZ191" i="3"/>
  <c r="AZ197" i="3"/>
  <c r="AZ208" i="3"/>
  <c r="AZ217" i="3"/>
  <c r="AZ222" i="3"/>
  <c r="AZ225" i="3"/>
  <c r="AZ234" i="3"/>
  <c r="AZ247" i="3"/>
  <c r="AZ250" i="3"/>
  <c r="AZ260" i="3"/>
  <c r="AZ268" i="3"/>
  <c r="AZ283" i="3"/>
  <c r="AZ297" i="3"/>
  <c r="AZ302" i="3"/>
  <c r="AZ315" i="3"/>
  <c r="AZ320" i="3"/>
  <c r="AZ330" i="3"/>
  <c r="AZ334" i="3"/>
  <c r="AZ340" i="3"/>
  <c r="AZ354" i="3"/>
  <c r="AZ359" i="3"/>
  <c r="AZ364" i="3"/>
  <c r="AZ24" i="3"/>
  <c r="AZ32" i="3"/>
  <c r="AZ50" i="3"/>
  <c r="AZ60" i="3"/>
  <c r="AZ72" i="3"/>
  <c r="AZ84" i="3"/>
  <c r="AZ89" i="3"/>
  <c r="AZ95" i="3"/>
  <c r="AZ99" i="3"/>
  <c r="AZ106" i="3"/>
  <c r="AZ118" i="3"/>
  <c r="AZ126" i="3"/>
  <c r="AZ134" i="3"/>
  <c r="AZ139" i="3"/>
  <c r="AZ154" i="3"/>
  <c r="AZ167" i="3"/>
  <c r="AZ174" i="3"/>
  <c r="AZ181" i="3"/>
  <c r="AZ188" i="3"/>
  <c r="AZ192" i="3"/>
  <c r="AZ198" i="3"/>
  <c r="AZ209" i="3"/>
  <c r="AZ213" i="3"/>
  <c r="AZ226" i="3"/>
  <c r="AZ229" i="3"/>
  <c r="AZ235" i="3"/>
  <c r="AZ248" i="3"/>
  <c r="AZ261" i="3"/>
  <c r="AZ269" i="3"/>
  <c r="AZ284" i="3"/>
  <c r="AZ298" i="3"/>
  <c r="AZ307" i="3"/>
  <c r="AZ310" i="3"/>
  <c r="AZ322" i="3"/>
  <c r="AZ326" i="3"/>
  <c r="AZ335" i="3"/>
  <c r="AZ341" i="3"/>
  <c r="AZ345" i="3"/>
  <c r="AZ355" i="3"/>
  <c r="AZ368" i="3"/>
  <c r="AZ8" i="3"/>
  <c r="AZ25" i="3"/>
  <c r="AZ33" i="3"/>
  <c r="AZ56" i="3"/>
  <c r="AZ61" i="3"/>
  <c r="AZ65" i="3"/>
  <c r="AZ68" i="3"/>
  <c r="AZ78" i="3"/>
  <c r="AZ90" i="3"/>
  <c r="AZ107" i="3"/>
  <c r="AZ119" i="3"/>
  <c r="AZ127" i="3"/>
  <c r="AZ135" i="3"/>
  <c r="AZ140" i="3"/>
  <c r="AZ143" i="3"/>
  <c r="AZ150" i="3"/>
  <c r="AZ161" i="3"/>
  <c r="AZ168" i="3"/>
  <c r="AZ175" i="3"/>
  <c r="AZ182" i="3"/>
  <c r="AZ193" i="3"/>
  <c r="AZ204" i="3"/>
  <c r="AZ214" i="3"/>
  <c r="AZ3" i="3"/>
  <c r="AZ19" i="3"/>
  <c r="AZ27" i="3"/>
  <c r="AZ35" i="3"/>
  <c r="AZ52" i="3"/>
  <c r="AZ74" i="3"/>
  <c r="AZ80" i="3"/>
  <c r="AZ85" i="3"/>
  <c r="AZ92" i="3"/>
  <c r="AZ101" i="3"/>
  <c r="AZ109" i="3"/>
  <c r="AZ121" i="3"/>
  <c r="AZ129" i="3"/>
  <c r="AZ136" i="3"/>
  <c r="AZ141" i="3"/>
  <c r="AZ148" i="3"/>
  <c r="AZ151" i="3"/>
  <c r="AZ156" i="3"/>
  <c r="AZ170" i="3"/>
  <c r="AZ177" i="3"/>
  <c r="AZ183" i="3"/>
  <c r="AZ194" i="3"/>
  <c r="AZ210" i="3"/>
  <c r="AZ215" i="3"/>
  <c r="AZ227" i="3"/>
  <c r="AZ237" i="3"/>
  <c r="AZ245" i="3"/>
  <c r="AZ253" i="3"/>
  <c r="AZ256" i="3"/>
  <c r="AZ264" i="3"/>
  <c r="AZ272" i="3"/>
  <c r="AZ292" i="3"/>
  <c r="AZ312" i="3"/>
  <c r="AZ348" i="3"/>
  <c r="AZ351" i="3"/>
  <c r="AZ356" i="3"/>
  <c r="AZ363" i="3"/>
  <c r="AZ57" i="3"/>
  <c r="AZ96" i="3"/>
  <c r="AZ176" i="3"/>
  <c r="AZ223" i="3"/>
  <c r="AZ238" i="3"/>
  <c r="AZ262" i="3"/>
  <c r="AZ294" i="3"/>
  <c r="AZ333" i="3"/>
  <c r="AZ352" i="3"/>
  <c r="AZ378" i="3"/>
  <c r="AZ62" i="3"/>
  <c r="AZ100" i="3"/>
  <c r="AZ211" i="3"/>
  <c r="AZ239" i="3"/>
  <c r="AZ263" i="3"/>
  <c r="AZ323" i="3"/>
  <c r="AZ362" i="3"/>
  <c r="AZ370" i="3"/>
  <c r="AZ379" i="3"/>
  <c r="AZ384" i="3"/>
  <c r="AZ390" i="3"/>
  <c r="AZ108" i="3"/>
  <c r="AZ146" i="3"/>
  <c r="AZ189" i="3"/>
  <c r="AZ240" i="3"/>
  <c r="AZ251" i="3"/>
  <c r="AZ266" i="3"/>
  <c r="AZ299" i="3"/>
  <c r="AZ311" i="3"/>
  <c r="AZ336" i="3"/>
  <c r="AZ371" i="3"/>
  <c r="AZ374" i="3"/>
  <c r="AZ380" i="3"/>
  <c r="AZ385" i="3"/>
  <c r="AZ9" i="3"/>
  <c r="AZ216" i="3"/>
  <c r="AZ232" i="3"/>
  <c r="AZ242" i="3"/>
  <c r="AZ252" i="3"/>
  <c r="AZ270" i="3"/>
  <c r="AZ338" i="3"/>
  <c r="AZ346" i="3"/>
  <c r="AZ360" i="3"/>
  <c r="AZ375" i="3"/>
  <c r="AZ381" i="3"/>
  <c r="AZ386" i="3"/>
  <c r="AZ391" i="3"/>
  <c r="AZ26" i="3"/>
  <c r="AZ73" i="3"/>
  <c r="AZ120" i="3"/>
  <c r="AZ201" i="3"/>
  <c r="AZ218" i="3"/>
  <c r="AZ271" i="3"/>
  <c r="AZ304" i="3"/>
  <c r="AZ327" i="3"/>
  <c r="AZ350" i="3"/>
  <c r="AZ361" i="3"/>
  <c r="AZ372" i="3"/>
  <c r="AZ376" i="3"/>
  <c r="AZ387" i="3"/>
  <c r="AZ34" i="3"/>
  <c r="AZ79" i="3"/>
  <c r="AZ128" i="3"/>
  <c r="AZ155" i="3"/>
  <c r="AZ219" i="3"/>
  <c r="AZ244" i="3"/>
  <c r="AZ281" i="3"/>
  <c r="AZ316" i="3"/>
  <c r="AZ342" i="3"/>
  <c r="AZ369" i="3"/>
  <c r="AZ382" i="3"/>
  <c r="AZ51" i="3"/>
  <c r="AZ162" i="3"/>
  <c r="AZ205" i="3"/>
  <c r="AZ230" i="3"/>
  <c r="AZ255" i="3"/>
  <c r="AZ286" i="3"/>
  <c r="AZ317" i="3"/>
  <c r="AZ347" i="3"/>
  <c r="AZ357" i="3"/>
  <c r="AZ377" i="3"/>
  <c r="AZ388" i="3"/>
  <c r="AZ392" i="3"/>
  <c r="AZ331" i="3"/>
  <c r="AZ373" i="3"/>
  <c r="AZ236" i="3"/>
  <c r="AZ383" i="3"/>
  <c r="AZ249" i="3"/>
  <c r="AZ389" i="3"/>
  <c r="AZ91" i="3"/>
  <c r="AZ258" i="3"/>
  <c r="AZ169" i="3"/>
  <c r="AZ365" i="3"/>
  <c r="AZ207" i="3"/>
  <c r="E880" i="8"/>
  <c r="D880" i="8"/>
  <c r="B880" i="8"/>
  <c r="A880" i="8"/>
  <c r="E879" i="8"/>
  <c r="D879" i="8"/>
  <c r="B879" i="8"/>
  <c r="A879" i="8"/>
  <c r="E878" i="8"/>
  <c r="D878" i="8"/>
  <c r="B878" i="8"/>
  <c r="A878" i="8"/>
  <c r="E877" i="8"/>
  <c r="D877" i="8"/>
  <c r="B877" i="8"/>
  <c r="A877" i="8"/>
  <c r="E876" i="8"/>
  <c r="D876" i="8"/>
  <c r="B876" i="8"/>
  <c r="A876" i="8"/>
  <c r="E875" i="8"/>
  <c r="D875" i="8"/>
  <c r="B875" i="8"/>
  <c r="A875" i="8"/>
  <c r="E874" i="8"/>
  <c r="D874" i="8"/>
  <c r="B874" i="8"/>
  <c r="A874" i="8"/>
  <c r="E873" i="8"/>
  <c r="D873" i="8"/>
  <c r="B873" i="8"/>
  <c r="A873" i="8"/>
  <c r="E872" i="8"/>
  <c r="D872" i="8"/>
  <c r="B872" i="8"/>
  <c r="A872" i="8"/>
  <c r="E871" i="8"/>
  <c r="D871" i="8"/>
  <c r="B871" i="8"/>
  <c r="A871" i="8"/>
  <c r="E870" i="8"/>
  <c r="D870" i="8"/>
  <c r="B870" i="8"/>
  <c r="A870" i="8"/>
  <c r="E869" i="8"/>
  <c r="D869" i="8"/>
  <c r="B869" i="8"/>
  <c r="A869" i="8"/>
  <c r="E868" i="8"/>
  <c r="D868" i="8"/>
  <c r="B868" i="8"/>
  <c r="A868" i="8"/>
  <c r="E867" i="8"/>
  <c r="D867" i="8"/>
  <c r="B867" i="8"/>
  <c r="A867" i="8"/>
  <c r="E866" i="8"/>
  <c r="D866" i="8"/>
  <c r="B866" i="8"/>
  <c r="A866" i="8"/>
  <c r="E865" i="8"/>
  <c r="D865" i="8"/>
  <c r="B865" i="8"/>
  <c r="A865" i="8"/>
  <c r="E864" i="8"/>
  <c r="D864" i="8"/>
  <c r="B864" i="8"/>
  <c r="A864" i="8"/>
  <c r="E863" i="8"/>
  <c r="D863" i="8"/>
  <c r="B863" i="8"/>
  <c r="A863" i="8"/>
  <c r="E862" i="8"/>
  <c r="D862" i="8"/>
  <c r="B862" i="8"/>
  <c r="A862" i="8"/>
  <c r="E861" i="8"/>
  <c r="D861" i="8"/>
  <c r="B861" i="8"/>
  <c r="A861" i="8"/>
  <c r="E860" i="8"/>
  <c r="D860" i="8"/>
  <c r="B860" i="8"/>
  <c r="A860" i="8"/>
  <c r="E859" i="8"/>
  <c r="D859" i="8"/>
  <c r="B859" i="8"/>
  <c r="A859" i="8"/>
  <c r="E858" i="8"/>
  <c r="D858" i="8"/>
  <c r="B858" i="8"/>
  <c r="A858" i="8"/>
  <c r="E857" i="8"/>
  <c r="D857" i="8"/>
  <c r="B857" i="8"/>
  <c r="A857" i="8"/>
  <c r="E856" i="8"/>
  <c r="D856" i="8"/>
  <c r="B856" i="8"/>
  <c r="A856" i="8"/>
  <c r="E855" i="8"/>
  <c r="D855" i="8"/>
  <c r="B855" i="8"/>
  <c r="A855" i="8"/>
  <c r="E854" i="8"/>
  <c r="D854" i="8"/>
  <c r="B854" i="8"/>
  <c r="A854" i="8"/>
  <c r="E853" i="8"/>
  <c r="D853" i="8"/>
  <c r="B853" i="8"/>
  <c r="A853" i="8"/>
  <c r="A814" i="8"/>
  <c r="A815" i="8"/>
  <c r="B814" i="8"/>
  <c r="B815" i="8"/>
  <c r="D814" i="8"/>
  <c r="D815" i="8"/>
  <c r="E814" i="8"/>
  <c r="E815" i="8"/>
  <c r="AX288" i="3" l="1"/>
  <c r="AX287" i="3"/>
  <c r="AX82" i="3"/>
  <c r="AX393" i="3"/>
  <c r="AX273" i="3"/>
  <c r="AX10" i="3"/>
  <c r="AX11" i="3"/>
  <c r="AX69" i="3"/>
  <c r="AX303" i="3"/>
  <c r="AX12" i="3"/>
  <c r="AX13" i="3"/>
  <c r="AX14" i="3"/>
  <c r="AX15" i="3"/>
  <c r="AX274" i="3"/>
  <c r="AX17" i="3"/>
  <c r="AX18" i="3"/>
  <c r="AX16" i="3"/>
  <c r="AX199" i="3"/>
  <c r="AX200" i="3"/>
  <c r="AX275" i="3"/>
  <c r="AX321" i="3"/>
  <c r="AX277" i="3"/>
  <c r="AX278" i="3"/>
  <c r="AX279" i="3"/>
  <c r="AX280" i="3"/>
  <c r="AX285" i="3"/>
  <c r="AX36" i="3"/>
  <c r="AX37" i="3"/>
  <c r="AX38" i="3"/>
  <c r="AX40" i="3"/>
  <c r="AX289" i="3"/>
  <c r="AX41" i="3"/>
  <c r="AX42" i="3"/>
  <c r="AX43" i="3"/>
  <c r="AX44" i="3"/>
  <c r="AX83" i="3"/>
  <c r="AX290" i="3"/>
  <c r="AX291" i="3"/>
  <c r="AX45" i="3"/>
  <c r="AX46" i="3"/>
  <c r="AX47" i="3"/>
  <c r="AX296" i="3"/>
  <c r="AX8" i="3"/>
  <c r="AX25" i="3"/>
  <c r="AX33" i="3"/>
  <c r="AX56" i="3"/>
  <c r="AX61" i="3"/>
  <c r="AX65" i="3"/>
  <c r="AX68" i="3"/>
  <c r="AX78" i="3"/>
  <c r="AX90" i="3"/>
  <c r="AX107" i="3"/>
  <c r="AX119" i="3"/>
  <c r="AX127" i="3"/>
  <c r="AX135" i="3"/>
  <c r="AX140" i="3"/>
  <c r="AX143" i="3"/>
  <c r="AX150" i="3"/>
  <c r="AX161" i="3"/>
  <c r="AX168" i="3"/>
  <c r="AX175" i="3"/>
  <c r="AX182" i="3"/>
  <c r="AX193" i="3"/>
  <c r="AX204" i="3"/>
  <c r="AX214" i="3"/>
  <c r="AX218" i="3"/>
  <c r="AX232" i="3"/>
  <c r="AX239" i="3"/>
  <c r="AX249" i="3"/>
  <c r="AX251" i="3"/>
  <c r="AX9" i="3"/>
  <c r="AX26" i="3"/>
  <c r="AX34" i="3"/>
  <c r="AX51" i="3"/>
  <c r="AX57" i="3"/>
  <c r="AX62" i="3"/>
  <c r="AX73" i="3"/>
  <c r="AX79" i="3"/>
  <c r="AX91" i="3"/>
  <c r="AX96" i="3"/>
  <c r="AX3" i="3"/>
  <c r="AX19" i="3"/>
  <c r="AX27" i="3"/>
  <c r="AX35" i="3"/>
  <c r="AX52" i="3"/>
  <c r="AX74" i="3"/>
  <c r="AX80" i="3"/>
  <c r="AX85" i="3"/>
  <c r="AX92" i="3"/>
  <c r="AX101" i="3"/>
  <c r="AX109" i="3"/>
  <c r="AX121" i="3"/>
  <c r="AX129" i="3"/>
  <c r="AX136" i="3"/>
  <c r="AX141" i="3"/>
  <c r="AX148" i="3"/>
  <c r="AX151" i="3"/>
  <c r="AX156" i="3"/>
  <c r="AX170" i="3"/>
  <c r="AX177" i="3"/>
  <c r="AX183" i="3"/>
  <c r="AX194" i="3"/>
  <c r="AX210" i="3"/>
  <c r="AX215" i="3"/>
  <c r="AX227" i="3"/>
  <c r="AX237" i="3"/>
  <c r="AX245" i="3"/>
  <c r="AX253" i="3"/>
  <c r="AX4" i="3"/>
  <c r="AX20" i="3"/>
  <c r="AX28" i="3"/>
  <c r="AX39" i="3"/>
  <c r="AX58" i="3"/>
  <c r="AX63" i="3"/>
  <c r="AX66" i="3"/>
  <c r="AX75" i="3"/>
  <c r="AX81" i="3"/>
  <c r="AX86" i="3"/>
  <c r="AX97" i="3"/>
  <c r="AX102" i="3"/>
  <c r="AX110" i="3"/>
  <c r="AX114" i="3"/>
  <c r="AX122" i="3"/>
  <c r="AX130" i="3"/>
  <c r="AX137" i="3"/>
  <c r="AX157" i="3"/>
  <c r="AX163" i="3"/>
  <c r="AX171" i="3"/>
  <c r="AX184" i="3"/>
  <c r="AX195" i="3"/>
  <c r="AX202" i="3"/>
  <c r="AX206" i="3"/>
  <c r="AX220" i="3"/>
  <c r="AX224" i="3"/>
  <c r="AX231" i="3"/>
  <c r="AX233" i="3"/>
  <c r="AX241" i="3"/>
  <c r="AX254" i="3"/>
  <c r="AX5" i="3"/>
  <c r="AX21" i="3"/>
  <c r="AX29" i="3"/>
  <c r="AX53" i="3"/>
  <c r="AX54" i="3"/>
  <c r="AX70" i="3"/>
  <c r="AX87" i="3"/>
  <c r="AX93" i="3"/>
  <c r="AX103" i="3"/>
  <c r="AX111" i="3"/>
  <c r="AX115" i="3"/>
  <c r="AX123" i="3"/>
  <c r="AX131" i="3"/>
  <c r="AX145" i="3"/>
  <c r="AX149" i="3"/>
  <c r="AX152" i="3"/>
  <c r="AX158" i="3"/>
  <c r="AX164" i="3"/>
  <c r="AX172" i="3"/>
  <c r="AX178" i="3"/>
  <c r="AX185" i="3"/>
  <c r="AX190" i="3"/>
  <c r="AX207" i="3"/>
  <c r="AX211" i="3"/>
  <c r="AX216" i="3"/>
  <c r="AX238" i="3"/>
  <c r="AX242" i="3"/>
  <c r="AX6" i="3"/>
  <c r="AX22" i="3"/>
  <c r="AX30" i="3"/>
  <c r="AX48" i="3"/>
  <c r="AX55" i="3"/>
  <c r="AX64" i="3"/>
  <c r="AX67" i="3"/>
  <c r="AX71" i="3"/>
  <c r="AX76" i="3"/>
  <c r="AX94" i="3"/>
  <c r="AX98" i="3"/>
  <c r="AX104" i="3"/>
  <c r="AX7" i="3"/>
  <c r="AX23" i="3"/>
  <c r="AX31" i="3"/>
  <c r="AX49" i="3"/>
  <c r="AX59" i="3"/>
  <c r="AX77" i="3"/>
  <c r="AX88" i="3"/>
  <c r="AX105" i="3"/>
  <c r="AX113" i="3"/>
  <c r="AX117" i="3"/>
  <c r="AX125" i="3"/>
  <c r="AX133" i="3"/>
  <c r="AX138" i="3"/>
  <c r="AX144" i="3"/>
  <c r="AX147" i="3"/>
  <c r="AX160" i="3"/>
  <c r="AX166" i="3"/>
  <c r="AX173" i="3"/>
  <c r="AX180" i="3"/>
  <c r="AX187" i="3"/>
  <c r="AX191" i="3"/>
  <c r="AX197" i="3"/>
  <c r="AX208" i="3"/>
  <c r="AX217" i="3"/>
  <c r="AX222" i="3"/>
  <c r="AX225" i="3"/>
  <c r="AX234" i="3"/>
  <c r="AX247" i="3"/>
  <c r="AX250" i="3"/>
  <c r="AX100" i="3"/>
  <c r="AX120" i="3"/>
  <c r="AX139" i="3"/>
  <c r="AX167" i="3"/>
  <c r="AX186" i="3"/>
  <c r="AX201" i="3"/>
  <c r="AX213" i="3"/>
  <c r="AX257" i="3"/>
  <c r="AX265" i="3"/>
  <c r="AX276" i="3"/>
  <c r="AX293" i="3"/>
  <c r="AX300" i="3"/>
  <c r="AX305" i="3"/>
  <c r="AX308" i="3"/>
  <c r="AX313" i="3"/>
  <c r="AX318" i="3"/>
  <c r="AX324" i="3"/>
  <c r="AX328" i="3"/>
  <c r="AX332" i="3"/>
  <c r="AX337" i="3"/>
  <c r="AX343" i="3"/>
  <c r="AX349" i="3"/>
  <c r="AX366" i="3"/>
  <c r="AX370" i="3"/>
  <c r="AX379" i="3"/>
  <c r="AX384" i="3"/>
  <c r="AX390" i="3"/>
  <c r="AX106" i="3"/>
  <c r="AX124" i="3"/>
  <c r="AX153" i="3"/>
  <c r="AX169" i="3"/>
  <c r="AX188" i="3"/>
  <c r="AX203" i="3"/>
  <c r="AX226" i="3"/>
  <c r="AX240" i="3"/>
  <c r="AX258" i="3"/>
  <c r="AX266" i="3"/>
  <c r="AX281" i="3"/>
  <c r="AX294" i="3"/>
  <c r="AX333" i="3"/>
  <c r="AX338" i="3"/>
  <c r="AX352" i="3"/>
  <c r="AX357" i="3"/>
  <c r="AX361" i="3"/>
  <c r="AX371" i="3"/>
  <c r="AX374" i="3"/>
  <c r="AX380" i="3"/>
  <c r="AX385" i="3"/>
  <c r="AX24" i="3"/>
  <c r="AX72" i="3"/>
  <c r="AX108" i="3"/>
  <c r="AX126" i="3"/>
  <c r="AX142" i="3"/>
  <c r="AX146" i="3"/>
  <c r="AX154" i="3"/>
  <c r="AX189" i="3"/>
  <c r="AX243" i="3"/>
  <c r="AX252" i="3"/>
  <c r="AX259" i="3"/>
  <c r="AX267" i="3"/>
  <c r="AX282" i="3"/>
  <c r="AX295" i="3"/>
  <c r="AX301" i="3"/>
  <c r="AX306" i="3"/>
  <c r="AX309" i="3"/>
  <c r="AX314" i="3"/>
  <c r="AX319" i="3"/>
  <c r="AX325" i="3"/>
  <c r="AX329" i="3"/>
  <c r="AX339" i="3"/>
  <c r="AX344" i="3"/>
  <c r="AX353" i="3"/>
  <c r="AX358" i="3"/>
  <c r="AX367" i="3"/>
  <c r="AX375" i="3"/>
  <c r="AX381" i="3"/>
  <c r="AX386" i="3"/>
  <c r="AX391" i="3"/>
  <c r="AX32" i="3"/>
  <c r="AX112" i="3"/>
  <c r="AX128" i="3"/>
  <c r="AX155" i="3"/>
  <c r="AX174" i="3"/>
  <c r="AX205" i="3"/>
  <c r="AX228" i="3"/>
  <c r="AX260" i="3"/>
  <c r="AX268" i="3"/>
  <c r="AX283" i="3"/>
  <c r="AX297" i="3"/>
  <c r="AX302" i="3"/>
  <c r="AX315" i="3"/>
  <c r="AX320" i="3"/>
  <c r="AX330" i="3"/>
  <c r="AX334" i="3"/>
  <c r="AX340" i="3"/>
  <c r="AX354" i="3"/>
  <c r="AX359" i="3"/>
  <c r="AX364" i="3"/>
  <c r="AX372" i="3"/>
  <c r="AX376" i="3"/>
  <c r="AX387" i="3"/>
  <c r="AX50" i="3"/>
  <c r="AX84" i="3"/>
  <c r="AX132" i="3"/>
  <c r="AX159" i="3"/>
  <c r="AX176" i="3"/>
  <c r="AX192" i="3"/>
  <c r="AX219" i="3"/>
  <c r="AX229" i="3"/>
  <c r="AX244" i="3"/>
  <c r="AX261" i="3"/>
  <c r="AX269" i="3"/>
  <c r="AX284" i="3"/>
  <c r="AX298" i="3"/>
  <c r="AX307" i="3"/>
  <c r="AX310" i="3"/>
  <c r="AX322" i="3"/>
  <c r="AX326" i="3"/>
  <c r="AX335" i="3"/>
  <c r="AX341" i="3"/>
  <c r="AX345" i="3"/>
  <c r="AX355" i="3"/>
  <c r="AX368" i="3"/>
  <c r="AX382" i="3"/>
  <c r="AX89" i="3"/>
  <c r="AX134" i="3"/>
  <c r="AX179" i="3"/>
  <c r="AX209" i="3"/>
  <c r="AX221" i="3"/>
  <c r="AX230" i="3"/>
  <c r="AX235" i="3"/>
  <c r="AX246" i="3"/>
  <c r="AX262" i="3"/>
  <c r="AX270" i="3"/>
  <c r="AX286" i="3"/>
  <c r="AX304" i="3"/>
  <c r="AX311" i="3"/>
  <c r="AX316" i="3"/>
  <c r="AX377" i="3"/>
  <c r="AX388" i="3"/>
  <c r="AX392" i="3"/>
  <c r="AX95" i="3"/>
  <c r="AX116" i="3"/>
  <c r="AX162" i="3"/>
  <c r="AX181" i="3"/>
  <c r="AX196" i="3"/>
  <c r="AX236" i="3"/>
  <c r="AX248" i="3"/>
  <c r="AX255" i="3"/>
  <c r="AX263" i="3"/>
  <c r="AX271" i="3"/>
  <c r="AX299" i="3"/>
  <c r="AX317" i="3"/>
  <c r="AX323" i="3"/>
  <c r="AX327" i="3"/>
  <c r="AX331" i="3"/>
  <c r="AX336" i="3"/>
  <c r="AX342" i="3"/>
  <c r="AX346" i="3"/>
  <c r="AX347" i="3"/>
  <c r="AX350" i="3"/>
  <c r="AX360" i="3"/>
  <c r="AX362" i="3"/>
  <c r="AX365" i="3"/>
  <c r="AX369" i="3"/>
  <c r="AX373" i="3"/>
  <c r="AX383" i="3"/>
  <c r="AX389" i="3"/>
  <c r="AX99" i="3"/>
  <c r="AX212" i="3"/>
  <c r="AX292" i="3"/>
  <c r="AX118" i="3"/>
  <c r="AX223" i="3"/>
  <c r="AX356" i="3"/>
  <c r="AX312" i="3"/>
  <c r="AX165" i="3"/>
  <c r="AX256" i="3"/>
  <c r="AX348" i="3"/>
  <c r="AX378" i="3"/>
  <c r="AX264" i="3"/>
  <c r="AX363" i="3"/>
  <c r="AX60" i="3"/>
  <c r="AX198" i="3"/>
  <c r="AX272" i="3"/>
  <c r="AX351" i="3"/>
  <c r="E825" i="8"/>
  <c r="D825" i="8"/>
  <c r="B825" i="8"/>
  <c r="A825" i="8"/>
  <c r="E824" i="8"/>
  <c r="D824" i="8"/>
  <c r="B824" i="8"/>
  <c r="A824" i="8"/>
  <c r="E823" i="8"/>
  <c r="D823" i="8"/>
  <c r="B823" i="8"/>
  <c r="A823" i="8"/>
  <c r="E822" i="8"/>
  <c r="D822" i="8"/>
  <c r="B822" i="8"/>
  <c r="A822" i="8"/>
  <c r="E821" i="8"/>
  <c r="D821" i="8"/>
  <c r="B821" i="8"/>
  <c r="A821" i="8"/>
  <c r="E820" i="8"/>
  <c r="D820" i="8"/>
  <c r="B820" i="8"/>
  <c r="A820" i="8"/>
  <c r="A770" i="8"/>
  <c r="A771" i="8"/>
  <c r="B770" i="8"/>
  <c r="B771" i="8"/>
  <c r="D770" i="8"/>
  <c r="D771" i="8"/>
  <c r="E770" i="8"/>
  <c r="E771" i="8"/>
  <c r="AV288" i="3" l="1"/>
  <c r="AV287" i="3"/>
  <c r="AV82" i="3"/>
  <c r="AV393" i="3"/>
  <c r="AV273" i="3"/>
  <c r="AV10" i="3"/>
  <c r="AV11" i="3"/>
  <c r="AV69" i="3"/>
  <c r="AV303" i="3"/>
  <c r="AV12" i="3"/>
  <c r="AV13" i="3"/>
  <c r="AV14" i="3"/>
  <c r="AV15" i="3"/>
  <c r="AV274" i="3"/>
  <c r="AV17" i="3"/>
  <c r="AV18" i="3"/>
  <c r="AV16" i="3"/>
  <c r="AV199" i="3"/>
  <c r="AV200" i="3"/>
  <c r="AV275" i="3"/>
  <c r="AV321" i="3"/>
  <c r="AV277" i="3"/>
  <c r="AV278" i="3"/>
  <c r="AV279" i="3"/>
  <c r="AV280" i="3"/>
  <c r="AV285" i="3"/>
  <c r="AV36" i="3"/>
  <c r="AV37" i="3"/>
  <c r="AV38" i="3"/>
  <c r="AV40" i="3"/>
  <c r="AV289" i="3"/>
  <c r="AV41" i="3"/>
  <c r="AV42" i="3"/>
  <c r="AV43" i="3"/>
  <c r="AV44" i="3"/>
  <c r="AV83" i="3"/>
  <c r="AV290" i="3"/>
  <c r="AV291" i="3"/>
  <c r="AV45" i="3"/>
  <c r="AV46" i="3"/>
  <c r="AV47" i="3"/>
  <c r="AV296" i="3"/>
  <c r="AV9" i="3"/>
  <c r="AV26" i="3"/>
  <c r="AV34" i="3"/>
  <c r="AV51" i="3"/>
  <c r="AV57" i="3"/>
  <c r="AV62" i="3"/>
  <c r="AV73" i="3"/>
  <c r="AV79" i="3"/>
  <c r="AV91" i="3"/>
  <c r="AV96" i="3"/>
  <c r="AV100" i="3"/>
  <c r="AV108" i="3"/>
  <c r="AV120" i="3"/>
  <c r="AV128" i="3"/>
  <c r="AV4" i="3"/>
  <c r="AV20" i="3"/>
  <c r="AV28" i="3"/>
  <c r="AV39" i="3"/>
  <c r="AV58" i="3"/>
  <c r="AV63" i="3"/>
  <c r="AV66" i="3"/>
  <c r="AV75" i="3"/>
  <c r="AV81" i="3"/>
  <c r="AV86" i="3"/>
  <c r="AV97" i="3"/>
  <c r="AV102" i="3"/>
  <c r="AV110" i="3"/>
  <c r="AV114" i="3"/>
  <c r="AV122" i="3"/>
  <c r="AV130" i="3"/>
  <c r="AV137" i="3"/>
  <c r="AV5" i="3"/>
  <c r="AV21" i="3"/>
  <c r="AV29" i="3"/>
  <c r="AV53" i="3"/>
  <c r="AV54" i="3"/>
  <c r="AV70" i="3"/>
  <c r="AV87" i="3"/>
  <c r="AV93" i="3"/>
  <c r="AV103" i="3"/>
  <c r="AV111" i="3"/>
  <c r="AV115" i="3"/>
  <c r="AV123" i="3"/>
  <c r="AV131" i="3"/>
  <c r="AV6" i="3"/>
  <c r="AV22" i="3"/>
  <c r="AV30" i="3"/>
  <c r="AV48" i="3"/>
  <c r="AV55" i="3"/>
  <c r="AV64" i="3"/>
  <c r="AV67" i="3"/>
  <c r="AV71" i="3"/>
  <c r="AV76" i="3"/>
  <c r="AV94" i="3"/>
  <c r="AV98" i="3"/>
  <c r="AV104" i="3"/>
  <c r="AV112" i="3"/>
  <c r="AV116" i="3"/>
  <c r="AV124" i="3"/>
  <c r="AV132" i="3"/>
  <c r="AV24" i="3"/>
  <c r="AV32" i="3"/>
  <c r="AV50" i="3"/>
  <c r="AV60" i="3"/>
  <c r="AV72" i="3"/>
  <c r="AV84" i="3"/>
  <c r="AV89" i="3"/>
  <c r="AV95" i="3"/>
  <c r="AV99" i="3"/>
  <c r="AV106" i="3"/>
  <c r="AV118" i="3"/>
  <c r="AV126" i="3"/>
  <c r="AV134" i="3"/>
  <c r="AV139" i="3"/>
  <c r="AV8" i="3"/>
  <c r="AV49" i="3"/>
  <c r="AV68" i="3"/>
  <c r="AV133" i="3"/>
  <c r="AV142" i="3"/>
  <c r="AV153" i="3"/>
  <c r="AV159" i="3"/>
  <c r="AV165" i="3"/>
  <c r="AV179" i="3"/>
  <c r="AV186" i="3"/>
  <c r="AV196" i="3"/>
  <c r="AV203" i="3"/>
  <c r="AV212" i="3"/>
  <c r="AV221" i="3"/>
  <c r="AV228" i="3"/>
  <c r="AV243" i="3"/>
  <c r="AV246" i="3"/>
  <c r="AV259" i="3"/>
  <c r="AV267" i="3"/>
  <c r="AV282" i="3"/>
  <c r="AV295" i="3"/>
  <c r="AV301" i="3"/>
  <c r="AV306" i="3"/>
  <c r="AV309" i="3"/>
  <c r="AV314" i="3"/>
  <c r="AV319" i="3"/>
  <c r="AV325" i="3"/>
  <c r="AV329" i="3"/>
  <c r="AV339" i="3"/>
  <c r="AV344" i="3"/>
  <c r="AV353" i="3"/>
  <c r="AV358" i="3"/>
  <c r="AV367" i="3"/>
  <c r="AV375" i="3"/>
  <c r="AV381" i="3"/>
  <c r="AV386" i="3"/>
  <c r="AV391" i="3"/>
  <c r="AV19" i="3"/>
  <c r="AV59" i="3"/>
  <c r="AV135" i="3"/>
  <c r="AV144" i="3"/>
  <c r="AV147" i="3"/>
  <c r="AV160" i="3"/>
  <c r="AV166" i="3"/>
  <c r="AV173" i="3"/>
  <c r="AV180" i="3"/>
  <c r="AV187" i="3"/>
  <c r="AV191" i="3"/>
  <c r="AV197" i="3"/>
  <c r="AV208" i="3"/>
  <c r="AV217" i="3"/>
  <c r="AV222" i="3"/>
  <c r="AV225" i="3"/>
  <c r="AV234" i="3"/>
  <c r="AV247" i="3"/>
  <c r="AV250" i="3"/>
  <c r="AV260" i="3"/>
  <c r="AV268" i="3"/>
  <c r="AV283" i="3"/>
  <c r="AV297" i="3"/>
  <c r="AV302" i="3"/>
  <c r="AV315" i="3"/>
  <c r="AV320" i="3"/>
  <c r="AV330" i="3"/>
  <c r="AV334" i="3"/>
  <c r="AV340" i="3"/>
  <c r="AV354" i="3"/>
  <c r="AV359" i="3"/>
  <c r="AV364" i="3"/>
  <c r="AV372" i="3"/>
  <c r="AV376" i="3"/>
  <c r="AV387" i="3"/>
  <c r="AV23" i="3"/>
  <c r="AV52" i="3"/>
  <c r="AV61" i="3"/>
  <c r="AV85" i="3"/>
  <c r="AV117" i="3"/>
  <c r="AV136" i="3"/>
  <c r="AV154" i="3"/>
  <c r="AV167" i="3"/>
  <c r="AV174" i="3"/>
  <c r="AV181" i="3"/>
  <c r="AV188" i="3"/>
  <c r="AV192" i="3"/>
  <c r="AV198" i="3"/>
  <c r="AV209" i="3"/>
  <c r="AV213" i="3"/>
  <c r="AV226" i="3"/>
  <c r="AV229" i="3"/>
  <c r="AV235" i="3"/>
  <c r="AV248" i="3"/>
  <c r="AV261" i="3"/>
  <c r="AV269" i="3"/>
  <c r="AV284" i="3"/>
  <c r="AV298" i="3"/>
  <c r="AV307" i="3"/>
  <c r="AV310" i="3"/>
  <c r="AV322" i="3"/>
  <c r="AV326" i="3"/>
  <c r="AV335" i="3"/>
  <c r="AV341" i="3"/>
  <c r="AV345" i="3"/>
  <c r="AV355" i="3"/>
  <c r="AV368" i="3"/>
  <c r="AV382" i="3"/>
  <c r="AV25" i="3"/>
  <c r="AV88" i="3"/>
  <c r="AV101" i="3"/>
  <c r="AV119" i="3"/>
  <c r="AV138" i="3"/>
  <c r="AV143" i="3"/>
  <c r="AV150" i="3"/>
  <c r="AV161" i="3"/>
  <c r="AV168" i="3"/>
  <c r="AV175" i="3"/>
  <c r="AV182" i="3"/>
  <c r="AV193" i="3"/>
  <c r="AV204" i="3"/>
  <c r="AV214" i="3"/>
  <c r="AV218" i="3"/>
  <c r="AV232" i="3"/>
  <c r="AV239" i="3"/>
  <c r="AV249" i="3"/>
  <c r="AV251" i="3"/>
  <c r="AV262" i="3"/>
  <c r="AV270" i="3"/>
  <c r="AV286" i="3"/>
  <c r="AV304" i="3"/>
  <c r="AV311" i="3"/>
  <c r="AV316" i="3"/>
  <c r="AV377" i="3"/>
  <c r="AV388" i="3"/>
  <c r="AV392" i="3"/>
  <c r="AV27" i="3"/>
  <c r="AV74" i="3"/>
  <c r="AV90" i="3"/>
  <c r="AV105" i="3"/>
  <c r="AV121" i="3"/>
  <c r="AV140" i="3"/>
  <c r="AV146" i="3"/>
  <c r="AV155" i="3"/>
  <c r="AV162" i="3"/>
  <c r="AV169" i="3"/>
  <c r="AV176" i="3"/>
  <c r="AV189" i="3"/>
  <c r="AV201" i="3"/>
  <c r="AV205" i="3"/>
  <c r="AV219" i="3"/>
  <c r="AV223" i="3"/>
  <c r="AV230" i="3"/>
  <c r="AV236" i="3"/>
  <c r="AV240" i="3"/>
  <c r="AV244" i="3"/>
  <c r="AV252" i="3"/>
  <c r="AV255" i="3"/>
  <c r="AV263" i="3"/>
  <c r="AV271" i="3"/>
  <c r="AV299" i="3"/>
  <c r="AV317" i="3"/>
  <c r="AV323" i="3"/>
  <c r="AV327" i="3"/>
  <c r="AV331" i="3"/>
  <c r="AV336" i="3"/>
  <c r="AV342" i="3"/>
  <c r="AV346" i="3"/>
  <c r="AV347" i="3"/>
  <c r="AV350" i="3"/>
  <c r="AV360" i="3"/>
  <c r="AV362" i="3"/>
  <c r="AV365" i="3"/>
  <c r="AV369" i="3"/>
  <c r="AV373" i="3"/>
  <c r="AV383" i="3"/>
  <c r="AV389" i="3"/>
  <c r="AV31" i="3"/>
  <c r="AV65" i="3"/>
  <c r="AV77" i="3"/>
  <c r="AV92" i="3"/>
  <c r="AV107" i="3"/>
  <c r="AV125" i="3"/>
  <c r="AV141" i="3"/>
  <c r="AV148" i="3"/>
  <c r="AV151" i="3"/>
  <c r="AV156" i="3"/>
  <c r="AV170" i="3"/>
  <c r="AV177" i="3"/>
  <c r="AV183" i="3"/>
  <c r="AV194" i="3"/>
  <c r="AV210" i="3"/>
  <c r="AV215" i="3"/>
  <c r="AV227" i="3"/>
  <c r="AV237" i="3"/>
  <c r="AV245" i="3"/>
  <c r="AV253" i="3"/>
  <c r="AV256" i="3"/>
  <c r="AV264" i="3"/>
  <c r="AV272" i="3"/>
  <c r="AV292" i="3"/>
  <c r="AV312" i="3"/>
  <c r="AV348" i="3"/>
  <c r="AV351" i="3"/>
  <c r="AV356" i="3"/>
  <c r="AV363" i="3"/>
  <c r="AV378" i="3"/>
  <c r="AV3" i="3"/>
  <c r="AV33" i="3"/>
  <c r="AV78" i="3"/>
  <c r="AV109" i="3"/>
  <c r="AV127" i="3"/>
  <c r="AV157" i="3"/>
  <c r="AV163" i="3"/>
  <c r="AV171" i="3"/>
  <c r="AV184" i="3"/>
  <c r="AV195" i="3"/>
  <c r="AV202" i="3"/>
  <c r="AV206" i="3"/>
  <c r="AV220" i="3"/>
  <c r="AV224" i="3"/>
  <c r="AV231" i="3"/>
  <c r="AV233" i="3"/>
  <c r="AV241" i="3"/>
  <c r="AV254" i="3"/>
  <c r="AV257" i="3"/>
  <c r="AV265" i="3"/>
  <c r="AV276" i="3"/>
  <c r="AV293" i="3"/>
  <c r="AV300" i="3"/>
  <c r="AV305" i="3"/>
  <c r="AV308" i="3"/>
  <c r="AV313" i="3"/>
  <c r="AV318" i="3"/>
  <c r="AV324" i="3"/>
  <c r="AV328" i="3"/>
  <c r="AV332" i="3"/>
  <c r="AV337" i="3"/>
  <c r="AV343" i="3"/>
  <c r="AV349" i="3"/>
  <c r="AV366" i="3"/>
  <c r="AV370" i="3"/>
  <c r="AV379" i="3"/>
  <c r="AV384" i="3"/>
  <c r="AV390" i="3"/>
  <c r="AV152" i="3"/>
  <c r="AV266" i="3"/>
  <c r="AV385" i="3"/>
  <c r="AV113" i="3"/>
  <c r="AV158" i="3"/>
  <c r="AV207" i="3"/>
  <c r="AV281" i="3"/>
  <c r="AV129" i="3"/>
  <c r="AV164" i="3"/>
  <c r="AV211" i="3"/>
  <c r="AV238" i="3"/>
  <c r="AV294" i="3"/>
  <c r="AV333" i="3"/>
  <c r="AV352" i="3"/>
  <c r="AV7" i="3"/>
  <c r="AV172" i="3"/>
  <c r="AV216" i="3"/>
  <c r="AV242" i="3"/>
  <c r="AV338" i="3"/>
  <c r="AV35" i="3"/>
  <c r="AV178" i="3"/>
  <c r="AV357" i="3"/>
  <c r="AV56" i="3"/>
  <c r="AV145" i="3"/>
  <c r="AV185" i="3"/>
  <c r="AV371" i="3"/>
  <c r="AV190" i="3"/>
  <c r="AV361" i="3"/>
  <c r="AV374" i="3"/>
  <c r="AV80" i="3"/>
  <c r="AV149" i="3"/>
  <c r="AV258" i="3"/>
  <c r="AV380" i="3"/>
  <c r="E813" i="8"/>
  <c r="D813" i="8"/>
  <c r="B813" i="8"/>
  <c r="A813" i="8"/>
  <c r="E812" i="8"/>
  <c r="D812" i="8"/>
  <c r="B812" i="8"/>
  <c r="A812" i="8"/>
  <c r="E811" i="8"/>
  <c r="D811" i="8"/>
  <c r="B811" i="8"/>
  <c r="A811" i="8"/>
  <c r="E810" i="8"/>
  <c r="D810" i="8"/>
  <c r="B810" i="8"/>
  <c r="A810" i="8"/>
  <c r="E809" i="8"/>
  <c r="D809" i="8"/>
  <c r="B809" i="8"/>
  <c r="A809" i="8"/>
  <c r="E808" i="8"/>
  <c r="D808" i="8"/>
  <c r="B808" i="8"/>
  <c r="A808" i="8"/>
  <c r="E807" i="8"/>
  <c r="D807" i="8"/>
  <c r="B807" i="8"/>
  <c r="A807" i="8"/>
  <c r="E806" i="8"/>
  <c r="D806" i="8"/>
  <c r="B806" i="8"/>
  <c r="A806" i="8"/>
  <c r="E805" i="8"/>
  <c r="D805" i="8"/>
  <c r="B805" i="8"/>
  <c r="A805" i="8"/>
  <c r="E804" i="8"/>
  <c r="D804" i="8"/>
  <c r="B804" i="8"/>
  <c r="A804" i="8"/>
  <c r="E803" i="8"/>
  <c r="D803" i="8"/>
  <c r="B803" i="8"/>
  <c r="A803" i="8"/>
  <c r="E802" i="8"/>
  <c r="D802" i="8"/>
  <c r="B802" i="8"/>
  <c r="A802" i="8"/>
  <c r="E801" i="8"/>
  <c r="D801" i="8"/>
  <c r="B801" i="8"/>
  <c r="A801" i="8"/>
  <c r="E800" i="8"/>
  <c r="D800" i="8"/>
  <c r="B800" i="8"/>
  <c r="A800" i="8"/>
  <c r="E799" i="8"/>
  <c r="D799" i="8"/>
  <c r="B799" i="8"/>
  <c r="A799" i="8"/>
  <c r="E798" i="8"/>
  <c r="D798" i="8"/>
  <c r="B798" i="8"/>
  <c r="A798" i="8"/>
  <c r="E797" i="8"/>
  <c r="D797" i="8"/>
  <c r="B797" i="8"/>
  <c r="A797" i="8"/>
  <c r="E796" i="8"/>
  <c r="D796" i="8"/>
  <c r="B796" i="8"/>
  <c r="A796" i="8"/>
  <c r="E795" i="8"/>
  <c r="D795" i="8"/>
  <c r="B795" i="8"/>
  <c r="A795" i="8"/>
  <c r="E794" i="8"/>
  <c r="D794" i="8"/>
  <c r="B794" i="8"/>
  <c r="A794" i="8"/>
  <c r="E793" i="8"/>
  <c r="D793" i="8"/>
  <c r="B793" i="8"/>
  <c r="A793" i="8"/>
  <c r="E792" i="8"/>
  <c r="D792" i="8"/>
  <c r="B792" i="8"/>
  <c r="A792" i="8"/>
  <c r="E791" i="8"/>
  <c r="D791" i="8"/>
  <c r="B791" i="8"/>
  <c r="A791" i="8"/>
  <c r="E790" i="8"/>
  <c r="D790" i="8"/>
  <c r="B790" i="8"/>
  <c r="A790" i="8"/>
  <c r="E789" i="8"/>
  <c r="D789" i="8"/>
  <c r="B789" i="8"/>
  <c r="A789" i="8"/>
  <c r="E788" i="8"/>
  <c r="D788" i="8"/>
  <c r="B788" i="8"/>
  <c r="A788" i="8"/>
  <c r="E787" i="8"/>
  <c r="D787" i="8"/>
  <c r="B787" i="8"/>
  <c r="A787" i="8"/>
  <c r="E786" i="8"/>
  <c r="D786" i="8"/>
  <c r="B786" i="8"/>
  <c r="A786" i="8"/>
  <c r="AU288" i="3" l="1"/>
  <c r="AU287" i="3"/>
  <c r="AU82" i="3"/>
  <c r="AU393" i="3"/>
  <c r="AU273" i="3"/>
  <c r="AU10" i="3"/>
  <c r="AU11" i="3"/>
  <c r="AU69" i="3"/>
  <c r="AU303" i="3"/>
  <c r="AU12" i="3"/>
  <c r="AU13" i="3"/>
  <c r="AU14" i="3"/>
  <c r="AU15" i="3"/>
  <c r="AU274" i="3"/>
  <c r="AU17" i="3"/>
  <c r="AU18" i="3"/>
  <c r="AU16" i="3"/>
  <c r="AU199" i="3"/>
  <c r="AU200" i="3"/>
  <c r="AU275" i="3"/>
  <c r="AU321" i="3"/>
  <c r="AU277" i="3"/>
  <c r="AU278" i="3"/>
  <c r="AU279" i="3"/>
  <c r="AU280" i="3"/>
  <c r="AU285" i="3"/>
  <c r="AU36" i="3"/>
  <c r="AU37" i="3"/>
  <c r="AU38" i="3"/>
  <c r="AU40" i="3"/>
  <c r="AU289" i="3"/>
  <c r="AU41" i="3"/>
  <c r="AU42" i="3"/>
  <c r="AU43" i="3"/>
  <c r="AU44" i="3"/>
  <c r="AU83" i="3"/>
  <c r="AU290" i="3"/>
  <c r="AU291" i="3"/>
  <c r="AU45" i="3"/>
  <c r="AU46" i="3"/>
  <c r="AU47" i="3"/>
  <c r="AU296" i="3"/>
  <c r="AU5" i="3"/>
  <c r="AU21" i="3"/>
  <c r="AU29" i="3"/>
  <c r="AU53" i="3"/>
  <c r="AU54" i="3"/>
  <c r="AU70" i="3"/>
  <c r="AU87" i="3"/>
  <c r="AU93" i="3"/>
  <c r="AU103" i="3"/>
  <c r="AU111" i="3"/>
  <c r="AU115" i="3"/>
  <c r="AU123" i="3"/>
  <c r="AU131" i="3"/>
  <c r="AU145" i="3"/>
  <c r="AU149" i="3"/>
  <c r="AU152" i="3"/>
  <c r="AU158" i="3"/>
  <c r="AU164" i="3"/>
  <c r="AU172" i="3"/>
  <c r="AU178" i="3"/>
  <c r="AU185" i="3"/>
  <c r="AU190" i="3"/>
  <c r="AU207" i="3"/>
  <c r="AU211" i="3"/>
  <c r="AU216" i="3"/>
  <c r="AU238" i="3"/>
  <c r="AU242" i="3"/>
  <c r="AU258" i="3"/>
  <c r="AU266" i="3"/>
  <c r="AU281" i="3"/>
  <c r="AU294" i="3"/>
  <c r="AU333" i="3"/>
  <c r="AU338" i="3"/>
  <c r="AU352" i="3"/>
  <c r="AU357" i="3"/>
  <c r="AU361" i="3"/>
  <c r="AU371" i="3"/>
  <c r="AU374" i="3"/>
  <c r="AU6" i="3"/>
  <c r="AU22" i="3"/>
  <c r="AU30" i="3"/>
  <c r="AU48" i="3"/>
  <c r="AU55" i="3"/>
  <c r="AU64" i="3"/>
  <c r="AU67" i="3"/>
  <c r="AU71" i="3"/>
  <c r="AU76" i="3"/>
  <c r="AU94" i="3"/>
  <c r="AU98" i="3"/>
  <c r="AU104" i="3"/>
  <c r="AU112" i="3"/>
  <c r="AU116" i="3"/>
  <c r="AU124" i="3"/>
  <c r="AU132" i="3"/>
  <c r="AU142" i="3"/>
  <c r="AU153" i="3"/>
  <c r="AU159" i="3"/>
  <c r="AU165" i="3"/>
  <c r="AU179" i="3"/>
  <c r="AU186" i="3"/>
  <c r="AU196" i="3"/>
  <c r="AU203" i="3"/>
  <c r="AU212" i="3"/>
  <c r="AU221" i="3"/>
  <c r="AU228" i="3"/>
  <c r="AU243" i="3"/>
  <c r="AU246" i="3"/>
  <c r="AU259" i="3"/>
  <c r="AU267" i="3"/>
  <c r="AU282" i="3"/>
  <c r="AU7" i="3"/>
  <c r="AU23" i="3"/>
  <c r="AU31" i="3"/>
  <c r="AU49" i="3"/>
  <c r="AU59" i="3"/>
  <c r="AU77" i="3"/>
  <c r="AU88" i="3"/>
  <c r="AU105" i="3"/>
  <c r="AU113" i="3"/>
  <c r="AU117" i="3"/>
  <c r="AU125" i="3"/>
  <c r="AU133" i="3"/>
  <c r="AU138" i="3"/>
  <c r="AU144" i="3"/>
  <c r="AU147" i="3"/>
  <c r="AU160" i="3"/>
  <c r="AU166" i="3"/>
  <c r="AU173" i="3"/>
  <c r="AU180" i="3"/>
  <c r="AU187" i="3"/>
  <c r="AU191" i="3"/>
  <c r="AU197" i="3"/>
  <c r="AU208" i="3"/>
  <c r="AU217" i="3"/>
  <c r="AU222" i="3"/>
  <c r="AU225" i="3"/>
  <c r="AU234" i="3"/>
  <c r="AU247" i="3"/>
  <c r="AU250" i="3"/>
  <c r="AU260" i="3"/>
  <c r="AU268" i="3"/>
  <c r="AU283" i="3"/>
  <c r="AU297" i="3"/>
  <c r="AU302" i="3"/>
  <c r="AU315" i="3"/>
  <c r="AU320" i="3"/>
  <c r="AU330" i="3"/>
  <c r="AU334" i="3"/>
  <c r="AU340" i="3"/>
  <c r="AU354" i="3"/>
  <c r="AU359" i="3"/>
  <c r="AU364" i="3"/>
  <c r="AU24" i="3"/>
  <c r="AU32" i="3"/>
  <c r="AU50" i="3"/>
  <c r="AU60" i="3"/>
  <c r="AU72" i="3"/>
  <c r="AU84" i="3"/>
  <c r="AU89" i="3"/>
  <c r="AU95" i="3"/>
  <c r="AU99" i="3"/>
  <c r="AU106" i="3"/>
  <c r="AU118" i="3"/>
  <c r="AU126" i="3"/>
  <c r="AU134" i="3"/>
  <c r="AU139" i="3"/>
  <c r="AU154" i="3"/>
  <c r="AU167" i="3"/>
  <c r="AU174" i="3"/>
  <c r="AU181" i="3"/>
  <c r="AU188" i="3"/>
  <c r="AU192" i="3"/>
  <c r="AU198" i="3"/>
  <c r="AU209" i="3"/>
  <c r="AU213" i="3"/>
  <c r="AU226" i="3"/>
  <c r="AU229" i="3"/>
  <c r="AU235" i="3"/>
  <c r="AU248" i="3"/>
  <c r="AU261" i="3"/>
  <c r="AU269" i="3"/>
  <c r="AU284" i="3"/>
  <c r="AU298" i="3"/>
  <c r="AU307" i="3"/>
  <c r="AU310" i="3"/>
  <c r="AU322" i="3"/>
  <c r="AU326" i="3"/>
  <c r="AU335" i="3"/>
  <c r="AU341" i="3"/>
  <c r="AU345" i="3"/>
  <c r="AU355" i="3"/>
  <c r="AU368" i="3"/>
  <c r="AU8" i="3"/>
  <c r="AU25" i="3"/>
  <c r="AU33" i="3"/>
  <c r="AU56" i="3"/>
  <c r="AU61" i="3"/>
  <c r="AU65" i="3"/>
  <c r="AU68" i="3"/>
  <c r="AU78" i="3"/>
  <c r="AU90" i="3"/>
  <c r="AU107" i="3"/>
  <c r="AU119" i="3"/>
  <c r="AU127" i="3"/>
  <c r="AU135" i="3"/>
  <c r="AU140" i="3"/>
  <c r="AU143" i="3"/>
  <c r="AU150" i="3"/>
  <c r="AU161" i="3"/>
  <c r="AU168" i="3"/>
  <c r="AU175" i="3"/>
  <c r="AU182" i="3"/>
  <c r="AU193" i="3"/>
  <c r="AU204" i="3"/>
  <c r="AU214" i="3"/>
  <c r="AU218" i="3"/>
  <c r="AU232" i="3"/>
  <c r="AU239" i="3"/>
  <c r="AU249" i="3"/>
  <c r="AU251" i="3"/>
  <c r="AU262" i="3"/>
  <c r="AU270" i="3"/>
  <c r="AU286" i="3"/>
  <c r="AU304" i="3"/>
  <c r="AU311" i="3"/>
  <c r="AU316" i="3"/>
  <c r="AU9" i="3"/>
  <c r="AU26" i="3"/>
  <c r="AU34" i="3"/>
  <c r="AU51" i="3"/>
  <c r="AU57" i="3"/>
  <c r="AU62" i="3"/>
  <c r="AU73" i="3"/>
  <c r="AU79" i="3"/>
  <c r="AU91" i="3"/>
  <c r="AU96" i="3"/>
  <c r="AU100" i="3"/>
  <c r="AU108" i="3"/>
  <c r="AU120" i="3"/>
  <c r="AU128" i="3"/>
  <c r="AU146" i="3"/>
  <c r="AU155" i="3"/>
  <c r="AU162" i="3"/>
  <c r="AU169" i="3"/>
  <c r="AU176" i="3"/>
  <c r="AU189" i="3"/>
  <c r="AU201" i="3"/>
  <c r="AU205" i="3"/>
  <c r="AU219" i="3"/>
  <c r="AU223" i="3"/>
  <c r="AU230" i="3"/>
  <c r="AU236" i="3"/>
  <c r="AU240" i="3"/>
  <c r="AU244" i="3"/>
  <c r="AU252" i="3"/>
  <c r="AU255" i="3"/>
  <c r="AU263" i="3"/>
  <c r="AU271" i="3"/>
  <c r="AU299" i="3"/>
  <c r="AU3" i="3"/>
  <c r="AU19" i="3"/>
  <c r="AU27" i="3"/>
  <c r="AU35" i="3"/>
  <c r="AU52" i="3"/>
  <c r="AU74" i="3"/>
  <c r="AU80" i="3"/>
  <c r="AU85" i="3"/>
  <c r="AU92" i="3"/>
  <c r="AU101" i="3"/>
  <c r="AU109" i="3"/>
  <c r="AU121" i="3"/>
  <c r="AU129" i="3"/>
  <c r="AU136" i="3"/>
  <c r="AU141" i="3"/>
  <c r="AU148" i="3"/>
  <c r="AU151" i="3"/>
  <c r="AU156" i="3"/>
  <c r="AU170" i="3"/>
  <c r="AU177" i="3"/>
  <c r="AU183" i="3"/>
  <c r="AU194" i="3"/>
  <c r="AU210" i="3"/>
  <c r="AU215" i="3"/>
  <c r="AU227" i="3"/>
  <c r="AU237" i="3"/>
  <c r="AU245" i="3"/>
  <c r="AU253" i="3"/>
  <c r="AU256" i="3"/>
  <c r="AU264" i="3"/>
  <c r="AU272" i="3"/>
  <c r="AU292" i="3"/>
  <c r="AU312" i="3"/>
  <c r="AU348" i="3"/>
  <c r="AU351" i="3"/>
  <c r="AU356" i="3"/>
  <c r="AU363" i="3"/>
  <c r="AU58" i="3"/>
  <c r="AU97" i="3"/>
  <c r="AU220" i="3"/>
  <c r="AU300" i="3"/>
  <c r="AU313" i="3"/>
  <c r="AU327" i="3"/>
  <c r="AU339" i="3"/>
  <c r="AU350" i="3"/>
  <c r="AU367" i="3"/>
  <c r="AU383" i="3"/>
  <c r="AU389" i="3"/>
  <c r="AU63" i="3"/>
  <c r="AU102" i="3"/>
  <c r="AU184" i="3"/>
  <c r="AU224" i="3"/>
  <c r="AU301" i="3"/>
  <c r="AU314" i="3"/>
  <c r="AU328" i="3"/>
  <c r="AU342" i="3"/>
  <c r="AU369" i="3"/>
  <c r="AU373" i="3"/>
  <c r="AU378" i="3"/>
  <c r="AU4" i="3"/>
  <c r="AU66" i="3"/>
  <c r="AU110" i="3"/>
  <c r="AU254" i="3"/>
  <c r="AU305" i="3"/>
  <c r="AU317" i="3"/>
  <c r="AU329" i="3"/>
  <c r="AU343" i="3"/>
  <c r="AU347" i="3"/>
  <c r="AU379" i="3"/>
  <c r="AU384" i="3"/>
  <c r="AU390" i="3"/>
  <c r="AU20" i="3"/>
  <c r="AU114" i="3"/>
  <c r="AU195" i="3"/>
  <c r="AU231" i="3"/>
  <c r="AU257" i="3"/>
  <c r="AU306" i="3"/>
  <c r="AU318" i="3"/>
  <c r="AU331" i="3"/>
  <c r="AU349" i="3"/>
  <c r="AU358" i="3"/>
  <c r="AU365" i="3"/>
  <c r="AU380" i="3"/>
  <c r="AU385" i="3"/>
  <c r="AU28" i="3"/>
  <c r="AU75" i="3"/>
  <c r="AU122" i="3"/>
  <c r="AU202" i="3"/>
  <c r="AU265" i="3"/>
  <c r="AU319" i="3"/>
  <c r="AU332" i="3"/>
  <c r="AU366" i="3"/>
  <c r="AU375" i="3"/>
  <c r="AU381" i="3"/>
  <c r="AU386" i="3"/>
  <c r="AU391" i="3"/>
  <c r="AU39" i="3"/>
  <c r="AU81" i="3"/>
  <c r="AU130" i="3"/>
  <c r="AU157" i="3"/>
  <c r="AU206" i="3"/>
  <c r="AU233" i="3"/>
  <c r="AU276" i="3"/>
  <c r="AU308" i="3"/>
  <c r="AU323" i="3"/>
  <c r="AU353" i="3"/>
  <c r="AU362" i="3"/>
  <c r="AU370" i="3"/>
  <c r="AU376" i="3"/>
  <c r="AU387" i="3"/>
  <c r="AU86" i="3"/>
  <c r="AU137" i="3"/>
  <c r="AU163" i="3"/>
  <c r="AU293" i="3"/>
  <c r="AU309" i="3"/>
  <c r="AU324" i="3"/>
  <c r="AU336" i="3"/>
  <c r="AU344" i="3"/>
  <c r="AU382" i="3"/>
  <c r="AU171" i="3"/>
  <c r="AU241" i="3"/>
  <c r="AU295" i="3"/>
  <c r="AU325" i="3"/>
  <c r="AU337" i="3"/>
  <c r="AU346" i="3"/>
  <c r="AU360" i="3"/>
  <c r="AU372" i="3"/>
  <c r="AU377" i="3"/>
  <c r="AU388" i="3"/>
  <c r="AU392" i="3"/>
  <c r="E769" i="8"/>
  <c r="D769" i="8"/>
  <c r="B769" i="8"/>
  <c r="A769" i="8"/>
  <c r="E768" i="8"/>
  <c r="D768" i="8"/>
  <c r="B768" i="8"/>
  <c r="A768" i="8"/>
  <c r="E767" i="8"/>
  <c r="D767" i="8"/>
  <c r="B767" i="8"/>
  <c r="A767" i="8"/>
  <c r="E766" i="8"/>
  <c r="D766" i="8"/>
  <c r="B766" i="8"/>
  <c r="A766" i="8"/>
  <c r="E765" i="8"/>
  <c r="D765" i="8"/>
  <c r="B765" i="8"/>
  <c r="A765" i="8"/>
  <c r="E764" i="8"/>
  <c r="D764" i="8"/>
  <c r="B764" i="8"/>
  <c r="A764" i="8"/>
  <c r="E763" i="8"/>
  <c r="D763" i="8"/>
  <c r="B763" i="8"/>
  <c r="A763" i="8"/>
  <c r="E762" i="8"/>
  <c r="D762" i="8"/>
  <c r="B762" i="8"/>
  <c r="A762" i="8"/>
  <c r="E761" i="8"/>
  <c r="D761" i="8"/>
  <c r="B761" i="8"/>
  <c r="A761" i="8"/>
  <c r="E760" i="8"/>
  <c r="D760" i="8"/>
  <c r="B760" i="8"/>
  <c r="A760" i="8"/>
  <c r="E759" i="8"/>
  <c r="D759" i="8"/>
  <c r="B759" i="8"/>
  <c r="A759" i="8"/>
  <c r="E758" i="8"/>
  <c r="D758" i="8"/>
  <c r="B758" i="8"/>
  <c r="A758" i="8"/>
  <c r="E757" i="8"/>
  <c r="D757" i="8"/>
  <c r="B757" i="8"/>
  <c r="A757" i="8"/>
  <c r="E756" i="8"/>
  <c r="D756" i="8"/>
  <c r="B756" i="8"/>
  <c r="A756" i="8"/>
  <c r="E755" i="8"/>
  <c r="D755" i="8"/>
  <c r="B755" i="8"/>
  <c r="A755" i="8"/>
  <c r="E754" i="8"/>
  <c r="D754" i="8"/>
  <c r="B754" i="8"/>
  <c r="A754" i="8"/>
  <c r="E753" i="8"/>
  <c r="D753" i="8"/>
  <c r="B753" i="8"/>
  <c r="A753" i="8"/>
  <c r="E752" i="8"/>
  <c r="D752" i="8"/>
  <c r="B752" i="8"/>
  <c r="A752" i="8"/>
  <c r="E751" i="8"/>
  <c r="D751" i="8"/>
  <c r="B751" i="8"/>
  <c r="A751" i="8"/>
  <c r="E750" i="8"/>
  <c r="D750" i="8"/>
  <c r="B750" i="8"/>
  <c r="A750" i="8"/>
  <c r="E749" i="8"/>
  <c r="D749" i="8"/>
  <c r="B749" i="8"/>
  <c r="A749" i="8"/>
  <c r="E748" i="8"/>
  <c r="D748" i="8"/>
  <c r="B748" i="8"/>
  <c r="A748" i="8"/>
  <c r="E747" i="8"/>
  <c r="D747" i="8"/>
  <c r="B747" i="8"/>
  <c r="A747" i="8"/>
  <c r="E746" i="8"/>
  <c r="D746" i="8"/>
  <c r="B746" i="8"/>
  <c r="A746" i="8"/>
  <c r="E745" i="8"/>
  <c r="D745" i="8"/>
  <c r="B745" i="8"/>
  <c r="A745" i="8"/>
  <c r="E744" i="8"/>
  <c r="D744" i="8"/>
  <c r="B744" i="8"/>
  <c r="A744" i="8"/>
  <c r="E743" i="8"/>
  <c r="D743" i="8"/>
  <c r="B743" i="8"/>
  <c r="A743" i="8"/>
  <c r="E742" i="8"/>
  <c r="D742" i="8"/>
  <c r="B742" i="8"/>
  <c r="A742" i="8"/>
  <c r="AS288" i="3" l="1"/>
  <c r="AS287" i="3"/>
  <c r="AS82" i="3"/>
  <c r="AS393" i="3"/>
  <c r="AS273" i="3"/>
  <c r="AS10" i="3"/>
  <c r="AS11" i="3"/>
  <c r="AS69" i="3"/>
  <c r="AS303" i="3"/>
  <c r="AS12" i="3"/>
  <c r="AS13" i="3"/>
  <c r="AS14" i="3"/>
  <c r="AS15" i="3"/>
  <c r="AS274" i="3"/>
  <c r="AS17" i="3"/>
  <c r="AS18" i="3"/>
  <c r="AS16" i="3"/>
  <c r="AS199" i="3"/>
  <c r="AS200" i="3"/>
  <c r="AS275" i="3"/>
  <c r="AS321" i="3"/>
  <c r="AS277" i="3"/>
  <c r="AS278" i="3"/>
  <c r="AS279" i="3"/>
  <c r="AS280" i="3"/>
  <c r="AS285" i="3"/>
  <c r="AS36" i="3"/>
  <c r="AS37" i="3"/>
  <c r="AS38" i="3"/>
  <c r="AS40" i="3"/>
  <c r="AS289" i="3"/>
  <c r="AS41" i="3"/>
  <c r="AS42" i="3"/>
  <c r="AS43" i="3"/>
  <c r="AS44" i="3"/>
  <c r="AS83" i="3"/>
  <c r="AS290" i="3"/>
  <c r="AS291" i="3"/>
  <c r="AS45" i="3"/>
  <c r="AS46" i="3"/>
  <c r="AS47" i="3"/>
  <c r="AS296" i="3"/>
  <c r="AS24" i="3"/>
  <c r="AS32" i="3"/>
  <c r="AS50" i="3"/>
  <c r="AS60" i="3"/>
  <c r="AS72" i="3"/>
  <c r="AS84" i="3"/>
  <c r="AS89" i="3"/>
  <c r="AS95" i="3"/>
  <c r="AS99" i="3"/>
  <c r="AS106" i="3"/>
  <c r="AS118" i="3"/>
  <c r="AS126" i="3"/>
  <c r="AS134" i="3"/>
  <c r="AS139" i="3"/>
  <c r="AS154" i="3"/>
  <c r="AS167" i="3"/>
  <c r="AS174" i="3"/>
  <c r="AS181" i="3"/>
  <c r="AS188" i="3"/>
  <c r="AS192" i="3"/>
  <c r="AS198" i="3"/>
  <c r="AS209" i="3"/>
  <c r="AS213" i="3"/>
  <c r="AS226" i="3"/>
  <c r="AS229" i="3"/>
  <c r="AS235" i="3"/>
  <c r="AS248" i="3"/>
  <c r="AS261" i="3"/>
  <c r="AS269" i="3"/>
  <c r="AS284" i="3"/>
  <c r="AS298" i="3"/>
  <c r="AS8" i="3"/>
  <c r="AS25" i="3"/>
  <c r="AS33" i="3"/>
  <c r="AS56" i="3"/>
  <c r="AS61" i="3"/>
  <c r="AS65" i="3"/>
  <c r="AS68" i="3"/>
  <c r="AS9" i="3"/>
  <c r="AS26" i="3"/>
  <c r="AS34" i="3"/>
  <c r="AS51" i="3"/>
  <c r="AS57" i="3"/>
  <c r="AS62" i="3"/>
  <c r="AS73" i="3"/>
  <c r="AS79" i="3"/>
  <c r="AS91" i="3"/>
  <c r="AS96" i="3"/>
  <c r="AS100" i="3"/>
  <c r="AS108" i="3"/>
  <c r="AS120" i="3"/>
  <c r="AS128" i="3"/>
  <c r="AS146" i="3"/>
  <c r="AS155" i="3"/>
  <c r="AS162" i="3"/>
  <c r="AS169" i="3"/>
  <c r="AS176" i="3"/>
  <c r="AS189" i="3"/>
  <c r="AS201" i="3"/>
  <c r="AS205" i="3"/>
  <c r="AS219" i="3"/>
  <c r="AS223" i="3"/>
  <c r="AS230" i="3"/>
  <c r="AS236" i="3"/>
  <c r="AS240" i="3"/>
  <c r="AS244" i="3"/>
  <c r="AS252" i="3"/>
  <c r="AS255" i="3"/>
  <c r="AS263" i="3"/>
  <c r="AS271" i="3"/>
  <c r="AS299" i="3"/>
  <c r="AS3" i="3"/>
  <c r="AS19" i="3"/>
  <c r="AS27" i="3"/>
  <c r="AS35" i="3"/>
  <c r="AS52" i="3"/>
  <c r="AS74" i="3"/>
  <c r="AS80" i="3"/>
  <c r="AS85" i="3"/>
  <c r="AS92" i="3"/>
  <c r="AS101" i="3"/>
  <c r="AS109" i="3"/>
  <c r="AS121" i="3"/>
  <c r="AS129" i="3"/>
  <c r="AS136" i="3"/>
  <c r="AS141" i="3"/>
  <c r="AS148" i="3"/>
  <c r="AS151" i="3"/>
  <c r="AS156" i="3"/>
  <c r="AS170" i="3"/>
  <c r="AS177" i="3"/>
  <c r="AS183" i="3"/>
  <c r="AS194" i="3"/>
  <c r="AS210" i="3"/>
  <c r="AS215" i="3"/>
  <c r="AS227" i="3"/>
  <c r="AS237" i="3"/>
  <c r="AS245" i="3"/>
  <c r="AS253" i="3"/>
  <c r="AS256" i="3"/>
  <c r="AS264" i="3"/>
  <c r="AS272" i="3"/>
  <c r="AS292" i="3"/>
  <c r="AS4" i="3"/>
  <c r="AS20" i="3"/>
  <c r="AS28" i="3"/>
  <c r="AS39" i="3"/>
  <c r="AS58" i="3"/>
  <c r="AS63" i="3"/>
  <c r="AS66" i="3"/>
  <c r="AS5" i="3"/>
  <c r="AS21" i="3"/>
  <c r="AS29" i="3"/>
  <c r="AS53" i="3"/>
  <c r="AS54" i="3"/>
  <c r="AS70" i="3"/>
  <c r="AS87" i="3"/>
  <c r="AS93" i="3"/>
  <c r="AS103" i="3"/>
  <c r="AS111" i="3"/>
  <c r="AS115" i="3"/>
  <c r="AS123" i="3"/>
  <c r="AS131" i="3"/>
  <c r="AS145" i="3"/>
  <c r="AS149" i="3"/>
  <c r="AS152" i="3"/>
  <c r="AS158" i="3"/>
  <c r="AS164" i="3"/>
  <c r="AS172" i="3"/>
  <c r="AS178" i="3"/>
  <c r="AS185" i="3"/>
  <c r="AS190" i="3"/>
  <c r="AS207" i="3"/>
  <c r="AS211" i="3"/>
  <c r="AS216" i="3"/>
  <c r="AS238" i="3"/>
  <c r="AS242" i="3"/>
  <c r="AS258" i="3"/>
  <c r="AS266" i="3"/>
  <c r="AS281" i="3"/>
  <c r="AS294" i="3"/>
  <c r="AS6" i="3"/>
  <c r="AS22" i="3"/>
  <c r="AS30" i="3"/>
  <c r="AS48" i="3"/>
  <c r="AS55" i="3"/>
  <c r="AS64" i="3"/>
  <c r="AS67" i="3"/>
  <c r="AS71" i="3"/>
  <c r="AS76" i="3"/>
  <c r="AS94" i="3"/>
  <c r="AS98" i="3"/>
  <c r="AS104" i="3"/>
  <c r="AS112" i="3"/>
  <c r="AS116" i="3"/>
  <c r="AS124" i="3"/>
  <c r="AS132" i="3"/>
  <c r="AS142" i="3"/>
  <c r="AS153" i="3"/>
  <c r="AS159" i="3"/>
  <c r="AS165" i="3"/>
  <c r="AS179" i="3"/>
  <c r="AS186" i="3"/>
  <c r="AS196" i="3"/>
  <c r="AS203" i="3"/>
  <c r="AS212" i="3"/>
  <c r="AS221" i="3"/>
  <c r="AS228" i="3"/>
  <c r="AS243" i="3"/>
  <c r="AS246" i="3"/>
  <c r="AS259" i="3"/>
  <c r="AS267" i="3"/>
  <c r="AS282" i="3"/>
  <c r="AS295" i="3"/>
  <c r="AS301" i="3"/>
  <c r="AS306" i="3"/>
  <c r="AS7" i="3"/>
  <c r="AS23" i="3"/>
  <c r="AS31" i="3"/>
  <c r="AS49" i="3"/>
  <c r="AS59" i="3"/>
  <c r="AS77" i="3"/>
  <c r="AS88" i="3"/>
  <c r="AS105" i="3"/>
  <c r="AS113" i="3"/>
  <c r="AS117" i="3"/>
  <c r="AS125" i="3"/>
  <c r="AS133" i="3"/>
  <c r="AS138" i="3"/>
  <c r="AS144" i="3"/>
  <c r="AS147" i="3"/>
  <c r="AS160" i="3"/>
  <c r="AS166" i="3"/>
  <c r="AS173" i="3"/>
  <c r="AS180" i="3"/>
  <c r="AS187" i="3"/>
  <c r="AS191" i="3"/>
  <c r="AS197" i="3"/>
  <c r="AS208" i="3"/>
  <c r="AS217" i="3"/>
  <c r="AS222" i="3"/>
  <c r="AS225" i="3"/>
  <c r="AS234" i="3"/>
  <c r="AS247" i="3"/>
  <c r="AS250" i="3"/>
  <c r="AS260" i="3"/>
  <c r="AS268" i="3"/>
  <c r="AS283" i="3"/>
  <c r="AS297" i="3"/>
  <c r="AS302" i="3"/>
  <c r="AS119" i="3"/>
  <c r="AS143" i="3"/>
  <c r="AS150" i="3"/>
  <c r="AS175" i="3"/>
  <c r="AS218" i="3"/>
  <c r="AS262" i="3"/>
  <c r="AS304" i="3"/>
  <c r="AS308" i="3"/>
  <c r="AS313" i="3"/>
  <c r="AS318" i="3"/>
  <c r="AS324" i="3"/>
  <c r="AS328" i="3"/>
  <c r="AS332" i="3"/>
  <c r="AS337" i="3"/>
  <c r="AS343" i="3"/>
  <c r="AS349" i="3"/>
  <c r="AS366" i="3"/>
  <c r="AS370" i="3"/>
  <c r="AS379" i="3"/>
  <c r="AS384" i="3"/>
  <c r="AS390" i="3"/>
  <c r="AS75" i="3"/>
  <c r="AS97" i="3"/>
  <c r="AS122" i="3"/>
  <c r="AS202" i="3"/>
  <c r="AS220" i="3"/>
  <c r="AS265" i="3"/>
  <c r="AS305" i="3"/>
  <c r="AS333" i="3"/>
  <c r="AS338" i="3"/>
  <c r="AS352" i="3"/>
  <c r="AS357" i="3"/>
  <c r="AS361" i="3"/>
  <c r="AS371" i="3"/>
  <c r="AS374" i="3"/>
  <c r="AS380" i="3"/>
  <c r="AS385" i="3"/>
  <c r="AS78" i="3"/>
  <c r="AS127" i="3"/>
  <c r="AS182" i="3"/>
  <c r="AS204" i="3"/>
  <c r="AS232" i="3"/>
  <c r="AS249" i="3"/>
  <c r="AS270" i="3"/>
  <c r="AS309" i="3"/>
  <c r="AS314" i="3"/>
  <c r="AS319" i="3"/>
  <c r="AS325" i="3"/>
  <c r="AS329" i="3"/>
  <c r="AS339" i="3"/>
  <c r="AS344" i="3"/>
  <c r="AS353" i="3"/>
  <c r="AS358" i="3"/>
  <c r="AS367" i="3"/>
  <c r="AS375" i="3"/>
  <c r="AS381" i="3"/>
  <c r="AS386" i="3"/>
  <c r="AS391" i="3"/>
  <c r="AS81" i="3"/>
  <c r="AS102" i="3"/>
  <c r="AS130" i="3"/>
  <c r="AS157" i="3"/>
  <c r="AS184" i="3"/>
  <c r="AS206" i="3"/>
  <c r="AS224" i="3"/>
  <c r="AS233" i="3"/>
  <c r="AS276" i="3"/>
  <c r="AS315" i="3"/>
  <c r="AS320" i="3"/>
  <c r="AS330" i="3"/>
  <c r="AS334" i="3"/>
  <c r="AS340" i="3"/>
  <c r="AS354" i="3"/>
  <c r="AS359" i="3"/>
  <c r="AS364" i="3"/>
  <c r="AS372" i="3"/>
  <c r="AS376" i="3"/>
  <c r="AS387" i="3"/>
  <c r="AS107" i="3"/>
  <c r="AS135" i="3"/>
  <c r="AS161" i="3"/>
  <c r="AS251" i="3"/>
  <c r="AS286" i="3"/>
  <c r="AS307" i="3"/>
  <c r="AS310" i="3"/>
  <c r="AS322" i="3"/>
  <c r="AS326" i="3"/>
  <c r="AS335" i="3"/>
  <c r="AS341" i="3"/>
  <c r="AS345" i="3"/>
  <c r="AS355" i="3"/>
  <c r="AS368" i="3"/>
  <c r="AS382" i="3"/>
  <c r="AS86" i="3"/>
  <c r="AS110" i="3"/>
  <c r="AS137" i="3"/>
  <c r="AS163" i="3"/>
  <c r="AS254" i="3"/>
  <c r="AS293" i="3"/>
  <c r="AS311" i="3"/>
  <c r="AS316" i="3"/>
  <c r="AS377" i="3"/>
  <c r="AS388" i="3"/>
  <c r="AS392" i="3"/>
  <c r="AS90" i="3"/>
  <c r="AS140" i="3"/>
  <c r="AS168" i="3"/>
  <c r="AS193" i="3"/>
  <c r="AS214" i="3"/>
  <c r="AS239" i="3"/>
  <c r="AS317" i="3"/>
  <c r="AS323" i="3"/>
  <c r="AS327" i="3"/>
  <c r="AS331" i="3"/>
  <c r="AS336" i="3"/>
  <c r="AS342" i="3"/>
  <c r="AS346" i="3"/>
  <c r="AS347" i="3"/>
  <c r="AS350" i="3"/>
  <c r="AS360" i="3"/>
  <c r="AS362" i="3"/>
  <c r="AS365" i="3"/>
  <c r="AS369" i="3"/>
  <c r="AS373" i="3"/>
  <c r="AS383" i="3"/>
  <c r="AS389" i="3"/>
  <c r="AS114" i="3"/>
  <c r="AS171" i="3"/>
  <c r="AS195" i="3"/>
  <c r="AS231" i="3"/>
  <c r="AS241" i="3"/>
  <c r="AS257" i="3"/>
  <c r="AS300" i="3"/>
  <c r="AS312" i="3"/>
  <c r="AS348" i="3"/>
  <c r="AS351" i="3"/>
  <c r="AS356" i="3"/>
  <c r="AS363" i="3"/>
  <c r="AS378" i="3"/>
  <c r="E739" i="8"/>
  <c r="D739" i="8"/>
  <c r="B739" i="8"/>
  <c r="A739" i="8"/>
  <c r="E738" i="8"/>
  <c r="D738" i="8"/>
  <c r="B738" i="8"/>
  <c r="A738" i="8"/>
  <c r="E737" i="8"/>
  <c r="D737" i="8"/>
  <c r="B737" i="8"/>
  <c r="A737" i="8"/>
  <c r="E736" i="8"/>
  <c r="D736" i="8"/>
  <c r="B736" i="8"/>
  <c r="A736" i="8"/>
  <c r="E735" i="8"/>
  <c r="D735" i="8"/>
  <c r="B735" i="8"/>
  <c r="A735" i="8"/>
  <c r="E734" i="8"/>
  <c r="D734" i="8"/>
  <c r="B734" i="8"/>
  <c r="A734" i="8"/>
  <c r="AR288" i="3" l="1"/>
  <c r="AR287" i="3"/>
  <c r="AR82" i="3"/>
  <c r="AR393" i="3"/>
  <c r="AR273" i="3"/>
  <c r="AR10" i="3"/>
  <c r="AR11" i="3"/>
  <c r="AR69" i="3"/>
  <c r="AR303" i="3"/>
  <c r="AR12" i="3"/>
  <c r="AR13" i="3"/>
  <c r="AR14" i="3"/>
  <c r="AR15" i="3"/>
  <c r="AR274" i="3"/>
  <c r="AR17" i="3"/>
  <c r="AR18" i="3"/>
  <c r="AR16" i="3"/>
  <c r="AR199" i="3"/>
  <c r="AR200" i="3"/>
  <c r="AR275" i="3"/>
  <c r="AR321" i="3"/>
  <c r="AR277" i="3"/>
  <c r="AR278" i="3"/>
  <c r="AR279" i="3"/>
  <c r="AR280" i="3"/>
  <c r="AR285" i="3"/>
  <c r="AR36" i="3"/>
  <c r="AR37" i="3"/>
  <c r="AR38" i="3"/>
  <c r="AR40" i="3"/>
  <c r="AR289" i="3"/>
  <c r="AR41" i="3"/>
  <c r="AR42" i="3"/>
  <c r="AR43" i="3"/>
  <c r="AR44" i="3"/>
  <c r="AR83" i="3"/>
  <c r="AR290" i="3"/>
  <c r="AR291" i="3"/>
  <c r="AR45" i="3"/>
  <c r="AR46" i="3"/>
  <c r="AR47" i="3"/>
  <c r="AR296" i="3"/>
  <c r="AR3" i="3"/>
  <c r="AR19" i="3"/>
  <c r="AR27" i="3"/>
  <c r="AR35" i="3"/>
  <c r="AR52" i="3"/>
  <c r="AR74" i="3"/>
  <c r="AR80" i="3"/>
  <c r="AR85" i="3"/>
  <c r="AR92" i="3"/>
  <c r="AR101" i="3"/>
  <c r="AR109" i="3"/>
  <c r="AR121" i="3"/>
  <c r="AR129" i="3"/>
  <c r="AR136" i="3"/>
  <c r="AR141" i="3"/>
  <c r="AR148" i="3"/>
  <c r="AR151" i="3"/>
  <c r="AR156" i="3"/>
  <c r="AR170" i="3"/>
  <c r="AR177" i="3"/>
  <c r="AR183" i="3"/>
  <c r="AR194" i="3"/>
  <c r="AR210" i="3"/>
  <c r="AR215" i="3"/>
  <c r="AR227" i="3"/>
  <c r="AR237" i="3"/>
  <c r="AR245" i="3"/>
  <c r="AR253" i="3"/>
  <c r="AR256" i="3"/>
  <c r="AR264" i="3"/>
  <c r="AR272" i="3"/>
  <c r="AR292" i="3"/>
  <c r="AR312" i="3"/>
  <c r="AR348" i="3"/>
  <c r="AR351" i="3"/>
  <c r="AR356" i="3"/>
  <c r="AR363" i="3"/>
  <c r="AR378" i="3"/>
  <c r="AR4" i="3"/>
  <c r="AR20" i="3"/>
  <c r="AR28" i="3"/>
  <c r="AR39" i="3"/>
  <c r="AR58" i="3"/>
  <c r="AR63" i="3"/>
  <c r="AR66" i="3"/>
  <c r="AR75" i="3"/>
  <c r="AR81" i="3"/>
  <c r="AR86" i="3"/>
  <c r="AR97" i="3"/>
  <c r="AR102" i="3"/>
  <c r="AR110" i="3"/>
  <c r="AR114" i="3"/>
  <c r="AR122" i="3"/>
  <c r="AR130" i="3"/>
  <c r="AR137" i="3"/>
  <c r="AR157" i="3"/>
  <c r="AR163" i="3"/>
  <c r="AR171" i="3"/>
  <c r="AR184" i="3"/>
  <c r="AR195" i="3"/>
  <c r="AR202" i="3"/>
  <c r="AR206" i="3"/>
  <c r="AR220" i="3"/>
  <c r="AR224" i="3"/>
  <c r="AR231" i="3"/>
  <c r="AR233" i="3"/>
  <c r="AR241" i="3"/>
  <c r="AR254" i="3"/>
  <c r="AR257" i="3"/>
  <c r="AR265" i="3"/>
  <c r="AR276" i="3"/>
  <c r="AR293" i="3"/>
  <c r="AR300" i="3"/>
  <c r="AR305" i="3"/>
  <c r="AR308" i="3"/>
  <c r="AR313" i="3"/>
  <c r="AR318" i="3"/>
  <c r="AR324" i="3"/>
  <c r="AR328" i="3"/>
  <c r="AR332" i="3"/>
  <c r="AR337" i="3"/>
  <c r="AR343" i="3"/>
  <c r="AR349" i="3"/>
  <c r="AR366" i="3"/>
  <c r="AR370" i="3"/>
  <c r="AR379" i="3"/>
  <c r="AR384" i="3"/>
  <c r="AR390" i="3"/>
  <c r="AR5" i="3"/>
  <c r="AR21" i="3"/>
  <c r="AR29" i="3"/>
  <c r="AR53" i="3"/>
  <c r="AR54" i="3"/>
  <c r="AR70" i="3"/>
  <c r="AR87" i="3"/>
  <c r="AR93" i="3"/>
  <c r="AR103" i="3"/>
  <c r="AR111" i="3"/>
  <c r="AR115" i="3"/>
  <c r="AR123" i="3"/>
  <c r="AR131" i="3"/>
  <c r="AR145" i="3"/>
  <c r="AR149" i="3"/>
  <c r="AR152" i="3"/>
  <c r="AR158" i="3"/>
  <c r="AR164" i="3"/>
  <c r="AR172" i="3"/>
  <c r="AR178" i="3"/>
  <c r="AR185" i="3"/>
  <c r="AR190" i="3"/>
  <c r="AR207" i="3"/>
  <c r="AR211" i="3"/>
  <c r="AR216" i="3"/>
  <c r="AR238" i="3"/>
  <c r="AR242" i="3"/>
  <c r="AR258" i="3"/>
  <c r="AR266" i="3"/>
  <c r="AR281" i="3"/>
  <c r="AR294" i="3"/>
  <c r="AR333" i="3"/>
  <c r="AR338" i="3"/>
  <c r="AR352" i="3"/>
  <c r="AR357" i="3"/>
  <c r="AR361" i="3"/>
  <c r="AR371" i="3"/>
  <c r="AR374" i="3"/>
  <c r="AR380" i="3"/>
  <c r="AR385" i="3"/>
  <c r="AR6" i="3"/>
  <c r="AR22" i="3"/>
  <c r="AR30" i="3"/>
  <c r="AR48" i="3"/>
  <c r="AR55" i="3"/>
  <c r="AR64" i="3"/>
  <c r="AR67" i="3"/>
  <c r="AR71" i="3"/>
  <c r="AR76" i="3"/>
  <c r="AR94" i="3"/>
  <c r="AR98" i="3"/>
  <c r="AR104" i="3"/>
  <c r="AR112" i="3"/>
  <c r="AR116" i="3"/>
  <c r="AR124" i="3"/>
  <c r="AR132" i="3"/>
  <c r="AR142" i="3"/>
  <c r="AR153" i="3"/>
  <c r="AR159" i="3"/>
  <c r="AR165" i="3"/>
  <c r="AR179" i="3"/>
  <c r="AR186" i="3"/>
  <c r="AR196" i="3"/>
  <c r="AR203" i="3"/>
  <c r="AR212" i="3"/>
  <c r="AR221" i="3"/>
  <c r="AR228" i="3"/>
  <c r="AR243" i="3"/>
  <c r="AR246" i="3"/>
  <c r="AR259" i="3"/>
  <c r="AR267" i="3"/>
  <c r="AR282" i="3"/>
  <c r="AR295" i="3"/>
  <c r="AR301" i="3"/>
  <c r="AR306" i="3"/>
  <c r="AR309" i="3"/>
  <c r="AR314" i="3"/>
  <c r="AR319" i="3"/>
  <c r="AR325" i="3"/>
  <c r="AR329" i="3"/>
  <c r="AR339" i="3"/>
  <c r="AR344" i="3"/>
  <c r="AR353" i="3"/>
  <c r="AR358" i="3"/>
  <c r="AR367" i="3"/>
  <c r="AR375" i="3"/>
  <c r="AR381" i="3"/>
  <c r="AR386" i="3"/>
  <c r="AR391" i="3"/>
  <c r="AR7" i="3"/>
  <c r="AR23" i="3"/>
  <c r="AR31" i="3"/>
  <c r="AR49" i="3"/>
  <c r="AR59" i="3"/>
  <c r="AR77" i="3"/>
  <c r="AR88" i="3"/>
  <c r="AR105" i="3"/>
  <c r="AR113" i="3"/>
  <c r="AR117" i="3"/>
  <c r="AR125" i="3"/>
  <c r="AR133" i="3"/>
  <c r="AR138" i="3"/>
  <c r="AR144" i="3"/>
  <c r="AR147" i="3"/>
  <c r="AR160" i="3"/>
  <c r="AR166" i="3"/>
  <c r="AR173" i="3"/>
  <c r="AR180" i="3"/>
  <c r="AR187" i="3"/>
  <c r="AR191" i="3"/>
  <c r="AR197" i="3"/>
  <c r="AR208" i="3"/>
  <c r="AR217" i="3"/>
  <c r="AR222" i="3"/>
  <c r="AR225" i="3"/>
  <c r="AR234" i="3"/>
  <c r="AR247" i="3"/>
  <c r="AR250" i="3"/>
  <c r="AR260" i="3"/>
  <c r="AR268" i="3"/>
  <c r="AR283" i="3"/>
  <c r="AR297" i="3"/>
  <c r="AR302" i="3"/>
  <c r="AR315" i="3"/>
  <c r="AR320" i="3"/>
  <c r="AR330" i="3"/>
  <c r="AR334" i="3"/>
  <c r="AR340" i="3"/>
  <c r="AR354" i="3"/>
  <c r="AR359" i="3"/>
  <c r="AR364" i="3"/>
  <c r="AR372" i="3"/>
  <c r="AR376" i="3"/>
  <c r="AR387" i="3"/>
  <c r="AR24" i="3"/>
  <c r="AR32" i="3"/>
  <c r="AR50" i="3"/>
  <c r="AR60" i="3"/>
  <c r="AR72" i="3"/>
  <c r="AR84" i="3"/>
  <c r="AR89" i="3"/>
  <c r="AR95" i="3"/>
  <c r="AR99" i="3"/>
  <c r="AR106" i="3"/>
  <c r="AR118" i="3"/>
  <c r="AR126" i="3"/>
  <c r="AR134" i="3"/>
  <c r="AR139" i="3"/>
  <c r="AR154" i="3"/>
  <c r="AR167" i="3"/>
  <c r="AR174" i="3"/>
  <c r="AR181" i="3"/>
  <c r="AR188" i="3"/>
  <c r="AR192" i="3"/>
  <c r="AR198" i="3"/>
  <c r="AR209" i="3"/>
  <c r="AR213" i="3"/>
  <c r="AR226" i="3"/>
  <c r="AR229" i="3"/>
  <c r="AR235" i="3"/>
  <c r="AR248" i="3"/>
  <c r="AR261" i="3"/>
  <c r="AR269" i="3"/>
  <c r="AR284" i="3"/>
  <c r="AR298" i="3"/>
  <c r="AR307" i="3"/>
  <c r="AR310" i="3"/>
  <c r="AR322" i="3"/>
  <c r="AR326" i="3"/>
  <c r="AR335" i="3"/>
  <c r="AR341" i="3"/>
  <c r="AR345" i="3"/>
  <c r="AR355" i="3"/>
  <c r="AR368" i="3"/>
  <c r="AR382" i="3"/>
  <c r="AR8" i="3"/>
  <c r="AR25" i="3"/>
  <c r="AR33" i="3"/>
  <c r="AR56" i="3"/>
  <c r="AR61" i="3"/>
  <c r="AR65" i="3"/>
  <c r="AR68" i="3"/>
  <c r="AR78" i="3"/>
  <c r="AR90" i="3"/>
  <c r="AR107" i="3"/>
  <c r="AR119" i="3"/>
  <c r="AR127" i="3"/>
  <c r="AR135" i="3"/>
  <c r="AR140" i="3"/>
  <c r="AR143" i="3"/>
  <c r="AR150" i="3"/>
  <c r="AR161" i="3"/>
  <c r="AR168" i="3"/>
  <c r="AR175" i="3"/>
  <c r="AR182" i="3"/>
  <c r="AR193" i="3"/>
  <c r="AR204" i="3"/>
  <c r="AR214" i="3"/>
  <c r="AR218" i="3"/>
  <c r="AR232" i="3"/>
  <c r="AR239" i="3"/>
  <c r="AR249" i="3"/>
  <c r="AR251" i="3"/>
  <c r="AR262" i="3"/>
  <c r="AR270" i="3"/>
  <c r="AR286" i="3"/>
  <c r="AR304" i="3"/>
  <c r="AR311" i="3"/>
  <c r="AR316" i="3"/>
  <c r="AR377" i="3"/>
  <c r="AR388" i="3"/>
  <c r="AR392" i="3"/>
  <c r="AR9" i="3"/>
  <c r="AR26" i="3"/>
  <c r="AR34" i="3"/>
  <c r="AR51" i="3"/>
  <c r="AR57" i="3"/>
  <c r="AR62" i="3"/>
  <c r="AR73" i="3"/>
  <c r="AR79" i="3"/>
  <c r="AR91" i="3"/>
  <c r="AR96" i="3"/>
  <c r="AR100" i="3"/>
  <c r="AR108" i="3"/>
  <c r="AR120" i="3"/>
  <c r="AR128" i="3"/>
  <c r="AR146" i="3"/>
  <c r="AR155" i="3"/>
  <c r="AR162" i="3"/>
  <c r="AR169" i="3"/>
  <c r="AR176" i="3"/>
  <c r="AR189" i="3"/>
  <c r="AR201" i="3"/>
  <c r="AR205" i="3"/>
  <c r="AR219" i="3"/>
  <c r="AR223" i="3"/>
  <c r="AR230" i="3"/>
  <c r="AR236" i="3"/>
  <c r="AR240" i="3"/>
  <c r="AR244" i="3"/>
  <c r="AR252" i="3"/>
  <c r="AR255" i="3"/>
  <c r="AR263" i="3"/>
  <c r="AR271" i="3"/>
  <c r="AR299" i="3"/>
  <c r="AR317" i="3"/>
  <c r="AR323" i="3"/>
  <c r="AR327" i="3"/>
  <c r="AR331" i="3"/>
  <c r="AR336" i="3"/>
  <c r="AR342" i="3"/>
  <c r="AR346" i="3"/>
  <c r="AR347" i="3"/>
  <c r="AR350" i="3"/>
  <c r="AR360" i="3"/>
  <c r="AR362" i="3"/>
  <c r="AR365" i="3"/>
  <c r="AR369" i="3"/>
  <c r="AR373" i="3"/>
  <c r="AR383" i="3"/>
  <c r="AR389" i="3"/>
  <c r="E729" i="8"/>
  <c r="D729" i="8"/>
  <c r="B729" i="8"/>
  <c r="A729" i="8"/>
  <c r="E728" i="8"/>
  <c r="D728" i="8"/>
  <c r="B728" i="8"/>
  <c r="A728" i="8"/>
  <c r="E727" i="8"/>
  <c r="D727" i="8"/>
  <c r="B727" i="8"/>
  <c r="A727" i="8"/>
  <c r="E726" i="8"/>
  <c r="D726" i="8"/>
  <c r="B726" i="8"/>
  <c r="A726" i="8"/>
  <c r="E725" i="8"/>
  <c r="D725" i="8"/>
  <c r="B725" i="8"/>
  <c r="A725" i="8"/>
  <c r="E724" i="8"/>
  <c r="D724" i="8"/>
  <c r="B724" i="8"/>
  <c r="A724" i="8"/>
  <c r="E723" i="8"/>
  <c r="D723" i="8"/>
  <c r="B723" i="8"/>
  <c r="A723" i="8"/>
  <c r="E722" i="8"/>
  <c r="D722" i="8"/>
  <c r="B722" i="8"/>
  <c r="A722" i="8"/>
  <c r="E721" i="8"/>
  <c r="D721" i="8"/>
  <c r="B721" i="8"/>
  <c r="A721" i="8"/>
  <c r="E720" i="8"/>
  <c r="D720" i="8"/>
  <c r="B720" i="8"/>
  <c r="A720" i="8"/>
  <c r="E719" i="8"/>
  <c r="D719" i="8"/>
  <c r="B719" i="8"/>
  <c r="A719" i="8"/>
  <c r="E718" i="8"/>
  <c r="D718" i="8"/>
  <c r="B718" i="8"/>
  <c r="A718" i="8"/>
  <c r="E717" i="8"/>
  <c r="D717" i="8"/>
  <c r="B717" i="8"/>
  <c r="A717" i="8"/>
  <c r="E716" i="8"/>
  <c r="D716" i="8"/>
  <c r="B716" i="8"/>
  <c r="A716" i="8"/>
  <c r="E715" i="8"/>
  <c r="D715" i="8"/>
  <c r="B715" i="8"/>
  <c r="A715" i="8"/>
  <c r="E714" i="8"/>
  <c r="D714" i="8"/>
  <c r="B714" i="8"/>
  <c r="A714" i="8"/>
  <c r="E713" i="8"/>
  <c r="D713" i="8"/>
  <c r="B713" i="8"/>
  <c r="A713" i="8"/>
  <c r="E712" i="8"/>
  <c r="D712" i="8"/>
  <c r="B712" i="8"/>
  <c r="A712" i="8"/>
  <c r="E711" i="8"/>
  <c r="D711" i="8"/>
  <c r="B711" i="8"/>
  <c r="A711" i="8"/>
  <c r="E710" i="8"/>
  <c r="D710" i="8"/>
  <c r="B710" i="8"/>
  <c r="A710" i="8"/>
  <c r="E709" i="8"/>
  <c r="D709" i="8"/>
  <c r="B709" i="8"/>
  <c r="A709" i="8"/>
  <c r="E708" i="8"/>
  <c r="D708" i="8"/>
  <c r="B708" i="8"/>
  <c r="A708" i="8"/>
  <c r="E707" i="8"/>
  <c r="D707" i="8"/>
  <c r="B707" i="8"/>
  <c r="A707" i="8"/>
  <c r="E706" i="8"/>
  <c r="D706" i="8"/>
  <c r="B706" i="8"/>
  <c r="A706" i="8"/>
  <c r="E705" i="8"/>
  <c r="D705" i="8"/>
  <c r="B705" i="8"/>
  <c r="A705" i="8"/>
  <c r="E704" i="8"/>
  <c r="D704" i="8"/>
  <c r="B704" i="8"/>
  <c r="A704" i="8"/>
  <c r="E703" i="8"/>
  <c r="D703" i="8"/>
  <c r="B703" i="8"/>
  <c r="A703" i="8"/>
  <c r="E702" i="8"/>
  <c r="D702" i="8"/>
  <c r="B702" i="8"/>
  <c r="A702" i="8"/>
  <c r="AQ288" i="3" l="1"/>
  <c r="AQ287" i="3"/>
  <c r="AQ82" i="3"/>
  <c r="AQ393" i="3"/>
  <c r="AQ273" i="3"/>
  <c r="AQ10" i="3"/>
  <c r="AQ11" i="3"/>
  <c r="AQ69" i="3"/>
  <c r="AQ303" i="3"/>
  <c r="AQ12" i="3"/>
  <c r="AQ13" i="3"/>
  <c r="AQ14" i="3"/>
  <c r="AQ15" i="3"/>
  <c r="AQ274" i="3"/>
  <c r="AQ17" i="3"/>
  <c r="AQ18" i="3"/>
  <c r="AQ16" i="3"/>
  <c r="AQ199" i="3"/>
  <c r="AQ200" i="3"/>
  <c r="AQ275" i="3"/>
  <c r="AQ321" i="3"/>
  <c r="AQ277" i="3"/>
  <c r="AQ278" i="3"/>
  <c r="AQ279" i="3"/>
  <c r="AQ280" i="3"/>
  <c r="AQ285" i="3"/>
  <c r="AQ36" i="3"/>
  <c r="AQ37" i="3"/>
  <c r="AQ38" i="3"/>
  <c r="AQ40" i="3"/>
  <c r="AQ289" i="3"/>
  <c r="AQ41" i="3"/>
  <c r="AQ42" i="3"/>
  <c r="AQ43" i="3"/>
  <c r="AQ44" i="3"/>
  <c r="AQ83" i="3"/>
  <c r="AQ290" i="3"/>
  <c r="AQ291" i="3"/>
  <c r="AQ45" i="3"/>
  <c r="AQ46" i="3"/>
  <c r="AQ47" i="3"/>
  <c r="AQ296" i="3"/>
  <c r="AQ9" i="3"/>
  <c r="AQ26" i="3"/>
  <c r="AQ34" i="3"/>
  <c r="AQ51" i="3"/>
  <c r="AQ57" i="3"/>
  <c r="AQ62" i="3"/>
  <c r="AQ73" i="3"/>
  <c r="AQ79" i="3"/>
  <c r="AQ91" i="3"/>
  <c r="AQ96" i="3"/>
  <c r="AQ100" i="3"/>
  <c r="AQ108" i="3"/>
  <c r="AQ120" i="3"/>
  <c r="AQ128" i="3"/>
  <c r="AQ146" i="3"/>
  <c r="AQ155" i="3"/>
  <c r="AQ162" i="3"/>
  <c r="AQ169" i="3"/>
  <c r="AQ176" i="3"/>
  <c r="AQ189" i="3"/>
  <c r="AQ201" i="3"/>
  <c r="AQ205" i="3"/>
  <c r="AQ219" i="3"/>
  <c r="AQ223" i="3"/>
  <c r="AQ230" i="3"/>
  <c r="AQ236" i="3"/>
  <c r="AQ240" i="3"/>
  <c r="AQ244" i="3"/>
  <c r="AQ252" i="3"/>
  <c r="AQ255" i="3"/>
  <c r="AQ263" i="3"/>
  <c r="AQ271" i="3"/>
  <c r="AQ299" i="3"/>
  <c r="AQ317" i="3"/>
  <c r="AQ323" i="3"/>
  <c r="AQ327" i="3"/>
  <c r="AQ331" i="3"/>
  <c r="AQ336" i="3"/>
  <c r="AQ342" i="3"/>
  <c r="AQ346" i="3"/>
  <c r="AQ347" i="3"/>
  <c r="AQ350" i="3"/>
  <c r="AQ360" i="3"/>
  <c r="AQ362" i="3"/>
  <c r="AQ365" i="3"/>
  <c r="AQ369" i="3"/>
  <c r="AQ373" i="3"/>
  <c r="AQ383" i="3"/>
  <c r="AQ389" i="3"/>
  <c r="AQ215" i="3"/>
  <c r="AQ253" i="3"/>
  <c r="AQ3" i="3"/>
  <c r="AQ19" i="3"/>
  <c r="AQ27" i="3"/>
  <c r="AQ35" i="3"/>
  <c r="AQ52" i="3"/>
  <c r="AQ74" i="3"/>
  <c r="AQ80" i="3"/>
  <c r="AQ85" i="3"/>
  <c r="AQ92" i="3"/>
  <c r="AQ101" i="3"/>
  <c r="AQ109" i="3"/>
  <c r="AQ121" i="3"/>
  <c r="AQ129" i="3"/>
  <c r="AQ136" i="3"/>
  <c r="AQ141" i="3"/>
  <c r="AQ148" i="3"/>
  <c r="AQ151" i="3"/>
  <c r="AQ156" i="3"/>
  <c r="AQ170" i="3"/>
  <c r="AQ177" i="3"/>
  <c r="AQ183" i="3"/>
  <c r="AQ194" i="3"/>
  <c r="AQ227" i="3"/>
  <c r="AQ264" i="3"/>
  <c r="AQ348" i="3"/>
  <c r="AQ356" i="3"/>
  <c r="AQ4" i="3"/>
  <c r="AQ20" i="3"/>
  <c r="AQ28" i="3"/>
  <c r="AQ39" i="3"/>
  <c r="AQ58" i="3"/>
  <c r="AQ63" i="3"/>
  <c r="AQ66" i="3"/>
  <c r="AQ75" i="3"/>
  <c r="AQ81" i="3"/>
  <c r="AQ86" i="3"/>
  <c r="AQ97" i="3"/>
  <c r="AQ102" i="3"/>
  <c r="AQ110" i="3"/>
  <c r="AQ114" i="3"/>
  <c r="AQ122" i="3"/>
  <c r="AQ130" i="3"/>
  <c r="AQ137" i="3"/>
  <c r="AQ157" i="3"/>
  <c r="AQ163" i="3"/>
  <c r="AQ171" i="3"/>
  <c r="AQ184" i="3"/>
  <c r="AQ195" i="3"/>
  <c r="AQ202" i="3"/>
  <c r="AQ206" i="3"/>
  <c r="AQ220" i="3"/>
  <c r="AQ224" i="3"/>
  <c r="AQ231" i="3"/>
  <c r="AQ233" i="3"/>
  <c r="AQ241" i="3"/>
  <c r="AQ254" i="3"/>
  <c r="AQ257" i="3"/>
  <c r="AQ265" i="3"/>
  <c r="AQ276" i="3"/>
  <c r="AQ293" i="3"/>
  <c r="AQ300" i="3"/>
  <c r="AQ305" i="3"/>
  <c r="AQ308" i="3"/>
  <c r="AQ313" i="3"/>
  <c r="AQ318" i="3"/>
  <c r="AQ324" i="3"/>
  <c r="AQ328" i="3"/>
  <c r="AQ332" i="3"/>
  <c r="AQ337" i="3"/>
  <c r="AQ343" i="3"/>
  <c r="AQ349" i="3"/>
  <c r="AQ366" i="3"/>
  <c r="AQ370" i="3"/>
  <c r="AQ379" i="3"/>
  <c r="AQ384" i="3"/>
  <c r="AQ390" i="3"/>
  <c r="AQ267" i="3"/>
  <c r="AQ301" i="3"/>
  <c r="AQ309" i="3"/>
  <c r="AQ325" i="3"/>
  <c r="AQ339" i="3"/>
  <c r="AQ5" i="3"/>
  <c r="AQ21" i="3"/>
  <c r="AQ29" i="3"/>
  <c r="AQ53" i="3"/>
  <c r="AQ54" i="3"/>
  <c r="AQ70" i="3"/>
  <c r="AQ87" i="3"/>
  <c r="AQ93" i="3"/>
  <c r="AQ103" i="3"/>
  <c r="AQ111" i="3"/>
  <c r="AQ115" i="3"/>
  <c r="AQ123" i="3"/>
  <c r="AQ131" i="3"/>
  <c r="AQ145" i="3"/>
  <c r="AQ149" i="3"/>
  <c r="AQ152" i="3"/>
  <c r="AQ158" i="3"/>
  <c r="AQ164" i="3"/>
  <c r="AQ172" i="3"/>
  <c r="AQ178" i="3"/>
  <c r="AQ185" i="3"/>
  <c r="AQ190" i="3"/>
  <c r="AQ207" i="3"/>
  <c r="AQ211" i="3"/>
  <c r="AQ216" i="3"/>
  <c r="AQ238" i="3"/>
  <c r="AQ242" i="3"/>
  <c r="AQ258" i="3"/>
  <c r="AQ266" i="3"/>
  <c r="AQ281" i="3"/>
  <c r="AQ294" i="3"/>
  <c r="AQ333" i="3"/>
  <c r="AQ338" i="3"/>
  <c r="AQ352" i="3"/>
  <c r="AQ357" i="3"/>
  <c r="AQ361" i="3"/>
  <c r="AQ371" i="3"/>
  <c r="AQ374" i="3"/>
  <c r="AQ380" i="3"/>
  <c r="AQ385" i="3"/>
  <c r="AQ212" i="3"/>
  <c r="AQ228" i="3"/>
  <c r="AQ246" i="3"/>
  <c r="AQ282" i="3"/>
  <c r="AQ306" i="3"/>
  <c r="AQ319" i="3"/>
  <c r="AQ344" i="3"/>
  <c r="AQ6" i="3"/>
  <c r="AQ22" i="3"/>
  <c r="AQ30" i="3"/>
  <c r="AQ48" i="3"/>
  <c r="AQ55" i="3"/>
  <c r="AQ64" i="3"/>
  <c r="AQ67" i="3"/>
  <c r="AQ71" i="3"/>
  <c r="AQ76" i="3"/>
  <c r="AQ94" i="3"/>
  <c r="AQ98" i="3"/>
  <c r="AQ104" i="3"/>
  <c r="AQ112" i="3"/>
  <c r="AQ116" i="3"/>
  <c r="AQ124" i="3"/>
  <c r="AQ132" i="3"/>
  <c r="AQ142" i="3"/>
  <c r="AQ153" i="3"/>
  <c r="AQ159" i="3"/>
  <c r="AQ165" i="3"/>
  <c r="AQ179" i="3"/>
  <c r="AQ186" i="3"/>
  <c r="AQ196" i="3"/>
  <c r="AQ203" i="3"/>
  <c r="AQ221" i="3"/>
  <c r="AQ243" i="3"/>
  <c r="AQ259" i="3"/>
  <c r="AQ295" i="3"/>
  <c r="AQ314" i="3"/>
  <c r="AQ329" i="3"/>
  <c r="AQ353" i="3"/>
  <c r="AQ7" i="3"/>
  <c r="AQ23" i="3"/>
  <c r="AQ31" i="3"/>
  <c r="AQ49" i="3"/>
  <c r="AQ59" i="3"/>
  <c r="AQ77" i="3"/>
  <c r="AQ88" i="3"/>
  <c r="AQ105" i="3"/>
  <c r="AQ113" i="3"/>
  <c r="AQ117" i="3"/>
  <c r="AQ125" i="3"/>
  <c r="AQ133" i="3"/>
  <c r="AQ138" i="3"/>
  <c r="AQ144" i="3"/>
  <c r="AQ147" i="3"/>
  <c r="AQ160" i="3"/>
  <c r="AQ166" i="3"/>
  <c r="AQ173" i="3"/>
  <c r="AQ180" i="3"/>
  <c r="AQ187" i="3"/>
  <c r="AQ191" i="3"/>
  <c r="AQ197" i="3"/>
  <c r="AQ208" i="3"/>
  <c r="AQ217" i="3"/>
  <c r="AQ222" i="3"/>
  <c r="AQ225" i="3"/>
  <c r="AQ234" i="3"/>
  <c r="AQ247" i="3"/>
  <c r="AQ250" i="3"/>
  <c r="AQ260" i="3"/>
  <c r="AQ268" i="3"/>
  <c r="AQ283" i="3"/>
  <c r="AQ297" i="3"/>
  <c r="AQ302" i="3"/>
  <c r="AQ315" i="3"/>
  <c r="AQ320" i="3"/>
  <c r="AQ330" i="3"/>
  <c r="AQ334" i="3"/>
  <c r="AQ340" i="3"/>
  <c r="AQ354" i="3"/>
  <c r="AQ359" i="3"/>
  <c r="AQ364" i="3"/>
  <c r="AQ372" i="3"/>
  <c r="AQ376" i="3"/>
  <c r="AQ387" i="3"/>
  <c r="AQ210" i="3"/>
  <c r="AQ245" i="3"/>
  <c r="AQ272" i="3"/>
  <c r="AQ312" i="3"/>
  <c r="AQ24" i="3"/>
  <c r="AQ32" i="3"/>
  <c r="AQ50" i="3"/>
  <c r="AQ60" i="3"/>
  <c r="AQ72" i="3"/>
  <c r="AQ84" i="3"/>
  <c r="AQ89" i="3"/>
  <c r="AQ95" i="3"/>
  <c r="AQ99" i="3"/>
  <c r="AQ106" i="3"/>
  <c r="AQ118" i="3"/>
  <c r="AQ126" i="3"/>
  <c r="AQ134" i="3"/>
  <c r="AQ139" i="3"/>
  <c r="AQ154" i="3"/>
  <c r="AQ167" i="3"/>
  <c r="AQ174" i="3"/>
  <c r="AQ181" i="3"/>
  <c r="AQ188" i="3"/>
  <c r="AQ192" i="3"/>
  <c r="AQ198" i="3"/>
  <c r="AQ209" i="3"/>
  <c r="AQ213" i="3"/>
  <c r="AQ226" i="3"/>
  <c r="AQ229" i="3"/>
  <c r="AQ235" i="3"/>
  <c r="AQ248" i="3"/>
  <c r="AQ261" i="3"/>
  <c r="AQ269" i="3"/>
  <c r="AQ284" i="3"/>
  <c r="AQ298" i="3"/>
  <c r="AQ307" i="3"/>
  <c r="AQ310" i="3"/>
  <c r="AQ322" i="3"/>
  <c r="AQ326" i="3"/>
  <c r="AQ335" i="3"/>
  <c r="AQ341" i="3"/>
  <c r="AQ345" i="3"/>
  <c r="AQ355" i="3"/>
  <c r="AQ368" i="3"/>
  <c r="AQ382" i="3"/>
  <c r="AQ237" i="3"/>
  <c r="AQ256" i="3"/>
  <c r="AQ363" i="3"/>
  <c r="AQ8" i="3"/>
  <c r="AQ25" i="3"/>
  <c r="AQ33" i="3"/>
  <c r="AQ56" i="3"/>
  <c r="AQ61" i="3"/>
  <c r="AQ65" i="3"/>
  <c r="AQ68" i="3"/>
  <c r="AQ78" i="3"/>
  <c r="AQ90" i="3"/>
  <c r="AQ107" i="3"/>
  <c r="AQ119" i="3"/>
  <c r="AQ127" i="3"/>
  <c r="AQ135" i="3"/>
  <c r="AQ140" i="3"/>
  <c r="AQ143" i="3"/>
  <c r="AQ150" i="3"/>
  <c r="AQ161" i="3"/>
  <c r="AQ168" i="3"/>
  <c r="AQ175" i="3"/>
  <c r="AQ182" i="3"/>
  <c r="AQ193" i="3"/>
  <c r="AQ204" i="3"/>
  <c r="AQ214" i="3"/>
  <c r="AQ218" i="3"/>
  <c r="AQ232" i="3"/>
  <c r="AQ239" i="3"/>
  <c r="AQ249" i="3"/>
  <c r="AQ251" i="3"/>
  <c r="AQ262" i="3"/>
  <c r="AQ270" i="3"/>
  <c r="AQ286" i="3"/>
  <c r="AQ304" i="3"/>
  <c r="AQ311" i="3"/>
  <c r="AQ316" i="3"/>
  <c r="AQ377" i="3"/>
  <c r="AQ388" i="3"/>
  <c r="AQ392" i="3"/>
  <c r="AQ292" i="3"/>
  <c r="AQ351" i="3"/>
  <c r="AQ378" i="3"/>
  <c r="AQ358" i="3"/>
  <c r="AQ375" i="3"/>
  <c r="AQ381" i="3"/>
  <c r="AQ386" i="3"/>
  <c r="AQ391" i="3"/>
  <c r="AQ367" i="3"/>
  <c r="E783" i="8"/>
  <c r="D783" i="8"/>
  <c r="B783" i="8"/>
  <c r="A783" i="8"/>
  <c r="E782" i="8"/>
  <c r="D782" i="8"/>
  <c r="B782" i="8"/>
  <c r="A782" i="8"/>
  <c r="E781" i="8"/>
  <c r="D781" i="8"/>
  <c r="B781" i="8"/>
  <c r="A781" i="8"/>
  <c r="E780" i="8"/>
  <c r="D780" i="8"/>
  <c r="B780" i="8"/>
  <c r="A780" i="8"/>
  <c r="E779" i="8"/>
  <c r="D779" i="8"/>
  <c r="B779" i="8"/>
  <c r="A779" i="8"/>
  <c r="E778" i="8"/>
  <c r="D778" i="8"/>
  <c r="B778" i="8"/>
  <c r="A778" i="8"/>
  <c r="AT288" i="3" l="1"/>
  <c r="AT287" i="3"/>
  <c r="AT82" i="3"/>
  <c r="AT393" i="3"/>
  <c r="AT273" i="3"/>
  <c r="AT10" i="3"/>
  <c r="AT11" i="3"/>
  <c r="AT69" i="3"/>
  <c r="AT303" i="3"/>
  <c r="AT12" i="3"/>
  <c r="AT13" i="3"/>
  <c r="AT14" i="3"/>
  <c r="AT15" i="3"/>
  <c r="AT274" i="3"/>
  <c r="AT17" i="3"/>
  <c r="AT18" i="3"/>
  <c r="AT16" i="3"/>
  <c r="AT199" i="3"/>
  <c r="AT200" i="3"/>
  <c r="AT275" i="3"/>
  <c r="AT321" i="3"/>
  <c r="AT277" i="3"/>
  <c r="AT278" i="3"/>
  <c r="AT279" i="3"/>
  <c r="AT280" i="3"/>
  <c r="AT285" i="3"/>
  <c r="AT36" i="3"/>
  <c r="AT37" i="3"/>
  <c r="AT38" i="3"/>
  <c r="AT40" i="3"/>
  <c r="AT289" i="3"/>
  <c r="AT41" i="3"/>
  <c r="AT42" i="3"/>
  <c r="AT43" i="3"/>
  <c r="AT44" i="3"/>
  <c r="AT83" i="3"/>
  <c r="AT290" i="3"/>
  <c r="AT291" i="3"/>
  <c r="AT45" i="3"/>
  <c r="AT46" i="3"/>
  <c r="AT47" i="3"/>
  <c r="AT296" i="3"/>
  <c r="AT8" i="3"/>
  <c r="AT25" i="3"/>
  <c r="AT33" i="3"/>
  <c r="AT56" i="3"/>
  <c r="AT61" i="3"/>
  <c r="AT65" i="3"/>
  <c r="AT68" i="3"/>
  <c r="AT78" i="3"/>
  <c r="AT90" i="3"/>
  <c r="AT107" i="3"/>
  <c r="AT119" i="3"/>
  <c r="AT127" i="3"/>
  <c r="AT135" i="3"/>
  <c r="AT140" i="3"/>
  <c r="AT143" i="3"/>
  <c r="AT150" i="3"/>
  <c r="AT161" i="3"/>
  <c r="AT168" i="3"/>
  <c r="AT175" i="3"/>
  <c r="AT182" i="3"/>
  <c r="AT193" i="3"/>
  <c r="AT204" i="3"/>
  <c r="AT214" i="3"/>
  <c r="AT218" i="3"/>
  <c r="AT232" i="3"/>
  <c r="AT239" i="3"/>
  <c r="AT249" i="3"/>
  <c r="AT251" i="3"/>
  <c r="AT262" i="3"/>
  <c r="AT270" i="3"/>
  <c r="AT286" i="3"/>
  <c r="AT304" i="3"/>
  <c r="AT311" i="3"/>
  <c r="AT316" i="3"/>
  <c r="AT377" i="3"/>
  <c r="AT388" i="3"/>
  <c r="AT392" i="3"/>
  <c r="AT9" i="3"/>
  <c r="AT26" i="3"/>
  <c r="AT34" i="3"/>
  <c r="AT51" i="3"/>
  <c r="AT57" i="3"/>
  <c r="AT62" i="3"/>
  <c r="AT73" i="3"/>
  <c r="AT79" i="3"/>
  <c r="AT91" i="3"/>
  <c r="AT96" i="3"/>
  <c r="AT100" i="3"/>
  <c r="AT108" i="3"/>
  <c r="AT120" i="3"/>
  <c r="AT128" i="3"/>
  <c r="AT146" i="3"/>
  <c r="AT155" i="3"/>
  <c r="AT162" i="3"/>
  <c r="AT169" i="3"/>
  <c r="AT176" i="3"/>
  <c r="AT189" i="3"/>
  <c r="AT201" i="3"/>
  <c r="AT205" i="3"/>
  <c r="AT219" i="3"/>
  <c r="AT223" i="3"/>
  <c r="AT230" i="3"/>
  <c r="AT236" i="3"/>
  <c r="AT240" i="3"/>
  <c r="AT244" i="3"/>
  <c r="AT252" i="3"/>
  <c r="AT255" i="3"/>
  <c r="AT263" i="3"/>
  <c r="AT271" i="3"/>
  <c r="AT299" i="3"/>
  <c r="AT317" i="3"/>
  <c r="AT323" i="3"/>
  <c r="AT327" i="3"/>
  <c r="AT331" i="3"/>
  <c r="AT336" i="3"/>
  <c r="AT342" i="3"/>
  <c r="AT346" i="3"/>
  <c r="AT347" i="3"/>
  <c r="AT350" i="3"/>
  <c r="AT360" i="3"/>
  <c r="AT362" i="3"/>
  <c r="AT365" i="3"/>
  <c r="AT369" i="3"/>
  <c r="AT373" i="3"/>
  <c r="AT383" i="3"/>
  <c r="AT389" i="3"/>
  <c r="AT3" i="3"/>
  <c r="AT19" i="3"/>
  <c r="AT27" i="3"/>
  <c r="AT35" i="3"/>
  <c r="AT52" i="3"/>
  <c r="AT74" i="3"/>
  <c r="AT80" i="3"/>
  <c r="AT85" i="3"/>
  <c r="AT92" i="3"/>
  <c r="AT101" i="3"/>
  <c r="AT109" i="3"/>
  <c r="AT121" i="3"/>
  <c r="AT129" i="3"/>
  <c r="AT136" i="3"/>
  <c r="AT141" i="3"/>
  <c r="AT148" i="3"/>
  <c r="AT151" i="3"/>
  <c r="AT156" i="3"/>
  <c r="AT170" i="3"/>
  <c r="AT177" i="3"/>
  <c r="AT183" i="3"/>
  <c r="AT194" i="3"/>
  <c r="AT210" i="3"/>
  <c r="AT215" i="3"/>
  <c r="AT227" i="3"/>
  <c r="AT237" i="3"/>
  <c r="AT245" i="3"/>
  <c r="AT253" i="3"/>
  <c r="AT256" i="3"/>
  <c r="AT264" i="3"/>
  <c r="AT272" i="3"/>
  <c r="AT292" i="3"/>
  <c r="AT312" i="3"/>
  <c r="AT348" i="3"/>
  <c r="AT351" i="3"/>
  <c r="AT356" i="3"/>
  <c r="AT363" i="3"/>
  <c r="AT378" i="3"/>
  <c r="AT4" i="3"/>
  <c r="AT20" i="3"/>
  <c r="AT28" i="3"/>
  <c r="AT39" i="3"/>
  <c r="AT58" i="3"/>
  <c r="AT63" i="3"/>
  <c r="AT66" i="3"/>
  <c r="AT75" i="3"/>
  <c r="AT81" i="3"/>
  <c r="AT86" i="3"/>
  <c r="AT97" i="3"/>
  <c r="AT102" i="3"/>
  <c r="AT110" i="3"/>
  <c r="AT114" i="3"/>
  <c r="AT122" i="3"/>
  <c r="AT130" i="3"/>
  <c r="AT137" i="3"/>
  <c r="AT157" i="3"/>
  <c r="AT163" i="3"/>
  <c r="AT171" i="3"/>
  <c r="AT184" i="3"/>
  <c r="AT195" i="3"/>
  <c r="AT202" i="3"/>
  <c r="AT206" i="3"/>
  <c r="AT220" i="3"/>
  <c r="AT224" i="3"/>
  <c r="AT231" i="3"/>
  <c r="AT233" i="3"/>
  <c r="AT241" i="3"/>
  <c r="AT254" i="3"/>
  <c r="AT257" i="3"/>
  <c r="AT265" i="3"/>
  <c r="AT276" i="3"/>
  <c r="AT293" i="3"/>
  <c r="AT300" i="3"/>
  <c r="AT305" i="3"/>
  <c r="AT308" i="3"/>
  <c r="AT313" i="3"/>
  <c r="AT318" i="3"/>
  <c r="AT324" i="3"/>
  <c r="AT328" i="3"/>
  <c r="AT332" i="3"/>
  <c r="AT337" i="3"/>
  <c r="AT343" i="3"/>
  <c r="AT349" i="3"/>
  <c r="AT366" i="3"/>
  <c r="AT370" i="3"/>
  <c r="AT379" i="3"/>
  <c r="AT384" i="3"/>
  <c r="AT390" i="3"/>
  <c r="AT5" i="3"/>
  <c r="AT21" i="3"/>
  <c r="AT29" i="3"/>
  <c r="AT53" i="3"/>
  <c r="AT54" i="3"/>
  <c r="AT70" i="3"/>
  <c r="AT87" i="3"/>
  <c r="AT93" i="3"/>
  <c r="AT103" i="3"/>
  <c r="AT111" i="3"/>
  <c r="AT115" i="3"/>
  <c r="AT123" i="3"/>
  <c r="AT131" i="3"/>
  <c r="AT145" i="3"/>
  <c r="AT149" i="3"/>
  <c r="AT152" i="3"/>
  <c r="AT158" i="3"/>
  <c r="AT164" i="3"/>
  <c r="AT172" i="3"/>
  <c r="AT178" i="3"/>
  <c r="AT185" i="3"/>
  <c r="AT190" i="3"/>
  <c r="AT207" i="3"/>
  <c r="AT211" i="3"/>
  <c r="AT216" i="3"/>
  <c r="AT238" i="3"/>
  <c r="AT242" i="3"/>
  <c r="AT258" i="3"/>
  <c r="AT266" i="3"/>
  <c r="AT281" i="3"/>
  <c r="AT294" i="3"/>
  <c r="AT333" i="3"/>
  <c r="AT338" i="3"/>
  <c r="AT352" i="3"/>
  <c r="AT357" i="3"/>
  <c r="AT361" i="3"/>
  <c r="AT371" i="3"/>
  <c r="AT374" i="3"/>
  <c r="AT380" i="3"/>
  <c r="AT385" i="3"/>
  <c r="AT6" i="3"/>
  <c r="AT22" i="3"/>
  <c r="AT30" i="3"/>
  <c r="AT48" i="3"/>
  <c r="AT55" i="3"/>
  <c r="AT64" i="3"/>
  <c r="AT67" i="3"/>
  <c r="AT71" i="3"/>
  <c r="AT76" i="3"/>
  <c r="AT94" i="3"/>
  <c r="AT98" i="3"/>
  <c r="AT104" i="3"/>
  <c r="AT112" i="3"/>
  <c r="AT116" i="3"/>
  <c r="AT124" i="3"/>
  <c r="AT132" i="3"/>
  <c r="AT142" i="3"/>
  <c r="AT153" i="3"/>
  <c r="AT159" i="3"/>
  <c r="AT165" i="3"/>
  <c r="AT179" i="3"/>
  <c r="AT186" i="3"/>
  <c r="AT196" i="3"/>
  <c r="AT203" i="3"/>
  <c r="AT212" i="3"/>
  <c r="AT221" i="3"/>
  <c r="AT228" i="3"/>
  <c r="AT243" i="3"/>
  <c r="AT246" i="3"/>
  <c r="AT259" i="3"/>
  <c r="AT267" i="3"/>
  <c r="AT282" i="3"/>
  <c r="AT295" i="3"/>
  <c r="AT301" i="3"/>
  <c r="AT306" i="3"/>
  <c r="AT309" i="3"/>
  <c r="AT314" i="3"/>
  <c r="AT319" i="3"/>
  <c r="AT325" i="3"/>
  <c r="AT329" i="3"/>
  <c r="AT339" i="3"/>
  <c r="AT344" i="3"/>
  <c r="AT353" i="3"/>
  <c r="AT358" i="3"/>
  <c r="AT367" i="3"/>
  <c r="AT375" i="3"/>
  <c r="AT381" i="3"/>
  <c r="AT386" i="3"/>
  <c r="AT391" i="3"/>
  <c r="AT7" i="3"/>
  <c r="AT23" i="3"/>
  <c r="AT31" i="3"/>
  <c r="AT49" i="3"/>
  <c r="AT59" i="3"/>
  <c r="AT77" i="3"/>
  <c r="AT88" i="3"/>
  <c r="AT105" i="3"/>
  <c r="AT113" i="3"/>
  <c r="AT117" i="3"/>
  <c r="AT125" i="3"/>
  <c r="AT133" i="3"/>
  <c r="AT138" i="3"/>
  <c r="AT144" i="3"/>
  <c r="AT147" i="3"/>
  <c r="AT160" i="3"/>
  <c r="AT166" i="3"/>
  <c r="AT173" i="3"/>
  <c r="AT180" i="3"/>
  <c r="AT187" i="3"/>
  <c r="AT191" i="3"/>
  <c r="AT197" i="3"/>
  <c r="AT208" i="3"/>
  <c r="AT217" i="3"/>
  <c r="AT222" i="3"/>
  <c r="AT225" i="3"/>
  <c r="AT234" i="3"/>
  <c r="AT247" i="3"/>
  <c r="AT250" i="3"/>
  <c r="AT260" i="3"/>
  <c r="AT268" i="3"/>
  <c r="AT283" i="3"/>
  <c r="AT297" i="3"/>
  <c r="AT302" i="3"/>
  <c r="AT315" i="3"/>
  <c r="AT320" i="3"/>
  <c r="AT330" i="3"/>
  <c r="AT334" i="3"/>
  <c r="AT340" i="3"/>
  <c r="AT354" i="3"/>
  <c r="AT359" i="3"/>
  <c r="AT364" i="3"/>
  <c r="AT372" i="3"/>
  <c r="AT376" i="3"/>
  <c r="AT387" i="3"/>
  <c r="AT24" i="3"/>
  <c r="AT32" i="3"/>
  <c r="AT50" i="3"/>
  <c r="AT60" i="3"/>
  <c r="AT72" i="3"/>
  <c r="AT84" i="3"/>
  <c r="AT89" i="3"/>
  <c r="AT95" i="3"/>
  <c r="AT99" i="3"/>
  <c r="AT106" i="3"/>
  <c r="AT118" i="3"/>
  <c r="AT126" i="3"/>
  <c r="AT134" i="3"/>
  <c r="AT139" i="3"/>
  <c r="AT154" i="3"/>
  <c r="AT167" i="3"/>
  <c r="AT174" i="3"/>
  <c r="AT181" i="3"/>
  <c r="AT188" i="3"/>
  <c r="AT192" i="3"/>
  <c r="AT198" i="3"/>
  <c r="AT209" i="3"/>
  <c r="AT213" i="3"/>
  <c r="AT226" i="3"/>
  <c r="AT229" i="3"/>
  <c r="AT235" i="3"/>
  <c r="AT248" i="3"/>
  <c r="AT261" i="3"/>
  <c r="AT269" i="3"/>
  <c r="AT284" i="3"/>
  <c r="AT298" i="3"/>
  <c r="AT307" i="3"/>
  <c r="AT310" i="3"/>
  <c r="AT322" i="3"/>
  <c r="AT326" i="3"/>
  <c r="AT335" i="3"/>
  <c r="AT341" i="3"/>
  <c r="AT345" i="3"/>
  <c r="AT355" i="3"/>
  <c r="AT368" i="3"/>
  <c r="AT382" i="3"/>
  <c r="E850" i="8"/>
  <c r="D850" i="8"/>
  <c r="B850" i="8"/>
  <c r="A850" i="8"/>
  <c r="E849" i="8"/>
  <c r="D849" i="8"/>
  <c r="B849" i="8"/>
  <c r="A849" i="8"/>
  <c r="E848" i="8"/>
  <c r="D848" i="8"/>
  <c r="B848" i="8"/>
  <c r="A848" i="8"/>
  <c r="E847" i="8"/>
  <c r="D847" i="8"/>
  <c r="B847" i="8"/>
  <c r="A847" i="8"/>
  <c r="E846" i="8"/>
  <c r="D846" i="8"/>
  <c r="B846" i="8"/>
  <c r="A846" i="8"/>
  <c r="E845" i="8"/>
  <c r="D845" i="8"/>
  <c r="B845" i="8"/>
  <c r="A845" i="8"/>
  <c r="E844" i="8"/>
  <c r="D844" i="8"/>
  <c r="B844" i="8"/>
  <c r="A844" i="8"/>
  <c r="E843" i="8"/>
  <c r="D843" i="8"/>
  <c r="B843" i="8"/>
  <c r="A843" i="8"/>
  <c r="E842" i="8"/>
  <c r="D842" i="8"/>
  <c r="B842" i="8"/>
  <c r="A842" i="8"/>
  <c r="E841" i="8"/>
  <c r="D841" i="8"/>
  <c r="B841" i="8"/>
  <c r="A841" i="8"/>
  <c r="E840" i="8"/>
  <c r="D840" i="8"/>
  <c r="B840" i="8"/>
  <c r="A840" i="8"/>
  <c r="E839" i="8"/>
  <c r="D839" i="8"/>
  <c r="B839" i="8"/>
  <c r="A839" i="8"/>
  <c r="E838" i="8"/>
  <c r="D838" i="8"/>
  <c r="B838" i="8"/>
  <c r="A838" i="8"/>
  <c r="E837" i="8"/>
  <c r="D837" i="8"/>
  <c r="B837" i="8"/>
  <c r="A837" i="8"/>
  <c r="E836" i="8"/>
  <c r="D836" i="8"/>
  <c r="B836" i="8"/>
  <c r="A836" i="8"/>
  <c r="E835" i="8"/>
  <c r="D835" i="8"/>
  <c r="B835" i="8"/>
  <c r="A835" i="8"/>
  <c r="E834" i="8"/>
  <c r="D834" i="8"/>
  <c r="B834" i="8"/>
  <c r="A834" i="8"/>
  <c r="E833" i="8"/>
  <c r="D833" i="8"/>
  <c r="B833" i="8"/>
  <c r="A833" i="8"/>
  <c r="E832" i="8"/>
  <c r="D832" i="8"/>
  <c r="B832" i="8"/>
  <c r="A832" i="8"/>
  <c r="E831" i="8"/>
  <c r="D831" i="8"/>
  <c r="B831" i="8"/>
  <c r="A831" i="8"/>
  <c r="E830" i="8"/>
  <c r="D830" i="8"/>
  <c r="B830" i="8"/>
  <c r="A830" i="8"/>
  <c r="E829" i="8"/>
  <c r="D829" i="8"/>
  <c r="B829" i="8"/>
  <c r="A829" i="8"/>
  <c r="E828" i="8"/>
  <c r="D828" i="8"/>
  <c r="B828" i="8"/>
  <c r="A828" i="8"/>
  <c r="AW288" i="3" l="1"/>
  <c r="AW287" i="3"/>
  <c r="AW82" i="3"/>
  <c r="AW393" i="3"/>
  <c r="AW273" i="3"/>
  <c r="AW10" i="3"/>
  <c r="AW11" i="3"/>
  <c r="AW69" i="3"/>
  <c r="AW303" i="3"/>
  <c r="AW12" i="3"/>
  <c r="AW13" i="3"/>
  <c r="AW14" i="3"/>
  <c r="AW15" i="3"/>
  <c r="AW274" i="3"/>
  <c r="AW17" i="3"/>
  <c r="AW18" i="3"/>
  <c r="AW16" i="3"/>
  <c r="AW199" i="3"/>
  <c r="AW200" i="3"/>
  <c r="AW275" i="3"/>
  <c r="AW321" i="3"/>
  <c r="AW277" i="3"/>
  <c r="AW278" i="3"/>
  <c r="AW279" i="3"/>
  <c r="AW280" i="3"/>
  <c r="AW285" i="3"/>
  <c r="AW36" i="3"/>
  <c r="AW37" i="3"/>
  <c r="AW38" i="3"/>
  <c r="AW40" i="3"/>
  <c r="AW289" i="3"/>
  <c r="AW41" i="3"/>
  <c r="AW42" i="3"/>
  <c r="AW43" i="3"/>
  <c r="AW44" i="3"/>
  <c r="AW83" i="3"/>
  <c r="AW290" i="3"/>
  <c r="AW291" i="3"/>
  <c r="AW45" i="3"/>
  <c r="AW46" i="3"/>
  <c r="AW47" i="3"/>
  <c r="AW296" i="3"/>
  <c r="AW3" i="3"/>
  <c r="AW19" i="3"/>
  <c r="AW27" i="3"/>
  <c r="AW35" i="3"/>
  <c r="AW52" i="3"/>
  <c r="AW74" i="3"/>
  <c r="AW80" i="3"/>
  <c r="AW85" i="3"/>
  <c r="AW92" i="3"/>
  <c r="AW101" i="3"/>
  <c r="AW109" i="3"/>
  <c r="AW121" i="3"/>
  <c r="AW129" i="3"/>
  <c r="AW136" i="3"/>
  <c r="AW141" i="3"/>
  <c r="AW148" i="3"/>
  <c r="AW151" i="3"/>
  <c r="AW156" i="3"/>
  <c r="AW170" i="3"/>
  <c r="AW177" i="3"/>
  <c r="AW183" i="3"/>
  <c r="AW194" i="3"/>
  <c r="AW210" i="3"/>
  <c r="AW215" i="3"/>
  <c r="AW227" i="3"/>
  <c r="AW237" i="3"/>
  <c r="AW245" i="3"/>
  <c r="AW253" i="3"/>
  <c r="AW256" i="3"/>
  <c r="AW264" i="3"/>
  <c r="AW272" i="3"/>
  <c r="AW292" i="3"/>
  <c r="AW312" i="3"/>
  <c r="AW348" i="3"/>
  <c r="AW351" i="3"/>
  <c r="AW356" i="3"/>
  <c r="AW363" i="3"/>
  <c r="AW378" i="3"/>
  <c r="AW4" i="3"/>
  <c r="AW20" i="3"/>
  <c r="AW28" i="3"/>
  <c r="AW39" i="3"/>
  <c r="AW58" i="3"/>
  <c r="AW63" i="3"/>
  <c r="AW66" i="3"/>
  <c r="AW75" i="3"/>
  <c r="AW81" i="3"/>
  <c r="AW86" i="3"/>
  <c r="AW97" i="3"/>
  <c r="AW102" i="3"/>
  <c r="AW110" i="3"/>
  <c r="AW114" i="3"/>
  <c r="AW122" i="3"/>
  <c r="AW130" i="3"/>
  <c r="AW137" i="3"/>
  <c r="AW157" i="3"/>
  <c r="AW163" i="3"/>
  <c r="AW171" i="3"/>
  <c r="AW184" i="3"/>
  <c r="AW195" i="3"/>
  <c r="AW202" i="3"/>
  <c r="AW206" i="3"/>
  <c r="AW220" i="3"/>
  <c r="AW224" i="3"/>
  <c r="AW231" i="3"/>
  <c r="AW233" i="3"/>
  <c r="AW241" i="3"/>
  <c r="AW254" i="3"/>
  <c r="AW257" i="3"/>
  <c r="AW265" i="3"/>
  <c r="AW276" i="3"/>
  <c r="AW293" i="3"/>
  <c r="AW300" i="3"/>
  <c r="AW305" i="3"/>
  <c r="AW308" i="3"/>
  <c r="AW313" i="3"/>
  <c r="AW318" i="3"/>
  <c r="AW324" i="3"/>
  <c r="AW328" i="3"/>
  <c r="AW332" i="3"/>
  <c r="AW337" i="3"/>
  <c r="AW343" i="3"/>
  <c r="AW349" i="3"/>
  <c r="AW366" i="3"/>
  <c r="AW5" i="3"/>
  <c r="AW21" i="3"/>
  <c r="AW29" i="3"/>
  <c r="AW53" i="3"/>
  <c r="AW54" i="3"/>
  <c r="AW70" i="3"/>
  <c r="AW87" i="3"/>
  <c r="AW93" i="3"/>
  <c r="AW103" i="3"/>
  <c r="AW111" i="3"/>
  <c r="AW115" i="3"/>
  <c r="AW123" i="3"/>
  <c r="AW131" i="3"/>
  <c r="AW145" i="3"/>
  <c r="AW149" i="3"/>
  <c r="AW152" i="3"/>
  <c r="AW158" i="3"/>
  <c r="AW164" i="3"/>
  <c r="AW172" i="3"/>
  <c r="AW178" i="3"/>
  <c r="AW185" i="3"/>
  <c r="AW190" i="3"/>
  <c r="AW207" i="3"/>
  <c r="AW211" i="3"/>
  <c r="AW216" i="3"/>
  <c r="AW238" i="3"/>
  <c r="AW242" i="3"/>
  <c r="AW258" i="3"/>
  <c r="AW266" i="3"/>
  <c r="AW281" i="3"/>
  <c r="AW294" i="3"/>
  <c r="AW333" i="3"/>
  <c r="AW338" i="3"/>
  <c r="AW352" i="3"/>
  <c r="AW357" i="3"/>
  <c r="AW361" i="3"/>
  <c r="AW371" i="3"/>
  <c r="AW374" i="3"/>
  <c r="AW380" i="3"/>
  <c r="AW385" i="3"/>
  <c r="AW6" i="3"/>
  <c r="AW22" i="3"/>
  <c r="AW30" i="3"/>
  <c r="AW48" i="3"/>
  <c r="AW55" i="3"/>
  <c r="AW64" i="3"/>
  <c r="AW67" i="3"/>
  <c r="AW71" i="3"/>
  <c r="AW76" i="3"/>
  <c r="AW94" i="3"/>
  <c r="AW98" i="3"/>
  <c r="AW104" i="3"/>
  <c r="AW112" i="3"/>
  <c r="AW116" i="3"/>
  <c r="AW124" i="3"/>
  <c r="AW132" i="3"/>
  <c r="AW142" i="3"/>
  <c r="AW153" i="3"/>
  <c r="AW159" i="3"/>
  <c r="AW165" i="3"/>
  <c r="AW179" i="3"/>
  <c r="AW186" i="3"/>
  <c r="AW196" i="3"/>
  <c r="AW203" i="3"/>
  <c r="AW212" i="3"/>
  <c r="AW221" i="3"/>
  <c r="AW228" i="3"/>
  <c r="AW243" i="3"/>
  <c r="AW246" i="3"/>
  <c r="AW259" i="3"/>
  <c r="AW267" i="3"/>
  <c r="AW282" i="3"/>
  <c r="AW295" i="3"/>
  <c r="AW301" i="3"/>
  <c r="AW306" i="3"/>
  <c r="AW309" i="3"/>
  <c r="AW314" i="3"/>
  <c r="AW319" i="3"/>
  <c r="AW325" i="3"/>
  <c r="AW329" i="3"/>
  <c r="AW339" i="3"/>
  <c r="AW344" i="3"/>
  <c r="AW353" i="3"/>
  <c r="AW358" i="3"/>
  <c r="AW367" i="3"/>
  <c r="AW375" i="3"/>
  <c r="AW381" i="3"/>
  <c r="AW386" i="3"/>
  <c r="AW391" i="3"/>
  <c r="AW7" i="3"/>
  <c r="AW23" i="3"/>
  <c r="AW31" i="3"/>
  <c r="AW49" i="3"/>
  <c r="AW59" i="3"/>
  <c r="AW77" i="3"/>
  <c r="AW88" i="3"/>
  <c r="AW105" i="3"/>
  <c r="AW113" i="3"/>
  <c r="AW117" i="3"/>
  <c r="AW125" i="3"/>
  <c r="AW133" i="3"/>
  <c r="AW138" i="3"/>
  <c r="AW144" i="3"/>
  <c r="AW147" i="3"/>
  <c r="AW160" i="3"/>
  <c r="AW166" i="3"/>
  <c r="AW173" i="3"/>
  <c r="AW180" i="3"/>
  <c r="AW187" i="3"/>
  <c r="AW191" i="3"/>
  <c r="AW197" i="3"/>
  <c r="AW208" i="3"/>
  <c r="AW217" i="3"/>
  <c r="AW222" i="3"/>
  <c r="AW225" i="3"/>
  <c r="AW234" i="3"/>
  <c r="AW247" i="3"/>
  <c r="AW250" i="3"/>
  <c r="AW260" i="3"/>
  <c r="AW268" i="3"/>
  <c r="AW283" i="3"/>
  <c r="AW297" i="3"/>
  <c r="AW302" i="3"/>
  <c r="AW315" i="3"/>
  <c r="AW320" i="3"/>
  <c r="AW330" i="3"/>
  <c r="AW334" i="3"/>
  <c r="AW340" i="3"/>
  <c r="AW354" i="3"/>
  <c r="AW359" i="3"/>
  <c r="AW364" i="3"/>
  <c r="AW372" i="3"/>
  <c r="AW376" i="3"/>
  <c r="AW387" i="3"/>
  <c r="AW24" i="3"/>
  <c r="AW32" i="3"/>
  <c r="AW50" i="3"/>
  <c r="AW60" i="3"/>
  <c r="AW72" i="3"/>
  <c r="AW84" i="3"/>
  <c r="AW89" i="3"/>
  <c r="AW95" i="3"/>
  <c r="AW99" i="3"/>
  <c r="AW106" i="3"/>
  <c r="AW118" i="3"/>
  <c r="AW126" i="3"/>
  <c r="AW134" i="3"/>
  <c r="AW139" i="3"/>
  <c r="AW154" i="3"/>
  <c r="AW167" i="3"/>
  <c r="AW174" i="3"/>
  <c r="AW181" i="3"/>
  <c r="AW188" i="3"/>
  <c r="AW192" i="3"/>
  <c r="AW198" i="3"/>
  <c r="AW209" i="3"/>
  <c r="AW213" i="3"/>
  <c r="AW226" i="3"/>
  <c r="AW229" i="3"/>
  <c r="AW235" i="3"/>
  <c r="AW248" i="3"/>
  <c r="AW261" i="3"/>
  <c r="AW269" i="3"/>
  <c r="AW284" i="3"/>
  <c r="AW298" i="3"/>
  <c r="AW307" i="3"/>
  <c r="AW310" i="3"/>
  <c r="AW322" i="3"/>
  <c r="AW326" i="3"/>
  <c r="AW335" i="3"/>
  <c r="AW341" i="3"/>
  <c r="AW345" i="3"/>
  <c r="AW355" i="3"/>
  <c r="AW368" i="3"/>
  <c r="AW8" i="3"/>
  <c r="AW25" i="3"/>
  <c r="AW33" i="3"/>
  <c r="AW56" i="3"/>
  <c r="AW61" i="3"/>
  <c r="AW65" i="3"/>
  <c r="AW68" i="3"/>
  <c r="AW78" i="3"/>
  <c r="AW90" i="3"/>
  <c r="AW107" i="3"/>
  <c r="AW119" i="3"/>
  <c r="AW127" i="3"/>
  <c r="AW135" i="3"/>
  <c r="AW140" i="3"/>
  <c r="AW143" i="3"/>
  <c r="AW150" i="3"/>
  <c r="AW161" i="3"/>
  <c r="AW168" i="3"/>
  <c r="AW175" i="3"/>
  <c r="AW182" i="3"/>
  <c r="AW193" i="3"/>
  <c r="AW204" i="3"/>
  <c r="AW214" i="3"/>
  <c r="AW218" i="3"/>
  <c r="AW232" i="3"/>
  <c r="AW239" i="3"/>
  <c r="AW249" i="3"/>
  <c r="AW251" i="3"/>
  <c r="AW262" i="3"/>
  <c r="AW270" i="3"/>
  <c r="AW286" i="3"/>
  <c r="AW304" i="3"/>
  <c r="AW311" i="3"/>
  <c r="AW316" i="3"/>
  <c r="AW377" i="3"/>
  <c r="AW388" i="3"/>
  <c r="AW392" i="3"/>
  <c r="AW108" i="3"/>
  <c r="AW146" i="3"/>
  <c r="AW189" i="3"/>
  <c r="AW252" i="3"/>
  <c r="AW346" i="3"/>
  <c r="AW360" i="3"/>
  <c r="AW384" i="3"/>
  <c r="AW9" i="3"/>
  <c r="AW230" i="3"/>
  <c r="AW255" i="3"/>
  <c r="AW317" i="3"/>
  <c r="AW347" i="3"/>
  <c r="AW370" i="3"/>
  <c r="AW26" i="3"/>
  <c r="AW73" i="3"/>
  <c r="AW120" i="3"/>
  <c r="AW201" i="3"/>
  <c r="AW263" i="3"/>
  <c r="AW323" i="3"/>
  <c r="AW362" i="3"/>
  <c r="AW373" i="3"/>
  <c r="AW389" i="3"/>
  <c r="AW34" i="3"/>
  <c r="AW79" i="3"/>
  <c r="AW128" i="3"/>
  <c r="AW155" i="3"/>
  <c r="AW205" i="3"/>
  <c r="AW271" i="3"/>
  <c r="AW327" i="3"/>
  <c r="AW350" i="3"/>
  <c r="AW390" i="3"/>
  <c r="AW51" i="3"/>
  <c r="AW162" i="3"/>
  <c r="AW236" i="3"/>
  <c r="AW331" i="3"/>
  <c r="AW365" i="3"/>
  <c r="AW91" i="3"/>
  <c r="AW169" i="3"/>
  <c r="AW240" i="3"/>
  <c r="AW299" i="3"/>
  <c r="AW336" i="3"/>
  <c r="AW379" i="3"/>
  <c r="AW57" i="3"/>
  <c r="AW96" i="3"/>
  <c r="AW176" i="3"/>
  <c r="AW219" i="3"/>
  <c r="AW244" i="3"/>
  <c r="AW342" i="3"/>
  <c r="AW369" i="3"/>
  <c r="AW382" i="3"/>
  <c r="AW62" i="3"/>
  <c r="AW100" i="3"/>
  <c r="AW383" i="3"/>
  <c r="AW223" i="3"/>
  <c r="E890" i="8"/>
  <c r="D890" i="8"/>
  <c r="B890" i="8"/>
  <c r="A890" i="8"/>
  <c r="E889" i="8"/>
  <c r="D889" i="8"/>
  <c r="B889" i="8"/>
  <c r="A889" i="8"/>
  <c r="E888" i="8"/>
  <c r="D888" i="8"/>
  <c r="B888" i="8"/>
  <c r="A888" i="8"/>
  <c r="E887" i="8"/>
  <c r="D887" i="8"/>
  <c r="B887" i="8"/>
  <c r="A887" i="8"/>
  <c r="E886" i="8"/>
  <c r="D886" i="8"/>
  <c r="B886" i="8"/>
  <c r="A886" i="8"/>
  <c r="E885" i="8"/>
  <c r="D885" i="8"/>
  <c r="B885" i="8"/>
  <c r="A885" i="8"/>
  <c r="AY288" i="3" l="1"/>
  <c r="AY287" i="3"/>
  <c r="AY82" i="3"/>
  <c r="AY393" i="3"/>
  <c r="AY273" i="3"/>
  <c r="AY10" i="3"/>
  <c r="AY11" i="3"/>
  <c r="AY69" i="3"/>
  <c r="AY303" i="3"/>
  <c r="AY12" i="3"/>
  <c r="AY13" i="3"/>
  <c r="AY14" i="3"/>
  <c r="AY15" i="3"/>
  <c r="AY274" i="3"/>
  <c r="AY17" i="3"/>
  <c r="AY18" i="3"/>
  <c r="AY16" i="3"/>
  <c r="AY199" i="3"/>
  <c r="AY200" i="3"/>
  <c r="AY275" i="3"/>
  <c r="AY321" i="3"/>
  <c r="AY277" i="3"/>
  <c r="AY278" i="3"/>
  <c r="AY279" i="3"/>
  <c r="AY280" i="3"/>
  <c r="AY285" i="3"/>
  <c r="AY36" i="3"/>
  <c r="AY37" i="3"/>
  <c r="AY38" i="3"/>
  <c r="AY40" i="3"/>
  <c r="AY289" i="3"/>
  <c r="AY41" i="3"/>
  <c r="AY42" i="3"/>
  <c r="AY43" i="3"/>
  <c r="AY44" i="3"/>
  <c r="AY83" i="3"/>
  <c r="AY290" i="3"/>
  <c r="AY291" i="3"/>
  <c r="AY45" i="3"/>
  <c r="AY46" i="3"/>
  <c r="AY47" i="3"/>
  <c r="AY296" i="3"/>
  <c r="AY9" i="3"/>
  <c r="AY26" i="3"/>
  <c r="AY34" i="3"/>
  <c r="AY51" i="3"/>
  <c r="AY57" i="3"/>
  <c r="AY62" i="3"/>
  <c r="AY73" i="3"/>
  <c r="AY79" i="3"/>
  <c r="AY91" i="3"/>
  <c r="AY96" i="3"/>
  <c r="AY100" i="3"/>
  <c r="AY108" i="3"/>
  <c r="AY120" i="3"/>
  <c r="AY128" i="3"/>
  <c r="AY146" i="3"/>
  <c r="AY155" i="3"/>
  <c r="AY162" i="3"/>
  <c r="AY169" i="3"/>
  <c r="AY176" i="3"/>
  <c r="AY189" i="3"/>
  <c r="AY201" i="3"/>
  <c r="AY205" i="3"/>
  <c r="AY219" i="3"/>
  <c r="AY223" i="3"/>
  <c r="AY230" i="3"/>
  <c r="AY236" i="3"/>
  <c r="AY240" i="3"/>
  <c r="AY244" i="3"/>
  <c r="AY252" i="3"/>
  <c r="AY255" i="3"/>
  <c r="AY263" i="3"/>
  <c r="AY271" i="3"/>
  <c r="AY299" i="3"/>
  <c r="AY317" i="3"/>
  <c r="AY323" i="3"/>
  <c r="AY327" i="3"/>
  <c r="AY331" i="3"/>
  <c r="AY336" i="3"/>
  <c r="AY342" i="3"/>
  <c r="AY346" i="3"/>
  <c r="AY347" i="3"/>
  <c r="AY350" i="3"/>
  <c r="AY360" i="3"/>
  <c r="AY362" i="3"/>
  <c r="AY365" i="3"/>
  <c r="AY369" i="3"/>
  <c r="AY373" i="3"/>
  <c r="AY383" i="3"/>
  <c r="AY389" i="3"/>
  <c r="AY3" i="3"/>
  <c r="AY19" i="3"/>
  <c r="AY27" i="3"/>
  <c r="AY35" i="3"/>
  <c r="AY52" i="3"/>
  <c r="AY74" i="3"/>
  <c r="AY80" i="3"/>
  <c r="AY85" i="3"/>
  <c r="AY92" i="3"/>
  <c r="AY101" i="3"/>
  <c r="AY109" i="3"/>
  <c r="AY121" i="3"/>
  <c r="AY129" i="3"/>
  <c r="AY136" i="3"/>
  <c r="AY141" i="3"/>
  <c r="AY148" i="3"/>
  <c r="AY151" i="3"/>
  <c r="AY156" i="3"/>
  <c r="AY170" i="3"/>
  <c r="AY177" i="3"/>
  <c r="AY183" i="3"/>
  <c r="AY194" i="3"/>
  <c r="AY210" i="3"/>
  <c r="AY215" i="3"/>
  <c r="AY227" i="3"/>
  <c r="AY237" i="3"/>
  <c r="AY245" i="3"/>
  <c r="AY253" i="3"/>
  <c r="AY256" i="3"/>
  <c r="AY264" i="3"/>
  <c r="AY272" i="3"/>
  <c r="AY292" i="3"/>
  <c r="AY312" i="3"/>
  <c r="AY348" i="3"/>
  <c r="AY351" i="3"/>
  <c r="AY356" i="3"/>
  <c r="AY363" i="3"/>
  <c r="AY378" i="3"/>
  <c r="AY4" i="3"/>
  <c r="AY20" i="3"/>
  <c r="AY28" i="3"/>
  <c r="AY39" i="3"/>
  <c r="AY58" i="3"/>
  <c r="AY63" i="3"/>
  <c r="AY66" i="3"/>
  <c r="AY75" i="3"/>
  <c r="AY81" i="3"/>
  <c r="AY86" i="3"/>
  <c r="AY97" i="3"/>
  <c r="AY102" i="3"/>
  <c r="AY110" i="3"/>
  <c r="AY114" i="3"/>
  <c r="AY122" i="3"/>
  <c r="AY130" i="3"/>
  <c r="AY137" i="3"/>
  <c r="AY157" i="3"/>
  <c r="AY163" i="3"/>
  <c r="AY171" i="3"/>
  <c r="AY184" i="3"/>
  <c r="AY195" i="3"/>
  <c r="AY202" i="3"/>
  <c r="AY206" i="3"/>
  <c r="AY220" i="3"/>
  <c r="AY224" i="3"/>
  <c r="AY231" i="3"/>
  <c r="AY233" i="3"/>
  <c r="AY241" i="3"/>
  <c r="AY254" i="3"/>
  <c r="AY257" i="3"/>
  <c r="AY265" i="3"/>
  <c r="AY276" i="3"/>
  <c r="AY293" i="3"/>
  <c r="AY300" i="3"/>
  <c r="AY305" i="3"/>
  <c r="AY308" i="3"/>
  <c r="AY313" i="3"/>
  <c r="AY318" i="3"/>
  <c r="AY324" i="3"/>
  <c r="AY328" i="3"/>
  <c r="AY332" i="3"/>
  <c r="AY337" i="3"/>
  <c r="AY343" i="3"/>
  <c r="AY349" i="3"/>
  <c r="AY366" i="3"/>
  <c r="AY370" i="3"/>
  <c r="AY379" i="3"/>
  <c r="AY384" i="3"/>
  <c r="AY390" i="3"/>
  <c r="AY5" i="3"/>
  <c r="AY21" i="3"/>
  <c r="AY29" i="3"/>
  <c r="AY53" i="3"/>
  <c r="AY54" i="3"/>
  <c r="AY70" i="3"/>
  <c r="AY87" i="3"/>
  <c r="AY93" i="3"/>
  <c r="AY103" i="3"/>
  <c r="AY111" i="3"/>
  <c r="AY115" i="3"/>
  <c r="AY123" i="3"/>
  <c r="AY131" i="3"/>
  <c r="AY145" i="3"/>
  <c r="AY149" i="3"/>
  <c r="AY152" i="3"/>
  <c r="AY158" i="3"/>
  <c r="AY164" i="3"/>
  <c r="AY172" i="3"/>
  <c r="AY178" i="3"/>
  <c r="AY185" i="3"/>
  <c r="AY190" i="3"/>
  <c r="AY207" i="3"/>
  <c r="AY211" i="3"/>
  <c r="AY216" i="3"/>
  <c r="AY238" i="3"/>
  <c r="AY242" i="3"/>
  <c r="AY258" i="3"/>
  <c r="AY266" i="3"/>
  <c r="AY281" i="3"/>
  <c r="AY294" i="3"/>
  <c r="AY333" i="3"/>
  <c r="AY338" i="3"/>
  <c r="AY352" i="3"/>
  <c r="AY357" i="3"/>
  <c r="AY361" i="3"/>
  <c r="AY371" i="3"/>
  <c r="AY374" i="3"/>
  <c r="AY380" i="3"/>
  <c r="AY385" i="3"/>
  <c r="AY6" i="3"/>
  <c r="AY22" i="3"/>
  <c r="AY30" i="3"/>
  <c r="AY48" i="3"/>
  <c r="AY55" i="3"/>
  <c r="AY64" i="3"/>
  <c r="AY67" i="3"/>
  <c r="AY71" i="3"/>
  <c r="AY76" i="3"/>
  <c r="AY94" i="3"/>
  <c r="AY98" i="3"/>
  <c r="AY104" i="3"/>
  <c r="AY112" i="3"/>
  <c r="AY116" i="3"/>
  <c r="AY124" i="3"/>
  <c r="AY132" i="3"/>
  <c r="AY142" i="3"/>
  <c r="AY153" i="3"/>
  <c r="AY159" i="3"/>
  <c r="AY165" i="3"/>
  <c r="AY179" i="3"/>
  <c r="AY186" i="3"/>
  <c r="AY196" i="3"/>
  <c r="AY203" i="3"/>
  <c r="AY212" i="3"/>
  <c r="AY221" i="3"/>
  <c r="AY228" i="3"/>
  <c r="AY243" i="3"/>
  <c r="AY246" i="3"/>
  <c r="AY259" i="3"/>
  <c r="AY267" i="3"/>
  <c r="AY282" i="3"/>
  <c r="AY295" i="3"/>
  <c r="AY301" i="3"/>
  <c r="AY306" i="3"/>
  <c r="AY309" i="3"/>
  <c r="AY314" i="3"/>
  <c r="AY319" i="3"/>
  <c r="AY325" i="3"/>
  <c r="AY329" i="3"/>
  <c r="AY339" i="3"/>
  <c r="AY344" i="3"/>
  <c r="AY353" i="3"/>
  <c r="AY358" i="3"/>
  <c r="AY367" i="3"/>
  <c r="AY375" i="3"/>
  <c r="AY381" i="3"/>
  <c r="AY386" i="3"/>
  <c r="AY391" i="3"/>
  <c r="AY7" i="3"/>
  <c r="AY23" i="3"/>
  <c r="AY31" i="3"/>
  <c r="AY49" i="3"/>
  <c r="AY59" i="3"/>
  <c r="AY77" i="3"/>
  <c r="AY88" i="3"/>
  <c r="AY105" i="3"/>
  <c r="AY113" i="3"/>
  <c r="AY117" i="3"/>
  <c r="AY125" i="3"/>
  <c r="AY133" i="3"/>
  <c r="AY138" i="3"/>
  <c r="AY144" i="3"/>
  <c r="AY147" i="3"/>
  <c r="AY160" i="3"/>
  <c r="AY166" i="3"/>
  <c r="AY173" i="3"/>
  <c r="AY180" i="3"/>
  <c r="AY187" i="3"/>
  <c r="AY191" i="3"/>
  <c r="AY197" i="3"/>
  <c r="AY208" i="3"/>
  <c r="AY217" i="3"/>
  <c r="AY222" i="3"/>
  <c r="AY225" i="3"/>
  <c r="AY234" i="3"/>
  <c r="AY247" i="3"/>
  <c r="AY250" i="3"/>
  <c r="AY260" i="3"/>
  <c r="AY268" i="3"/>
  <c r="AY283" i="3"/>
  <c r="AY297" i="3"/>
  <c r="AY302" i="3"/>
  <c r="AY315" i="3"/>
  <c r="AY320" i="3"/>
  <c r="AY330" i="3"/>
  <c r="AY334" i="3"/>
  <c r="AY340" i="3"/>
  <c r="AY354" i="3"/>
  <c r="AY359" i="3"/>
  <c r="AY364" i="3"/>
  <c r="AY372" i="3"/>
  <c r="AY376" i="3"/>
  <c r="AY387" i="3"/>
  <c r="AY24" i="3"/>
  <c r="AY32" i="3"/>
  <c r="AY50" i="3"/>
  <c r="AY60" i="3"/>
  <c r="AY72" i="3"/>
  <c r="AY84" i="3"/>
  <c r="AY89" i="3"/>
  <c r="AY95" i="3"/>
  <c r="AY99" i="3"/>
  <c r="AY106" i="3"/>
  <c r="AY118" i="3"/>
  <c r="AY126" i="3"/>
  <c r="AY134" i="3"/>
  <c r="AY139" i="3"/>
  <c r="AY154" i="3"/>
  <c r="AY167" i="3"/>
  <c r="AY174" i="3"/>
  <c r="AY181" i="3"/>
  <c r="AY188" i="3"/>
  <c r="AY192" i="3"/>
  <c r="AY198" i="3"/>
  <c r="AY209" i="3"/>
  <c r="AY213" i="3"/>
  <c r="AY226" i="3"/>
  <c r="AY229" i="3"/>
  <c r="AY235" i="3"/>
  <c r="AY248" i="3"/>
  <c r="AY261" i="3"/>
  <c r="AY269" i="3"/>
  <c r="AY284" i="3"/>
  <c r="AY298" i="3"/>
  <c r="AY307" i="3"/>
  <c r="AY310" i="3"/>
  <c r="AY322" i="3"/>
  <c r="AY326" i="3"/>
  <c r="AY335" i="3"/>
  <c r="AY341" i="3"/>
  <c r="AY345" i="3"/>
  <c r="AY355" i="3"/>
  <c r="AY368" i="3"/>
  <c r="AY382" i="3"/>
  <c r="AY135" i="3"/>
  <c r="AY161" i="3"/>
  <c r="AY286" i="3"/>
  <c r="AY392" i="3"/>
  <c r="AY90" i="3"/>
  <c r="AY140" i="3"/>
  <c r="AY168" i="3"/>
  <c r="AY214" i="3"/>
  <c r="AY239" i="3"/>
  <c r="AY56" i="3"/>
  <c r="AY143" i="3"/>
  <c r="AY175" i="3"/>
  <c r="AY218" i="3"/>
  <c r="AY304" i="3"/>
  <c r="AY61" i="3"/>
  <c r="AY182" i="3"/>
  <c r="AY249" i="3"/>
  <c r="AY65" i="3"/>
  <c r="AY107" i="3"/>
  <c r="AY251" i="3"/>
  <c r="AY311" i="3"/>
  <c r="AY8" i="3"/>
  <c r="AY68" i="3"/>
  <c r="AY193" i="3"/>
  <c r="AY316" i="3"/>
  <c r="AY377" i="3"/>
  <c r="AY25" i="3"/>
  <c r="AY119" i="3"/>
  <c r="AY150" i="3"/>
  <c r="AY262" i="3"/>
  <c r="AY204" i="3"/>
  <c r="AY232" i="3"/>
  <c r="AY270" i="3"/>
  <c r="AY33" i="3"/>
  <c r="AY78" i="3"/>
  <c r="AY127" i="3"/>
  <c r="AY388" i="3"/>
  <c r="A696" i="8"/>
  <c r="A697" i="8"/>
  <c r="B696" i="8"/>
  <c r="B697" i="8"/>
  <c r="D696" i="8"/>
  <c r="D697" i="8"/>
  <c r="E696" i="8"/>
  <c r="E697" i="8"/>
  <c r="A663" i="8" l="1"/>
  <c r="B663" i="8"/>
  <c r="D663" i="8"/>
  <c r="E663" i="8"/>
  <c r="A688" i="8"/>
  <c r="B688" i="8"/>
  <c r="D688" i="8"/>
  <c r="E688" i="8"/>
  <c r="E695" i="8" l="1"/>
  <c r="D695" i="8"/>
  <c r="B695" i="8"/>
  <c r="A695" i="8"/>
  <c r="E694" i="8"/>
  <c r="D694" i="8"/>
  <c r="B694" i="8"/>
  <c r="A694" i="8"/>
  <c r="E693" i="8"/>
  <c r="D693" i="8"/>
  <c r="B693" i="8"/>
  <c r="A693" i="8"/>
  <c r="E692" i="8"/>
  <c r="D692" i="8"/>
  <c r="B692" i="8"/>
  <c r="A692" i="8"/>
  <c r="E691" i="8"/>
  <c r="D691" i="8"/>
  <c r="B691" i="8"/>
  <c r="A691" i="8"/>
  <c r="E690" i="8"/>
  <c r="D690" i="8"/>
  <c r="B690" i="8"/>
  <c r="A690" i="8"/>
  <c r="E689" i="8"/>
  <c r="D689" i="8"/>
  <c r="B689" i="8"/>
  <c r="A689" i="8"/>
  <c r="E687" i="8"/>
  <c r="D687" i="8"/>
  <c r="B687" i="8"/>
  <c r="A687" i="8"/>
  <c r="E686" i="8"/>
  <c r="D686" i="8"/>
  <c r="B686" i="8"/>
  <c r="A686" i="8"/>
  <c r="E685" i="8"/>
  <c r="D685" i="8"/>
  <c r="B685" i="8"/>
  <c r="A685" i="8"/>
  <c r="E684" i="8"/>
  <c r="D684" i="8"/>
  <c r="B684" i="8"/>
  <c r="A684" i="8"/>
  <c r="E683" i="8"/>
  <c r="D683" i="8"/>
  <c r="B683" i="8"/>
  <c r="A683" i="8"/>
  <c r="E682" i="8"/>
  <c r="D682" i="8"/>
  <c r="B682" i="8"/>
  <c r="A682" i="8"/>
  <c r="E681" i="8"/>
  <c r="D681" i="8"/>
  <c r="B681" i="8"/>
  <c r="A681" i="8"/>
  <c r="E680" i="8"/>
  <c r="D680" i="8"/>
  <c r="B680" i="8"/>
  <c r="A680" i="8"/>
  <c r="E679" i="8"/>
  <c r="D679" i="8"/>
  <c r="B679" i="8"/>
  <c r="A679" i="8"/>
  <c r="E678" i="8"/>
  <c r="D678" i="8"/>
  <c r="B678" i="8"/>
  <c r="A678" i="8"/>
  <c r="E677" i="8"/>
  <c r="D677" i="8"/>
  <c r="B677" i="8"/>
  <c r="A677" i="8"/>
  <c r="E676" i="8"/>
  <c r="D676" i="8"/>
  <c r="B676" i="8"/>
  <c r="A676" i="8"/>
  <c r="E675" i="8"/>
  <c r="D675" i="8"/>
  <c r="B675" i="8"/>
  <c r="A675" i="8"/>
  <c r="E674" i="8"/>
  <c r="D674" i="8"/>
  <c r="B674" i="8"/>
  <c r="A674" i="8"/>
  <c r="E673" i="8"/>
  <c r="D673" i="8"/>
  <c r="B673" i="8"/>
  <c r="A673" i="8"/>
  <c r="E672" i="8"/>
  <c r="D672" i="8"/>
  <c r="B672" i="8"/>
  <c r="A672" i="8"/>
  <c r="E671" i="8"/>
  <c r="D671" i="8"/>
  <c r="B671" i="8"/>
  <c r="A671" i="8"/>
  <c r="E670" i="8"/>
  <c r="D670" i="8"/>
  <c r="B670" i="8"/>
  <c r="A670" i="8"/>
  <c r="E669" i="8"/>
  <c r="D669" i="8"/>
  <c r="B669" i="8"/>
  <c r="A669" i="8"/>
  <c r="E668" i="8"/>
  <c r="D668" i="8"/>
  <c r="B668" i="8"/>
  <c r="A668" i="8"/>
  <c r="AP288" i="3" l="1"/>
  <c r="AP287" i="3"/>
  <c r="AP82" i="3"/>
  <c r="AP393" i="3"/>
  <c r="AP273" i="3"/>
  <c r="AP10" i="3"/>
  <c r="AP11" i="3"/>
  <c r="AP69" i="3"/>
  <c r="AP303" i="3"/>
  <c r="AP12" i="3"/>
  <c r="AP13" i="3"/>
  <c r="AP14" i="3"/>
  <c r="AP15" i="3"/>
  <c r="AP274" i="3"/>
  <c r="AP17" i="3"/>
  <c r="AP18" i="3"/>
  <c r="AP16" i="3"/>
  <c r="AP199" i="3"/>
  <c r="AP200" i="3"/>
  <c r="AP275" i="3"/>
  <c r="AP321" i="3"/>
  <c r="AP277" i="3"/>
  <c r="AP278" i="3"/>
  <c r="AP279" i="3"/>
  <c r="AP280" i="3"/>
  <c r="AP285" i="3"/>
  <c r="AP36" i="3"/>
  <c r="AP37" i="3"/>
  <c r="AP38" i="3"/>
  <c r="AP40" i="3"/>
  <c r="AP289" i="3"/>
  <c r="AP41" i="3"/>
  <c r="AP42" i="3"/>
  <c r="AP43" i="3"/>
  <c r="AP44" i="3"/>
  <c r="AP83" i="3"/>
  <c r="AP290" i="3"/>
  <c r="AP291" i="3"/>
  <c r="AP45" i="3"/>
  <c r="AP46" i="3"/>
  <c r="AP47" i="3"/>
  <c r="AP296" i="3"/>
  <c r="AP133" i="3"/>
  <c r="AP243" i="3"/>
  <c r="AP251" i="3"/>
  <c r="AP138" i="3"/>
  <c r="AP244" i="3"/>
  <c r="AP252" i="3"/>
  <c r="AP245" i="3"/>
  <c r="AP253" i="3"/>
  <c r="AP139" i="3"/>
  <c r="AP246" i="3"/>
  <c r="AP254" i="3"/>
  <c r="AP131" i="3"/>
  <c r="AP247" i="3"/>
  <c r="AP255" i="3"/>
  <c r="AP161" i="3"/>
  <c r="AP248" i="3"/>
  <c r="AP256" i="3"/>
  <c r="AP132" i="3"/>
  <c r="AP242" i="3"/>
  <c r="AP250" i="3"/>
  <c r="AP8" i="3"/>
  <c r="AP249" i="3"/>
  <c r="AP343" i="3"/>
  <c r="AP6" i="3"/>
  <c r="AP386" i="3"/>
  <c r="AP369" i="3"/>
  <c r="AP328" i="3"/>
  <c r="AP24" i="3"/>
  <c r="AP374" i="3"/>
  <c r="AP384" i="3"/>
  <c r="AP347" i="3"/>
  <c r="AP22" i="3"/>
  <c r="AP301" i="3"/>
  <c r="AP197" i="3"/>
  <c r="AP80" i="3"/>
  <c r="AP339" i="3"/>
  <c r="AP59" i="3"/>
  <c r="AP338" i="3"/>
  <c r="AP360" i="3"/>
  <c r="AP355" i="3"/>
  <c r="AP345" i="3"/>
  <c r="AP295" i="3"/>
  <c r="AP351" i="3"/>
  <c r="AP259" i="3"/>
  <c r="AP276" i="3"/>
  <c r="AP320" i="3"/>
  <c r="AP23" i="3"/>
  <c r="AP346" i="3"/>
  <c r="AP93" i="3"/>
  <c r="AP379" i="3"/>
  <c r="AP29" i="3"/>
  <c r="AP204" i="3"/>
  <c r="AP352" i="3"/>
  <c r="AP340" i="3"/>
  <c r="AP60" i="3"/>
  <c r="AP292" i="3"/>
  <c r="AP49" i="3"/>
  <c r="AP76" i="3"/>
  <c r="AP267" i="3"/>
  <c r="AP377" i="3"/>
  <c r="AP353" i="3"/>
  <c r="AP258" i="3"/>
  <c r="AP269" i="3"/>
  <c r="AP281" i="3"/>
  <c r="AP241" i="3"/>
  <c r="AP30" i="3"/>
  <c r="AP32" i="3"/>
  <c r="AP56" i="3"/>
  <c r="AP48" i="3"/>
  <c r="AP53" i="3"/>
  <c r="AP342" i="3"/>
  <c r="AP293" i="3"/>
  <c r="AP50" i="3"/>
  <c r="AP310" i="3"/>
  <c r="AP341" i="3"/>
  <c r="AP361" i="3"/>
  <c r="AP79" i="3"/>
  <c r="AP221" i="3"/>
  <c r="AP359" i="3"/>
  <c r="AP19" i="3"/>
  <c r="AP25" i="3"/>
  <c r="AP366" i="3"/>
  <c r="AP260" i="3"/>
  <c r="AP7" i="3"/>
  <c r="AP91" i="3"/>
  <c r="AP21" i="3"/>
  <c r="AP27" i="3"/>
  <c r="AP54" i="3"/>
  <c r="AP284" i="3"/>
  <c r="AP35" i="3"/>
  <c r="AP225" i="3"/>
  <c r="AP237" i="3"/>
  <c r="AP191" i="3"/>
  <c r="AP61" i="3"/>
  <c r="AP283" i="3"/>
  <c r="AP206" i="3"/>
  <c r="AP74" i="3"/>
  <c r="AP294" i="3"/>
  <c r="AP356" i="3"/>
  <c r="AP316" i="3"/>
  <c r="AP89" i="3"/>
  <c r="AP350" i="3"/>
  <c r="AP192" i="3"/>
  <c r="AP364" i="3"/>
  <c r="AP39" i="3"/>
  <c r="AP51" i="3"/>
  <c r="AP362" i="3"/>
  <c r="AP31" i="3"/>
  <c r="AP33" i="3"/>
  <c r="AP365" i="3"/>
  <c r="AP268" i="3"/>
  <c r="AP385" i="3"/>
  <c r="AP282" i="3"/>
  <c r="AP194" i="3"/>
  <c r="AP34" i="3"/>
  <c r="AP334" i="3"/>
  <c r="AP26" i="3"/>
  <c r="AP57" i="3"/>
  <c r="AP20" i="3"/>
  <c r="AP378" i="3"/>
  <c r="AP380" i="3"/>
  <c r="AP70" i="3"/>
  <c r="AP78" i="3"/>
  <c r="AP314" i="3"/>
  <c r="AP28" i="3"/>
  <c r="AP196" i="3"/>
  <c r="AP218" i="3"/>
  <c r="AP236" i="3"/>
  <c r="AP368" i="3"/>
  <c r="AP162" i="3"/>
  <c r="AP185" i="3"/>
  <c r="AP184" i="3"/>
  <c r="AP354" i="3"/>
  <c r="AP160" i="3"/>
  <c r="AP183" i="3"/>
  <c r="AP357" i="3"/>
  <c r="AP358" i="3"/>
  <c r="AP367" i="3"/>
  <c r="AP370" i="3"/>
  <c r="AP344" i="3"/>
  <c r="AP348" i="3"/>
  <c r="AP272" i="3"/>
  <c r="AP257" i="3"/>
  <c r="AP65" i="3"/>
  <c r="AP179" i="3"/>
  <c r="AP224" i="3"/>
  <c r="AP84" i="3"/>
  <c r="AP227" i="3"/>
  <c r="AP337" i="3"/>
  <c r="AP85" i="3"/>
  <c r="AP86" i="3"/>
  <c r="AP231" i="3"/>
  <c r="AP232" i="3"/>
  <c r="AP189" i="3"/>
  <c r="AP81" i="3"/>
  <c r="AP239" i="3"/>
  <c r="AP187" i="3"/>
  <c r="AP88" i="3"/>
  <c r="AP312" i="3"/>
  <c r="AP90" i="3"/>
  <c r="AP336" i="3"/>
  <c r="AP375" i="3"/>
  <c r="AP313" i="3"/>
  <c r="AP332" i="3"/>
  <c r="AP383" i="3"/>
  <c r="AP73" i="3"/>
  <c r="AP62" i="3"/>
  <c r="AP388" i="3"/>
  <c r="AP217" i="3"/>
  <c r="AP64" i="3"/>
  <c r="AP77" i="3"/>
  <c r="AP96" i="3"/>
  <c r="AP104" i="3"/>
  <c r="AP112" i="3"/>
  <c r="AP116" i="3"/>
  <c r="AP124" i="3"/>
  <c r="AP135" i="3"/>
  <c r="AP145" i="3"/>
  <c r="AP153" i="3"/>
  <c r="AP164" i="3"/>
  <c r="AP172" i="3"/>
  <c r="AP193" i="3"/>
  <c r="AP208" i="3"/>
  <c r="AP216" i="3"/>
  <c r="AP228" i="3"/>
  <c r="AP238" i="3"/>
  <c r="AP286" i="3"/>
  <c r="AP317" i="3"/>
  <c r="AP327" i="3"/>
  <c r="AP382" i="3"/>
  <c r="AP9" i="3"/>
  <c r="AP97" i="3"/>
  <c r="AP105" i="3"/>
  <c r="AP113" i="3"/>
  <c r="AP117" i="3"/>
  <c r="AP125" i="3"/>
  <c r="AP136" i="3"/>
  <c r="AP146" i="3"/>
  <c r="AP154" i="3"/>
  <c r="AP165" i="3"/>
  <c r="AP180" i="3"/>
  <c r="AP195" i="3"/>
  <c r="AP209" i="3"/>
  <c r="AP219" i="3"/>
  <c r="AP229" i="3"/>
  <c r="AP240" i="3"/>
  <c r="AP261" i="3"/>
  <c r="AP271" i="3"/>
  <c r="AP305" i="3"/>
  <c r="AP318" i="3"/>
  <c r="AP329" i="3"/>
  <c r="AP349" i="3"/>
  <c r="AP363" i="3"/>
  <c r="AP371" i="3"/>
  <c r="AP387" i="3"/>
  <c r="AP66" i="3"/>
  <c r="AP98" i="3"/>
  <c r="AP106" i="3"/>
  <c r="AP118" i="3"/>
  <c r="AP126" i="3"/>
  <c r="AP137" i="3"/>
  <c r="AP147" i="3"/>
  <c r="AP155" i="3"/>
  <c r="AP166" i="3"/>
  <c r="AP173" i="3"/>
  <c r="AP181" i="3"/>
  <c r="AP198" i="3"/>
  <c r="AP210" i="3"/>
  <c r="AP220" i="3"/>
  <c r="AP230" i="3"/>
  <c r="AP262" i="3"/>
  <c r="AP297" i="3"/>
  <c r="AP306" i="3"/>
  <c r="AP319" i="3"/>
  <c r="AP330" i="3"/>
  <c r="AP372" i="3"/>
  <c r="AP389" i="3"/>
  <c r="AP3" i="3"/>
  <c r="AP67" i="3"/>
  <c r="AP99" i="3"/>
  <c r="AP107" i="3"/>
  <c r="AP119" i="3"/>
  <c r="AP127" i="3"/>
  <c r="AP140" i="3"/>
  <c r="AP148" i="3"/>
  <c r="AP156" i="3"/>
  <c r="AP167" i="3"/>
  <c r="AP174" i="3"/>
  <c r="AP182" i="3"/>
  <c r="AP201" i="3"/>
  <c r="AP211" i="3"/>
  <c r="AP222" i="3"/>
  <c r="AP263" i="3"/>
  <c r="AP298" i="3"/>
  <c r="AP307" i="3"/>
  <c r="AP322" i="3"/>
  <c r="AP331" i="3"/>
  <c r="AP390" i="3"/>
  <c r="AP4" i="3"/>
  <c r="AP68" i="3"/>
  <c r="AP87" i="3"/>
  <c r="AP100" i="3"/>
  <c r="AP108" i="3"/>
  <c r="AP120" i="3"/>
  <c r="AP128" i="3"/>
  <c r="AP141" i="3"/>
  <c r="AP149" i="3"/>
  <c r="AP157" i="3"/>
  <c r="AP168" i="3"/>
  <c r="AP175" i="3"/>
  <c r="AP186" i="3"/>
  <c r="AP202" i="3"/>
  <c r="AP212" i="3"/>
  <c r="AP223" i="3"/>
  <c r="AP233" i="3"/>
  <c r="AP264" i="3"/>
  <c r="AP299" i="3"/>
  <c r="AP308" i="3"/>
  <c r="AP323" i="3"/>
  <c r="AP333" i="3"/>
  <c r="AP373" i="3"/>
  <c r="AP391" i="3"/>
  <c r="AP5" i="3"/>
  <c r="AP55" i="3"/>
  <c r="AP71" i="3"/>
  <c r="AP92" i="3"/>
  <c r="AP101" i="3"/>
  <c r="AP109" i="3"/>
  <c r="AP121" i="3"/>
  <c r="AP129" i="3"/>
  <c r="AP142" i="3"/>
  <c r="AP150" i="3"/>
  <c r="AP158" i="3"/>
  <c r="AP169" i="3"/>
  <c r="AP176" i="3"/>
  <c r="AP203" i="3"/>
  <c r="AP213" i="3"/>
  <c r="AP234" i="3"/>
  <c r="AP265" i="3"/>
  <c r="AP300" i="3"/>
  <c r="AP309" i="3"/>
  <c r="AP324" i="3"/>
  <c r="AP335" i="3"/>
  <c r="AP376" i="3"/>
  <c r="AP392" i="3"/>
  <c r="AP52" i="3"/>
  <c r="AP58" i="3"/>
  <c r="AP72" i="3"/>
  <c r="AP94" i="3"/>
  <c r="AP102" i="3"/>
  <c r="AP110" i="3"/>
  <c r="AP114" i="3"/>
  <c r="AP122" i="3"/>
  <c r="AP130" i="3"/>
  <c r="AP143" i="3"/>
  <c r="AP151" i="3"/>
  <c r="AP159" i="3"/>
  <c r="AP170" i="3"/>
  <c r="AP177" i="3"/>
  <c r="AP188" i="3"/>
  <c r="AP205" i="3"/>
  <c r="AP214" i="3"/>
  <c r="AP226" i="3"/>
  <c r="AP235" i="3"/>
  <c r="AP266" i="3"/>
  <c r="AP302" i="3"/>
  <c r="AP311" i="3"/>
  <c r="AP325" i="3"/>
  <c r="AP63" i="3"/>
  <c r="AP75" i="3"/>
  <c r="AP95" i="3"/>
  <c r="AP103" i="3"/>
  <c r="AP111" i="3"/>
  <c r="AP115" i="3"/>
  <c r="AP123" i="3"/>
  <c r="AP134" i="3"/>
  <c r="AP144" i="3"/>
  <c r="AP152" i="3"/>
  <c r="AP163" i="3"/>
  <c r="AP171" i="3"/>
  <c r="AP178" i="3"/>
  <c r="AP190" i="3"/>
  <c r="AP207" i="3"/>
  <c r="AP215" i="3"/>
  <c r="AP270" i="3"/>
  <c r="AP304" i="3"/>
  <c r="AP315" i="3"/>
  <c r="AP326" i="3"/>
  <c r="AP381" i="3"/>
  <c r="E662" i="8"/>
  <c r="D662" i="8"/>
  <c r="B662" i="8"/>
  <c r="A662" i="8"/>
  <c r="E661" i="8"/>
  <c r="D661" i="8"/>
  <c r="B661" i="8"/>
  <c r="A661" i="8"/>
  <c r="E660" i="8"/>
  <c r="D660" i="8"/>
  <c r="B660" i="8"/>
  <c r="A660" i="8"/>
  <c r="E659" i="8"/>
  <c r="D659" i="8"/>
  <c r="B659" i="8"/>
  <c r="A659" i="8"/>
  <c r="E658" i="8"/>
  <c r="D658" i="8"/>
  <c r="B658" i="8"/>
  <c r="A658" i="8"/>
  <c r="E657" i="8"/>
  <c r="D657" i="8"/>
  <c r="B657" i="8"/>
  <c r="A657" i="8"/>
  <c r="E656" i="8"/>
  <c r="D656" i="8"/>
  <c r="B656" i="8"/>
  <c r="A656" i="8"/>
  <c r="E655" i="8"/>
  <c r="D655" i="8"/>
  <c r="B655" i="8"/>
  <c r="A655" i="8"/>
  <c r="E654" i="8"/>
  <c r="D654" i="8"/>
  <c r="B654" i="8"/>
  <c r="A654" i="8"/>
  <c r="E653" i="8"/>
  <c r="D653" i="8"/>
  <c r="B653" i="8"/>
  <c r="A653" i="8"/>
  <c r="E652" i="8"/>
  <c r="D652" i="8"/>
  <c r="B652" i="8"/>
  <c r="A652" i="8"/>
  <c r="E651" i="8"/>
  <c r="D651" i="8"/>
  <c r="B651" i="8"/>
  <c r="A651" i="8"/>
  <c r="E650" i="8"/>
  <c r="D650" i="8"/>
  <c r="B650" i="8"/>
  <c r="A650" i="8"/>
  <c r="E649" i="8"/>
  <c r="D649" i="8"/>
  <c r="B649" i="8"/>
  <c r="A649" i="8"/>
  <c r="E648" i="8"/>
  <c r="D648" i="8"/>
  <c r="B648" i="8"/>
  <c r="A648" i="8"/>
  <c r="E647" i="8"/>
  <c r="D647" i="8"/>
  <c r="B647" i="8"/>
  <c r="A647" i="8"/>
  <c r="E646" i="8"/>
  <c r="D646" i="8"/>
  <c r="B646" i="8"/>
  <c r="A646" i="8"/>
  <c r="E645" i="8"/>
  <c r="D645" i="8"/>
  <c r="B645" i="8"/>
  <c r="A645" i="8"/>
  <c r="E644" i="8"/>
  <c r="D644" i="8"/>
  <c r="B644" i="8"/>
  <c r="A644" i="8"/>
  <c r="E643" i="8"/>
  <c r="D643" i="8"/>
  <c r="B643" i="8"/>
  <c r="A643" i="8"/>
  <c r="E642" i="8"/>
  <c r="D642" i="8"/>
  <c r="B642" i="8"/>
  <c r="A642" i="8"/>
  <c r="E641" i="8"/>
  <c r="D641" i="8"/>
  <c r="B641" i="8"/>
  <c r="A641" i="8"/>
  <c r="E640" i="8"/>
  <c r="D640" i="8"/>
  <c r="B640" i="8"/>
  <c r="A640" i="8"/>
  <c r="E639" i="8"/>
  <c r="D639" i="8"/>
  <c r="B639" i="8"/>
  <c r="A639" i="8"/>
  <c r="E638" i="8"/>
  <c r="D638" i="8"/>
  <c r="B638" i="8"/>
  <c r="A638" i="8"/>
  <c r="E637" i="8"/>
  <c r="D637" i="8"/>
  <c r="B637" i="8"/>
  <c r="A637" i="8"/>
  <c r="E636" i="8"/>
  <c r="D636" i="8"/>
  <c r="B636" i="8"/>
  <c r="A636" i="8"/>
  <c r="E633" i="8"/>
  <c r="D633" i="8"/>
  <c r="B633" i="8"/>
  <c r="A633" i="8"/>
  <c r="E632" i="8"/>
  <c r="D632" i="8"/>
  <c r="B632" i="8"/>
  <c r="A632" i="8"/>
  <c r="E624" i="8"/>
  <c r="D624" i="8"/>
  <c r="B624" i="8"/>
  <c r="A624" i="8"/>
  <c r="E623" i="8"/>
  <c r="D623" i="8"/>
  <c r="B623" i="8"/>
  <c r="A623" i="8"/>
  <c r="E622" i="8"/>
  <c r="D622" i="8"/>
  <c r="B622" i="8"/>
  <c r="A622" i="8"/>
  <c r="E621" i="8"/>
  <c r="D621" i="8"/>
  <c r="B621" i="8"/>
  <c r="A621" i="8"/>
  <c r="E620" i="8"/>
  <c r="D620" i="8"/>
  <c r="B620" i="8"/>
  <c r="A620" i="8"/>
  <c r="E619" i="8"/>
  <c r="D619" i="8"/>
  <c r="B619" i="8"/>
  <c r="A619" i="8"/>
  <c r="A595" i="8"/>
  <c r="A596" i="8"/>
  <c r="A597" i="8"/>
  <c r="A598" i="8"/>
  <c r="A599" i="8"/>
  <c r="A600" i="8"/>
  <c r="A601" i="8"/>
  <c r="A602" i="8"/>
  <c r="A603" i="8"/>
  <c r="A604" i="8"/>
  <c r="A605" i="8"/>
  <c r="A606" i="8"/>
  <c r="A607" i="8"/>
  <c r="A608" i="8"/>
  <c r="A609" i="8"/>
  <c r="A610" i="8"/>
  <c r="A611" i="8"/>
  <c r="A612" i="8"/>
  <c r="A613" i="8"/>
  <c r="A614" i="8"/>
  <c r="B595" i="8"/>
  <c r="B596" i="8"/>
  <c r="B597" i="8"/>
  <c r="B598" i="8"/>
  <c r="B599" i="8"/>
  <c r="B600" i="8"/>
  <c r="B601" i="8"/>
  <c r="B602" i="8"/>
  <c r="B603" i="8"/>
  <c r="B604" i="8"/>
  <c r="B605" i="8"/>
  <c r="B606" i="8"/>
  <c r="B607" i="8"/>
  <c r="B608" i="8"/>
  <c r="B609" i="8"/>
  <c r="B610" i="8"/>
  <c r="B611" i="8"/>
  <c r="B612" i="8"/>
  <c r="B613" i="8"/>
  <c r="B614" i="8"/>
  <c r="D595" i="8"/>
  <c r="D596" i="8"/>
  <c r="D597" i="8"/>
  <c r="D598" i="8"/>
  <c r="D599" i="8"/>
  <c r="D600" i="8"/>
  <c r="D601" i="8"/>
  <c r="D602" i="8"/>
  <c r="D603" i="8"/>
  <c r="D604" i="8"/>
  <c r="D605" i="8"/>
  <c r="D606" i="8"/>
  <c r="D607" i="8"/>
  <c r="D608" i="8"/>
  <c r="D609" i="8"/>
  <c r="D610" i="8"/>
  <c r="D611" i="8"/>
  <c r="D612" i="8"/>
  <c r="D613" i="8"/>
  <c r="D614" i="8"/>
  <c r="E595" i="8"/>
  <c r="E596" i="8"/>
  <c r="E597" i="8"/>
  <c r="E598" i="8"/>
  <c r="E599" i="8"/>
  <c r="E600" i="8"/>
  <c r="E601" i="8"/>
  <c r="E602" i="8"/>
  <c r="E603" i="8"/>
  <c r="E604" i="8"/>
  <c r="E605" i="8"/>
  <c r="E606" i="8"/>
  <c r="E607" i="8"/>
  <c r="E608" i="8"/>
  <c r="E609" i="8"/>
  <c r="E610" i="8"/>
  <c r="E611" i="8"/>
  <c r="E612" i="8"/>
  <c r="E613" i="8"/>
  <c r="E614" i="8"/>
  <c r="AN288" i="3" l="1"/>
  <c r="AN287" i="3"/>
  <c r="AN82" i="3"/>
  <c r="AN393" i="3"/>
  <c r="AN273" i="3"/>
  <c r="AN10" i="3"/>
  <c r="AN11" i="3"/>
  <c r="AN69" i="3"/>
  <c r="AN303" i="3"/>
  <c r="AN12" i="3"/>
  <c r="AN13" i="3"/>
  <c r="AN14" i="3"/>
  <c r="AN15" i="3"/>
  <c r="AN274" i="3"/>
  <c r="AN17" i="3"/>
  <c r="AN18" i="3"/>
  <c r="AN16" i="3"/>
  <c r="AN199" i="3"/>
  <c r="AN200" i="3"/>
  <c r="AN275" i="3"/>
  <c r="AN321" i="3"/>
  <c r="AN277" i="3"/>
  <c r="AN278" i="3"/>
  <c r="AN279" i="3"/>
  <c r="AN280" i="3"/>
  <c r="AN285" i="3"/>
  <c r="AN36" i="3"/>
  <c r="AN37" i="3"/>
  <c r="AN38" i="3"/>
  <c r="AN40" i="3"/>
  <c r="AN289" i="3"/>
  <c r="AN41" i="3"/>
  <c r="AN42" i="3"/>
  <c r="AN43" i="3"/>
  <c r="AN44" i="3"/>
  <c r="AN83" i="3"/>
  <c r="AN290" i="3"/>
  <c r="AN291" i="3"/>
  <c r="AN45" i="3"/>
  <c r="AN46" i="3"/>
  <c r="AN47" i="3"/>
  <c r="AN296" i="3"/>
  <c r="AO288" i="3"/>
  <c r="AO287" i="3"/>
  <c r="AO82" i="3"/>
  <c r="AO393" i="3"/>
  <c r="AO273" i="3"/>
  <c r="AO10" i="3"/>
  <c r="AO11" i="3"/>
  <c r="AO69" i="3"/>
  <c r="AO303" i="3"/>
  <c r="AO12" i="3"/>
  <c r="AO13" i="3"/>
  <c r="AO14" i="3"/>
  <c r="AO15" i="3"/>
  <c r="AO274" i="3"/>
  <c r="AO17" i="3"/>
  <c r="AO18" i="3"/>
  <c r="AO16" i="3"/>
  <c r="AO199" i="3"/>
  <c r="AO200" i="3"/>
  <c r="AO275" i="3"/>
  <c r="AO321" i="3"/>
  <c r="AO277" i="3"/>
  <c r="AO278" i="3"/>
  <c r="AO279" i="3"/>
  <c r="AO280" i="3"/>
  <c r="AO285" i="3"/>
  <c r="AO36" i="3"/>
  <c r="AO37" i="3"/>
  <c r="AO38" i="3"/>
  <c r="AO40" i="3"/>
  <c r="AO289" i="3"/>
  <c r="AO41" i="3"/>
  <c r="AO42" i="3"/>
  <c r="AO43" i="3"/>
  <c r="AO44" i="3"/>
  <c r="AO83" i="3"/>
  <c r="AO290" i="3"/>
  <c r="AO291" i="3"/>
  <c r="AO45" i="3"/>
  <c r="AO46" i="3"/>
  <c r="AO47" i="3"/>
  <c r="AO296" i="3"/>
  <c r="AO8" i="3"/>
  <c r="AO249" i="3"/>
  <c r="AO132" i="3"/>
  <c r="AO242" i="3"/>
  <c r="AO250" i="3"/>
  <c r="AO133" i="3"/>
  <c r="AO243" i="3"/>
  <c r="AO251" i="3"/>
  <c r="AO138" i="3"/>
  <c r="AO244" i="3"/>
  <c r="AO252" i="3"/>
  <c r="AO245" i="3"/>
  <c r="AO253" i="3"/>
  <c r="AO139" i="3"/>
  <c r="AO246" i="3"/>
  <c r="AO254" i="3"/>
  <c r="AO161" i="3"/>
  <c r="AO248" i="3"/>
  <c r="AO256" i="3"/>
  <c r="AO131" i="3"/>
  <c r="AO247" i="3"/>
  <c r="AO255" i="3"/>
  <c r="AO267" i="3"/>
  <c r="AO377" i="3"/>
  <c r="AO353" i="3"/>
  <c r="AO258" i="3"/>
  <c r="AO269" i="3"/>
  <c r="AO281" i="3"/>
  <c r="AO241" i="3"/>
  <c r="AO30" i="3"/>
  <c r="AO32" i="3"/>
  <c r="AO56" i="3"/>
  <c r="AO48" i="3"/>
  <c r="AO53" i="3"/>
  <c r="AO342" i="3"/>
  <c r="AO293" i="3"/>
  <c r="AO50" i="3"/>
  <c r="AO310" i="3"/>
  <c r="AO341" i="3"/>
  <c r="AO361" i="3"/>
  <c r="AO79" i="3"/>
  <c r="AO221" i="3"/>
  <c r="AO359" i="3"/>
  <c r="AO19" i="3"/>
  <c r="AO25" i="3"/>
  <c r="AO378" i="3"/>
  <c r="AO380" i="3"/>
  <c r="AO31" i="3"/>
  <c r="AO33" i="3"/>
  <c r="AO70" i="3"/>
  <c r="AO78" i="3"/>
  <c r="AO314" i="3"/>
  <c r="AO365" i="3"/>
  <c r="AO362" i="3"/>
  <c r="AO20" i="3"/>
  <c r="AO89" i="3"/>
  <c r="AO26" i="3"/>
  <c r="AO194" i="3"/>
  <c r="AO283" i="3"/>
  <c r="AO206" i="3"/>
  <c r="AO34" i="3"/>
  <c r="AO74" i="3"/>
  <c r="AO294" i="3"/>
  <c r="AO356" i="3"/>
  <c r="AO334" i="3"/>
  <c r="AO316" i="3"/>
  <c r="AO366" i="3"/>
  <c r="AO260" i="3"/>
  <c r="AO7" i="3"/>
  <c r="AO91" i="3"/>
  <c r="AO21" i="3"/>
  <c r="AO27" i="3"/>
  <c r="AO54" i="3"/>
  <c r="AO284" i="3"/>
  <c r="AO35" i="3"/>
  <c r="AO225" i="3"/>
  <c r="AO237" i="3"/>
  <c r="AO191" i="3"/>
  <c r="AO61" i="3"/>
  <c r="AO268" i="3"/>
  <c r="AO385" i="3"/>
  <c r="AO368" i="3"/>
  <c r="AO282" i="3"/>
  <c r="AO28" i="3"/>
  <c r="AO350" i="3"/>
  <c r="AO57" i="3"/>
  <c r="AO192" i="3"/>
  <c r="AO374" i="3"/>
  <c r="AO384" i="3"/>
  <c r="AO347" i="3"/>
  <c r="AO22" i="3"/>
  <c r="AO301" i="3"/>
  <c r="AO197" i="3"/>
  <c r="AO80" i="3"/>
  <c r="AO339" i="3"/>
  <c r="AO59" i="3"/>
  <c r="AO338" i="3"/>
  <c r="AO360" i="3"/>
  <c r="AO355" i="3"/>
  <c r="AO345" i="3"/>
  <c r="AO295" i="3"/>
  <c r="AO276" i="3"/>
  <c r="AO23" i="3"/>
  <c r="AO379" i="3"/>
  <c r="AO204" i="3"/>
  <c r="AO340" i="3"/>
  <c r="AO76" i="3"/>
  <c r="AO328" i="3"/>
  <c r="AO364" i="3"/>
  <c r="AO51" i="3"/>
  <c r="AO346" i="3"/>
  <c r="AO352" i="3"/>
  <c r="AO343" i="3"/>
  <c r="AO196" i="3"/>
  <c r="AO218" i="3"/>
  <c r="AO351" i="3"/>
  <c r="AO93" i="3"/>
  <c r="AO60" i="3"/>
  <c r="AO292" i="3"/>
  <c r="AO49" i="3"/>
  <c r="AO6" i="3"/>
  <c r="AO386" i="3"/>
  <c r="AO369" i="3"/>
  <c r="AO24" i="3"/>
  <c r="AO39" i="3"/>
  <c r="AO236" i="3"/>
  <c r="AO259" i="3"/>
  <c r="AO320" i="3"/>
  <c r="AO29" i="3"/>
  <c r="AN132" i="3"/>
  <c r="AN242" i="3"/>
  <c r="AN250" i="3"/>
  <c r="AN343" i="3"/>
  <c r="AN6" i="3"/>
  <c r="AN386" i="3"/>
  <c r="AN369" i="3"/>
  <c r="AN328" i="3"/>
  <c r="AN24" i="3"/>
  <c r="AN196" i="3"/>
  <c r="AN364" i="3"/>
  <c r="AN39" i="3"/>
  <c r="AN218" i="3"/>
  <c r="AN236" i="3"/>
  <c r="AN51" i="3"/>
  <c r="AN268" i="3"/>
  <c r="AN368" i="3"/>
  <c r="AN192" i="3"/>
  <c r="AN133" i="3"/>
  <c r="AN243" i="3"/>
  <c r="AN251" i="3"/>
  <c r="AN374" i="3"/>
  <c r="AN384" i="3"/>
  <c r="AN347" i="3"/>
  <c r="AN22" i="3"/>
  <c r="AN301" i="3"/>
  <c r="AN197" i="3"/>
  <c r="AN80" i="3"/>
  <c r="AN339" i="3"/>
  <c r="AN59" i="3"/>
  <c r="AN338" i="3"/>
  <c r="AN360" i="3"/>
  <c r="AN355" i="3"/>
  <c r="AN345" i="3"/>
  <c r="AN295" i="3"/>
  <c r="AN350" i="3"/>
  <c r="AN138" i="3"/>
  <c r="AN244" i="3"/>
  <c r="AN252" i="3"/>
  <c r="AN351" i="3"/>
  <c r="AN259" i="3"/>
  <c r="AN276" i="3"/>
  <c r="AN320" i="3"/>
  <c r="AN23" i="3"/>
  <c r="AN346" i="3"/>
  <c r="AN93" i="3"/>
  <c r="AN379" i="3"/>
  <c r="AN29" i="3"/>
  <c r="AN204" i="3"/>
  <c r="AN352" i="3"/>
  <c r="AN340" i="3"/>
  <c r="AN60" i="3"/>
  <c r="AN292" i="3"/>
  <c r="AN49" i="3"/>
  <c r="AN76" i="3"/>
  <c r="AN249" i="3"/>
  <c r="AN245" i="3"/>
  <c r="AN253" i="3"/>
  <c r="AN267" i="3"/>
  <c r="AN377" i="3"/>
  <c r="AN353" i="3"/>
  <c r="AN258" i="3"/>
  <c r="AN269" i="3"/>
  <c r="AN281" i="3"/>
  <c r="AN241" i="3"/>
  <c r="AN30" i="3"/>
  <c r="AN32" i="3"/>
  <c r="AN56" i="3"/>
  <c r="AN48" i="3"/>
  <c r="AN53" i="3"/>
  <c r="AN342" i="3"/>
  <c r="AN293" i="3"/>
  <c r="AN50" i="3"/>
  <c r="AN310" i="3"/>
  <c r="AN282" i="3"/>
  <c r="AN139" i="3"/>
  <c r="AN246" i="3"/>
  <c r="AN254" i="3"/>
  <c r="AN341" i="3"/>
  <c r="AN361" i="3"/>
  <c r="AN79" i="3"/>
  <c r="AN221" i="3"/>
  <c r="AN359" i="3"/>
  <c r="AN19" i="3"/>
  <c r="AN25" i="3"/>
  <c r="AN378" i="3"/>
  <c r="AN380" i="3"/>
  <c r="AN31" i="3"/>
  <c r="AN33" i="3"/>
  <c r="AN70" i="3"/>
  <c r="AN78" i="3"/>
  <c r="AN314" i="3"/>
  <c r="AN365" i="3"/>
  <c r="AN8" i="3"/>
  <c r="AN131" i="3"/>
  <c r="AN247" i="3"/>
  <c r="AN255" i="3"/>
  <c r="AN362" i="3"/>
  <c r="AN20" i="3"/>
  <c r="AN89" i="3"/>
  <c r="AN26" i="3"/>
  <c r="AN194" i="3"/>
  <c r="AN283" i="3"/>
  <c r="AN206" i="3"/>
  <c r="AN34" i="3"/>
  <c r="AN74" i="3"/>
  <c r="AN294" i="3"/>
  <c r="AN356" i="3"/>
  <c r="AN334" i="3"/>
  <c r="AN316" i="3"/>
  <c r="AN385" i="3"/>
  <c r="AN57" i="3"/>
  <c r="AN161" i="3"/>
  <c r="AN248" i="3"/>
  <c r="AN256" i="3"/>
  <c r="AN366" i="3"/>
  <c r="AN260" i="3"/>
  <c r="AN7" i="3"/>
  <c r="AN91" i="3"/>
  <c r="AN21" i="3"/>
  <c r="AN27" i="3"/>
  <c r="AN54" i="3"/>
  <c r="AN284" i="3"/>
  <c r="AN35" i="3"/>
  <c r="AN225" i="3"/>
  <c r="AN237" i="3"/>
  <c r="AN191" i="3"/>
  <c r="AN61" i="3"/>
  <c r="AN28" i="3"/>
  <c r="AN183" i="3"/>
  <c r="AN184" i="3"/>
  <c r="AN185" i="3"/>
  <c r="AN354" i="3"/>
  <c r="AN160" i="3"/>
  <c r="AN162" i="3"/>
  <c r="AO354" i="3"/>
  <c r="AO183" i="3"/>
  <c r="AO160" i="3"/>
  <c r="AO185" i="3"/>
  <c r="AO184" i="3"/>
  <c r="AO162" i="3"/>
  <c r="AN348" i="3"/>
  <c r="AN357" i="3"/>
  <c r="AN358" i="3"/>
  <c r="AN367" i="3"/>
  <c r="AN370" i="3"/>
  <c r="AN344" i="3"/>
  <c r="AO357" i="3"/>
  <c r="AO358" i="3"/>
  <c r="AO367" i="3"/>
  <c r="AO348" i="3"/>
  <c r="AO370" i="3"/>
  <c r="AO344" i="3"/>
  <c r="AN272" i="3"/>
  <c r="AO272" i="3"/>
  <c r="AN257" i="3"/>
  <c r="AO257" i="3"/>
  <c r="AN65" i="3"/>
  <c r="AN85" i="3"/>
  <c r="AN84" i="3"/>
  <c r="AN227" i="3"/>
  <c r="AN86" i="3"/>
  <c r="AN337" i="3"/>
  <c r="AN224" i="3"/>
  <c r="AN179" i="3"/>
  <c r="AO65" i="3"/>
  <c r="AO84" i="3"/>
  <c r="AO227" i="3"/>
  <c r="AO85" i="3"/>
  <c r="AO337" i="3"/>
  <c r="AO86" i="3"/>
  <c r="AO224" i="3"/>
  <c r="AO179" i="3"/>
  <c r="AN232" i="3"/>
  <c r="AN231" i="3"/>
  <c r="AO231" i="3"/>
  <c r="AO232" i="3"/>
  <c r="AN189" i="3"/>
  <c r="AN81" i="3"/>
  <c r="AN239" i="3"/>
  <c r="AN187" i="3"/>
  <c r="AN88" i="3"/>
  <c r="AN312" i="3"/>
  <c r="AN90" i="3"/>
  <c r="AN336" i="3"/>
  <c r="AN375" i="3"/>
  <c r="AN313" i="3"/>
  <c r="AN332" i="3"/>
  <c r="AN383" i="3"/>
  <c r="AN73" i="3"/>
  <c r="AN62" i="3"/>
  <c r="AN388" i="3"/>
  <c r="AN217" i="3"/>
  <c r="AN66" i="3"/>
  <c r="AN98" i="3"/>
  <c r="AN106" i="3"/>
  <c r="AN118" i="3"/>
  <c r="AN126" i="3"/>
  <c r="AN137" i="3"/>
  <c r="AN147" i="3"/>
  <c r="AN155" i="3"/>
  <c r="AN166" i="3"/>
  <c r="AN173" i="3"/>
  <c r="AN181" i="3"/>
  <c r="AN198" i="3"/>
  <c r="AN210" i="3"/>
  <c r="AN220" i="3"/>
  <c r="AN230" i="3"/>
  <c r="AN262" i="3"/>
  <c r="AN297" i="3"/>
  <c r="AN306" i="3"/>
  <c r="AN319" i="3"/>
  <c r="AN330" i="3"/>
  <c r="AN372" i="3"/>
  <c r="AN389" i="3"/>
  <c r="AN3" i="3"/>
  <c r="AN67" i="3"/>
  <c r="AN99" i="3"/>
  <c r="AN107" i="3"/>
  <c r="AN119" i="3"/>
  <c r="AN127" i="3"/>
  <c r="AN140" i="3"/>
  <c r="AN148" i="3"/>
  <c r="AN156" i="3"/>
  <c r="AN167" i="3"/>
  <c r="AN174" i="3"/>
  <c r="AN182" i="3"/>
  <c r="AN201" i="3"/>
  <c r="AN211" i="3"/>
  <c r="AN222" i="3"/>
  <c r="AN263" i="3"/>
  <c r="AN298" i="3"/>
  <c r="AN307" i="3"/>
  <c r="AN322" i="3"/>
  <c r="AN331" i="3"/>
  <c r="AN390" i="3"/>
  <c r="AN4" i="3"/>
  <c r="AN68" i="3"/>
  <c r="AN87" i="3"/>
  <c r="AN100" i="3"/>
  <c r="AN108" i="3"/>
  <c r="AN120" i="3"/>
  <c r="AN128" i="3"/>
  <c r="AN141" i="3"/>
  <c r="AN149" i="3"/>
  <c r="AN157" i="3"/>
  <c r="AN168" i="3"/>
  <c r="AN175" i="3"/>
  <c r="AN186" i="3"/>
  <c r="AN202" i="3"/>
  <c r="AN212" i="3"/>
  <c r="AN223" i="3"/>
  <c r="AN233" i="3"/>
  <c r="AN264" i="3"/>
  <c r="AN299" i="3"/>
  <c r="AN308" i="3"/>
  <c r="AN323" i="3"/>
  <c r="AN333" i="3"/>
  <c r="AN373" i="3"/>
  <c r="AN391" i="3"/>
  <c r="AN5" i="3"/>
  <c r="AN55" i="3"/>
  <c r="AN71" i="3"/>
  <c r="AN92" i="3"/>
  <c r="AN101" i="3"/>
  <c r="AN109" i="3"/>
  <c r="AN121" i="3"/>
  <c r="AN129" i="3"/>
  <c r="AN142" i="3"/>
  <c r="AN150" i="3"/>
  <c r="AN158" i="3"/>
  <c r="AN169" i="3"/>
  <c r="AN176" i="3"/>
  <c r="AN203" i="3"/>
  <c r="AN213" i="3"/>
  <c r="AN234" i="3"/>
  <c r="AN265" i="3"/>
  <c r="AN300" i="3"/>
  <c r="AN309" i="3"/>
  <c r="AN324" i="3"/>
  <c r="AN335" i="3"/>
  <c r="AN376" i="3"/>
  <c r="AN392" i="3"/>
  <c r="AN52" i="3"/>
  <c r="AN58" i="3"/>
  <c r="AN72" i="3"/>
  <c r="AN94" i="3"/>
  <c r="AN102" i="3"/>
  <c r="AN110" i="3"/>
  <c r="AN114" i="3"/>
  <c r="AN122" i="3"/>
  <c r="AN130" i="3"/>
  <c r="AN143" i="3"/>
  <c r="AN151" i="3"/>
  <c r="AN159" i="3"/>
  <c r="AN170" i="3"/>
  <c r="AN177" i="3"/>
  <c r="AN188" i="3"/>
  <c r="AN205" i="3"/>
  <c r="AN214" i="3"/>
  <c r="AN226" i="3"/>
  <c r="AN235" i="3"/>
  <c r="AN266" i="3"/>
  <c r="AN302" i="3"/>
  <c r="AN311" i="3"/>
  <c r="AN325" i="3"/>
  <c r="AN63" i="3"/>
  <c r="AN75" i="3"/>
  <c r="AN95" i="3"/>
  <c r="AN103" i="3"/>
  <c r="AN111" i="3"/>
  <c r="AN115" i="3"/>
  <c r="AN123" i="3"/>
  <c r="AN134" i="3"/>
  <c r="AN144" i="3"/>
  <c r="AN152" i="3"/>
  <c r="AN163" i="3"/>
  <c r="AN171" i="3"/>
  <c r="AN178" i="3"/>
  <c r="AN190" i="3"/>
  <c r="AN207" i="3"/>
  <c r="AN215" i="3"/>
  <c r="AN270" i="3"/>
  <c r="AN304" i="3"/>
  <c r="AN315" i="3"/>
  <c r="AN326" i="3"/>
  <c r="AN381" i="3"/>
  <c r="AN64" i="3"/>
  <c r="AN77" i="3"/>
  <c r="AN96" i="3"/>
  <c r="AN104" i="3"/>
  <c r="AN112" i="3"/>
  <c r="AN116" i="3"/>
  <c r="AN124" i="3"/>
  <c r="AN135" i="3"/>
  <c r="AN145" i="3"/>
  <c r="AN153" i="3"/>
  <c r="AN164" i="3"/>
  <c r="AN172" i="3"/>
  <c r="AN193" i="3"/>
  <c r="AN208" i="3"/>
  <c r="AN216" i="3"/>
  <c r="AN228" i="3"/>
  <c r="AN238" i="3"/>
  <c r="AN286" i="3"/>
  <c r="AN317" i="3"/>
  <c r="AN327" i="3"/>
  <c r="AN382" i="3"/>
  <c r="AN9" i="3"/>
  <c r="AN97" i="3"/>
  <c r="AN105" i="3"/>
  <c r="AN113" i="3"/>
  <c r="AN117" i="3"/>
  <c r="AN125" i="3"/>
  <c r="AN136" i="3"/>
  <c r="AN146" i="3"/>
  <c r="AN154" i="3"/>
  <c r="AN165" i="3"/>
  <c r="AN180" i="3"/>
  <c r="AN195" i="3"/>
  <c r="AN209" i="3"/>
  <c r="AN219" i="3"/>
  <c r="AN229" i="3"/>
  <c r="AN240" i="3"/>
  <c r="AN261" i="3"/>
  <c r="AN271" i="3"/>
  <c r="AN305" i="3"/>
  <c r="AN318" i="3"/>
  <c r="AN329" i="3"/>
  <c r="AN349" i="3"/>
  <c r="AN363" i="3"/>
  <c r="AN371" i="3"/>
  <c r="AN387" i="3"/>
  <c r="AO189" i="3"/>
  <c r="AO187" i="3"/>
  <c r="AO73" i="3"/>
  <c r="AO81" i="3"/>
  <c r="AO239" i="3"/>
  <c r="AO88" i="3"/>
  <c r="AO312" i="3"/>
  <c r="AO90" i="3"/>
  <c r="AO336" i="3"/>
  <c r="AO375" i="3"/>
  <c r="AO313" i="3"/>
  <c r="AO332" i="3"/>
  <c r="AO383" i="3"/>
  <c r="AO62" i="3"/>
  <c r="AO388" i="3"/>
  <c r="AO217" i="3"/>
  <c r="AO5" i="3"/>
  <c r="AO55" i="3"/>
  <c r="AO71" i="3"/>
  <c r="AO92" i="3"/>
  <c r="AO101" i="3"/>
  <c r="AO109" i="3"/>
  <c r="AO121" i="3"/>
  <c r="AO129" i="3"/>
  <c r="AO142" i="3"/>
  <c r="AO150" i="3"/>
  <c r="AO158" i="3"/>
  <c r="AO169" i="3"/>
  <c r="AO176" i="3"/>
  <c r="AO203" i="3"/>
  <c r="AO213" i="3"/>
  <c r="AO234" i="3"/>
  <c r="AO265" i="3"/>
  <c r="AO300" i="3"/>
  <c r="AO309" i="3"/>
  <c r="AO324" i="3"/>
  <c r="AO335" i="3"/>
  <c r="AO376" i="3"/>
  <c r="AO392" i="3"/>
  <c r="AO52" i="3"/>
  <c r="AO58" i="3"/>
  <c r="AO72" i="3"/>
  <c r="AO94" i="3"/>
  <c r="AO102" i="3"/>
  <c r="AO110" i="3"/>
  <c r="AO114" i="3"/>
  <c r="AO122" i="3"/>
  <c r="AO130" i="3"/>
  <c r="AO143" i="3"/>
  <c r="AO151" i="3"/>
  <c r="AO159" i="3"/>
  <c r="AO170" i="3"/>
  <c r="AO177" i="3"/>
  <c r="AO188" i="3"/>
  <c r="AO205" i="3"/>
  <c r="AO214" i="3"/>
  <c r="AO226" i="3"/>
  <c r="AO235" i="3"/>
  <c r="AO266" i="3"/>
  <c r="AO302" i="3"/>
  <c r="AO311" i="3"/>
  <c r="AO325" i="3"/>
  <c r="AO63" i="3"/>
  <c r="AO75" i="3"/>
  <c r="AO95" i="3"/>
  <c r="AO103" i="3"/>
  <c r="AO111" i="3"/>
  <c r="AO115" i="3"/>
  <c r="AO123" i="3"/>
  <c r="AO134" i="3"/>
  <c r="AO144" i="3"/>
  <c r="AO152" i="3"/>
  <c r="AO163" i="3"/>
  <c r="AO171" i="3"/>
  <c r="AO178" i="3"/>
  <c r="AO190" i="3"/>
  <c r="AO207" i="3"/>
  <c r="AO215" i="3"/>
  <c r="AO270" i="3"/>
  <c r="AO304" i="3"/>
  <c r="AO315" i="3"/>
  <c r="AO326" i="3"/>
  <c r="AO381" i="3"/>
  <c r="AO64" i="3"/>
  <c r="AO77" i="3"/>
  <c r="AO96" i="3"/>
  <c r="AO104" i="3"/>
  <c r="AO112" i="3"/>
  <c r="AO116" i="3"/>
  <c r="AO124" i="3"/>
  <c r="AO135" i="3"/>
  <c r="AO145" i="3"/>
  <c r="AO153" i="3"/>
  <c r="AO164" i="3"/>
  <c r="AO172" i="3"/>
  <c r="AO193" i="3"/>
  <c r="AO208" i="3"/>
  <c r="AO216" i="3"/>
  <c r="AO228" i="3"/>
  <c r="AO238" i="3"/>
  <c r="AO286" i="3"/>
  <c r="AO317" i="3"/>
  <c r="AO327" i="3"/>
  <c r="AO382" i="3"/>
  <c r="AO9" i="3"/>
  <c r="AO97" i="3"/>
  <c r="AO105" i="3"/>
  <c r="AO113" i="3"/>
  <c r="AO117" i="3"/>
  <c r="AO125" i="3"/>
  <c r="AO136" i="3"/>
  <c r="AO146" i="3"/>
  <c r="AO154" i="3"/>
  <c r="AO165" i="3"/>
  <c r="AO180" i="3"/>
  <c r="AO195" i="3"/>
  <c r="AO209" i="3"/>
  <c r="AO219" i="3"/>
  <c r="AO229" i="3"/>
  <c r="AO240" i="3"/>
  <c r="AO261" i="3"/>
  <c r="AO271" i="3"/>
  <c r="AO305" i="3"/>
  <c r="AO318" i="3"/>
  <c r="AO329" i="3"/>
  <c r="AO349" i="3"/>
  <c r="AO363" i="3"/>
  <c r="AO371" i="3"/>
  <c r="AO387" i="3"/>
  <c r="AO66" i="3"/>
  <c r="AO98" i="3"/>
  <c r="AO106" i="3"/>
  <c r="AO118" i="3"/>
  <c r="AO126" i="3"/>
  <c r="AO137" i="3"/>
  <c r="AO147" i="3"/>
  <c r="AO155" i="3"/>
  <c r="AO166" i="3"/>
  <c r="AO173" i="3"/>
  <c r="AO181" i="3"/>
  <c r="AO198" i="3"/>
  <c r="AO210" i="3"/>
  <c r="AO220" i="3"/>
  <c r="AO230" i="3"/>
  <c r="AO262" i="3"/>
  <c r="AO297" i="3"/>
  <c r="AO306" i="3"/>
  <c r="AO319" i="3"/>
  <c r="AO330" i="3"/>
  <c r="AO372" i="3"/>
  <c r="AO389" i="3"/>
  <c r="AO3" i="3"/>
  <c r="AO67" i="3"/>
  <c r="AO99" i="3"/>
  <c r="AO107" i="3"/>
  <c r="AO119" i="3"/>
  <c r="AO127" i="3"/>
  <c r="AO140" i="3"/>
  <c r="AO148" i="3"/>
  <c r="AO156" i="3"/>
  <c r="AO167" i="3"/>
  <c r="AO174" i="3"/>
  <c r="AO182" i="3"/>
  <c r="AO201" i="3"/>
  <c r="AO211" i="3"/>
  <c r="AO222" i="3"/>
  <c r="AO263" i="3"/>
  <c r="AO298" i="3"/>
  <c r="AO307" i="3"/>
  <c r="AO322" i="3"/>
  <c r="AO331" i="3"/>
  <c r="AO390" i="3"/>
  <c r="AO4" i="3"/>
  <c r="AO68" i="3"/>
  <c r="AO87" i="3"/>
  <c r="AO100" i="3"/>
  <c r="AO108" i="3"/>
  <c r="AO120" i="3"/>
  <c r="AO128" i="3"/>
  <c r="AO141" i="3"/>
  <c r="AO149" i="3"/>
  <c r="AO157" i="3"/>
  <c r="AO168" i="3"/>
  <c r="AO175" i="3"/>
  <c r="AO186" i="3"/>
  <c r="AO202" i="3"/>
  <c r="AO212" i="3"/>
  <c r="AO223" i="3"/>
  <c r="AO233" i="3"/>
  <c r="AO264" i="3"/>
  <c r="AO299" i="3"/>
  <c r="AO308" i="3"/>
  <c r="AO323" i="3"/>
  <c r="AO333" i="3"/>
  <c r="AO373" i="3"/>
  <c r="AO391" i="3"/>
  <c r="A594" i="8"/>
  <c r="B594" i="8"/>
  <c r="D594" i="8"/>
  <c r="E594" i="8"/>
  <c r="E593" i="8" l="1"/>
  <c r="D593" i="8"/>
  <c r="B593" i="8"/>
  <c r="A593" i="8"/>
  <c r="E592" i="8"/>
  <c r="D592" i="8"/>
  <c r="B592" i="8"/>
  <c r="A592" i="8"/>
  <c r="E591" i="8"/>
  <c r="D591" i="8"/>
  <c r="B591" i="8"/>
  <c r="A591" i="8"/>
  <c r="E590" i="8"/>
  <c r="D590" i="8"/>
  <c r="B590" i="8"/>
  <c r="A590" i="8"/>
  <c r="E589" i="8"/>
  <c r="D589" i="8"/>
  <c r="B589" i="8"/>
  <c r="A589" i="8"/>
  <c r="E588" i="8"/>
  <c r="D588" i="8"/>
  <c r="B588" i="8"/>
  <c r="A588" i="8"/>
  <c r="AM288" i="3" l="1"/>
  <c r="AM287" i="3"/>
  <c r="AM82" i="3"/>
  <c r="AM393" i="3"/>
  <c r="AM273" i="3"/>
  <c r="AM10" i="3"/>
  <c r="AM11" i="3"/>
  <c r="AM69" i="3"/>
  <c r="AM303" i="3"/>
  <c r="AM12" i="3"/>
  <c r="AM13" i="3"/>
  <c r="AM14" i="3"/>
  <c r="AM15" i="3"/>
  <c r="AM274" i="3"/>
  <c r="AM17" i="3"/>
  <c r="AM18" i="3"/>
  <c r="AM16" i="3"/>
  <c r="AM199" i="3"/>
  <c r="AM200" i="3"/>
  <c r="AM275" i="3"/>
  <c r="AM321" i="3"/>
  <c r="AM277" i="3"/>
  <c r="AM278" i="3"/>
  <c r="AM279" i="3"/>
  <c r="AM280" i="3"/>
  <c r="AM285" i="3"/>
  <c r="AM36" i="3"/>
  <c r="AM37" i="3"/>
  <c r="AM38" i="3"/>
  <c r="AM40" i="3"/>
  <c r="AM289" i="3"/>
  <c r="AM41" i="3"/>
  <c r="AM42" i="3"/>
  <c r="AM43" i="3"/>
  <c r="AM44" i="3"/>
  <c r="AM83" i="3"/>
  <c r="AM290" i="3"/>
  <c r="AM291" i="3"/>
  <c r="AM45" i="3"/>
  <c r="AM46" i="3"/>
  <c r="AM47" i="3"/>
  <c r="AM296" i="3"/>
  <c r="AM245" i="3"/>
  <c r="AM253" i="3"/>
  <c r="AM362" i="3"/>
  <c r="AM20" i="3"/>
  <c r="AM89" i="3"/>
  <c r="AM26" i="3"/>
  <c r="AM194" i="3"/>
  <c r="AM283" i="3"/>
  <c r="AM206" i="3"/>
  <c r="AM34" i="3"/>
  <c r="AM74" i="3"/>
  <c r="AM294" i="3"/>
  <c r="AM356" i="3"/>
  <c r="AM334" i="3"/>
  <c r="AM316" i="3"/>
  <c r="AM221" i="3"/>
  <c r="AM31" i="3"/>
  <c r="AM139" i="3"/>
  <c r="AM246" i="3"/>
  <c r="AM254" i="3"/>
  <c r="AM366" i="3"/>
  <c r="AM260" i="3"/>
  <c r="AM7" i="3"/>
  <c r="AM91" i="3"/>
  <c r="AM21" i="3"/>
  <c r="AM27" i="3"/>
  <c r="AM54" i="3"/>
  <c r="AM284" i="3"/>
  <c r="AM35" i="3"/>
  <c r="AM225" i="3"/>
  <c r="AM237" i="3"/>
  <c r="AM191" i="3"/>
  <c r="AM61" i="3"/>
  <c r="AM138" i="3"/>
  <c r="AM361" i="3"/>
  <c r="AM378" i="3"/>
  <c r="AM33" i="3"/>
  <c r="AM70" i="3"/>
  <c r="AM131" i="3"/>
  <c r="AM247" i="3"/>
  <c r="AM255" i="3"/>
  <c r="AM268" i="3"/>
  <c r="AM385" i="3"/>
  <c r="AM368" i="3"/>
  <c r="AM282" i="3"/>
  <c r="AM28" i="3"/>
  <c r="AM350" i="3"/>
  <c r="AM57" i="3"/>
  <c r="AM192" i="3"/>
  <c r="AM244" i="3"/>
  <c r="AM341" i="3"/>
  <c r="AM19" i="3"/>
  <c r="AM380" i="3"/>
  <c r="AM78" i="3"/>
  <c r="AM365" i="3"/>
  <c r="AM161" i="3"/>
  <c r="AM248" i="3"/>
  <c r="AM256" i="3"/>
  <c r="AM343" i="3"/>
  <c r="AM6" i="3"/>
  <c r="AM386" i="3"/>
  <c r="AM369" i="3"/>
  <c r="AM328" i="3"/>
  <c r="AM24" i="3"/>
  <c r="AM196" i="3"/>
  <c r="AM364" i="3"/>
  <c r="AM39" i="3"/>
  <c r="AM218" i="3"/>
  <c r="AM236" i="3"/>
  <c r="AM51" i="3"/>
  <c r="AM252" i="3"/>
  <c r="AM25" i="3"/>
  <c r="AM8" i="3"/>
  <c r="AM249" i="3"/>
  <c r="AM374" i="3"/>
  <c r="AM384" i="3"/>
  <c r="AM347" i="3"/>
  <c r="AM22" i="3"/>
  <c r="AM301" i="3"/>
  <c r="AM197" i="3"/>
  <c r="AM80" i="3"/>
  <c r="AM339" i="3"/>
  <c r="AM59" i="3"/>
  <c r="AM338" i="3"/>
  <c r="AM360" i="3"/>
  <c r="AM355" i="3"/>
  <c r="AM345" i="3"/>
  <c r="AM295" i="3"/>
  <c r="AM314" i="3"/>
  <c r="AM132" i="3"/>
  <c r="AM242" i="3"/>
  <c r="AM250" i="3"/>
  <c r="AM351" i="3"/>
  <c r="AM259" i="3"/>
  <c r="AM276" i="3"/>
  <c r="AM320" i="3"/>
  <c r="AM23" i="3"/>
  <c r="AM346" i="3"/>
  <c r="AM93" i="3"/>
  <c r="AM379" i="3"/>
  <c r="AM29" i="3"/>
  <c r="AM204" i="3"/>
  <c r="AM352" i="3"/>
  <c r="AM340" i="3"/>
  <c r="AM60" i="3"/>
  <c r="AM292" i="3"/>
  <c r="AM49" i="3"/>
  <c r="AM76" i="3"/>
  <c r="AM79" i="3"/>
  <c r="AM133" i="3"/>
  <c r="AM243" i="3"/>
  <c r="AM251" i="3"/>
  <c r="AM267" i="3"/>
  <c r="AM377" i="3"/>
  <c r="AM353" i="3"/>
  <c r="AM258" i="3"/>
  <c r="AM269" i="3"/>
  <c r="AM281" i="3"/>
  <c r="AM241" i="3"/>
  <c r="AM30" i="3"/>
  <c r="AM32" i="3"/>
  <c r="AM56" i="3"/>
  <c r="AM48" i="3"/>
  <c r="AM53" i="3"/>
  <c r="AM342" i="3"/>
  <c r="AM293" i="3"/>
  <c r="AM50" i="3"/>
  <c r="AM310" i="3"/>
  <c r="AM359" i="3"/>
  <c r="AM354" i="3"/>
  <c r="AM160" i="3"/>
  <c r="AM162" i="3"/>
  <c r="AM183" i="3"/>
  <c r="AM185" i="3"/>
  <c r="AM184" i="3"/>
  <c r="AM272" i="3"/>
  <c r="AM344" i="3"/>
  <c r="AM348" i="3"/>
  <c r="AM357" i="3"/>
  <c r="AM358" i="3"/>
  <c r="AM367" i="3"/>
  <c r="AM370" i="3"/>
  <c r="AM257" i="3"/>
  <c r="AM65" i="3"/>
  <c r="AM337" i="3"/>
  <c r="AM85" i="3"/>
  <c r="AM224" i="3"/>
  <c r="AM179" i="3"/>
  <c r="AM86" i="3"/>
  <c r="AM84" i="3"/>
  <c r="AM227" i="3"/>
  <c r="AM231" i="3"/>
  <c r="AM232" i="3"/>
  <c r="AM189" i="3"/>
  <c r="AM81" i="3"/>
  <c r="AM239" i="3"/>
  <c r="AM187" i="3"/>
  <c r="AM88" i="3"/>
  <c r="AM312" i="3"/>
  <c r="AM90" i="3"/>
  <c r="AM336" i="3"/>
  <c r="AM375" i="3"/>
  <c r="AM313" i="3"/>
  <c r="AM332" i="3"/>
  <c r="AM383" i="3"/>
  <c r="AM73" i="3"/>
  <c r="AM62" i="3"/>
  <c r="AM388" i="3"/>
  <c r="AM217" i="3"/>
  <c r="AM63" i="3"/>
  <c r="AM75" i="3"/>
  <c r="AM95" i="3"/>
  <c r="AM103" i="3"/>
  <c r="AM111" i="3"/>
  <c r="AM115" i="3"/>
  <c r="AM123" i="3"/>
  <c r="AM134" i="3"/>
  <c r="AM144" i="3"/>
  <c r="AM152" i="3"/>
  <c r="AM163" i="3"/>
  <c r="AM171" i="3"/>
  <c r="AM178" i="3"/>
  <c r="AM190" i="3"/>
  <c r="AM207" i="3"/>
  <c r="AM215" i="3"/>
  <c r="AM270" i="3"/>
  <c r="AM304" i="3"/>
  <c r="AM315" i="3"/>
  <c r="AM326" i="3"/>
  <c r="AM381" i="3"/>
  <c r="AM117" i="3"/>
  <c r="AM64" i="3"/>
  <c r="AM77" i="3"/>
  <c r="AM96" i="3"/>
  <c r="AM104" i="3"/>
  <c r="AM112" i="3"/>
  <c r="AM116" i="3"/>
  <c r="AM124" i="3"/>
  <c r="AM135" i="3"/>
  <c r="AM145" i="3"/>
  <c r="AM153" i="3"/>
  <c r="AM164" i="3"/>
  <c r="AM172" i="3"/>
  <c r="AM193" i="3"/>
  <c r="AM208" i="3"/>
  <c r="AM216" i="3"/>
  <c r="AM228" i="3"/>
  <c r="AM238" i="3"/>
  <c r="AM286" i="3"/>
  <c r="AM317" i="3"/>
  <c r="AM327" i="3"/>
  <c r="AM382" i="3"/>
  <c r="AM125" i="3"/>
  <c r="AM9" i="3"/>
  <c r="AM97" i="3"/>
  <c r="AM105" i="3"/>
  <c r="AM113" i="3"/>
  <c r="AM146" i="3"/>
  <c r="AM154" i="3"/>
  <c r="AM66" i="3"/>
  <c r="AM98" i="3"/>
  <c r="AM106" i="3"/>
  <c r="AM118" i="3"/>
  <c r="AM126" i="3"/>
  <c r="AM137" i="3"/>
  <c r="AM147" i="3"/>
  <c r="AM155" i="3"/>
  <c r="AM166" i="3"/>
  <c r="AM173" i="3"/>
  <c r="AM181" i="3"/>
  <c r="AM198" i="3"/>
  <c r="AM210" i="3"/>
  <c r="AM220" i="3"/>
  <c r="AM230" i="3"/>
  <c r="AM262" i="3"/>
  <c r="AM297" i="3"/>
  <c r="AM306" i="3"/>
  <c r="AM319" i="3"/>
  <c r="AM330" i="3"/>
  <c r="AM372" i="3"/>
  <c r="AM389" i="3"/>
  <c r="AM3" i="3"/>
  <c r="AM67" i="3"/>
  <c r="AM99" i="3"/>
  <c r="AM107" i="3"/>
  <c r="AM119" i="3"/>
  <c r="AM127" i="3"/>
  <c r="AM140" i="3"/>
  <c r="AM148" i="3"/>
  <c r="AM156" i="3"/>
  <c r="AM167" i="3"/>
  <c r="AM174" i="3"/>
  <c r="AM182" i="3"/>
  <c r="AM201" i="3"/>
  <c r="AM211" i="3"/>
  <c r="AM222" i="3"/>
  <c r="AM263" i="3"/>
  <c r="AM298" i="3"/>
  <c r="AM307" i="3"/>
  <c r="AM322" i="3"/>
  <c r="AM331" i="3"/>
  <c r="AM390" i="3"/>
  <c r="AM121" i="3"/>
  <c r="AM4" i="3"/>
  <c r="AM68" i="3"/>
  <c r="AM87" i="3"/>
  <c r="AM100" i="3"/>
  <c r="AM108" i="3"/>
  <c r="AM120" i="3"/>
  <c r="AM128" i="3"/>
  <c r="AM141" i="3"/>
  <c r="AM149" i="3"/>
  <c r="AM157" i="3"/>
  <c r="AM168" i="3"/>
  <c r="AM175" i="3"/>
  <c r="AM186" i="3"/>
  <c r="AM202" i="3"/>
  <c r="AM212" i="3"/>
  <c r="AM223" i="3"/>
  <c r="AM233" i="3"/>
  <c r="AM264" i="3"/>
  <c r="AM299" i="3"/>
  <c r="AM308" i="3"/>
  <c r="AM323" i="3"/>
  <c r="AM333" i="3"/>
  <c r="AM373" i="3"/>
  <c r="AM391" i="3"/>
  <c r="AM142" i="3"/>
  <c r="AM5" i="3"/>
  <c r="AM55" i="3"/>
  <c r="AM71" i="3"/>
  <c r="AM92" i="3"/>
  <c r="AM101" i="3"/>
  <c r="AM109" i="3"/>
  <c r="AM129" i="3"/>
  <c r="AM150" i="3"/>
  <c r="AM52" i="3"/>
  <c r="AM58" i="3"/>
  <c r="AM72" i="3"/>
  <c r="AM94" i="3"/>
  <c r="AM102" i="3"/>
  <c r="AM110" i="3"/>
  <c r="AM114" i="3"/>
  <c r="AM122" i="3"/>
  <c r="AM130" i="3"/>
  <c r="AM143" i="3"/>
  <c r="AM151" i="3"/>
  <c r="AM159" i="3"/>
  <c r="AM170" i="3"/>
  <c r="AM177" i="3"/>
  <c r="AM188" i="3"/>
  <c r="AM205" i="3"/>
  <c r="AM214" i="3"/>
  <c r="AM226" i="3"/>
  <c r="AM235" i="3"/>
  <c r="AM266" i="3"/>
  <c r="AM302" i="3"/>
  <c r="AM311" i="3"/>
  <c r="AM325" i="3"/>
  <c r="AM136" i="3"/>
  <c r="AM165" i="3"/>
  <c r="AM158" i="3"/>
  <c r="AM209" i="3"/>
  <c r="AM318" i="3"/>
  <c r="AM363" i="3"/>
  <c r="AM335" i="3"/>
  <c r="AM169" i="3"/>
  <c r="AM213" i="3"/>
  <c r="AM324" i="3"/>
  <c r="AM387" i="3"/>
  <c r="AM219" i="3"/>
  <c r="AM261" i="3"/>
  <c r="AM329" i="3"/>
  <c r="AM371" i="3"/>
  <c r="AM392" i="3"/>
  <c r="AM176" i="3"/>
  <c r="AM265" i="3"/>
  <c r="AM376" i="3"/>
  <c r="AM180" i="3"/>
  <c r="AM229" i="3"/>
  <c r="AM271" i="3"/>
  <c r="AM305" i="3"/>
  <c r="AM234" i="3"/>
  <c r="AM300" i="3"/>
  <c r="AM195" i="3"/>
  <c r="AM240" i="3"/>
  <c r="AM349" i="3"/>
  <c r="AM203" i="3"/>
  <c r="AM309" i="3"/>
  <c r="E584" i="8"/>
  <c r="D584" i="8"/>
  <c r="B584" i="8"/>
  <c r="A584" i="8"/>
  <c r="E583" i="8"/>
  <c r="D583" i="8"/>
  <c r="B583" i="8"/>
  <c r="A583" i="8"/>
  <c r="E582" i="8"/>
  <c r="D582" i="8"/>
  <c r="B582" i="8"/>
  <c r="A582" i="8"/>
  <c r="E581" i="8"/>
  <c r="D581" i="8"/>
  <c r="B581" i="8"/>
  <c r="A581" i="8"/>
  <c r="E576" i="8"/>
  <c r="D576" i="8"/>
  <c r="B576" i="8"/>
  <c r="A576" i="8"/>
  <c r="E575" i="8"/>
  <c r="D575" i="8"/>
  <c r="B575" i="8"/>
  <c r="A575" i="8"/>
  <c r="E574" i="8"/>
  <c r="D574" i="8"/>
  <c r="B574" i="8"/>
  <c r="A574" i="8"/>
  <c r="E573" i="8"/>
  <c r="D573" i="8"/>
  <c r="B573" i="8"/>
  <c r="A573" i="8"/>
  <c r="E572" i="8"/>
  <c r="D572" i="8"/>
  <c r="B572" i="8"/>
  <c r="A572" i="8"/>
  <c r="E571" i="8"/>
  <c r="D571" i="8"/>
  <c r="B571" i="8"/>
  <c r="A571" i="8"/>
  <c r="E570" i="8"/>
  <c r="D570" i="8"/>
  <c r="B570" i="8"/>
  <c r="A570" i="8"/>
  <c r="E569" i="8"/>
  <c r="D569" i="8"/>
  <c r="B569" i="8"/>
  <c r="A569" i="8"/>
  <c r="E568" i="8"/>
  <c r="D568" i="8"/>
  <c r="B568" i="8"/>
  <c r="A568" i="8"/>
  <c r="E567" i="8"/>
  <c r="D567" i="8"/>
  <c r="B567" i="8"/>
  <c r="A567" i="8"/>
  <c r="E566" i="8"/>
  <c r="D566" i="8"/>
  <c r="B566" i="8"/>
  <c r="A566" i="8"/>
  <c r="E565" i="8"/>
  <c r="D565" i="8"/>
  <c r="B565" i="8"/>
  <c r="A565" i="8"/>
  <c r="E564" i="8"/>
  <c r="D564" i="8"/>
  <c r="B564" i="8"/>
  <c r="A564" i="8"/>
  <c r="E563" i="8"/>
  <c r="D563" i="8"/>
  <c r="B563" i="8"/>
  <c r="A563" i="8"/>
  <c r="AL288" i="3" l="1"/>
  <c r="AL287" i="3"/>
  <c r="AL82" i="3"/>
  <c r="AL393" i="3"/>
  <c r="AL273" i="3"/>
  <c r="AL10" i="3"/>
  <c r="AL11" i="3"/>
  <c r="AL69" i="3"/>
  <c r="AL303" i="3"/>
  <c r="AL12" i="3"/>
  <c r="AL13" i="3"/>
  <c r="AL14" i="3"/>
  <c r="AL15" i="3"/>
  <c r="AL274" i="3"/>
  <c r="AL17" i="3"/>
  <c r="AL18" i="3"/>
  <c r="AL16" i="3"/>
  <c r="AL199" i="3"/>
  <c r="AL200" i="3"/>
  <c r="AL275" i="3"/>
  <c r="AL321" i="3"/>
  <c r="AL277" i="3"/>
  <c r="AL278" i="3"/>
  <c r="AL279" i="3"/>
  <c r="AL280" i="3"/>
  <c r="AL285" i="3"/>
  <c r="AL36" i="3"/>
  <c r="AL37" i="3"/>
  <c r="AL38" i="3"/>
  <c r="AL40" i="3"/>
  <c r="AL289" i="3"/>
  <c r="AL41" i="3"/>
  <c r="AL42" i="3"/>
  <c r="AL43" i="3"/>
  <c r="AL44" i="3"/>
  <c r="AL83" i="3"/>
  <c r="AL290" i="3"/>
  <c r="AL291" i="3"/>
  <c r="AL45" i="3"/>
  <c r="AL46" i="3"/>
  <c r="AL47" i="3"/>
  <c r="AL296" i="3"/>
  <c r="AL131" i="3"/>
  <c r="AL247" i="3"/>
  <c r="AL255" i="3"/>
  <c r="AL161" i="3"/>
  <c r="AL248" i="3"/>
  <c r="AL256" i="3"/>
  <c r="AL8" i="3"/>
  <c r="AL249" i="3"/>
  <c r="AL132" i="3"/>
  <c r="AL242" i="3"/>
  <c r="AL250" i="3"/>
  <c r="AL133" i="3"/>
  <c r="AL243" i="3"/>
  <c r="AL251" i="3"/>
  <c r="AL138" i="3"/>
  <c r="AL244" i="3"/>
  <c r="AL252" i="3"/>
  <c r="AL139" i="3"/>
  <c r="AL246" i="3"/>
  <c r="AL254" i="3"/>
  <c r="AL253" i="3"/>
  <c r="AL245" i="3"/>
  <c r="AL351" i="3"/>
  <c r="AL259" i="3"/>
  <c r="AL276" i="3"/>
  <c r="AL320" i="3"/>
  <c r="AL377" i="3"/>
  <c r="AL361" i="3"/>
  <c r="AL386" i="3"/>
  <c r="AL384" i="3"/>
  <c r="AL359" i="3"/>
  <c r="AL26" i="3"/>
  <c r="AL194" i="3"/>
  <c r="AL283" i="3"/>
  <c r="AL206" i="3"/>
  <c r="AL34" i="3"/>
  <c r="AL267" i="3"/>
  <c r="AL362" i="3"/>
  <c r="AL260" i="3"/>
  <c r="AL21" i="3"/>
  <c r="AL27" i="3"/>
  <c r="AL54" i="3"/>
  <c r="AL284" i="3"/>
  <c r="AL35" i="3"/>
  <c r="AL225" i="3"/>
  <c r="AL237" i="3"/>
  <c r="AL191" i="3"/>
  <c r="AL61" i="3"/>
  <c r="AL341" i="3"/>
  <c r="AL366" i="3"/>
  <c r="AL89" i="3"/>
  <c r="AL282" i="3"/>
  <c r="AL28" i="3"/>
  <c r="AL350" i="3"/>
  <c r="AL57" i="3"/>
  <c r="AL192" i="3"/>
  <c r="AL268" i="3"/>
  <c r="AL20" i="3"/>
  <c r="AL91" i="3"/>
  <c r="AL328" i="3"/>
  <c r="AL24" i="3"/>
  <c r="AL196" i="3"/>
  <c r="AL364" i="3"/>
  <c r="AL39" i="3"/>
  <c r="AL218" i="3"/>
  <c r="AL236" i="3"/>
  <c r="AL51" i="3"/>
  <c r="AL6" i="3"/>
  <c r="AL269" i="3"/>
  <c r="AL221" i="3"/>
  <c r="AL369" i="3"/>
  <c r="AL22" i="3"/>
  <c r="AL301" i="3"/>
  <c r="AL197" i="3"/>
  <c r="AL80" i="3"/>
  <c r="AL339" i="3"/>
  <c r="AL59" i="3"/>
  <c r="AL338" i="3"/>
  <c r="AL360" i="3"/>
  <c r="AL355" i="3"/>
  <c r="AL345" i="3"/>
  <c r="AL295" i="3"/>
  <c r="AL343" i="3"/>
  <c r="AL258" i="3"/>
  <c r="AL23" i="3"/>
  <c r="AL346" i="3"/>
  <c r="AL93" i="3"/>
  <c r="AL379" i="3"/>
  <c r="AL29" i="3"/>
  <c r="AL204" i="3"/>
  <c r="AL352" i="3"/>
  <c r="AL340" i="3"/>
  <c r="AL60" i="3"/>
  <c r="AL292" i="3"/>
  <c r="AL49" i="3"/>
  <c r="AL76" i="3"/>
  <c r="AL374" i="3"/>
  <c r="AL353" i="3"/>
  <c r="AL79" i="3"/>
  <c r="AL7" i="3"/>
  <c r="AL385" i="3"/>
  <c r="AL19" i="3"/>
  <c r="AL25" i="3"/>
  <c r="AL378" i="3"/>
  <c r="AL380" i="3"/>
  <c r="AL31" i="3"/>
  <c r="AL33" i="3"/>
  <c r="AL70" i="3"/>
  <c r="AL78" i="3"/>
  <c r="AL314" i="3"/>
  <c r="AL365" i="3"/>
  <c r="AL32" i="3"/>
  <c r="AL334" i="3"/>
  <c r="AL368" i="3"/>
  <c r="AL342" i="3"/>
  <c r="AL294" i="3"/>
  <c r="AL347" i="3"/>
  <c r="AL56" i="3"/>
  <c r="AL293" i="3"/>
  <c r="AL281" i="3"/>
  <c r="AL30" i="3"/>
  <c r="AL241" i="3"/>
  <c r="AL48" i="3"/>
  <c r="AL50" i="3"/>
  <c r="AL310" i="3"/>
  <c r="AL53" i="3"/>
  <c r="AL356" i="3"/>
  <c r="AL316" i="3"/>
  <c r="AL74" i="3"/>
  <c r="AL354" i="3"/>
  <c r="AL160" i="3"/>
  <c r="AL183" i="3"/>
  <c r="AL184" i="3"/>
  <c r="AL162" i="3"/>
  <c r="AL185" i="3"/>
  <c r="AL370" i="3"/>
  <c r="AL344" i="3"/>
  <c r="AL348" i="3"/>
  <c r="AL357" i="3"/>
  <c r="AL358" i="3"/>
  <c r="AL367" i="3"/>
  <c r="AL272" i="3"/>
  <c r="AL257" i="3"/>
  <c r="AL65" i="3"/>
  <c r="AL337" i="3"/>
  <c r="AL224" i="3"/>
  <c r="AL84" i="3"/>
  <c r="AL227" i="3"/>
  <c r="AL85" i="3"/>
  <c r="AL179" i="3"/>
  <c r="AL86" i="3"/>
  <c r="AL231" i="3"/>
  <c r="AL232" i="3"/>
  <c r="AL189" i="3"/>
  <c r="AL81" i="3"/>
  <c r="AL239" i="3"/>
  <c r="AL187" i="3"/>
  <c r="AL88" i="3"/>
  <c r="AL312" i="3"/>
  <c r="AL90" i="3"/>
  <c r="AL336" i="3"/>
  <c r="AL375" i="3"/>
  <c r="AL313" i="3"/>
  <c r="AL332" i="3"/>
  <c r="AL383" i="3"/>
  <c r="AL73" i="3"/>
  <c r="AL62" i="3"/>
  <c r="AL388" i="3"/>
  <c r="AL217" i="3"/>
  <c r="AL3" i="3"/>
  <c r="AL67" i="3"/>
  <c r="AL99" i="3"/>
  <c r="AL107" i="3"/>
  <c r="AL119" i="3"/>
  <c r="AL127" i="3"/>
  <c r="AL140" i="3"/>
  <c r="AL148" i="3"/>
  <c r="AL156" i="3"/>
  <c r="AL167" i="3"/>
  <c r="AL174" i="3"/>
  <c r="AL182" i="3"/>
  <c r="AL201" i="3"/>
  <c r="AL211" i="3"/>
  <c r="AL222" i="3"/>
  <c r="AL263" i="3"/>
  <c r="AL298" i="3"/>
  <c r="AL307" i="3"/>
  <c r="AL322" i="3"/>
  <c r="AL331" i="3"/>
  <c r="AL390" i="3"/>
  <c r="AL124" i="3"/>
  <c r="AL153" i="3"/>
  <c r="AL164" i="3"/>
  <c r="AL193" i="3"/>
  <c r="AL228" i="3"/>
  <c r="AL117" i="3"/>
  <c r="AL146" i="3"/>
  <c r="AL154" i="3"/>
  <c r="AL195" i="3"/>
  <c r="AL219" i="3"/>
  <c r="AL261" i="3"/>
  <c r="AL318" i="3"/>
  <c r="AL371" i="3"/>
  <c r="AL4" i="3"/>
  <c r="AL68" i="3"/>
  <c r="AL87" i="3"/>
  <c r="AL100" i="3"/>
  <c r="AL108" i="3"/>
  <c r="AL120" i="3"/>
  <c r="AL128" i="3"/>
  <c r="AL141" i="3"/>
  <c r="AL149" i="3"/>
  <c r="AL157" i="3"/>
  <c r="AL168" i="3"/>
  <c r="AL175" i="3"/>
  <c r="AL186" i="3"/>
  <c r="AL202" i="3"/>
  <c r="AL212" i="3"/>
  <c r="AL223" i="3"/>
  <c r="AL233" i="3"/>
  <c r="AL264" i="3"/>
  <c r="AL299" i="3"/>
  <c r="AL308" i="3"/>
  <c r="AL323" i="3"/>
  <c r="AL333" i="3"/>
  <c r="AL373" i="3"/>
  <c r="AL391" i="3"/>
  <c r="AL135" i="3"/>
  <c r="AL229" i="3"/>
  <c r="AL305" i="3"/>
  <c r="AL387" i="3"/>
  <c r="AL5" i="3"/>
  <c r="AL55" i="3"/>
  <c r="AL71" i="3"/>
  <c r="AL92" i="3"/>
  <c r="AL101" i="3"/>
  <c r="AL109" i="3"/>
  <c r="AL121" i="3"/>
  <c r="AL129" i="3"/>
  <c r="AL142" i="3"/>
  <c r="AL150" i="3"/>
  <c r="AL158" i="3"/>
  <c r="AL169" i="3"/>
  <c r="AL176" i="3"/>
  <c r="AL203" i="3"/>
  <c r="AL213" i="3"/>
  <c r="AL234" i="3"/>
  <c r="AL265" i="3"/>
  <c r="AL300" i="3"/>
  <c r="AL309" i="3"/>
  <c r="AL324" i="3"/>
  <c r="AL335" i="3"/>
  <c r="AL376" i="3"/>
  <c r="AL392" i="3"/>
  <c r="AL116" i="3"/>
  <c r="AL145" i="3"/>
  <c r="AL172" i="3"/>
  <c r="AL208" i="3"/>
  <c r="AL238" i="3"/>
  <c r="AL286" i="3"/>
  <c r="AL382" i="3"/>
  <c r="AL9" i="3"/>
  <c r="AL125" i="3"/>
  <c r="AL136" i="3"/>
  <c r="AL165" i="3"/>
  <c r="AL180" i="3"/>
  <c r="AL209" i="3"/>
  <c r="AL240" i="3"/>
  <c r="AL271" i="3"/>
  <c r="AL329" i="3"/>
  <c r="AL52" i="3"/>
  <c r="AL58" i="3"/>
  <c r="AL72" i="3"/>
  <c r="AL94" i="3"/>
  <c r="AL102" i="3"/>
  <c r="AL110" i="3"/>
  <c r="AL114" i="3"/>
  <c r="AL122" i="3"/>
  <c r="AL130" i="3"/>
  <c r="AL143" i="3"/>
  <c r="AL151" i="3"/>
  <c r="AL159" i="3"/>
  <c r="AL170" i="3"/>
  <c r="AL177" i="3"/>
  <c r="AL188" i="3"/>
  <c r="AL205" i="3"/>
  <c r="AL214" i="3"/>
  <c r="AL226" i="3"/>
  <c r="AL235" i="3"/>
  <c r="AL266" i="3"/>
  <c r="AL302" i="3"/>
  <c r="AL311" i="3"/>
  <c r="AL325" i="3"/>
  <c r="AL112" i="3"/>
  <c r="AL105" i="3"/>
  <c r="AL349" i="3"/>
  <c r="AL63" i="3"/>
  <c r="AL75" i="3"/>
  <c r="AL95" i="3"/>
  <c r="AL103" i="3"/>
  <c r="AL111" i="3"/>
  <c r="AL115" i="3"/>
  <c r="AL123" i="3"/>
  <c r="AL134" i="3"/>
  <c r="AL144" i="3"/>
  <c r="AL152" i="3"/>
  <c r="AL163" i="3"/>
  <c r="AL171" i="3"/>
  <c r="AL178" i="3"/>
  <c r="AL190" i="3"/>
  <c r="AL207" i="3"/>
  <c r="AL215" i="3"/>
  <c r="AL270" i="3"/>
  <c r="AL304" i="3"/>
  <c r="AL315" i="3"/>
  <c r="AL326" i="3"/>
  <c r="AL381" i="3"/>
  <c r="AL104" i="3"/>
  <c r="AL327" i="3"/>
  <c r="AL97" i="3"/>
  <c r="AL363" i="3"/>
  <c r="AL64" i="3"/>
  <c r="AL77" i="3"/>
  <c r="AL96" i="3"/>
  <c r="AL317" i="3"/>
  <c r="AL113" i="3"/>
  <c r="AL66" i="3"/>
  <c r="AL98" i="3"/>
  <c r="AL106" i="3"/>
  <c r="AL118" i="3"/>
  <c r="AL126" i="3"/>
  <c r="AL137" i="3"/>
  <c r="AL147" i="3"/>
  <c r="AL155" i="3"/>
  <c r="AL166" i="3"/>
  <c r="AL173" i="3"/>
  <c r="AL181" i="3"/>
  <c r="AL198" i="3"/>
  <c r="AL210" i="3"/>
  <c r="AL220" i="3"/>
  <c r="AL230" i="3"/>
  <c r="AL262" i="3"/>
  <c r="AL297" i="3"/>
  <c r="AL306" i="3"/>
  <c r="AL319" i="3"/>
  <c r="AL330" i="3"/>
  <c r="AL372" i="3"/>
  <c r="AL389" i="3"/>
  <c r="AL216" i="3"/>
  <c r="A541" i="8"/>
  <c r="A542" i="8"/>
  <c r="B541" i="8"/>
  <c r="B542" i="8"/>
  <c r="D541" i="8"/>
  <c r="D542" i="8"/>
  <c r="E541" i="8"/>
  <c r="E542" i="8"/>
  <c r="E560" i="8" l="1"/>
  <c r="D560" i="8"/>
  <c r="B560" i="8"/>
  <c r="A560" i="8"/>
  <c r="E559" i="8"/>
  <c r="D559" i="8"/>
  <c r="B559" i="8"/>
  <c r="A559" i="8"/>
  <c r="E558" i="8"/>
  <c r="D558" i="8"/>
  <c r="B558" i="8"/>
  <c r="A558" i="8"/>
  <c r="E557" i="8"/>
  <c r="D557" i="8"/>
  <c r="B557" i="8"/>
  <c r="A557" i="8"/>
  <c r="E556" i="8"/>
  <c r="D556" i="8"/>
  <c r="B556" i="8"/>
  <c r="A556" i="8"/>
  <c r="E555" i="8"/>
  <c r="D555" i="8"/>
  <c r="B555" i="8"/>
  <c r="A555" i="8"/>
  <c r="E554" i="8"/>
  <c r="D554" i="8"/>
  <c r="B554" i="8"/>
  <c r="A554" i="8"/>
  <c r="E553" i="8"/>
  <c r="D553" i="8"/>
  <c r="B553" i="8"/>
  <c r="A553" i="8"/>
  <c r="E552" i="8"/>
  <c r="D552" i="8"/>
  <c r="B552" i="8"/>
  <c r="A552" i="8"/>
  <c r="E551" i="8"/>
  <c r="D551" i="8"/>
  <c r="B551" i="8"/>
  <c r="A551" i="8"/>
  <c r="E550" i="8"/>
  <c r="D550" i="8"/>
  <c r="B550" i="8"/>
  <c r="A550" i="8"/>
  <c r="E549" i="8"/>
  <c r="D549" i="8"/>
  <c r="B549" i="8"/>
  <c r="A549" i="8"/>
  <c r="E548" i="8"/>
  <c r="D548" i="8"/>
  <c r="B548" i="8"/>
  <c r="A548" i="8"/>
  <c r="E547" i="8"/>
  <c r="D547" i="8"/>
  <c r="B547" i="8"/>
  <c r="A547" i="8"/>
  <c r="E546" i="8"/>
  <c r="D546" i="8"/>
  <c r="B546" i="8"/>
  <c r="A546" i="8"/>
  <c r="E545" i="8"/>
  <c r="D545" i="8"/>
  <c r="B545" i="8"/>
  <c r="A545" i="8"/>
  <c r="AK288" i="3" l="1"/>
  <c r="AK287" i="3"/>
  <c r="AK82" i="3"/>
  <c r="AK393" i="3"/>
  <c r="AK273" i="3"/>
  <c r="AK10" i="3"/>
  <c r="AK11" i="3"/>
  <c r="AK69" i="3"/>
  <c r="AK303" i="3"/>
  <c r="AK12" i="3"/>
  <c r="AK13" i="3"/>
  <c r="AK14" i="3"/>
  <c r="AK15" i="3"/>
  <c r="AK274" i="3"/>
  <c r="AK17" i="3"/>
  <c r="AK18" i="3"/>
  <c r="AK16" i="3"/>
  <c r="AK199" i="3"/>
  <c r="AK200" i="3"/>
  <c r="AK275" i="3"/>
  <c r="AK321" i="3"/>
  <c r="AK277" i="3"/>
  <c r="AK278" i="3"/>
  <c r="AK279" i="3"/>
  <c r="AK280" i="3"/>
  <c r="AK285" i="3"/>
  <c r="AK36" i="3"/>
  <c r="AK37" i="3"/>
  <c r="AK38" i="3"/>
  <c r="AK40" i="3"/>
  <c r="AK289" i="3"/>
  <c r="AK41" i="3"/>
  <c r="AK42" i="3"/>
  <c r="AK43" i="3"/>
  <c r="AK44" i="3"/>
  <c r="AK83" i="3"/>
  <c r="AK290" i="3"/>
  <c r="AK291" i="3"/>
  <c r="AK45" i="3"/>
  <c r="AK46" i="3"/>
  <c r="AK47" i="3"/>
  <c r="AK296" i="3"/>
  <c r="AK139" i="3"/>
  <c r="AK246" i="3"/>
  <c r="AK161" i="3"/>
  <c r="AK8" i="3"/>
  <c r="AK132" i="3"/>
  <c r="AK242" i="3"/>
  <c r="AK245" i="3"/>
  <c r="AK243" i="3"/>
  <c r="AK253" i="3"/>
  <c r="AK244" i="3"/>
  <c r="AK254" i="3"/>
  <c r="AK247" i="3"/>
  <c r="AK255" i="3"/>
  <c r="AK248" i="3"/>
  <c r="AK256" i="3"/>
  <c r="AK131" i="3"/>
  <c r="AK249" i="3"/>
  <c r="AK133" i="3"/>
  <c r="AK250" i="3"/>
  <c r="AK252" i="3"/>
  <c r="AK138" i="3"/>
  <c r="AK251" i="3"/>
  <c r="AK366" i="3"/>
  <c r="AK260" i="3"/>
  <c r="AK7" i="3"/>
  <c r="AK91" i="3"/>
  <c r="AK21" i="3"/>
  <c r="AK268" i="3"/>
  <c r="AK385" i="3"/>
  <c r="AK368" i="3"/>
  <c r="AK282" i="3"/>
  <c r="AK28" i="3"/>
  <c r="AK350" i="3"/>
  <c r="AK57" i="3"/>
  <c r="AK343" i="3"/>
  <c r="AK6" i="3"/>
  <c r="AK386" i="3"/>
  <c r="AK374" i="3"/>
  <c r="AK384" i="3"/>
  <c r="AK347" i="3"/>
  <c r="AK22" i="3"/>
  <c r="AK301" i="3"/>
  <c r="AK197" i="3"/>
  <c r="AK80" i="3"/>
  <c r="AK339" i="3"/>
  <c r="AK59" i="3"/>
  <c r="AK338" i="3"/>
  <c r="AK360" i="3"/>
  <c r="AK355" i="3"/>
  <c r="AK351" i="3"/>
  <c r="AK259" i="3"/>
  <c r="AK276" i="3"/>
  <c r="AK320" i="3"/>
  <c r="AK23" i="3"/>
  <c r="AK346" i="3"/>
  <c r="AK93" i="3"/>
  <c r="AK379" i="3"/>
  <c r="AK29" i="3"/>
  <c r="AK204" i="3"/>
  <c r="AK352" i="3"/>
  <c r="AK340" i="3"/>
  <c r="AK60" i="3"/>
  <c r="AK292" i="3"/>
  <c r="AK267" i="3"/>
  <c r="AK377" i="3"/>
  <c r="AK353" i="3"/>
  <c r="AK258" i="3"/>
  <c r="AK269" i="3"/>
  <c r="AK281" i="3"/>
  <c r="AK241" i="3"/>
  <c r="AK30" i="3"/>
  <c r="AK32" i="3"/>
  <c r="AK56" i="3"/>
  <c r="AK48" i="3"/>
  <c r="AK53" i="3"/>
  <c r="AK342" i="3"/>
  <c r="AK293" i="3"/>
  <c r="AK50" i="3"/>
  <c r="AK310" i="3"/>
  <c r="AK362" i="3"/>
  <c r="AK20" i="3"/>
  <c r="AK89" i="3"/>
  <c r="AK26" i="3"/>
  <c r="AK194" i="3"/>
  <c r="AK283" i="3"/>
  <c r="AK206" i="3"/>
  <c r="AK34" i="3"/>
  <c r="AK74" i="3"/>
  <c r="AK294" i="3"/>
  <c r="AK356" i="3"/>
  <c r="AK334" i="3"/>
  <c r="AK316" i="3"/>
  <c r="AK24" i="3"/>
  <c r="AK225" i="3"/>
  <c r="AK49" i="3"/>
  <c r="AK51" i="3"/>
  <c r="AK365" i="3"/>
  <c r="AK341" i="3"/>
  <c r="AK25" i="3"/>
  <c r="AK196" i="3"/>
  <c r="AK33" i="3"/>
  <c r="AK237" i="3"/>
  <c r="AK70" i="3"/>
  <c r="AK295" i="3"/>
  <c r="AK314" i="3"/>
  <c r="AK19" i="3"/>
  <c r="AK27" i="3"/>
  <c r="AK380" i="3"/>
  <c r="AK35" i="3"/>
  <c r="AK191" i="3"/>
  <c r="AK236" i="3"/>
  <c r="AK361" i="3"/>
  <c r="AK328" i="3"/>
  <c r="AK192" i="3"/>
  <c r="AK79" i="3"/>
  <c r="AK378" i="3"/>
  <c r="AK39" i="3"/>
  <c r="AK76" i="3"/>
  <c r="AK31" i="3"/>
  <c r="AK345" i="3"/>
  <c r="AK78" i="3"/>
  <c r="AK221" i="3"/>
  <c r="AK369" i="3"/>
  <c r="AK284" i="3"/>
  <c r="AK61" i="3"/>
  <c r="AK359" i="3"/>
  <c r="AK54" i="3"/>
  <c r="AK364" i="3"/>
  <c r="AK218" i="3"/>
  <c r="AK184" i="3"/>
  <c r="AK354" i="3"/>
  <c r="AK185" i="3"/>
  <c r="AK162" i="3"/>
  <c r="AK183" i="3"/>
  <c r="AK160" i="3"/>
  <c r="AK272" i="3"/>
  <c r="AK370" i="3"/>
  <c r="AK344" i="3"/>
  <c r="AK348" i="3"/>
  <c r="AK367" i="3"/>
  <c r="AK357" i="3"/>
  <c r="AK358" i="3"/>
  <c r="AK257" i="3"/>
  <c r="AK65" i="3"/>
  <c r="AK224" i="3"/>
  <c r="AK85" i="3"/>
  <c r="AK86" i="3"/>
  <c r="AK179" i="3"/>
  <c r="AK84" i="3"/>
  <c r="AK227" i="3"/>
  <c r="AK337" i="3"/>
  <c r="AK231" i="3"/>
  <c r="AK232" i="3"/>
  <c r="AK189" i="3"/>
  <c r="AK81" i="3"/>
  <c r="AK239" i="3"/>
  <c r="AK187" i="3"/>
  <c r="AK88" i="3"/>
  <c r="AK312" i="3"/>
  <c r="AK90" i="3"/>
  <c r="AK336" i="3"/>
  <c r="AK375" i="3"/>
  <c r="AK313" i="3"/>
  <c r="AK332" i="3"/>
  <c r="AK383" i="3"/>
  <c r="AK73" i="3"/>
  <c r="AK62" i="3"/>
  <c r="AK388" i="3"/>
  <c r="AK217" i="3"/>
  <c r="AK52" i="3"/>
  <c r="AK58" i="3"/>
  <c r="AK72" i="3"/>
  <c r="AK94" i="3"/>
  <c r="AK102" i="3"/>
  <c r="AK110" i="3"/>
  <c r="AK114" i="3"/>
  <c r="AK122" i="3"/>
  <c r="AK130" i="3"/>
  <c r="AK143" i="3"/>
  <c r="AK151" i="3"/>
  <c r="AK159" i="3"/>
  <c r="AK170" i="3"/>
  <c r="AK177" i="3"/>
  <c r="AK188" i="3"/>
  <c r="AK205" i="3"/>
  <c r="AK214" i="3"/>
  <c r="AK226" i="3"/>
  <c r="AK235" i="3"/>
  <c r="AK266" i="3"/>
  <c r="AK302" i="3"/>
  <c r="AK311" i="3"/>
  <c r="AK325" i="3"/>
  <c r="AK63" i="3"/>
  <c r="AK75" i="3"/>
  <c r="AK95" i="3"/>
  <c r="AK103" i="3"/>
  <c r="AK111" i="3"/>
  <c r="AK115" i="3"/>
  <c r="AK123" i="3"/>
  <c r="AK134" i="3"/>
  <c r="AK64" i="3"/>
  <c r="AK77" i="3"/>
  <c r="AK96" i="3"/>
  <c r="AK104" i="3"/>
  <c r="AK112" i="3"/>
  <c r="AK116" i="3"/>
  <c r="AK124" i="3"/>
  <c r="AK135" i="3"/>
  <c r="AK145" i="3"/>
  <c r="AK153" i="3"/>
  <c r="AK164" i="3"/>
  <c r="AK172" i="3"/>
  <c r="AK193" i="3"/>
  <c r="AK208" i="3"/>
  <c r="AK216" i="3"/>
  <c r="AK228" i="3"/>
  <c r="AK238" i="3"/>
  <c r="AK286" i="3"/>
  <c r="AK317" i="3"/>
  <c r="AK327" i="3"/>
  <c r="AK382" i="3"/>
  <c r="AK9" i="3"/>
  <c r="AK97" i="3"/>
  <c r="AK105" i="3"/>
  <c r="AK113" i="3"/>
  <c r="AK117" i="3"/>
  <c r="AK125" i="3"/>
  <c r="AK136" i="3"/>
  <c r="AK146" i="3"/>
  <c r="AK154" i="3"/>
  <c r="AK165" i="3"/>
  <c r="AK180" i="3"/>
  <c r="AK195" i="3"/>
  <c r="AK209" i="3"/>
  <c r="AK219" i="3"/>
  <c r="AK229" i="3"/>
  <c r="AK240" i="3"/>
  <c r="AK261" i="3"/>
  <c r="AK271" i="3"/>
  <c r="AK305" i="3"/>
  <c r="AK318" i="3"/>
  <c r="AK329" i="3"/>
  <c r="AK349" i="3"/>
  <c r="AK363" i="3"/>
  <c r="AK371" i="3"/>
  <c r="AK387" i="3"/>
  <c r="AK66" i="3"/>
  <c r="AK98" i="3"/>
  <c r="AK106" i="3"/>
  <c r="AK118" i="3"/>
  <c r="AK126" i="3"/>
  <c r="AK137" i="3"/>
  <c r="AK147" i="3"/>
  <c r="AK155" i="3"/>
  <c r="AK166" i="3"/>
  <c r="AK173" i="3"/>
  <c r="AK181" i="3"/>
  <c r="AK198" i="3"/>
  <c r="AK210" i="3"/>
  <c r="AK220" i="3"/>
  <c r="AK230" i="3"/>
  <c r="AK262" i="3"/>
  <c r="AK297" i="3"/>
  <c r="AK306" i="3"/>
  <c r="AK319" i="3"/>
  <c r="AK330" i="3"/>
  <c r="AK372" i="3"/>
  <c r="AK389" i="3"/>
  <c r="AK3" i="3"/>
  <c r="AK67" i="3"/>
  <c r="AK99" i="3"/>
  <c r="AK107" i="3"/>
  <c r="AK119" i="3"/>
  <c r="AK127" i="3"/>
  <c r="AK140" i="3"/>
  <c r="AK148" i="3"/>
  <c r="AK156" i="3"/>
  <c r="AK167" i="3"/>
  <c r="AK174" i="3"/>
  <c r="AK182" i="3"/>
  <c r="AK201" i="3"/>
  <c r="AK211" i="3"/>
  <c r="AK222" i="3"/>
  <c r="AK263" i="3"/>
  <c r="AK298" i="3"/>
  <c r="AK307" i="3"/>
  <c r="AK322" i="3"/>
  <c r="AK331" i="3"/>
  <c r="AK390" i="3"/>
  <c r="AK4" i="3"/>
  <c r="AK68" i="3"/>
  <c r="AK87" i="3"/>
  <c r="AK100" i="3"/>
  <c r="AK108" i="3"/>
  <c r="AK120" i="3"/>
  <c r="AK128" i="3"/>
  <c r="AK141" i="3"/>
  <c r="AK149" i="3"/>
  <c r="AK157" i="3"/>
  <c r="AK168" i="3"/>
  <c r="AK175" i="3"/>
  <c r="AK186" i="3"/>
  <c r="AK202" i="3"/>
  <c r="AK212" i="3"/>
  <c r="AK223" i="3"/>
  <c r="AK233" i="3"/>
  <c r="AK264" i="3"/>
  <c r="AK299" i="3"/>
  <c r="AK308" i="3"/>
  <c r="AK323" i="3"/>
  <c r="AK333" i="3"/>
  <c r="AK373" i="3"/>
  <c r="AK391" i="3"/>
  <c r="AK101" i="3"/>
  <c r="AK152" i="3"/>
  <c r="AK190" i="3"/>
  <c r="AK304" i="3"/>
  <c r="AK109" i="3"/>
  <c r="AK158" i="3"/>
  <c r="AK203" i="3"/>
  <c r="AK309" i="3"/>
  <c r="AK163" i="3"/>
  <c r="AK207" i="3"/>
  <c r="AK315" i="3"/>
  <c r="AK121" i="3"/>
  <c r="AK169" i="3"/>
  <c r="AK213" i="3"/>
  <c r="AK324" i="3"/>
  <c r="AK5" i="3"/>
  <c r="AK129" i="3"/>
  <c r="AK171" i="3"/>
  <c r="AK215" i="3"/>
  <c r="AK326" i="3"/>
  <c r="AK71" i="3"/>
  <c r="AK144" i="3"/>
  <c r="AK178" i="3"/>
  <c r="AK270" i="3"/>
  <c r="AK381" i="3"/>
  <c r="AK150" i="3"/>
  <c r="AK176" i="3"/>
  <c r="AK376" i="3"/>
  <c r="AK392" i="3"/>
  <c r="AK234" i="3"/>
  <c r="AK142" i="3"/>
  <c r="AK335" i="3"/>
  <c r="AK300" i="3"/>
  <c r="AK265" i="3"/>
  <c r="AK55" i="3"/>
  <c r="AK92" i="3"/>
  <c r="E540" i="8"/>
  <c r="D540" i="8"/>
  <c r="B540" i="8"/>
  <c r="A540" i="8"/>
  <c r="E539" i="8"/>
  <c r="D539" i="8"/>
  <c r="B539" i="8"/>
  <c r="A539" i="8"/>
  <c r="E538" i="8"/>
  <c r="D538" i="8"/>
  <c r="B538" i="8"/>
  <c r="A538" i="8"/>
  <c r="E537" i="8"/>
  <c r="D537" i="8"/>
  <c r="B537" i="8"/>
  <c r="A537" i="8"/>
  <c r="E535" i="8"/>
  <c r="D535" i="8"/>
  <c r="B535" i="8"/>
  <c r="A535" i="8"/>
  <c r="E534" i="8"/>
  <c r="D534" i="8"/>
  <c r="B534" i="8"/>
  <c r="A534" i="8"/>
  <c r="E533" i="8"/>
  <c r="D533" i="8"/>
  <c r="B533" i="8"/>
  <c r="A533" i="8"/>
  <c r="E532" i="8"/>
  <c r="D532" i="8"/>
  <c r="B532" i="8"/>
  <c r="A532" i="8"/>
  <c r="E531" i="8"/>
  <c r="D531" i="8"/>
  <c r="B531" i="8"/>
  <c r="A531" i="8"/>
  <c r="E530" i="8"/>
  <c r="D530" i="8"/>
  <c r="B530" i="8"/>
  <c r="A530" i="8"/>
  <c r="E529" i="8"/>
  <c r="D529" i="8"/>
  <c r="B529" i="8"/>
  <c r="A529" i="8"/>
  <c r="E528" i="8"/>
  <c r="D528" i="8"/>
  <c r="B528" i="8"/>
  <c r="A528" i="8"/>
  <c r="E527" i="8"/>
  <c r="D527" i="8"/>
  <c r="B527" i="8"/>
  <c r="A527" i="8"/>
  <c r="E526" i="8"/>
  <c r="D526" i="8"/>
  <c r="B526" i="8"/>
  <c r="A526" i="8"/>
  <c r="E525" i="8"/>
  <c r="D525" i="8"/>
  <c r="B525" i="8"/>
  <c r="A525" i="8"/>
  <c r="E524" i="8"/>
  <c r="D524" i="8"/>
  <c r="B524" i="8"/>
  <c r="A524" i="8"/>
  <c r="E523" i="8"/>
  <c r="D523" i="8"/>
  <c r="B523" i="8"/>
  <c r="A523" i="8"/>
  <c r="E522" i="8"/>
  <c r="D522" i="8"/>
  <c r="B522" i="8"/>
  <c r="A522" i="8"/>
  <c r="E521" i="8"/>
  <c r="D521" i="8"/>
  <c r="B521" i="8"/>
  <c r="A521" i="8"/>
  <c r="AJ288" i="3" l="1"/>
  <c r="AJ287" i="3"/>
  <c r="AJ82" i="3"/>
  <c r="AJ393" i="3"/>
  <c r="AJ273" i="3"/>
  <c r="AJ10" i="3"/>
  <c r="AJ11" i="3"/>
  <c r="AJ69" i="3"/>
  <c r="AJ303" i="3"/>
  <c r="AJ12" i="3"/>
  <c r="AJ13" i="3"/>
  <c r="AJ14" i="3"/>
  <c r="AJ15" i="3"/>
  <c r="AJ274" i="3"/>
  <c r="AJ17" i="3"/>
  <c r="AJ18" i="3"/>
  <c r="AJ16" i="3"/>
  <c r="AJ199" i="3"/>
  <c r="AJ200" i="3"/>
  <c r="AJ275" i="3"/>
  <c r="AJ321" i="3"/>
  <c r="AJ277" i="3"/>
  <c r="AJ278" i="3"/>
  <c r="AJ279" i="3"/>
  <c r="AJ280" i="3"/>
  <c r="AJ285" i="3"/>
  <c r="AJ36" i="3"/>
  <c r="AJ37" i="3"/>
  <c r="AJ38" i="3"/>
  <c r="AJ40" i="3"/>
  <c r="AJ289" i="3"/>
  <c r="AJ41" i="3"/>
  <c r="AJ42" i="3"/>
  <c r="AJ43" i="3"/>
  <c r="AJ44" i="3"/>
  <c r="AJ83" i="3"/>
  <c r="AJ290" i="3"/>
  <c r="AJ291" i="3"/>
  <c r="AJ45" i="3"/>
  <c r="AJ46" i="3"/>
  <c r="AJ47" i="3"/>
  <c r="AJ296" i="3"/>
  <c r="AJ138" i="3"/>
  <c r="AJ244" i="3"/>
  <c r="AJ252" i="3"/>
  <c r="AJ245" i="3"/>
  <c r="AJ253" i="3"/>
  <c r="AJ139" i="3"/>
  <c r="AJ246" i="3"/>
  <c r="AJ254" i="3"/>
  <c r="AJ131" i="3"/>
  <c r="AJ247" i="3"/>
  <c r="AJ255" i="3"/>
  <c r="AJ161" i="3"/>
  <c r="AJ248" i="3"/>
  <c r="AJ256" i="3"/>
  <c r="AJ8" i="3"/>
  <c r="AJ249" i="3"/>
  <c r="AJ133" i="3"/>
  <c r="AJ243" i="3"/>
  <c r="AJ251" i="3"/>
  <c r="AJ132" i="3"/>
  <c r="AJ242" i="3"/>
  <c r="AJ250" i="3"/>
  <c r="AJ374" i="3"/>
  <c r="AJ384" i="3"/>
  <c r="AJ347" i="3"/>
  <c r="AJ22" i="3"/>
  <c r="AJ301" i="3"/>
  <c r="AJ197" i="3"/>
  <c r="AJ80" i="3"/>
  <c r="AJ339" i="3"/>
  <c r="AJ59" i="3"/>
  <c r="AJ338" i="3"/>
  <c r="AJ360" i="3"/>
  <c r="AJ355" i="3"/>
  <c r="AJ345" i="3"/>
  <c r="AJ295" i="3"/>
  <c r="AJ351" i="3"/>
  <c r="AJ259" i="3"/>
  <c r="AJ276" i="3"/>
  <c r="AJ320" i="3"/>
  <c r="AJ23" i="3"/>
  <c r="AJ346" i="3"/>
  <c r="AJ93" i="3"/>
  <c r="AJ379" i="3"/>
  <c r="AJ29" i="3"/>
  <c r="AJ204" i="3"/>
  <c r="AJ352" i="3"/>
  <c r="AJ340" i="3"/>
  <c r="AJ60" i="3"/>
  <c r="AJ292" i="3"/>
  <c r="AJ49" i="3"/>
  <c r="AJ76" i="3"/>
  <c r="AJ267" i="3"/>
  <c r="AJ377" i="3"/>
  <c r="AJ353" i="3"/>
  <c r="AJ258" i="3"/>
  <c r="AJ269" i="3"/>
  <c r="AJ281" i="3"/>
  <c r="AJ241" i="3"/>
  <c r="AJ30" i="3"/>
  <c r="AJ32" i="3"/>
  <c r="AJ56" i="3"/>
  <c r="AJ48" i="3"/>
  <c r="AJ53" i="3"/>
  <c r="AJ342" i="3"/>
  <c r="AJ293" i="3"/>
  <c r="AJ50" i="3"/>
  <c r="AJ310" i="3"/>
  <c r="AJ341" i="3"/>
  <c r="AJ361" i="3"/>
  <c r="AJ79" i="3"/>
  <c r="AJ221" i="3"/>
  <c r="AJ359" i="3"/>
  <c r="AJ19" i="3"/>
  <c r="AJ25" i="3"/>
  <c r="AJ378" i="3"/>
  <c r="AJ380" i="3"/>
  <c r="AJ31" i="3"/>
  <c r="AJ33" i="3"/>
  <c r="AJ70" i="3"/>
  <c r="AJ78" i="3"/>
  <c r="AJ314" i="3"/>
  <c r="AJ365" i="3"/>
  <c r="AJ362" i="3"/>
  <c r="AJ20" i="3"/>
  <c r="AJ89" i="3"/>
  <c r="AJ26" i="3"/>
  <c r="AJ194" i="3"/>
  <c r="AJ283" i="3"/>
  <c r="AJ206" i="3"/>
  <c r="AJ34" i="3"/>
  <c r="AJ74" i="3"/>
  <c r="AJ294" i="3"/>
  <c r="AJ356" i="3"/>
  <c r="AJ334" i="3"/>
  <c r="AJ316" i="3"/>
  <c r="AJ366" i="3"/>
  <c r="AJ260" i="3"/>
  <c r="AJ7" i="3"/>
  <c r="AJ91" i="3"/>
  <c r="AJ21" i="3"/>
  <c r="AJ27" i="3"/>
  <c r="AJ54" i="3"/>
  <c r="AJ284" i="3"/>
  <c r="AJ35" i="3"/>
  <c r="AJ225" i="3"/>
  <c r="AJ237" i="3"/>
  <c r="AJ191" i="3"/>
  <c r="AJ61" i="3"/>
  <c r="AJ343" i="3"/>
  <c r="AJ6" i="3"/>
  <c r="AJ386" i="3"/>
  <c r="AJ369" i="3"/>
  <c r="AJ328" i="3"/>
  <c r="AJ24" i="3"/>
  <c r="AJ196" i="3"/>
  <c r="AJ364" i="3"/>
  <c r="AJ39" i="3"/>
  <c r="AJ218" i="3"/>
  <c r="AJ236" i="3"/>
  <c r="AJ51" i="3"/>
  <c r="AJ268" i="3"/>
  <c r="AJ192" i="3"/>
  <c r="AJ57" i="3"/>
  <c r="AJ385" i="3"/>
  <c r="AJ282" i="3"/>
  <c r="AJ368" i="3"/>
  <c r="AJ28" i="3"/>
  <c r="AJ350" i="3"/>
  <c r="AJ162" i="3"/>
  <c r="AJ184" i="3"/>
  <c r="AJ183" i="3"/>
  <c r="AJ185" i="3"/>
  <c r="AJ354" i="3"/>
  <c r="AJ160" i="3"/>
  <c r="AJ367" i="3"/>
  <c r="AJ370" i="3"/>
  <c r="AJ344" i="3"/>
  <c r="AJ348" i="3"/>
  <c r="AJ357" i="3"/>
  <c r="AJ358" i="3"/>
  <c r="AJ272" i="3"/>
  <c r="AJ257" i="3"/>
  <c r="AJ65" i="3"/>
  <c r="AJ85" i="3"/>
  <c r="AJ224" i="3"/>
  <c r="AJ86" i="3"/>
  <c r="AJ337" i="3"/>
  <c r="AJ179" i="3"/>
  <c r="AJ84" i="3"/>
  <c r="AJ227" i="3"/>
  <c r="AJ232" i="3"/>
  <c r="AJ231" i="3"/>
  <c r="AJ189" i="3"/>
  <c r="AJ81" i="3"/>
  <c r="AJ239" i="3"/>
  <c r="AJ187" i="3"/>
  <c r="AJ88" i="3"/>
  <c r="AJ312" i="3"/>
  <c r="AJ90" i="3"/>
  <c r="AJ336" i="3"/>
  <c r="AJ375" i="3"/>
  <c r="AJ313" i="3"/>
  <c r="AJ332" i="3"/>
  <c r="AJ383" i="3"/>
  <c r="AJ73" i="3"/>
  <c r="AJ62" i="3"/>
  <c r="AJ388" i="3"/>
  <c r="AJ217" i="3"/>
  <c r="AJ3" i="3"/>
  <c r="AJ67" i="3"/>
  <c r="AJ99" i="3"/>
  <c r="AJ107" i="3"/>
  <c r="AJ119" i="3"/>
  <c r="AJ127" i="3"/>
  <c r="AJ140" i="3"/>
  <c r="AJ148" i="3"/>
  <c r="AJ156" i="3"/>
  <c r="AJ167" i="3"/>
  <c r="AJ174" i="3"/>
  <c r="AJ182" i="3"/>
  <c r="AJ201" i="3"/>
  <c r="AJ211" i="3"/>
  <c r="AJ222" i="3"/>
  <c r="AJ263" i="3"/>
  <c r="AJ298" i="3"/>
  <c r="AJ307" i="3"/>
  <c r="AJ322" i="3"/>
  <c r="AJ331" i="3"/>
  <c r="AJ390" i="3"/>
  <c r="AJ5" i="3"/>
  <c r="AJ55" i="3"/>
  <c r="AJ71" i="3"/>
  <c r="AJ92" i="3"/>
  <c r="AJ101" i="3"/>
  <c r="AJ109" i="3"/>
  <c r="AJ121" i="3"/>
  <c r="AJ129" i="3"/>
  <c r="AJ142" i="3"/>
  <c r="AJ150" i="3"/>
  <c r="AJ158" i="3"/>
  <c r="AJ169" i="3"/>
  <c r="AJ176" i="3"/>
  <c r="AJ203" i="3"/>
  <c r="AJ213" i="3"/>
  <c r="AJ234" i="3"/>
  <c r="AJ265" i="3"/>
  <c r="AJ300" i="3"/>
  <c r="AJ309" i="3"/>
  <c r="AJ324" i="3"/>
  <c r="AJ335" i="3"/>
  <c r="AJ376" i="3"/>
  <c r="AJ392" i="3"/>
  <c r="AJ52" i="3"/>
  <c r="AJ58" i="3"/>
  <c r="AJ72" i="3"/>
  <c r="AJ94" i="3"/>
  <c r="AJ102" i="3"/>
  <c r="AJ110" i="3"/>
  <c r="AJ114" i="3"/>
  <c r="AJ122" i="3"/>
  <c r="AJ130" i="3"/>
  <c r="AJ143" i="3"/>
  <c r="AJ151" i="3"/>
  <c r="AJ159" i="3"/>
  <c r="AJ170" i="3"/>
  <c r="AJ177" i="3"/>
  <c r="AJ188" i="3"/>
  <c r="AJ205" i="3"/>
  <c r="AJ214" i="3"/>
  <c r="AJ226" i="3"/>
  <c r="AJ235" i="3"/>
  <c r="AJ266" i="3"/>
  <c r="AJ302" i="3"/>
  <c r="AJ311" i="3"/>
  <c r="AJ325" i="3"/>
  <c r="AJ63" i="3"/>
  <c r="AJ75" i="3"/>
  <c r="AJ95" i="3"/>
  <c r="AJ103" i="3"/>
  <c r="AJ111" i="3"/>
  <c r="AJ115" i="3"/>
  <c r="AJ123" i="3"/>
  <c r="AJ134" i="3"/>
  <c r="AJ144" i="3"/>
  <c r="AJ152" i="3"/>
  <c r="AJ163" i="3"/>
  <c r="AJ171" i="3"/>
  <c r="AJ178" i="3"/>
  <c r="AJ190" i="3"/>
  <c r="AJ207" i="3"/>
  <c r="AJ215" i="3"/>
  <c r="AJ270" i="3"/>
  <c r="AJ304" i="3"/>
  <c r="AJ315" i="3"/>
  <c r="AJ326" i="3"/>
  <c r="AJ381" i="3"/>
  <c r="AJ64" i="3"/>
  <c r="AJ77" i="3"/>
  <c r="AJ96" i="3"/>
  <c r="AJ104" i="3"/>
  <c r="AJ112" i="3"/>
  <c r="AJ116" i="3"/>
  <c r="AJ124" i="3"/>
  <c r="AJ135" i="3"/>
  <c r="AJ145" i="3"/>
  <c r="AJ153" i="3"/>
  <c r="AJ164" i="3"/>
  <c r="AJ9" i="3"/>
  <c r="AJ97" i="3"/>
  <c r="AJ105" i="3"/>
  <c r="AJ113" i="3"/>
  <c r="AJ117" i="3"/>
  <c r="AJ125" i="3"/>
  <c r="AJ136" i="3"/>
  <c r="AJ146" i="3"/>
  <c r="AJ154" i="3"/>
  <c r="AJ165" i="3"/>
  <c r="AJ180" i="3"/>
  <c r="AJ195" i="3"/>
  <c r="AJ209" i="3"/>
  <c r="AJ219" i="3"/>
  <c r="AJ229" i="3"/>
  <c r="AJ240" i="3"/>
  <c r="AJ261" i="3"/>
  <c r="AJ271" i="3"/>
  <c r="AJ305" i="3"/>
  <c r="AJ318" i="3"/>
  <c r="AJ329" i="3"/>
  <c r="AJ349" i="3"/>
  <c r="AJ363" i="3"/>
  <c r="AJ371" i="3"/>
  <c r="AJ387" i="3"/>
  <c r="AJ4" i="3"/>
  <c r="AJ100" i="3"/>
  <c r="AJ128" i="3"/>
  <c r="AJ168" i="3"/>
  <c r="AJ198" i="3"/>
  <c r="AJ228" i="3"/>
  <c r="AJ306" i="3"/>
  <c r="AJ106" i="3"/>
  <c r="AJ137" i="3"/>
  <c r="AJ172" i="3"/>
  <c r="AJ202" i="3"/>
  <c r="AJ230" i="3"/>
  <c r="AJ308" i="3"/>
  <c r="AJ108" i="3"/>
  <c r="AJ141" i="3"/>
  <c r="AJ173" i="3"/>
  <c r="AJ208" i="3"/>
  <c r="AJ233" i="3"/>
  <c r="AJ262" i="3"/>
  <c r="AJ317" i="3"/>
  <c r="AJ372" i="3"/>
  <c r="AJ66" i="3"/>
  <c r="AJ147" i="3"/>
  <c r="AJ175" i="3"/>
  <c r="AJ210" i="3"/>
  <c r="AJ238" i="3"/>
  <c r="AJ264" i="3"/>
  <c r="AJ319" i="3"/>
  <c r="AJ373" i="3"/>
  <c r="AJ68" i="3"/>
  <c r="AJ149" i="3"/>
  <c r="AJ212" i="3"/>
  <c r="AJ286" i="3"/>
  <c r="AJ323" i="3"/>
  <c r="AJ382" i="3"/>
  <c r="AJ87" i="3"/>
  <c r="AJ120" i="3"/>
  <c r="AJ157" i="3"/>
  <c r="AJ186" i="3"/>
  <c r="AJ220" i="3"/>
  <c r="AJ299" i="3"/>
  <c r="AJ330" i="3"/>
  <c r="AJ391" i="3"/>
  <c r="AJ166" i="3"/>
  <c r="AJ181" i="3"/>
  <c r="AJ327" i="3"/>
  <c r="AJ193" i="3"/>
  <c r="AJ333" i="3"/>
  <c r="AJ216" i="3"/>
  <c r="AJ98" i="3"/>
  <c r="AJ223" i="3"/>
  <c r="AJ155" i="3"/>
  <c r="AJ297" i="3"/>
  <c r="AJ118" i="3"/>
  <c r="AJ126" i="3"/>
  <c r="AJ389" i="3"/>
  <c r="A488" i="8"/>
  <c r="A489" i="8"/>
  <c r="B488" i="8"/>
  <c r="B489" i="8"/>
  <c r="D488" i="8"/>
  <c r="D489" i="8"/>
  <c r="E488" i="8"/>
  <c r="E489" i="8"/>
  <c r="E518" i="8" l="1"/>
  <c r="D518" i="8"/>
  <c r="B518" i="8"/>
  <c r="A518" i="8"/>
  <c r="E517" i="8"/>
  <c r="D517" i="8"/>
  <c r="B517" i="8"/>
  <c r="A517" i="8"/>
  <c r="E516" i="8"/>
  <c r="D516" i="8"/>
  <c r="B516" i="8"/>
  <c r="A516" i="8"/>
  <c r="E507" i="8"/>
  <c r="D507" i="8"/>
  <c r="B507" i="8"/>
  <c r="A507" i="8"/>
  <c r="E506" i="8"/>
  <c r="D506" i="8"/>
  <c r="B506" i="8"/>
  <c r="A506" i="8"/>
  <c r="E505" i="8"/>
  <c r="D505" i="8"/>
  <c r="B505" i="8"/>
  <c r="A505" i="8"/>
  <c r="E504" i="8"/>
  <c r="D504" i="8"/>
  <c r="B504" i="8"/>
  <c r="A504" i="8"/>
  <c r="E503" i="8"/>
  <c r="D503" i="8"/>
  <c r="B503" i="8"/>
  <c r="A503" i="8"/>
  <c r="E502" i="8"/>
  <c r="D502" i="8"/>
  <c r="B502" i="8"/>
  <c r="A502" i="8"/>
  <c r="E501" i="8"/>
  <c r="D501" i="8"/>
  <c r="B501" i="8"/>
  <c r="A501" i="8"/>
  <c r="E500" i="8"/>
  <c r="D500" i="8"/>
  <c r="B500" i="8"/>
  <c r="A500" i="8"/>
  <c r="E499" i="8"/>
  <c r="D499" i="8"/>
  <c r="B499" i="8"/>
  <c r="A499" i="8"/>
  <c r="E498" i="8"/>
  <c r="D498" i="8"/>
  <c r="B498" i="8"/>
  <c r="A498" i="8"/>
  <c r="E497" i="8"/>
  <c r="D497" i="8"/>
  <c r="B497" i="8"/>
  <c r="A497" i="8"/>
  <c r="E496" i="8"/>
  <c r="D496" i="8"/>
  <c r="B496" i="8"/>
  <c r="A496" i="8"/>
  <c r="E495" i="8"/>
  <c r="D495" i="8"/>
  <c r="B495" i="8"/>
  <c r="A495" i="8"/>
  <c r="E494" i="8"/>
  <c r="D494" i="8"/>
  <c r="B494" i="8"/>
  <c r="A494" i="8"/>
  <c r="E493" i="8"/>
  <c r="D493" i="8"/>
  <c r="B493" i="8"/>
  <c r="A493" i="8"/>
  <c r="E492" i="8"/>
  <c r="D492" i="8"/>
  <c r="B492" i="8"/>
  <c r="A492" i="8"/>
  <c r="AI288" i="3" l="1"/>
  <c r="AI287" i="3"/>
  <c r="AI82" i="3"/>
  <c r="AI393" i="3"/>
  <c r="AI273" i="3"/>
  <c r="AI10" i="3"/>
  <c r="AI11" i="3"/>
  <c r="AI69" i="3"/>
  <c r="AI303" i="3"/>
  <c r="AI12" i="3"/>
  <c r="AI13" i="3"/>
  <c r="AI14" i="3"/>
  <c r="AI15" i="3"/>
  <c r="AI274" i="3"/>
  <c r="AI17" i="3"/>
  <c r="AI18" i="3"/>
  <c r="AI16" i="3"/>
  <c r="AI199" i="3"/>
  <c r="AI200" i="3"/>
  <c r="AI275" i="3"/>
  <c r="AI321" i="3"/>
  <c r="AI277" i="3"/>
  <c r="AI278" i="3"/>
  <c r="AI279" i="3"/>
  <c r="AI280" i="3"/>
  <c r="AI285" i="3"/>
  <c r="AI36" i="3"/>
  <c r="AI37" i="3"/>
  <c r="AI38" i="3"/>
  <c r="AI40" i="3"/>
  <c r="AI289" i="3"/>
  <c r="AI41" i="3"/>
  <c r="AI42" i="3"/>
  <c r="AI43" i="3"/>
  <c r="AI44" i="3"/>
  <c r="AI83" i="3"/>
  <c r="AI290" i="3"/>
  <c r="AI291" i="3"/>
  <c r="AI45" i="3"/>
  <c r="AI46" i="3"/>
  <c r="AI47" i="3"/>
  <c r="AI296" i="3"/>
  <c r="AI132" i="3"/>
  <c r="AI242" i="3"/>
  <c r="AI250" i="3"/>
  <c r="AI133" i="3"/>
  <c r="AI243" i="3"/>
  <c r="AI251" i="3"/>
  <c r="AI138" i="3"/>
  <c r="AI244" i="3"/>
  <c r="AI252" i="3"/>
  <c r="AI245" i="3"/>
  <c r="AI253" i="3"/>
  <c r="AI139" i="3"/>
  <c r="AI246" i="3"/>
  <c r="AI254" i="3"/>
  <c r="AI131" i="3"/>
  <c r="AI247" i="3"/>
  <c r="AI255" i="3"/>
  <c r="AI8" i="3"/>
  <c r="AI249" i="3"/>
  <c r="AI161" i="3"/>
  <c r="AI256" i="3"/>
  <c r="AI248" i="3"/>
  <c r="AI341" i="3"/>
  <c r="AI361" i="3"/>
  <c r="AI79" i="3"/>
  <c r="AI221" i="3"/>
  <c r="AI359" i="3"/>
  <c r="AI19" i="3"/>
  <c r="AI25" i="3"/>
  <c r="AI378" i="3"/>
  <c r="AI380" i="3"/>
  <c r="AI31" i="3"/>
  <c r="AI33" i="3"/>
  <c r="AI70" i="3"/>
  <c r="AI78" i="3"/>
  <c r="AI314" i="3"/>
  <c r="AI365" i="3"/>
  <c r="AI362" i="3"/>
  <c r="AI20" i="3"/>
  <c r="AI89" i="3"/>
  <c r="AI26" i="3"/>
  <c r="AI194" i="3"/>
  <c r="AI283" i="3"/>
  <c r="AI206" i="3"/>
  <c r="AI34" i="3"/>
  <c r="AI74" i="3"/>
  <c r="AI294" i="3"/>
  <c r="AI356" i="3"/>
  <c r="AI334" i="3"/>
  <c r="AI316" i="3"/>
  <c r="AI366" i="3"/>
  <c r="AI260" i="3"/>
  <c r="AI7" i="3"/>
  <c r="AI91" i="3"/>
  <c r="AI21" i="3"/>
  <c r="AI27" i="3"/>
  <c r="AI54" i="3"/>
  <c r="AI284" i="3"/>
  <c r="AI35" i="3"/>
  <c r="AI225" i="3"/>
  <c r="AI237" i="3"/>
  <c r="AI191" i="3"/>
  <c r="AI61" i="3"/>
  <c r="AI268" i="3"/>
  <c r="AI385" i="3"/>
  <c r="AI368" i="3"/>
  <c r="AI282" i="3"/>
  <c r="AI28" i="3"/>
  <c r="AI350" i="3"/>
  <c r="AI57" i="3"/>
  <c r="AI192" i="3"/>
  <c r="AI343" i="3"/>
  <c r="AI6" i="3"/>
  <c r="AI386" i="3"/>
  <c r="AI369" i="3"/>
  <c r="AI328" i="3"/>
  <c r="AI24" i="3"/>
  <c r="AI196" i="3"/>
  <c r="AI364" i="3"/>
  <c r="AI39" i="3"/>
  <c r="AI218" i="3"/>
  <c r="AI236" i="3"/>
  <c r="AI51" i="3"/>
  <c r="AI374" i="3"/>
  <c r="AI384" i="3"/>
  <c r="AI347" i="3"/>
  <c r="AI22" i="3"/>
  <c r="AI301" i="3"/>
  <c r="AI197" i="3"/>
  <c r="AI80" i="3"/>
  <c r="AI339" i="3"/>
  <c r="AI59" i="3"/>
  <c r="AI338" i="3"/>
  <c r="AI360" i="3"/>
  <c r="AI355" i="3"/>
  <c r="AI345" i="3"/>
  <c r="AI295" i="3"/>
  <c r="AI267" i="3"/>
  <c r="AI377" i="3"/>
  <c r="AI353" i="3"/>
  <c r="AI258" i="3"/>
  <c r="AI269" i="3"/>
  <c r="AI281" i="3"/>
  <c r="AI241" i="3"/>
  <c r="AI30" i="3"/>
  <c r="AI32" i="3"/>
  <c r="AI56" i="3"/>
  <c r="AI48" i="3"/>
  <c r="AI53" i="3"/>
  <c r="AI342" i="3"/>
  <c r="AI293" i="3"/>
  <c r="AI50" i="3"/>
  <c r="AI310" i="3"/>
  <c r="AI93" i="3"/>
  <c r="AI292" i="3"/>
  <c r="AI276" i="3"/>
  <c r="AI379" i="3"/>
  <c r="AI340" i="3"/>
  <c r="AI351" i="3"/>
  <c r="AI60" i="3"/>
  <c r="AI49" i="3"/>
  <c r="AI259" i="3"/>
  <c r="AI320" i="3"/>
  <c r="AI29" i="3"/>
  <c r="AI346" i="3"/>
  <c r="AI352" i="3"/>
  <c r="AI204" i="3"/>
  <c r="AI76" i="3"/>
  <c r="AI23" i="3"/>
  <c r="AI162" i="3"/>
  <c r="AI183" i="3"/>
  <c r="AI184" i="3"/>
  <c r="AI185" i="3"/>
  <c r="AI354" i="3"/>
  <c r="AI160" i="3"/>
  <c r="AI358" i="3"/>
  <c r="AI367" i="3"/>
  <c r="AI370" i="3"/>
  <c r="AI344" i="3"/>
  <c r="AI348" i="3"/>
  <c r="AI357" i="3"/>
  <c r="AI272" i="3"/>
  <c r="AI257" i="3"/>
  <c r="AI65" i="3"/>
  <c r="AI179" i="3"/>
  <c r="AI85" i="3"/>
  <c r="AI84" i="3"/>
  <c r="AI227" i="3"/>
  <c r="AI337" i="3"/>
  <c r="AI86" i="3"/>
  <c r="AI224" i="3"/>
  <c r="AI231" i="3"/>
  <c r="AI232" i="3"/>
  <c r="AI189" i="3"/>
  <c r="AI81" i="3"/>
  <c r="AI239" i="3"/>
  <c r="AI187" i="3"/>
  <c r="AI88" i="3"/>
  <c r="AI312" i="3"/>
  <c r="AI90" i="3"/>
  <c r="AI336" i="3"/>
  <c r="AI375" i="3"/>
  <c r="AI313" i="3"/>
  <c r="AI332" i="3"/>
  <c r="AI383" i="3"/>
  <c r="AI73" i="3"/>
  <c r="AI62" i="3"/>
  <c r="AI388" i="3"/>
  <c r="AI217" i="3"/>
  <c r="AI64" i="3"/>
  <c r="AI77" i="3"/>
  <c r="AI96" i="3"/>
  <c r="AI104" i="3"/>
  <c r="AI66" i="3"/>
  <c r="AI98" i="3"/>
  <c r="AI106" i="3"/>
  <c r="AI118" i="3"/>
  <c r="AI126" i="3"/>
  <c r="AI137" i="3"/>
  <c r="AI147" i="3"/>
  <c r="AI155" i="3"/>
  <c r="AI166" i="3"/>
  <c r="AI173" i="3"/>
  <c r="AI181" i="3"/>
  <c r="AI198" i="3"/>
  <c r="AI210" i="3"/>
  <c r="AI220" i="3"/>
  <c r="AI230" i="3"/>
  <c r="AI262" i="3"/>
  <c r="AI297" i="3"/>
  <c r="AI306" i="3"/>
  <c r="AI3" i="3"/>
  <c r="AI67" i="3"/>
  <c r="AI99" i="3"/>
  <c r="AI107" i="3"/>
  <c r="AI119" i="3"/>
  <c r="AI127" i="3"/>
  <c r="AI140" i="3"/>
  <c r="AI148" i="3"/>
  <c r="AI156" i="3"/>
  <c r="AI167" i="3"/>
  <c r="AI174" i="3"/>
  <c r="AI182" i="3"/>
  <c r="AI201" i="3"/>
  <c r="AI211" i="3"/>
  <c r="AI222" i="3"/>
  <c r="AI263" i="3"/>
  <c r="AI298" i="3"/>
  <c r="AI307" i="3"/>
  <c r="AI4" i="3"/>
  <c r="AI68" i="3"/>
  <c r="AI87" i="3"/>
  <c r="AI52" i="3"/>
  <c r="AI58" i="3"/>
  <c r="AI72" i="3"/>
  <c r="AI94" i="3"/>
  <c r="AI102" i="3"/>
  <c r="AI110" i="3"/>
  <c r="AI114" i="3"/>
  <c r="AI122" i="3"/>
  <c r="AI130" i="3"/>
  <c r="AI143" i="3"/>
  <c r="AI151" i="3"/>
  <c r="AI159" i="3"/>
  <c r="AI170" i="3"/>
  <c r="AI177" i="3"/>
  <c r="AI188" i="3"/>
  <c r="AI205" i="3"/>
  <c r="AI214" i="3"/>
  <c r="AI226" i="3"/>
  <c r="AI235" i="3"/>
  <c r="AI266" i="3"/>
  <c r="AI302" i="3"/>
  <c r="AI311" i="3"/>
  <c r="AI92" i="3"/>
  <c r="AI109" i="3"/>
  <c r="AI117" i="3"/>
  <c r="AI134" i="3"/>
  <c r="AI149" i="3"/>
  <c r="AI164" i="3"/>
  <c r="AI176" i="3"/>
  <c r="AI195" i="3"/>
  <c r="AI215" i="3"/>
  <c r="AI233" i="3"/>
  <c r="AI265" i="3"/>
  <c r="AI305" i="3"/>
  <c r="AI323" i="3"/>
  <c r="AI333" i="3"/>
  <c r="AI373" i="3"/>
  <c r="AI391" i="3"/>
  <c r="AI9" i="3"/>
  <c r="AI95" i="3"/>
  <c r="AI111" i="3"/>
  <c r="AI120" i="3"/>
  <c r="AI135" i="3"/>
  <c r="AI150" i="3"/>
  <c r="AI165" i="3"/>
  <c r="AI178" i="3"/>
  <c r="AI202" i="3"/>
  <c r="AI216" i="3"/>
  <c r="AI234" i="3"/>
  <c r="AI270" i="3"/>
  <c r="AI308" i="3"/>
  <c r="AI324" i="3"/>
  <c r="AI335" i="3"/>
  <c r="AI376" i="3"/>
  <c r="AI392" i="3"/>
  <c r="AI55" i="3"/>
  <c r="AI97" i="3"/>
  <c r="AI112" i="3"/>
  <c r="AI121" i="3"/>
  <c r="AI136" i="3"/>
  <c r="AI152" i="3"/>
  <c r="AI168" i="3"/>
  <c r="AI203" i="3"/>
  <c r="AI219" i="3"/>
  <c r="AI286" i="3"/>
  <c r="AI309" i="3"/>
  <c r="AI325" i="3"/>
  <c r="AI63" i="3"/>
  <c r="AI100" i="3"/>
  <c r="AI113" i="3"/>
  <c r="AI123" i="3"/>
  <c r="AI141" i="3"/>
  <c r="AI153" i="3"/>
  <c r="AI169" i="3"/>
  <c r="AI180" i="3"/>
  <c r="AI207" i="3"/>
  <c r="AI223" i="3"/>
  <c r="AI238" i="3"/>
  <c r="AI271" i="3"/>
  <c r="AI315" i="3"/>
  <c r="AI326" i="3"/>
  <c r="AI381" i="3"/>
  <c r="AI101" i="3"/>
  <c r="AI124" i="3"/>
  <c r="AI142" i="3"/>
  <c r="AI154" i="3"/>
  <c r="AI171" i="3"/>
  <c r="AI186" i="3"/>
  <c r="AI208" i="3"/>
  <c r="AI240" i="3"/>
  <c r="AI299" i="3"/>
  <c r="AI317" i="3"/>
  <c r="AI327" i="3"/>
  <c r="AI382" i="3"/>
  <c r="AI75" i="3"/>
  <c r="AI105" i="3"/>
  <c r="AI115" i="3"/>
  <c r="AI128" i="3"/>
  <c r="AI145" i="3"/>
  <c r="AI158" i="3"/>
  <c r="AI190" i="3"/>
  <c r="AI212" i="3"/>
  <c r="AI228" i="3"/>
  <c r="AI261" i="3"/>
  <c r="AI304" i="3"/>
  <c r="AI319" i="3"/>
  <c r="AI330" i="3"/>
  <c r="AI372" i="3"/>
  <c r="AI389" i="3"/>
  <c r="AI146" i="3"/>
  <c r="AI213" i="3"/>
  <c r="AI103" i="3"/>
  <c r="AI157" i="3"/>
  <c r="AI318" i="3"/>
  <c r="AI363" i="3"/>
  <c r="AI108" i="3"/>
  <c r="AI163" i="3"/>
  <c r="AI229" i="3"/>
  <c r="AI322" i="3"/>
  <c r="AI172" i="3"/>
  <c r="AI329" i="3"/>
  <c r="AI371" i="3"/>
  <c r="AI116" i="3"/>
  <c r="AI175" i="3"/>
  <c r="AI331" i="3"/>
  <c r="AI71" i="3"/>
  <c r="AI144" i="3"/>
  <c r="AI209" i="3"/>
  <c r="AI300" i="3"/>
  <c r="AI349" i="3"/>
  <c r="AI129" i="3"/>
  <c r="AI390" i="3"/>
  <c r="AI193" i="3"/>
  <c r="AI264" i="3"/>
  <c r="AI125" i="3"/>
  <c r="AI387" i="3"/>
  <c r="AI5" i="3"/>
  <c r="E443" i="8"/>
  <c r="D443" i="8"/>
  <c r="B443" i="8"/>
  <c r="A443" i="8"/>
  <c r="E482" i="8" l="1"/>
  <c r="D482" i="8"/>
  <c r="B482" i="8"/>
  <c r="A482" i="8"/>
  <c r="E481" i="8"/>
  <c r="D481" i="8"/>
  <c r="B481" i="8"/>
  <c r="A481" i="8"/>
  <c r="E480" i="8"/>
  <c r="D480" i="8"/>
  <c r="B480" i="8"/>
  <c r="A480" i="8"/>
  <c r="E479" i="8"/>
  <c r="D479" i="8"/>
  <c r="B479" i="8"/>
  <c r="A479" i="8"/>
  <c r="E478" i="8"/>
  <c r="D478" i="8"/>
  <c r="B478" i="8"/>
  <c r="A478" i="8"/>
  <c r="E477" i="8"/>
  <c r="D477" i="8"/>
  <c r="B477" i="8"/>
  <c r="A477" i="8"/>
  <c r="E476" i="8"/>
  <c r="D476" i="8"/>
  <c r="B476" i="8"/>
  <c r="A476" i="8"/>
  <c r="E475" i="8"/>
  <c r="D475" i="8"/>
  <c r="B475" i="8"/>
  <c r="A475" i="8"/>
  <c r="E474" i="8"/>
  <c r="D474" i="8"/>
  <c r="B474" i="8"/>
  <c r="A474" i="8"/>
  <c r="E473" i="8"/>
  <c r="D473" i="8"/>
  <c r="B473" i="8"/>
  <c r="A473" i="8"/>
  <c r="E472" i="8"/>
  <c r="D472" i="8"/>
  <c r="B472" i="8"/>
  <c r="A472" i="8"/>
  <c r="E471" i="8"/>
  <c r="D471" i="8"/>
  <c r="B471" i="8"/>
  <c r="A471" i="8"/>
  <c r="E470" i="8"/>
  <c r="D470" i="8"/>
  <c r="B470" i="8"/>
  <c r="A470" i="8"/>
  <c r="E469" i="8"/>
  <c r="D469" i="8"/>
  <c r="B469" i="8"/>
  <c r="A469" i="8"/>
  <c r="E468" i="8"/>
  <c r="D468" i="8"/>
  <c r="B468" i="8"/>
  <c r="A468" i="8"/>
  <c r="E467" i="8"/>
  <c r="D467" i="8"/>
  <c r="B467" i="8"/>
  <c r="A467" i="8"/>
  <c r="E466" i="8"/>
  <c r="D466" i="8"/>
  <c r="B466" i="8"/>
  <c r="A466" i="8"/>
  <c r="E465" i="8"/>
  <c r="D465" i="8"/>
  <c r="B465" i="8"/>
  <c r="A465" i="8"/>
  <c r="E464" i="8"/>
  <c r="D464" i="8"/>
  <c r="B464" i="8"/>
  <c r="A464" i="8"/>
  <c r="AH288" i="3" l="1"/>
  <c r="AH287" i="3"/>
  <c r="AH82" i="3"/>
  <c r="AH393" i="3"/>
  <c r="AH273" i="3"/>
  <c r="AH10" i="3"/>
  <c r="AH11" i="3"/>
  <c r="AH69" i="3"/>
  <c r="AH303" i="3"/>
  <c r="AH12" i="3"/>
  <c r="AH13" i="3"/>
  <c r="AH14" i="3"/>
  <c r="AH15" i="3"/>
  <c r="AH274" i="3"/>
  <c r="AH17" i="3"/>
  <c r="AH18" i="3"/>
  <c r="AH16" i="3"/>
  <c r="AH199" i="3"/>
  <c r="AH200" i="3"/>
  <c r="AH275" i="3"/>
  <c r="AH321" i="3"/>
  <c r="AH277" i="3"/>
  <c r="AH278" i="3"/>
  <c r="AH279" i="3"/>
  <c r="AH280" i="3"/>
  <c r="AH285" i="3"/>
  <c r="AH36" i="3"/>
  <c r="AH37" i="3"/>
  <c r="AH38" i="3"/>
  <c r="AH40" i="3"/>
  <c r="AH289" i="3"/>
  <c r="AH41" i="3"/>
  <c r="AH42" i="3"/>
  <c r="AH43" i="3"/>
  <c r="AH44" i="3"/>
  <c r="AH83" i="3"/>
  <c r="AH290" i="3"/>
  <c r="AH291" i="3"/>
  <c r="AH45" i="3"/>
  <c r="AH46" i="3"/>
  <c r="AH47" i="3"/>
  <c r="AH296" i="3"/>
  <c r="AH161" i="3"/>
  <c r="AH248" i="3"/>
  <c r="AH256" i="3"/>
  <c r="AH8" i="3"/>
  <c r="AH249" i="3"/>
  <c r="AH132" i="3"/>
  <c r="AH242" i="3"/>
  <c r="AH250" i="3"/>
  <c r="AH133" i="3"/>
  <c r="AH243" i="3"/>
  <c r="AH251" i="3"/>
  <c r="AH138" i="3"/>
  <c r="AH244" i="3"/>
  <c r="AH252" i="3"/>
  <c r="AH245" i="3"/>
  <c r="AH253" i="3"/>
  <c r="AH131" i="3"/>
  <c r="AH247" i="3"/>
  <c r="AH255" i="3"/>
  <c r="AH139" i="3"/>
  <c r="AH246" i="3"/>
  <c r="AH254" i="3"/>
  <c r="AH351" i="3"/>
  <c r="AH259" i="3"/>
  <c r="AH276" i="3"/>
  <c r="AH320" i="3"/>
  <c r="AH23" i="3"/>
  <c r="AH346" i="3"/>
  <c r="AH93" i="3"/>
  <c r="AH379" i="3"/>
  <c r="AH341" i="3"/>
  <c r="AH361" i="3"/>
  <c r="AH79" i="3"/>
  <c r="AH221" i="3"/>
  <c r="AH359" i="3"/>
  <c r="AH19" i="3"/>
  <c r="AH25" i="3"/>
  <c r="AH378" i="3"/>
  <c r="AH362" i="3"/>
  <c r="AH20" i="3"/>
  <c r="AH89" i="3"/>
  <c r="AH366" i="3"/>
  <c r="AH260" i="3"/>
  <c r="AH7" i="3"/>
  <c r="AH91" i="3"/>
  <c r="AH21" i="3"/>
  <c r="AH27" i="3"/>
  <c r="AH343" i="3"/>
  <c r="AH6" i="3"/>
  <c r="AH386" i="3"/>
  <c r="AH369" i="3"/>
  <c r="AH328" i="3"/>
  <c r="AH24" i="3"/>
  <c r="AH196" i="3"/>
  <c r="AH364" i="3"/>
  <c r="AH39" i="3"/>
  <c r="AH374" i="3"/>
  <c r="AH30" i="3"/>
  <c r="AH284" i="3"/>
  <c r="AH60" i="3"/>
  <c r="AH192" i="3"/>
  <c r="AH377" i="3"/>
  <c r="AH385" i="3"/>
  <c r="AH22" i="3"/>
  <c r="AH282" i="3"/>
  <c r="AH350" i="3"/>
  <c r="AH31" i="3"/>
  <c r="AH218" i="3"/>
  <c r="AH236" i="3"/>
  <c r="AH51" i="3"/>
  <c r="AH258" i="3"/>
  <c r="AH241" i="3"/>
  <c r="AH380" i="3"/>
  <c r="AH339" i="3"/>
  <c r="AH340" i="3"/>
  <c r="AH56" i="3"/>
  <c r="AH237" i="3"/>
  <c r="AH345" i="3"/>
  <c r="AH295" i="3"/>
  <c r="AH347" i="3"/>
  <c r="AH283" i="3"/>
  <c r="AH54" i="3"/>
  <c r="AH355" i="3"/>
  <c r="AH49" i="3"/>
  <c r="AH76" i="3"/>
  <c r="AH353" i="3"/>
  <c r="AH368" i="3"/>
  <c r="AH26" i="3"/>
  <c r="AH194" i="3"/>
  <c r="AH57" i="3"/>
  <c r="AH32" i="3"/>
  <c r="AH292" i="3"/>
  <c r="AH53" i="3"/>
  <c r="AH342" i="3"/>
  <c r="AH293" i="3"/>
  <c r="AH50" i="3"/>
  <c r="AH310" i="3"/>
  <c r="AH268" i="3"/>
  <c r="AH269" i="3"/>
  <c r="AH384" i="3"/>
  <c r="AH28" i="3"/>
  <c r="AH80" i="3"/>
  <c r="AH352" i="3"/>
  <c r="AH33" i="3"/>
  <c r="AH225" i="3"/>
  <c r="AH360" i="3"/>
  <c r="AH48" i="3"/>
  <c r="AH70" i="3"/>
  <c r="AH78" i="3"/>
  <c r="AH314" i="3"/>
  <c r="AH365" i="3"/>
  <c r="AH281" i="3"/>
  <c r="AH197" i="3"/>
  <c r="AH29" i="3"/>
  <c r="AH206" i="3"/>
  <c r="AH35" i="3"/>
  <c r="AH59" i="3"/>
  <c r="AH191" i="3"/>
  <c r="AH61" i="3"/>
  <c r="AH301" i="3"/>
  <c r="AH74" i="3"/>
  <c r="AH316" i="3"/>
  <c r="AH338" i="3"/>
  <c r="AH267" i="3"/>
  <c r="AH294" i="3"/>
  <c r="AH204" i="3"/>
  <c r="AH356" i="3"/>
  <c r="AH34" i="3"/>
  <c r="AH334" i="3"/>
  <c r="AH162" i="3"/>
  <c r="AH185" i="3"/>
  <c r="AH354" i="3"/>
  <c r="AH160" i="3"/>
  <c r="AH183" i="3"/>
  <c r="AH184" i="3"/>
  <c r="AH357" i="3"/>
  <c r="AH358" i="3"/>
  <c r="AH367" i="3"/>
  <c r="AH370" i="3"/>
  <c r="AH344" i="3"/>
  <c r="AH348" i="3"/>
  <c r="AH272" i="3"/>
  <c r="AH257" i="3"/>
  <c r="AH65" i="3"/>
  <c r="AH179" i="3"/>
  <c r="AH224" i="3"/>
  <c r="AH84" i="3"/>
  <c r="AH227" i="3"/>
  <c r="AH337" i="3"/>
  <c r="AH85" i="3"/>
  <c r="AH86" i="3"/>
  <c r="AH231" i="3"/>
  <c r="AH232" i="3"/>
  <c r="AH189" i="3"/>
  <c r="AH81" i="3"/>
  <c r="AH239" i="3"/>
  <c r="AH187" i="3"/>
  <c r="AH88" i="3"/>
  <c r="AH312" i="3"/>
  <c r="AH90" i="3"/>
  <c r="AH336" i="3"/>
  <c r="AH375" i="3"/>
  <c r="AH313" i="3"/>
  <c r="AH332" i="3"/>
  <c r="AH383" i="3"/>
  <c r="AH73" i="3"/>
  <c r="AH62" i="3"/>
  <c r="AH388" i="3"/>
  <c r="AH217" i="3"/>
  <c r="AH9" i="3"/>
  <c r="AH97" i="3"/>
  <c r="AH105" i="3"/>
  <c r="AH113" i="3"/>
  <c r="AH117" i="3"/>
  <c r="AH66" i="3"/>
  <c r="AH98" i="3"/>
  <c r="AH106" i="3"/>
  <c r="AH118" i="3"/>
  <c r="AH126" i="3"/>
  <c r="AH137" i="3"/>
  <c r="AH147" i="3"/>
  <c r="AH155" i="3"/>
  <c r="AH166" i="3"/>
  <c r="AH173" i="3"/>
  <c r="AH181" i="3"/>
  <c r="AH198" i="3"/>
  <c r="AH210" i="3"/>
  <c r="AH220" i="3"/>
  <c r="AH230" i="3"/>
  <c r="AH262" i="3"/>
  <c r="AH297" i="3"/>
  <c r="AH306" i="3"/>
  <c r="AH319" i="3"/>
  <c r="AH330" i="3"/>
  <c r="AH372" i="3"/>
  <c r="AH389" i="3"/>
  <c r="AH3" i="3"/>
  <c r="AH67" i="3"/>
  <c r="AH99" i="3"/>
  <c r="AH107" i="3"/>
  <c r="AH119" i="3"/>
  <c r="AH127" i="3"/>
  <c r="AH140" i="3"/>
  <c r="AH148" i="3"/>
  <c r="AH156" i="3"/>
  <c r="AH167" i="3"/>
  <c r="AH174" i="3"/>
  <c r="AH182" i="3"/>
  <c r="AH201" i="3"/>
  <c r="AH211" i="3"/>
  <c r="AH222" i="3"/>
  <c r="AH263" i="3"/>
  <c r="AH298" i="3"/>
  <c r="AH307" i="3"/>
  <c r="AH322" i="3"/>
  <c r="AH4" i="3"/>
  <c r="AH68" i="3"/>
  <c r="AH87" i="3"/>
  <c r="AH100" i="3"/>
  <c r="AH108" i="3"/>
  <c r="AH120" i="3"/>
  <c r="AH128" i="3"/>
  <c r="AH141" i="3"/>
  <c r="AH149" i="3"/>
  <c r="AH157" i="3"/>
  <c r="AH168" i="3"/>
  <c r="AH175" i="3"/>
  <c r="AH186" i="3"/>
  <c r="AH202" i="3"/>
  <c r="AH212" i="3"/>
  <c r="AH223" i="3"/>
  <c r="AH233" i="3"/>
  <c r="AH264" i="3"/>
  <c r="AH299" i="3"/>
  <c r="AH308" i="3"/>
  <c r="AH323" i="3"/>
  <c r="AH333" i="3"/>
  <c r="AH373" i="3"/>
  <c r="AH391" i="3"/>
  <c r="AH5" i="3"/>
  <c r="AH55" i="3"/>
  <c r="AH71" i="3"/>
  <c r="AH92" i="3"/>
  <c r="AH101" i="3"/>
  <c r="AH109" i="3"/>
  <c r="AH121" i="3"/>
  <c r="AH129" i="3"/>
  <c r="AH142" i="3"/>
  <c r="AH150" i="3"/>
  <c r="AH158" i="3"/>
  <c r="AH169" i="3"/>
  <c r="AH176" i="3"/>
  <c r="AH203" i="3"/>
  <c r="AH213" i="3"/>
  <c r="AH234" i="3"/>
  <c r="AH265" i="3"/>
  <c r="AH300" i="3"/>
  <c r="AH309" i="3"/>
  <c r="AH324" i="3"/>
  <c r="AH335" i="3"/>
  <c r="AH376" i="3"/>
  <c r="AH392" i="3"/>
  <c r="AH63" i="3"/>
  <c r="AH75" i="3"/>
  <c r="AH95" i="3"/>
  <c r="AH103" i="3"/>
  <c r="AH111" i="3"/>
  <c r="AH115" i="3"/>
  <c r="AH123" i="3"/>
  <c r="AH134" i="3"/>
  <c r="AH144" i="3"/>
  <c r="AH152" i="3"/>
  <c r="AH163" i="3"/>
  <c r="AH171" i="3"/>
  <c r="AH178" i="3"/>
  <c r="AH190" i="3"/>
  <c r="AH207" i="3"/>
  <c r="AH215" i="3"/>
  <c r="AH270" i="3"/>
  <c r="AH304" i="3"/>
  <c r="AH315" i="3"/>
  <c r="AH326" i="3"/>
  <c r="AH381" i="3"/>
  <c r="AH104" i="3"/>
  <c r="AH130" i="3"/>
  <c r="AH154" i="3"/>
  <c r="AH214" i="3"/>
  <c r="AH240" i="3"/>
  <c r="AH286" i="3"/>
  <c r="AH325" i="3"/>
  <c r="AH58" i="3"/>
  <c r="AH110" i="3"/>
  <c r="AH135" i="3"/>
  <c r="AH159" i="3"/>
  <c r="AH180" i="3"/>
  <c r="AH216" i="3"/>
  <c r="AH271" i="3"/>
  <c r="AH327" i="3"/>
  <c r="AH64" i="3"/>
  <c r="AH112" i="3"/>
  <c r="AH136" i="3"/>
  <c r="AH164" i="3"/>
  <c r="AH188" i="3"/>
  <c r="AH219" i="3"/>
  <c r="AH302" i="3"/>
  <c r="AH329" i="3"/>
  <c r="AH349" i="3"/>
  <c r="AH371" i="3"/>
  <c r="AH72" i="3"/>
  <c r="AH114" i="3"/>
  <c r="AH143" i="3"/>
  <c r="AH165" i="3"/>
  <c r="AH193" i="3"/>
  <c r="AH226" i="3"/>
  <c r="AH331" i="3"/>
  <c r="AH77" i="3"/>
  <c r="AH116" i="3"/>
  <c r="AH145" i="3"/>
  <c r="AH170" i="3"/>
  <c r="AH195" i="3"/>
  <c r="AH228" i="3"/>
  <c r="AH305" i="3"/>
  <c r="AH146" i="3"/>
  <c r="AH209" i="3"/>
  <c r="AH317" i="3"/>
  <c r="AH382" i="3"/>
  <c r="AH52" i="3"/>
  <c r="AH151" i="3"/>
  <c r="AH229" i="3"/>
  <c r="AH318" i="3"/>
  <c r="AH387" i="3"/>
  <c r="AH94" i="3"/>
  <c r="AH153" i="3"/>
  <c r="AH235" i="3"/>
  <c r="AH390" i="3"/>
  <c r="AH96" i="3"/>
  <c r="AH172" i="3"/>
  <c r="AH238" i="3"/>
  <c r="AH102" i="3"/>
  <c r="AH125" i="3"/>
  <c r="AH208" i="3"/>
  <c r="AH311" i="3"/>
  <c r="AH266" i="3"/>
  <c r="AH363" i="3"/>
  <c r="AH122" i="3"/>
  <c r="AH124" i="3"/>
  <c r="AH261" i="3"/>
  <c r="AH205" i="3"/>
  <c r="AH177" i="3"/>
  <c r="A402" i="8"/>
  <c r="A403" i="8"/>
  <c r="B402" i="8"/>
  <c r="B403" i="8"/>
  <c r="D402" i="8"/>
  <c r="D403" i="8"/>
  <c r="E402" i="8"/>
  <c r="E403" i="8"/>
  <c r="E442" i="8" l="1"/>
  <c r="D442" i="8"/>
  <c r="B442" i="8"/>
  <c r="A442" i="8"/>
  <c r="E441" i="8"/>
  <c r="D441" i="8"/>
  <c r="B441" i="8"/>
  <c r="A441" i="8"/>
  <c r="E440" i="8"/>
  <c r="D440" i="8"/>
  <c r="B440" i="8"/>
  <c r="A440" i="8"/>
  <c r="E439" i="8"/>
  <c r="D439" i="8"/>
  <c r="B439" i="8"/>
  <c r="A439" i="8"/>
  <c r="E438" i="8"/>
  <c r="D438" i="8"/>
  <c r="B438" i="8"/>
  <c r="A438" i="8"/>
  <c r="E437" i="8"/>
  <c r="D437" i="8"/>
  <c r="B437" i="8"/>
  <c r="A437" i="8"/>
  <c r="E436" i="8"/>
  <c r="D436" i="8"/>
  <c r="B436" i="8"/>
  <c r="A436" i="8"/>
  <c r="E435" i="8"/>
  <c r="D435" i="8"/>
  <c r="B435" i="8"/>
  <c r="A435" i="8"/>
  <c r="E434" i="8"/>
  <c r="D434" i="8"/>
  <c r="B434" i="8"/>
  <c r="A434" i="8"/>
  <c r="E433" i="8"/>
  <c r="D433" i="8"/>
  <c r="B433" i="8"/>
  <c r="A433" i="8"/>
  <c r="E432" i="8"/>
  <c r="D432" i="8"/>
  <c r="B432" i="8"/>
  <c r="A432" i="8"/>
  <c r="E431" i="8"/>
  <c r="D431" i="8"/>
  <c r="B431" i="8"/>
  <c r="A431" i="8"/>
  <c r="E430" i="8"/>
  <c r="D430" i="8"/>
  <c r="B430" i="8"/>
  <c r="A430" i="8"/>
  <c r="E429" i="8"/>
  <c r="D429" i="8"/>
  <c r="B429" i="8"/>
  <c r="A429" i="8"/>
  <c r="E428" i="8"/>
  <c r="D428" i="8"/>
  <c r="B428" i="8"/>
  <c r="A428" i="8"/>
  <c r="E427" i="8"/>
  <c r="D427" i="8"/>
  <c r="B427" i="8"/>
  <c r="A427" i="8"/>
  <c r="E426" i="8"/>
  <c r="D426" i="8"/>
  <c r="B426" i="8"/>
  <c r="A426" i="8"/>
  <c r="E425" i="8"/>
  <c r="D425" i="8"/>
  <c r="B425" i="8"/>
  <c r="A425" i="8"/>
  <c r="E424" i="8"/>
  <c r="D424" i="8"/>
  <c r="B424" i="8"/>
  <c r="A424" i="8"/>
  <c r="E423" i="8"/>
  <c r="D423" i="8"/>
  <c r="B423" i="8"/>
  <c r="A423" i="8"/>
  <c r="AF288" i="3" l="1"/>
  <c r="AF287" i="3"/>
  <c r="AF82" i="3"/>
  <c r="AF393" i="3"/>
  <c r="AF273" i="3"/>
  <c r="AF10" i="3"/>
  <c r="AF11" i="3"/>
  <c r="AF69" i="3"/>
  <c r="AF303" i="3"/>
  <c r="AF12" i="3"/>
  <c r="AF13" i="3"/>
  <c r="AF14" i="3"/>
  <c r="AF15" i="3"/>
  <c r="AF274" i="3"/>
  <c r="AF17" i="3"/>
  <c r="AF18" i="3"/>
  <c r="AF16" i="3"/>
  <c r="AF199" i="3"/>
  <c r="AF200" i="3"/>
  <c r="AF275" i="3"/>
  <c r="AF321" i="3"/>
  <c r="AF277" i="3"/>
  <c r="AF278" i="3"/>
  <c r="AF279" i="3"/>
  <c r="AF280" i="3"/>
  <c r="AF285" i="3"/>
  <c r="AF36" i="3"/>
  <c r="AF37" i="3"/>
  <c r="AF38" i="3"/>
  <c r="AF40" i="3"/>
  <c r="AF289" i="3"/>
  <c r="AF41" i="3"/>
  <c r="AF42" i="3"/>
  <c r="AF43" i="3"/>
  <c r="AF44" i="3"/>
  <c r="AF83" i="3"/>
  <c r="AF290" i="3"/>
  <c r="AF291" i="3"/>
  <c r="AF45" i="3"/>
  <c r="AF46" i="3"/>
  <c r="AF47" i="3"/>
  <c r="AF296" i="3"/>
  <c r="AF138" i="3"/>
  <c r="AF244" i="3"/>
  <c r="AF252" i="3"/>
  <c r="AF245" i="3"/>
  <c r="AF253" i="3"/>
  <c r="AF139" i="3"/>
  <c r="AF246" i="3"/>
  <c r="AF254" i="3"/>
  <c r="AF131" i="3"/>
  <c r="AF247" i="3"/>
  <c r="AF255" i="3"/>
  <c r="AF161" i="3"/>
  <c r="AF248" i="3"/>
  <c r="AF256" i="3"/>
  <c r="AF8" i="3"/>
  <c r="AF249" i="3"/>
  <c r="AF133" i="3"/>
  <c r="AF243" i="3"/>
  <c r="AF251" i="3"/>
  <c r="AF132" i="3"/>
  <c r="AF242" i="3"/>
  <c r="AF250" i="3"/>
  <c r="AF341" i="3"/>
  <c r="AF361" i="3"/>
  <c r="AF79" i="3"/>
  <c r="AF221" i="3"/>
  <c r="AF359" i="3"/>
  <c r="AF19" i="3"/>
  <c r="AF25" i="3"/>
  <c r="AF378" i="3"/>
  <c r="AF380" i="3"/>
  <c r="AF31" i="3"/>
  <c r="AF33" i="3"/>
  <c r="AF70" i="3"/>
  <c r="AF78" i="3"/>
  <c r="AF314" i="3"/>
  <c r="AF365" i="3"/>
  <c r="AF362" i="3"/>
  <c r="AF20" i="3"/>
  <c r="AF89" i="3"/>
  <c r="AF26" i="3"/>
  <c r="AF194" i="3"/>
  <c r="AF283" i="3"/>
  <c r="AF206" i="3"/>
  <c r="AF34" i="3"/>
  <c r="AF74" i="3"/>
  <c r="AF294" i="3"/>
  <c r="AF356" i="3"/>
  <c r="AF334" i="3"/>
  <c r="AF316" i="3"/>
  <c r="AF268" i="3"/>
  <c r="AF385" i="3"/>
  <c r="AF368" i="3"/>
  <c r="AF282" i="3"/>
  <c r="AF28" i="3"/>
  <c r="AF350" i="3"/>
  <c r="AF57" i="3"/>
  <c r="AF192" i="3"/>
  <c r="AF343" i="3"/>
  <c r="AF6" i="3"/>
  <c r="AF386" i="3"/>
  <c r="AF369" i="3"/>
  <c r="AF328" i="3"/>
  <c r="AF24" i="3"/>
  <c r="AF196" i="3"/>
  <c r="AF364" i="3"/>
  <c r="AF39" i="3"/>
  <c r="AF218" i="3"/>
  <c r="AF236" i="3"/>
  <c r="AF51" i="3"/>
  <c r="AF374" i="3"/>
  <c r="AF384" i="3"/>
  <c r="AF347" i="3"/>
  <c r="AF22" i="3"/>
  <c r="AF301" i="3"/>
  <c r="AF197" i="3"/>
  <c r="AF80" i="3"/>
  <c r="AF339" i="3"/>
  <c r="AF59" i="3"/>
  <c r="AF338" i="3"/>
  <c r="AF360" i="3"/>
  <c r="AF355" i="3"/>
  <c r="AF345" i="3"/>
  <c r="AF295" i="3"/>
  <c r="AF267" i="3"/>
  <c r="AF377" i="3"/>
  <c r="AF353" i="3"/>
  <c r="AF258" i="3"/>
  <c r="AF269" i="3"/>
  <c r="AF281" i="3"/>
  <c r="AF241" i="3"/>
  <c r="AF30" i="3"/>
  <c r="AF32" i="3"/>
  <c r="AF56" i="3"/>
  <c r="AF48" i="3"/>
  <c r="AF53" i="3"/>
  <c r="AF342" i="3"/>
  <c r="AF293" i="3"/>
  <c r="AF50" i="3"/>
  <c r="AF310" i="3"/>
  <c r="AF237" i="3"/>
  <c r="AF61" i="3"/>
  <c r="AF346" i="3"/>
  <c r="AF352" i="3"/>
  <c r="AF7" i="3"/>
  <c r="AF91" i="3"/>
  <c r="AF225" i="3"/>
  <c r="AF351" i="3"/>
  <c r="AF93" i="3"/>
  <c r="AF60" i="3"/>
  <c r="AF292" i="3"/>
  <c r="AF49" i="3"/>
  <c r="AF366" i="3"/>
  <c r="AF284" i="3"/>
  <c r="AF191" i="3"/>
  <c r="AF259" i="3"/>
  <c r="AF320" i="3"/>
  <c r="AF29" i="3"/>
  <c r="AF276" i="3"/>
  <c r="AF23" i="3"/>
  <c r="AF379" i="3"/>
  <c r="AF204" i="3"/>
  <c r="AF340" i="3"/>
  <c r="AF76" i="3"/>
  <c r="AF260" i="3"/>
  <c r="AF21" i="3"/>
  <c r="AF27" i="3"/>
  <c r="AF54" i="3"/>
  <c r="AF35" i="3"/>
  <c r="AF354" i="3"/>
  <c r="AF160" i="3"/>
  <c r="AF183" i="3"/>
  <c r="AF184" i="3"/>
  <c r="AF185" i="3"/>
  <c r="AF162" i="3"/>
  <c r="AF357" i="3"/>
  <c r="AF358" i="3"/>
  <c r="AF367" i="3"/>
  <c r="AF370" i="3"/>
  <c r="AF344" i="3"/>
  <c r="AF348" i="3"/>
  <c r="AF272" i="3"/>
  <c r="AF257" i="3"/>
  <c r="AF65" i="3"/>
  <c r="AF84" i="3"/>
  <c r="AF227" i="3"/>
  <c r="AF85" i="3"/>
  <c r="AF337" i="3"/>
  <c r="AF86" i="3"/>
  <c r="AF224" i="3"/>
  <c r="AF179" i="3"/>
  <c r="AF232" i="3"/>
  <c r="AF231" i="3"/>
  <c r="AF189" i="3"/>
  <c r="AF81" i="3"/>
  <c r="AF239" i="3"/>
  <c r="AF187" i="3"/>
  <c r="AF88" i="3"/>
  <c r="AF312" i="3"/>
  <c r="AF90" i="3"/>
  <c r="AF336" i="3"/>
  <c r="AF375" i="3"/>
  <c r="AF313" i="3"/>
  <c r="AF332" i="3"/>
  <c r="AF383" i="3"/>
  <c r="AF73" i="3"/>
  <c r="AF62" i="3"/>
  <c r="AF388" i="3"/>
  <c r="AF217" i="3"/>
  <c r="AF63" i="3"/>
  <c r="AF75" i="3"/>
  <c r="AF95" i="3"/>
  <c r="AF103" i="3"/>
  <c r="AF111" i="3"/>
  <c r="AF115" i="3"/>
  <c r="AF123" i="3"/>
  <c r="AF134" i="3"/>
  <c r="AF144" i="3"/>
  <c r="AF152" i="3"/>
  <c r="AF163" i="3"/>
  <c r="AF171" i="3"/>
  <c r="AF178" i="3"/>
  <c r="AF190" i="3"/>
  <c r="AF207" i="3"/>
  <c r="AF215" i="3"/>
  <c r="AF9" i="3"/>
  <c r="AF97" i="3"/>
  <c r="AF105" i="3"/>
  <c r="AF113" i="3"/>
  <c r="AF117" i="3"/>
  <c r="AF125" i="3"/>
  <c r="AF136" i="3"/>
  <c r="AF146" i="3"/>
  <c r="AF154" i="3"/>
  <c r="AF165" i="3"/>
  <c r="AF180" i="3"/>
  <c r="AF195" i="3"/>
  <c r="AF209" i="3"/>
  <c r="AF219" i="3"/>
  <c r="AF229" i="3"/>
  <c r="AF66" i="3"/>
  <c r="AF98" i="3"/>
  <c r="AF106" i="3"/>
  <c r="AF118" i="3"/>
  <c r="AF126" i="3"/>
  <c r="AF137" i="3"/>
  <c r="AF147" i="3"/>
  <c r="AF155" i="3"/>
  <c r="AF166" i="3"/>
  <c r="AF173" i="3"/>
  <c r="AF181" i="3"/>
  <c r="AF198" i="3"/>
  <c r="AF210" i="3"/>
  <c r="AF220" i="3"/>
  <c r="AF4" i="3"/>
  <c r="AF68" i="3"/>
  <c r="AF87" i="3"/>
  <c r="AF100" i="3"/>
  <c r="AF108" i="3"/>
  <c r="AF120" i="3"/>
  <c r="AF128" i="3"/>
  <c r="AF141" i="3"/>
  <c r="AF149" i="3"/>
  <c r="AF157" i="3"/>
  <c r="AF168" i="3"/>
  <c r="AF175" i="3"/>
  <c r="AF186" i="3"/>
  <c r="AF202" i="3"/>
  <c r="AF212" i="3"/>
  <c r="AF223" i="3"/>
  <c r="AF3" i="3"/>
  <c r="AF67" i="3"/>
  <c r="AF99" i="3"/>
  <c r="AF127" i="3"/>
  <c r="AF148" i="3"/>
  <c r="AF167" i="3"/>
  <c r="AF182" i="3"/>
  <c r="AF211" i="3"/>
  <c r="AF230" i="3"/>
  <c r="AF262" i="3"/>
  <c r="AF297" i="3"/>
  <c r="AF306" i="3"/>
  <c r="AF319" i="3"/>
  <c r="AF330" i="3"/>
  <c r="AF372" i="3"/>
  <c r="AF389" i="3"/>
  <c r="AF5" i="3"/>
  <c r="AF71" i="3"/>
  <c r="AF101" i="3"/>
  <c r="AF129" i="3"/>
  <c r="AF150" i="3"/>
  <c r="AF169" i="3"/>
  <c r="AF213" i="3"/>
  <c r="AF263" i="3"/>
  <c r="AF298" i="3"/>
  <c r="AF307" i="3"/>
  <c r="AF322" i="3"/>
  <c r="AF331" i="3"/>
  <c r="AF390" i="3"/>
  <c r="AF52" i="3"/>
  <c r="AF72" i="3"/>
  <c r="AF102" i="3"/>
  <c r="AF114" i="3"/>
  <c r="AF130" i="3"/>
  <c r="AF151" i="3"/>
  <c r="AF170" i="3"/>
  <c r="AF188" i="3"/>
  <c r="AF214" i="3"/>
  <c r="AF233" i="3"/>
  <c r="AF264" i="3"/>
  <c r="AF299" i="3"/>
  <c r="AF308" i="3"/>
  <c r="AF323" i="3"/>
  <c r="AF333" i="3"/>
  <c r="AF373" i="3"/>
  <c r="AF391" i="3"/>
  <c r="AF77" i="3"/>
  <c r="AF104" i="3"/>
  <c r="AF116" i="3"/>
  <c r="AF135" i="3"/>
  <c r="AF153" i="3"/>
  <c r="AF172" i="3"/>
  <c r="AF193" i="3"/>
  <c r="AF216" i="3"/>
  <c r="AF234" i="3"/>
  <c r="AF265" i="3"/>
  <c r="AF300" i="3"/>
  <c r="AF309" i="3"/>
  <c r="AF324" i="3"/>
  <c r="AF335" i="3"/>
  <c r="AF107" i="3"/>
  <c r="AF119" i="3"/>
  <c r="AF140" i="3"/>
  <c r="AF156" i="3"/>
  <c r="AF174" i="3"/>
  <c r="AF201" i="3"/>
  <c r="AF222" i="3"/>
  <c r="AF235" i="3"/>
  <c r="AF266" i="3"/>
  <c r="AF302" i="3"/>
  <c r="AF311" i="3"/>
  <c r="AF325" i="3"/>
  <c r="AF96" i="3"/>
  <c r="AF143" i="3"/>
  <c r="AF203" i="3"/>
  <c r="AF240" i="3"/>
  <c r="AF286" i="3"/>
  <c r="AF326" i="3"/>
  <c r="AF349" i="3"/>
  <c r="AF381" i="3"/>
  <c r="AF109" i="3"/>
  <c r="AF145" i="3"/>
  <c r="AF205" i="3"/>
  <c r="AF271" i="3"/>
  <c r="AF327" i="3"/>
  <c r="AF382" i="3"/>
  <c r="AF110" i="3"/>
  <c r="AF158" i="3"/>
  <c r="AF208" i="3"/>
  <c r="AF304" i="3"/>
  <c r="AF329" i="3"/>
  <c r="AF387" i="3"/>
  <c r="AF55" i="3"/>
  <c r="AF112" i="3"/>
  <c r="AF159" i="3"/>
  <c r="AF363" i="3"/>
  <c r="AF392" i="3"/>
  <c r="AF58" i="3"/>
  <c r="AF121" i="3"/>
  <c r="AF164" i="3"/>
  <c r="AF226" i="3"/>
  <c r="AF305" i="3"/>
  <c r="AF94" i="3"/>
  <c r="AF142" i="3"/>
  <c r="AF238" i="3"/>
  <c r="AF270" i="3"/>
  <c r="AF318" i="3"/>
  <c r="AF376" i="3"/>
  <c r="AF177" i="3"/>
  <c r="AF228" i="3"/>
  <c r="AF371" i="3"/>
  <c r="AF64" i="3"/>
  <c r="AF92" i="3"/>
  <c r="AF261" i="3"/>
  <c r="AF176" i="3"/>
  <c r="AF122" i="3"/>
  <c r="AF124" i="3"/>
  <c r="AF315" i="3"/>
  <c r="AF317" i="3"/>
  <c r="E420" i="8"/>
  <c r="D420" i="8"/>
  <c r="B420" i="8"/>
  <c r="A420" i="8"/>
  <c r="E419" i="8"/>
  <c r="D419" i="8"/>
  <c r="B419" i="8"/>
  <c r="A419" i="8"/>
  <c r="E418" i="8"/>
  <c r="D418" i="8"/>
  <c r="B418" i="8"/>
  <c r="A418" i="8"/>
  <c r="E417" i="8"/>
  <c r="D417" i="8"/>
  <c r="B417" i="8"/>
  <c r="A417" i="8"/>
  <c r="E414" i="8"/>
  <c r="D414" i="8"/>
  <c r="B414" i="8"/>
  <c r="A414" i="8"/>
  <c r="E413" i="8"/>
  <c r="D413" i="8"/>
  <c r="B413" i="8"/>
  <c r="A413" i="8"/>
  <c r="E412" i="8"/>
  <c r="D412" i="8"/>
  <c r="B412" i="8"/>
  <c r="A412" i="8"/>
  <c r="E405" i="8"/>
  <c r="D405" i="8"/>
  <c r="B405" i="8"/>
  <c r="A405" i="8"/>
  <c r="E404" i="8"/>
  <c r="D404" i="8"/>
  <c r="B404" i="8"/>
  <c r="A404" i="8"/>
  <c r="E401" i="8"/>
  <c r="D401" i="8"/>
  <c r="B401" i="8"/>
  <c r="A401" i="8"/>
  <c r="E400" i="8"/>
  <c r="D400" i="8"/>
  <c r="B400" i="8"/>
  <c r="A400" i="8"/>
  <c r="E399" i="8"/>
  <c r="D399" i="8"/>
  <c r="B399" i="8"/>
  <c r="A399" i="8"/>
  <c r="E398" i="8"/>
  <c r="D398" i="8"/>
  <c r="B398" i="8"/>
  <c r="A398" i="8"/>
  <c r="E397" i="8"/>
  <c r="D397" i="8"/>
  <c r="B397" i="8"/>
  <c r="A397" i="8"/>
  <c r="E396" i="8"/>
  <c r="D396" i="8"/>
  <c r="B396" i="8"/>
  <c r="A396" i="8"/>
  <c r="E395" i="8"/>
  <c r="D395" i="8"/>
  <c r="B395" i="8"/>
  <c r="A395" i="8"/>
  <c r="E394" i="8"/>
  <c r="D394" i="8"/>
  <c r="B394" i="8"/>
  <c r="A394" i="8"/>
  <c r="E393" i="8"/>
  <c r="D393" i="8"/>
  <c r="B393" i="8"/>
  <c r="A393" i="8"/>
  <c r="E392" i="8"/>
  <c r="D392" i="8"/>
  <c r="B392" i="8"/>
  <c r="A392" i="8"/>
  <c r="E391" i="8"/>
  <c r="D391" i="8"/>
  <c r="B391" i="8"/>
  <c r="A391" i="8"/>
  <c r="AE288" i="3" l="1"/>
  <c r="AE287" i="3"/>
  <c r="AE82" i="3"/>
  <c r="AE393" i="3"/>
  <c r="AE273" i="3"/>
  <c r="AE10" i="3"/>
  <c r="AE11" i="3"/>
  <c r="AE69" i="3"/>
  <c r="AE303" i="3"/>
  <c r="AE12" i="3"/>
  <c r="AE13" i="3"/>
  <c r="AE14" i="3"/>
  <c r="AE15" i="3"/>
  <c r="AE274" i="3"/>
  <c r="AE17" i="3"/>
  <c r="AE18" i="3"/>
  <c r="AE16" i="3"/>
  <c r="AE199" i="3"/>
  <c r="AE200" i="3"/>
  <c r="AE275" i="3"/>
  <c r="AE321" i="3"/>
  <c r="AE277" i="3"/>
  <c r="AE278" i="3"/>
  <c r="AE279" i="3"/>
  <c r="AE280" i="3"/>
  <c r="AE285" i="3"/>
  <c r="AE36" i="3"/>
  <c r="AE37" i="3"/>
  <c r="AE38" i="3"/>
  <c r="AE40" i="3"/>
  <c r="AE289" i="3"/>
  <c r="AE41" i="3"/>
  <c r="AE42" i="3"/>
  <c r="AE43" i="3"/>
  <c r="AE44" i="3"/>
  <c r="AE83" i="3"/>
  <c r="AE290" i="3"/>
  <c r="AE291" i="3"/>
  <c r="AE45" i="3"/>
  <c r="AE46" i="3"/>
  <c r="AE47" i="3"/>
  <c r="AE296" i="3"/>
  <c r="AE132" i="3"/>
  <c r="AE242" i="3"/>
  <c r="AE250" i="3"/>
  <c r="AE133" i="3"/>
  <c r="AE243" i="3"/>
  <c r="AE251" i="3"/>
  <c r="AE138" i="3"/>
  <c r="AE244" i="3"/>
  <c r="AE252" i="3"/>
  <c r="AE245" i="3"/>
  <c r="AE253" i="3"/>
  <c r="AE139" i="3"/>
  <c r="AE246" i="3"/>
  <c r="AE254" i="3"/>
  <c r="AE131" i="3"/>
  <c r="AE247" i="3"/>
  <c r="AE255" i="3"/>
  <c r="AE8" i="3"/>
  <c r="AE249" i="3"/>
  <c r="AE256" i="3"/>
  <c r="AE161" i="3"/>
  <c r="AE248" i="3"/>
  <c r="AE268" i="3"/>
  <c r="AE385" i="3"/>
  <c r="AE368" i="3"/>
  <c r="AE282" i="3"/>
  <c r="AE28" i="3"/>
  <c r="AE350" i="3"/>
  <c r="AE57" i="3"/>
  <c r="AE192" i="3"/>
  <c r="AE343" i="3"/>
  <c r="AE6" i="3"/>
  <c r="AE386" i="3"/>
  <c r="AE369" i="3"/>
  <c r="AE328" i="3"/>
  <c r="AE24" i="3"/>
  <c r="AE196" i="3"/>
  <c r="AE364" i="3"/>
  <c r="AE39" i="3"/>
  <c r="AE218" i="3"/>
  <c r="AE236" i="3"/>
  <c r="AE51" i="3"/>
  <c r="AE351" i="3"/>
  <c r="AE259" i="3"/>
  <c r="AE276" i="3"/>
  <c r="AE320" i="3"/>
  <c r="AE23" i="3"/>
  <c r="AE346" i="3"/>
  <c r="AE93" i="3"/>
  <c r="AE379" i="3"/>
  <c r="AE29" i="3"/>
  <c r="AE204" i="3"/>
  <c r="AE352" i="3"/>
  <c r="AE340" i="3"/>
  <c r="AE60" i="3"/>
  <c r="AE292" i="3"/>
  <c r="AE49" i="3"/>
  <c r="AE76" i="3"/>
  <c r="AE267" i="3"/>
  <c r="AE377" i="3"/>
  <c r="AE353" i="3"/>
  <c r="AE258" i="3"/>
  <c r="AE269" i="3"/>
  <c r="AE281" i="3"/>
  <c r="AE241" i="3"/>
  <c r="AE30" i="3"/>
  <c r="AE32" i="3"/>
  <c r="AE56" i="3"/>
  <c r="AE48" i="3"/>
  <c r="AE53" i="3"/>
  <c r="AE342" i="3"/>
  <c r="AE293" i="3"/>
  <c r="AE50" i="3"/>
  <c r="AE310" i="3"/>
  <c r="AE341" i="3"/>
  <c r="AE361" i="3"/>
  <c r="AE79" i="3"/>
  <c r="AE221" i="3"/>
  <c r="AE359" i="3"/>
  <c r="AE19" i="3"/>
  <c r="AE25" i="3"/>
  <c r="AE378" i="3"/>
  <c r="AE380" i="3"/>
  <c r="AE31" i="3"/>
  <c r="AE33" i="3"/>
  <c r="AE70" i="3"/>
  <c r="AE78" i="3"/>
  <c r="AE314" i="3"/>
  <c r="AE365" i="3"/>
  <c r="AE366" i="3"/>
  <c r="AE260" i="3"/>
  <c r="AE7" i="3"/>
  <c r="AE91" i="3"/>
  <c r="AE21" i="3"/>
  <c r="AE27" i="3"/>
  <c r="AE54" i="3"/>
  <c r="AE284" i="3"/>
  <c r="AE35" i="3"/>
  <c r="AE225" i="3"/>
  <c r="AE237" i="3"/>
  <c r="AE191" i="3"/>
  <c r="AE61" i="3"/>
  <c r="AE384" i="3"/>
  <c r="AE22" i="3"/>
  <c r="AE301" i="3"/>
  <c r="AE80" i="3"/>
  <c r="AE360" i="3"/>
  <c r="AE20" i="3"/>
  <c r="AE294" i="3"/>
  <c r="AE374" i="3"/>
  <c r="AE295" i="3"/>
  <c r="AE89" i="3"/>
  <c r="AE194" i="3"/>
  <c r="AE347" i="3"/>
  <c r="AE197" i="3"/>
  <c r="AE59" i="3"/>
  <c r="AE355" i="3"/>
  <c r="AE362" i="3"/>
  <c r="AE283" i="3"/>
  <c r="AE206" i="3"/>
  <c r="AE74" i="3"/>
  <c r="AE356" i="3"/>
  <c r="AE316" i="3"/>
  <c r="AE26" i="3"/>
  <c r="AE34" i="3"/>
  <c r="AE334" i="3"/>
  <c r="AE339" i="3"/>
  <c r="AE338" i="3"/>
  <c r="AE345" i="3"/>
  <c r="AE183" i="3"/>
  <c r="AE184" i="3"/>
  <c r="AE185" i="3"/>
  <c r="AE354" i="3"/>
  <c r="AE160" i="3"/>
  <c r="AE162" i="3"/>
  <c r="AE272" i="3"/>
  <c r="AE348" i="3"/>
  <c r="AE357" i="3"/>
  <c r="AE358" i="3"/>
  <c r="AE367" i="3"/>
  <c r="AE344" i="3"/>
  <c r="AE370" i="3"/>
  <c r="AE257" i="3"/>
  <c r="AE65" i="3"/>
  <c r="AE85" i="3"/>
  <c r="AE84" i="3"/>
  <c r="AE227" i="3"/>
  <c r="AE86" i="3"/>
  <c r="AE337" i="3"/>
  <c r="AE179" i="3"/>
  <c r="AE224" i="3"/>
  <c r="AE231" i="3"/>
  <c r="AE232" i="3"/>
  <c r="AE189" i="3"/>
  <c r="AE81" i="3"/>
  <c r="AE239" i="3"/>
  <c r="AE187" i="3"/>
  <c r="AE88" i="3"/>
  <c r="AE312" i="3"/>
  <c r="AE90" i="3"/>
  <c r="AE336" i="3"/>
  <c r="AE375" i="3"/>
  <c r="AE313" i="3"/>
  <c r="AE332" i="3"/>
  <c r="AE383" i="3"/>
  <c r="AE73" i="3"/>
  <c r="AE62" i="3"/>
  <c r="AE388" i="3"/>
  <c r="AE217" i="3"/>
  <c r="AE63" i="3"/>
  <c r="AE75" i="3"/>
  <c r="AE95" i="3"/>
  <c r="AE103" i="3"/>
  <c r="AE111" i="3"/>
  <c r="AE115" i="3"/>
  <c r="AE123" i="3"/>
  <c r="AE134" i="3"/>
  <c r="AE144" i="3"/>
  <c r="AE152" i="3"/>
  <c r="AE163" i="3"/>
  <c r="AE171" i="3"/>
  <c r="AE178" i="3"/>
  <c r="AE190" i="3"/>
  <c r="AE207" i="3"/>
  <c r="AE215" i="3"/>
  <c r="AE270" i="3"/>
  <c r="AE304" i="3"/>
  <c r="AE315" i="3"/>
  <c r="AE326" i="3"/>
  <c r="AE381" i="3"/>
  <c r="AE64" i="3"/>
  <c r="AE77" i="3"/>
  <c r="AE96" i="3"/>
  <c r="AE104" i="3"/>
  <c r="AE112" i="3"/>
  <c r="AE116" i="3"/>
  <c r="AE124" i="3"/>
  <c r="AE135" i="3"/>
  <c r="AE145" i="3"/>
  <c r="AE153" i="3"/>
  <c r="AE164" i="3"/>
  <c r="AE172" i="3"/>
  <c r="AE193" i="3"/>
  <c r="AE208" i="3"/>
  <c r="AE216" i="3"/>
  <c r="AE228" i="3"/>
  <c r="AE238" i="3"/>
  <c r="AE286" i="3"/>
  <c r="AE317" i="3"/>
  <c r="AE327" i="3"/>
  <c r="AE382" i="3"/>
  <c r="AE9" i="3"/>
  <c r="AE97" i="3"/>
  <c r="AE105" i="3"/>
  <c r="AE113" i="3"/>
  <c r="AE117" i="3"/>
  <c r="AE125" i="3"/>
  <c r="AE136" i="3"/>
  <c r="AE146" i="3"/>
  <c r="AE154" i="3"/>
  <c r="AE165" i="3"/>
  <c r="AE180" i="3"/>
  <c r="AE195" i="3"/>
  <c r="AE209" i="3"/>
  <c r="AE219" i="3"/>
  <c r="AE229" i="3"/>
  <c r="AE240" i="3"/>
  <c r="AE261" i="3"/>
  <c r="AE271" i="3"/>
  <c r="AE305" i="3"/>
  <c r="AE318" i="3"/>
  <c r="AE329" i="3"/>
  <c r="AE349" i="3"/>
  <c r="AE363" i="3"/>
  <c r="AE371" i="3"/>
  <c r="AE387" i="3"/>
  <c r="AE3" i="3"/>
  <c r="AE67" i="3"/>
  <c r="AE99" i="3"/>
  <c r="AE107" i="3"/>
  <c r="AE119" i="3"/>
  <c r="AE127" i="3"/>
  <c r="AE140" i="3"/>
  <c r="AE148" i="3"/>
  <c r="AE156" i="3"/>
  <c r="AE167" i="3"/>
  <c r="AE174" i="3"/>
  <c r="AE182" i="3"/>
  <c r="AE201" i="3"/>
  <c r="AE211" i="3"/>
  <c r="AE222" i="3"/>
  <c r="AE263" i="3"/>
  <c r="AE298" i="3"/>
  <c r="AE307" i="3"/>
  <c r="AE322" i="3"/>
  <c r="AE331" i="3"/>
  <c r="AE390" i="3"/>
  <c r="AE87" i="3"/>
  <c r="AE108" i="3"/>
  <c r="AE120" i="3"/>
  <c r="AE141" i="3"/>
  <c r="AE157" i="3"/>
  <c r="AE175" i="3"/>
  <c r="AE202" i="3"/>
  <c r="AE223" i="3"/>
  <c r="AE264" i="3"/>
  <c r="AE308" i="3"/>
  <c r="AE333" i="3"/>
  <c r="AE373" i="3"/>
  <c r="AE55" i="3"/>
  <c r="AE92" i="3"/>
  <c r="AE109" i="3"/>
  <c r="AE121" i="3"/>
  <c r="AE142" i="3"/>
  <c r="AE158" i="3"/>
  <c r="AE176" i="3"/>
  <c r="AE203" i="3"/>
  <c r="AE265" i="3"/>
  <c r="AE309" i="3"/>
  <c r="AE335" i="3"/>
  <c r="AE376" i="3"/>
  <c r="AE58" i="3"/>
  <c r="AE94" i="3"/>
  <c r="AE110" i="3"/>
  <c r="AE122" i="3"/>
  <c r="AE143" i="3"/>
  <c r="AE159" i="3"/>
  <c r="AE177" i="3"/>
  <c r="AE205" i="3"/>
  <c r="AE226" i="3"/>
  <c r="AE266" i="3"/>
  <c r="AE311" i="3"/>
  <c r="AE66" i="3"/>
  <c r="AE98" i="3"/>
  <c r="AE126" i="3"/>
  <c r="AE147" i="3"/>
  <c r="AE166" i="3"/>
  <c r="AE181" i="3"/>
  <c r="AE210" i="3"/>
  <c r="AE230" i="3"/>
  <c r="AE297" i="3"/>
  <c r="AE319" i="3"/>
  <c r="AE389" i="3"/>
  <c r="AE4" i="3"/>
  <c r="AE68" i="3"/>
  <c r="AE100" i="3"/>
  <c r="AE128" i="3"/>
  <c r="AE149" i="3"/>
  <c r="AE168" i="3"/>
  <c r="AE186" i="3"/>
  <c r="AE212" i="3"/>
  <c r="AE233" i="3"/>
  <c r="AE299" i="3"/>
  <c r="AE323" i="3"/>
  <c r="AE391" i="3"/>
  <c r="AE106" i="3"/>
  <c r="AE118" i="3"/>
  <c r="AE137" i="3"/>
  <c r="AE155" i="3"/>
  <c r="AE173" i="3"/>
  <c r="AE198" i="3"/>
  <c r="AE220" i="3"/>
  <c r="AE262" i="3"/>
  <c r="AE306" i="3"/>
  <c r="AE330" i="3"/>
  <c r="AE372" i="3"/>
  <c r="AE102" i="3"/>
  <c r="AE170" i="3"/>
  <c r="AE300" i="3"/>
  <c r="AE392" i="3"/>
  <c r="AE114" i="3"/>
  <c r="AE188" i="3"/>
  <c r="AE302" i="3"/>
  <c r="AE5" i="3"/>
  <c r="AE129" i="3"/>
  <c r="AE213" i="3"/>
  <c r="AE324" i="3"/>
  <c r="AE52" i="3"/>
  <c r="AE130" i="3"/>
  <c r="AE214" i="3"/>
  <c r="AE325" i="3"/>
  <c r="AE101" i="3"/>
  <c r="AE169" i="3"/>
  <c r="AE151" i="3"/>
  <c r="AE234" i="3"/>
  <c r="AE235" i="3"/>
  <c r="AE71" i="3"/>
  <c r="AE150" i="3"/>
  <c r="AE72" i="3"/>
  <c r="E388" i="8"/>
  <c r="D388" i="8"/>
  <c r="B388" i="8"/>
  <c r="A388" i="8"/>
  <c r="E387" i="8"/>
  <c r="D387" i="8"/>
  <c r="B387" i="8"/>
  <c r="A387" i="8"/>
  <c r="E386" i="8"/>
  <c r="D386" i="8"/>
  <c r="B386" i="8"/>
  <c r="A386" i="8"/>
  <c r="E385" i="8"/>
  <c r="D385" i="8"/>
  <c r="B385" i="8"/>
  <c r="A385" i="8"/>
  <c r="E384" i="8"/>
  <c r="D384" i="8"/>
  <c r="B384" i="8"/>
  <c r="A384" i="8"/>
  <c r="E383" i="8"/>
  <c r="D383" i="8"/>
  <c r="B383" i="8"/>
  <c r="A383" i="8"/>
  <c r="E375" i="8"/>
  <c r="D375" i="8"/>
  <c r="B375" i="8"/>
  <c r="A375" i="8"/>
  <c r="E365" i="8"/>
  <c r="D365" i="8"/>
  <c r="B365" i="8"/>
  <c r="A365" i="8"/>
  <c r="E364" i="8"/>
  <c r="D364" i="8"/>
  <c r="B364" i="8"/>
  <c r="A364" i="8"/>
  <c r="E363" i="8"/>
  <c r="D363" i="8"/>
  <c r="B363" i="8"/>
  <c r="A363" i="8"/>
  <c r="E362" i="8"/>
  <c r="D362" i="8"/>
  <c r="B362" i="8"/>
  <c r="A362" i="8"/>
  <c r="E361" i="8"/>
  <c r="D361" i="8"/>
  <c r="B361" i="8"/>
  <c r="A361" i="8"/>
  <c r="E360" i="8"/>
  <c r="D360" i="8"/>
  <c r="B360" i="8"/>
  <c r="A360" i="8"/>
  <c r="E359" i="8"/>
  <c r="D359" i="8"/>
  <c r="B359" i="8"/>
  <c r="A359" i="8"/>
  <c r="E358" i="8"/>
  <c r="D358" i="8"/>
  <c r="B358" i="8"/>
  <c r="A358" i="8"/>
  <c r="E357" i="8"/>
  <c r="D357" i="8"/>
  <c r="B357" i="8"/>
  <c r="A357" i="8"/>
  <c r="E356" i="8"/>
  <c r="D356" i="8"/>
  <c r="B356" i="8"/>
  <c r="A356" i="8"/>
  <c r="E355" i="8"/>
  <c r="D355" i="8"/>
  <c r="B355" i="8"/>
  <c r="A355" i="8"/>
  <c r="AD288" i="3" l="1"/>
  <c r="AD287" i="3"/>
  <c r="AD82" i="3"/>
  <c r="AD393" i="3"/>
  <c r="AD273" i="3"/>
  <c r="AD10" i="3"/>
  <c r="AD11" i="3"/>
  <c r="AD69" i="3"/>
  <c r="AD303" i="3"/>
  <c r="AD12" i="3"/>
  <c r="AD13" i="3"/>
  <c r="AD14" i="3"/>
  <c r="AD15" i="3"/>
  <c r="AD274" i="3"/>
  <c r="AD17" i="3"/>
  <c r="AD18" i="3"/>
  <c r="AD16" i="3"/>
  <c r="AD199" i="3"/>
  <c r="AD200" i="3"/>
  <c r="AD275" i="3"/>
  <c r="AD321" i="3"/>
  <c r="AD277" i="3"/>
  <c r="AD278" i="3"/>
  <c r="AD279" i="3"/>
  <c r="AD280" i="3"/>
  <c r="AD285" i="3"/>
  <c r="AD36" i="3"/>
  <c r="AD37" i="3"/>
  <c r="AD38" i="3"/>
  <c r="AD40" i="3"/>
  <c r="AD289" i="3"/>
  <c r="AD41" i="3"/>
  <c r="AD42" i="3"/>
  <c r="AD43" i="3"/>
  <c r="AD44" i="3"/>
  <c r="AD83" i="3"/>
  <c r="AD290" i="3"/>
  <c r="AD291" i="3"/>
  <c r="AD45" i="3"/>
  <c r="AD46" i="3"/>
  <c r="AD47" i="3"/>
  <c r="AD296" i="3"/>
  <c r="AD161" i="3"/>
  <c r="AD248" i="3"/>
  <c r="AD256" i="3"/>
  <c r="AD8" i="3"/>
  <c r="AD249" i="3"/>
  <c r="AD132" i="3"/>
  <c r="AD242" i="3"/>
  <c r="AD250" i="3"/>
  <c r="AD133" i="3"/>
  <c r="AD243" i="3"/>
  <c r="AD251" i="3"/>
  <c r="AD138" i="3"/>
  <c r="AD244" i="3"/>
  <c r="AD252" i="3"/>
  <c r="AD245" i="3"/>
  <c r="AD253" i="3"/>
  <c r="AD131" i="3"/>
  <c r="AD247" i="3"/>
  <c r="AD255" i="3"/>
  <c r="AD139" i="3"/>
  <c r="AD246" i="3"/>
  <c r="AD254" i="3"/>
  <c r="AD374" i="3"/>
  <c r="AD268" i="3"/>
  <c r="AD260" i="3"/>
  <c r="AD369" i="3"/>
  <c r="AD379" i="3"/>
  <c r="AD57" i="3"/>
  <c r="AD33" i="3"/>
  <c r="AD338" i="3"/>
  <c r="AD360" i="3"/>
  <c r="AD53" i="3"/>
  <c r="AD342" i="3"/>
  <c r="AD356" i="3"/>
  <c r="AD295" i="3"/>
  <c r="AD218" i="3"/>
  <c r="AD351" i="3"/>
  <c r="AD6" i="3"/>
  <c r="AD221" i="3"/>
  <c r="AD276" i="3"/>
  <c r="AD347" i="3"/>
  <c r="AD21" i="3"/>
  <c r="AD284" i="3"/>
  <c r="AD34" i="3"/>
  <c r="AD345" i="3"/>
  <c r="AD361" i="3"/>
  <c r="AD26" i="3"/>
  <c r="AD194" i="3"/>
  <c r="AD29" i="3"/>
  <c r="AD352" i="3"/>
  <c r="AD355" i="3"/>
  <c r="AD61" i="3"/>
  <c r="AD267" i="3"/>
  <c r="AD377" i="3"/>
  <c r="AD353" i="3"/>
  <c r="AD320" i="3"/>
  <c r="AD25" i="3"/>
  <c r="AD378" i="3"/>
  <c r="AD380" i="3"/>
  <c r="AD80" i="3"/>
  <c r="AD35" i="3"/>
  <c r="AD225" i="3"/>
  <c r="AD293" i="3"/>
  <c r="AD49" i="3"/>
  <c r="AD76" i="3"/>
  <c r="AD334" i="3"/>
  <c r="AD328" i="3"/>
  <c r="AD204" i="3"/>
  <c r="AD50" i="3"/>
  <c r="AD341" i="3"/>
  <c r="AD362" i="3"/>
  <c r="AD259" i="3"/>
  <c r="AD385" i="3"/>
  <c r="AD368" i="3"/>
  <c r="AD359" i="3"/>
  <c r="AD22" i="3"/>
  <c r="AD282" i="3"/>
  <c r="AD27" i="3"/>
  <c r="AD30" i="3"/>
  <c r="AD364" i="3"/>
  <c r="AD70" i="3"/>
  <c r="AD78" i="3"/>
  <c r="AD314" i="3"/>
  <c r="AD365" i="3"/>
  <c r="AD366" i="3"/>
  <c r="AD258" i="3"/>
  <c r="AD386" i="3"/>
  <c r="AD20" i="3"/>
  <c r="AD89" i="3"/>
  <c r="AD281" i="3"/>
  <c r="AD23" i="3"/>
  <c r="AD346" i="3"/>
  <c r="AD93" i="3"/>
  <c r="AD24" i="3"/>
  <c r="AD28" i="3"/>
  <c r="AD350" i="3"/>
  <c r="AD283" i="3"/>
  <c r="AD31" i="3"/>
  <c r="AD339" i="3"/>
  <c r="AD59" i="3"/>
  <c r="AD237" i="3"/>
  <c r="AD74" i="3"/>
  <c r="AD236" i="3"/>
  <c r="AD51" i="3"/>
  <c r="AD316" i="3"/>
  <c r="AD310" i="3"/>
  <c r="AD79" i="3"/>
  <c r="AD384" i="3"/>
  <c r="AD91" i="3"/>
  <c r="AD241" i="3"/>
  <c r="AD196" i="3"/>
  <c r="AD206" i="3"/>
  <c r="AD340" i="3"/>
  <c r="AD60" i="3"/>
  <c r="AD292" i="3"/>
  <c r="AD191" i="3"/>
  <c r="AD7" i="3"/>
  <c r="AD343" i="3"/>
  <c r="AD269" i="3"/>
  <c r="AD19" i="3"/>
  <c r="AD301" i="3"/>
  <c r="AD197" i="3"/>
  <c r="AD54" i="3"/>
  <c r="AD32" i="3"/>
  <c r="AD56" i="3"/>
  <c r="AD39" i="3"/>
  <c r="AD48" i="3"/>
  <c r="AD192" i="3"/>
  <c r="AD294" i="3"/>
  <c r="AD183" i="3"/>
  <c r="AD354" i="3"/>
  <c r="AD160" i="3"/>
  <c r="AD162" i="3"/>
  <c r="AD184" i="3"/>
  <c r="AD185" i="3"/>
  <c r="AD272" i="3"/>
  <c r="AD344" i="3"/>
  <c r="AD348" i="3"/>
  <c r="AD357" i="3"/>
  <c r="AD358" i="3"/>
  <c r="AD367" i="3"/>
  <c r="AD370" i="3"/>
  <c r="AD257" i="3"/>
  <c r="AD65" i="3"/>
  <c r="AD85" i="3"/>
  <c r="AD337" i="3"/>
  <c r="AD224" i="3"/>
  <c r="AD179" i="3"/>
  <c r="AD86" i="3"/>
  <c r="AD84" i="3"/>
  <c r="AD227" i="3"/>
  <c r="AD231" i="3"/>
  <c r="AD232" i="3"/>
  <c r="AD189" i="3"/>
  <c r="AD81" i="3"/>
  <c r="AD239" i="3"/>
  <c r="AD187" i="3"/>
  <c r="AD88" i="3"/>
  <c r="AD312" i="3"/>
  <c r="AD90" i="3"/>
  <c r="AD336" i="3"/>
  <c r="AD375" i="3"/>
  <c r="AD313" i="3"/>
  <c r="AD332" i="3"/>
  <c r="AD383" i="3"/>
  <c r="AD73" i="3"/>
  <c r="AD62" i="3"/>
  <c r="AD388" i="3"/>
  <c r="AD217" i="3"/>
  <c r="AD4" i="3"/>
  <c r="AD68" i="3"/>
  <c r="AD87" i="3"/>
  <c r="AD100" i="3"/>
  <c r="AD108" i="3"/>
  <c r="AD120" i="3"/>
  <c r="AD128" i="3"/>
  <c r="AD141" i="3"/>
  <c r="AD149" i="3"/>
  <c r="AD157" i="3"/>
  <c r="AD168" i="3"/>
  <c r="AD5" i="3"/>
  <c r="AD55" i="3"/>
  <c r="AD71" i="3"/>
  <c r="AD92" i="3"/>
  <c r="AD101" i="3"/>
  <c r="AD109" i="3"/>
  <c r="AD121" i="3"/>
  <c r="AD129" i="3"/>
  <c r="AD142" i="3"/>
  <c r="AD150" i="3"/>
  <c r="AD158" i="3"/>
  <c r="AD169" i="3"/>
  <c r="AD52" i="3"/>
  <c r="AD58" i="3"/>
  <c r="AD72" i="3"/>
  <c r="AD94" i="3"/>
  <c r="AD102" i="3"/>
  <c r="AD110" i="3"/>
  <c r="AD114" i="3"/>
  <c r="AD122" i="3"/>
  <c r="AD130" i="3"/>
  <c r="AD143" i="3"/>
  <c r="AD64" i="3"/>
  <c r="AD77" i="3"/>
  <c r="AD96" i="3"/>
  <c r="AD104" i="3"/>
  <c r="AD112" i="3"/>
  <c r="AD116" i="3"/>
  <c r="AD124" i="3"/>
  <c r="AD135" i="3"/>
  <c r="AD145" i="3"/>
  <c r="AD153" i="3"/>
  <c r="AD164" i="3"/>
  <c r="AD172" i="3"/>
  <c r="AD9" i="3"/>
  <c r="AD105" i="3"/>
  <c r="AD117" i="3"/>
  <c r="AD136" i="3"/>
  <c r="AD152" i="3"/>
  <c r="AD167" i="3"/>
  <c r="AD177" i="3"/>
  <c r="AD188" i="3"/>
  <c r="AD205" i="3"/>
  <c r="AD214" i="3"/>
  <c r="AD226" i="3"/>
  <c r="AD235" i="3"/>
  <c r="AD266" i="3"/>
  <c r="AD302" i="3"/>
  <c r="AD311" i="3"/>
  <c r="AD325" i="3"/>
  <c r="AD106" i="3"/>
  <c r="AD118" i="3"/>
  <c r="AD137" i="3"/>
  <c r="AD154" i="3"/>
  <c r="AD170" i="3"/>
  <c r="AD178" i="3"/>
  <c r="AD190" i="3"/>
  <c r="AD207" i="3"/>
  <c r="AD215" i="3"/>
  <c r="AD270" i="3"/>
  <c r="AD304" i="3"/>
  <c r="AD315" i="3"/>
  <c r="AD326" i="3"/>
  <c r="AD381" i="3"/>
  <c r="AD107" i="3"/>
  <c r="AD119" i="3"/>
  <c r="AD140" i="3"/>
  <c r="AD155" i="3"/>
  <c r="AD171" i="3"/>
  <c r="AD193" i="3"/>
  <c r="AD208" i="3"/>
  <c r="AD216" i="3"/>
  <c r="AD228" i="3"/>
  <c r="AD238" i="3"/>
  <c r="AD286" i="3"/>
  <c r="AD317" i="3"/>
  <c r="AD327" i="3"/>
  <c r="AD382" i="3"/>
  <c r="AD63" i="3"/>
  <c r="AD95" i="3"/>
  <c r="AD111" i="3"/>
  <c r="AD123" i="3"/>
  <c r="AD144" i="3"/>
  <c r="AD156" i="3"/>
  <c r="AD180" i="3"/>
  <c r="AD195" i="3"/>
  <c r="AD209" i="3"/>
  <c r="AD219" i="3"/>
  <c r="AD229" i="3"/>
  <c r="AD240" i="3"/>
  <c r="AD261" i="3"/>
  <c r="AD271" i="3"/>
  <c r="AD305" i="3"/>
  <c r="AD318" i="3"/>
  <c r="AD329" i="3"/>
  <c r="AD349" i="3"/>
  <c r="AD363" i="3"/>
  <c r="AD371" i="3"/>
  <c r="AD387" i="3"/>
  <c r="AD97" i="3"/>
  <c r="AD113" i="3"/>
  <c r="AD125" i="3"/>
  <c r="AD146" i="3"/>
  <c r="AD159" i="3"/>
  <c r="AD173" i="3"/>
  <c r="AD181" i="3"/>
  <c r="AD198" i="3"/>
  <c r="AD210" i="3"/>
  <c r="AD220" i="3"/>
  <c r="AD230" i="3"/>
  <c r="AD262" i="3"/>
  <c r="AD297" i="3"/>
  <c r="AD306" i="3"/>
  <c r="AD319" i="3"/>
  <c r="AD330" i="3"/>
  <c r="AD372" i="3"/>
  <c r="AD389" i="3"/>
  <c r="AD75" i="3"/>
  <c r="AD103" i="3"/>
  <c r="AD115" i="3"/>
  <c r="AD134" i="3"/>
  <c r="AD151" i="3"/>
  <c r="AD166" i="3"/>
  <c r="AD176" i="3"/>
  <c r="AD203" i="3"/>
  <c r="AD213" i="3"/>
  <c r="AD234" i="3"/>
  <c r="AD265" i="3"/>
  <c r="AD300" i="3"/>
  <c r="AD309" i="3"/>
  <c r="AD324" i="3"/>
  <c r="AD335" i="3"/>
  <c r="AD376" i="3"/>
  <c r="AD392" i="3"/>
  <c r="AD175" i="3"/>
  <c r="AD223" i="3"/>
  <c r="AD264" i="3"/>
  <c r="AD333" i="3"/>
  <c r="AD373" i="3"/>
  <c r="AD126" i="3"/>
  <c r="AD182" i="3"/>
  <c r="AD298" i="3"/>
  <c r="AD390" i="3"/>
  <c r="AD3" i="3"/>
  <c r="AD127" i="3"/>
  <c r="AD186" i="3"/>
  <c r="AD233" i="3"/>
  <c r="AD299" i="3"/>
  <c r="AD391" i="3"/>
  <c r="AD66" i="3"/>
  <c r="AD147" i="3"/>
  <c r="AD201" i="3"/>
  <c r="AD307" i="3"/>
  <c r="AD67" i="3"/>
  <c r="AD148" i="3"/>
  <c r="AD202" i="3"/>
  <c r="AD308" i="3"/>
  <c r="AD174" i="3"/>
  <c r="AD222" i="3"/>
  <c r="AD263" i="3"/>
  <c r="AD331" i="3"/>
  <c r="AD165" i="3"/>
  <c r="AD211" i="3"/>
  <c r="AD212" i="3"/>
  <c r="AD98" i="3"/>
  <c r="AD322" i="3"/>
  <c r="AD163" i="3"/>
  <c r="AD323" i="3"/>
  <c r="AD99" i="3"/>
  <c r="E352" i="8"/>
  <c r="D352" i="8"/>
  <c r="B352" i="8"/>
  <c r="A352" i="8"/>
  <c r="E351" i="8"/>
  <c r="D351" i="8"/>
  <c r="B351" i="8"/>
  <c r="A351" i="8"/>
  <c r="E350" i="8"/>
  <c r="D350" i="8"/>
  <c r="B350" i="8"/>
  <c r="A350" i="8"/>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E322" i="8"/>
  <c r="D322" i="8"/>
  <c r="B322" i="8"/>
  <c r="A322" i="8"/>
  <c r="AC282" i="3" l="1"/>
  <c r="AC288" i="3"/>
  <c r="AC287" i="3"/>
  <c r="AC82" i="3"/>
  <c r="AC393" i="3"/>
  <c r="AC273" i="3"/>
  <c r="AC10" i="3"/>
  <c r="AC11" i="3"/>
  <c r="AC69" i="3"/>
  <c r="AC303" i="3"/>
  <c r="AC12" i="3"/>
  <c r="AC13" i="3"/>
  <c r="AC14" i="3"/>
  <c r="AC15" i="3"/>
  <c r="AC274" i="3"/>
  <c r="AC17" i="3"/>
  <c r="AC18" i="3"/>
  <c r="AC16" i="3"/>
  <c r="AC199" i="3"/>
  <c r="AC200" i="3"/>
  <c r="AC275" i="3"/>
  <c r="AC321" i="3"/>
  <c r="AC277" i="3"/>
  <c r="AC278" i="3"/>
  <c r="AC279" i="3"/>
  <c r="AC280" i="3"/>
  <c r="AC285" i="3"/>
  <c r="AC36" i="3"/>
  <c r="AC37" i="3"/>
  <c r="AC38" i="3"/>
  <c r="AC40" i="3"/>
  <c r="AC289" i="3"/>
  <c r="AC41" i="3"/>
  <c r="AC42" i="3"/>
  <c r="AC43" i="3"/>
  <c r="AC44" i="3"/>
  <c r="AC83" i="3"/>
  <c r="AC290" i="3"/>
  <c r="AC291" i="3"/>
  <c r="AC45" i="3"/>
  <c r="AC46" i="3"/>
  <c r="AC47" i="3"/>
  <c r="AC296" i="3"/>
  <c r="AC8" i="3"/>
  <c r="AC249" i="3"/>
  <c r="AC267" i="3"/>
  <c r="AC377" i="3"/>
  <c r="AC353" i="3"/>
  <c r="AC258" i="3"/>
  <c r="AC269" i="3"/>
  <c r="AC281" i="3"/>
  <c r="AC241" i="3"/>
  <c r="AC30" i="3"/>
  <c r="AC32" i="3"/>
  <c r="AC56" i="3"/>
  <c r="AC48" i="3"/>
  <c r="AC53" i="3"/>
  <c r="AC342" i="3"/>
  <c r="AC293" i="3"/>
  <c r="AC50" i="3"/>
  <c r="AC310" i="3"/>
  <c r="AC320" i="3"/>
  <c r="AC352" i="3"/>
  <c r="AC132" i="3"/>
  <c r="AC242" i="3"/>
  <c r="AC250" i="3"/>
  <c r="AC341" i="3"/>
  <c r="AC361" i="3"/>
  <c r="AC79" i="3"/>
  <c r="AC221" i="3"/>
  <c r="AC359" i="3"/>
  <c r="AC19" i="3"/>
  <c r="AC25" i="3"/>
  <c r="AC378" i="3"/>
  <c r="AC380" i="3"/>
  <c r="AC31" i="3"/>
  <c r="AC33" i="3"/>
  <c r="AC70" i="3"/>
  <c r="AC78" i="3"/>
  <c r="AC314" i="3"/>
  <c r="AC365" i="3"/>
  <c r="AC161" i="3"/>
  <c r="AC23" i="3"/>
  <c r="AC93" i="3"/>
  <c r="AC29" i="3"/>
  <c r="AC340" i="3"/>
  <c r="AC133" i="3"/>
  <c r="AC243" i="3"/>
  <c r="AC251" i="3"/>
  <c r="AC362" i="3"/>
  <c r="AC20" i="3"/>
  <c r="AC89" i="3"/>
  <c r="AC26" i="3"/>
  <c r="AC194" i="3"/>
  <c r="AC283" i="3"/>
  <c r="AC206" i="3"/>
  <c r="AC34" i="3"/>
  <c r="AC74" i="3"/>
  <c r="AC294" i="3"/>
  <c r="AC356" i="3"/>
  <c r="AC334" i="3"/>
  <c r="AC316" i="3"/>
  <c r="AC379" i="3"/>
  <c r="AC60" i="3"/>
  <c r="AC76" i="3"/>
  <c r="AC138" i="3"/>
  <c r="AC244" i="3"/>
  <c r="AC252" i="3"/>
  <c r="AC366" i="3"/>
  <c r="AC260" i="3"/>
  <c r="AC7" i="3"/>
  <c r="AC91" i="3"/>
  <c r="AC21" i="3"/>
  <c r="AC27" i="3"/>
  <c r="AC54" i="3"/>
  <c r="AC284" i="3"/>
  <c r="AC35" i="3"/>
  <c r="AC225" i="3"/>
  <c r="AC237" i="3"/>
  <c r="AC191" i="3"/>
  <c r="AC61" i="3"/>
  <c r="AC248" i="3"/>
  <c r="AC259" i="3"/>
  <c r="AC276" i="3"/>
  <c r="AC346" i="3"/>
  <c r="AC49" i="3"/>
  <c r="AC245" i="3"/>
  <c r="AC253" i="3"/>
  <c r="AC268" i="3"/>
  <c r="AC385" i="3"/>
  <c r="AC368" i="3"/>
  <c r="AC28" i="3"/>
  <c r="AC350" i="3"/>
  <c r="AC57" i="3"/>
  <c r="AC192" i="3"/>
  <c r="AC256" i="3"/>
  <c r="AC351" i="3"/>
  <c r="AC204" i="3"/>
  <c r="AC292" i="3"/>
  <c r="AC139" i="3"/>
  <c r="AC246" i="3"/>
  <c r="AC254" i="3"/>
  <c r="AC343" i="3"/>
  <c r="AC6" i="3"/>
  <c r="AC386" i="3"/>
  <c r="AC369" i="3"/>
  <c r="AC328" i="3"/>
  <c r="AC24" i="3"/>
  <c r="AC196" i="3"/>
  <c r="AC364" i="3"/>
  <c r="AC39" i="3"/>
  <c r="AC218" i="3"/>
  <c r="AC236" i="3"/>
  <c r="AC51" i="3"/>
  <c r="AC131" i="3"/>
  <c r="AC247" i="3"/>
  <c r="AC255" i="3"/>
  <c r="AC374" i="3"/>
  <c r="AC384" i="3"/>
  <c r="AC347" i="3"/>
  <c r="AC22" i="3"/>
  <c r="AC301" i="3"/>
  <c r="AC197" i="3"/>
  <c r="AC80" i="3"/>
  <c r="AC339" i="3"/>
  <c r="AC59" i="3"/>
  <c r="AC338" i="3"/>
  <c r="AC360" i="3"/>
  <c r="AC355" i="3"/>
  <c r="AC345" i="3"/>
  <c r="AC295" i="3"/>
  <c r="AC354" i="3"/>
  <c r="AC160" i="3"/>
  <c r="AC183" i="3"/>
  <c r="AC184" i="3"/>
  <c r="AC162" i="3"/>
  <c r="AC185" i="3"/>
  <c r="AC272" i="3"/>
  <c r="AC370" i="3"/>
  <c r="AC344" i="3"/>
  <c r="AC348" i="3"/>
  <c r="AC357" i="3"/>
  <c r="AC358" i="3"/>
  <c r="AC367" i="3"/>
  <c r="AC257" i="3"/>
  <c r="AC65" i="3"/>
  <c r="AC337" i="3"/>
  <c r="AC84" i="3"/>
  <c r="AC224" i="3"/>
  <c r="AC227" i="3"/>
  <c r="AC85" i="3"/>
  <c r="AC179" i="3"/>
  <c r="AC86" i="3"/>
  <c r="AC231" i="3"/>
  <c r="AC232" i="3"/>
  <c r="AC189" i="3"/>
  <c r="AC81" i="3"/>
  <c r="AC239" i="3"/>
  <c r="AC187" i="3"/>
  <c r="AC88" i="3"/>
  <c r="AC312" i="3"/>
  <c r="AC90" i="3"/>
  <c r="AC336" i="3"/>
  <c r="AC375" i="3"/>
  <c r="AC313" i="3"/>
  <c r="AC332" i="3"/>
  <c r="AC383" i="3"/>
  <c r="AC73" i="3"/>
  <c r="AC62" i="3"/>
  <c r="AC388" i="3"/>
  <c r="AC217" i="3"/>
  <c r="AC3" i="3"/>
  <c r="AC67" i="3"/>
  <c r="AC99" i="3"/>
  <c r="AC107" i="3"/>
  <c r="AC119" i="3"/>
  <c r="AC127" i="3"/>
  <c r="AC140" i="3"/>
  <c r="AC148" i="3"/>
  <c r="AC156" i="3"/>
  <c r="AC167" i="3"/>
  <c r="AC174" i="3"/>
  <c r="AC182" i="3"/>
  <c r="AC201" i="3"/>
  <c r="AC211" i="3"/>
  <c r="AC222" i="3"/>
  <c r="AC263" i="3"/>
  <c r="AC298" i="3"/>
  <c r="AC307" i="3"/>
  <c r="AC322" i="3"/>
  <c r="AC331" i="3"/>
  <c r="AC390" i="3"/>
  <c r="AC4" i="3"/>
  <c r="AC68" i="3"/>
  <c r="AC87" i="3"/>
  <c r="AC100" i="3"/>
  <c r="AC108" i="3"/>
  <c r="AC120" i="3"/>
  <c r="AC128" i="3"/>
  <c r="AC141" i="3"/>
  <c r="AC149" i="3"/>
  <c r="AC157" i="3"/>
  <c r="AC168" i="3"/>
  <c r="AC175" i="3"/>
  <c r="AC186" i="3"/>
  <c r="AC202" i="3"/>
  <c r="AC212" i="3"/>
  <c r="AC223" i="3"/>
  <c r="AC233" i="3"/>
  <c r="AC264" i="3"/>
  <c r="AC299" i="3"/>
  <c r="AC308" i="3"/>
  <c r="AC323" i="3"/>
  <c r="AC333" i="3"/>
  <c r="AC373" i="3"/>
  <c r="AC391" i="3"/>
  <c r="AC5" i="3"/>
  <c r="AC55" i="3"/>
  <c r="AC71" i="3"/>
  <c r="AC92" i="3"/>
  <c r="AC101" i="3"/>
  <c r="AC109" i="3"/>
  <c r="AC121" i="3"/>
  <c r="AC129" i="3"/>
  <c r="AC142" i="3"/>
  <c r="AC150" i="3"/>
  <c r="AC158" i="3"/>
  <c r="AC169" i="3"/>
  <c r="AC176" i="3"/>
  <c r="AC203" i="3"/>
  <c r="AC213" i="3"/>
  <c r="AC234" i="3"/>
  <c r="AC265" i="3"/>
  <c r="AC300" i="3"/>
  <c r="AC309" i="3"/>
  <c r="AC324" i="3"/>
  <c r="AC335" i="3"/>
  <c r="AC376" i="3"/>
  <c r="AC392" i="3"/>
  <c r="AC52" i="3"/>
  <c r="AC58" i="3"/>
  <c r="AC72" i="3"/>
  <c r="AC94" i="3"/>
  <c r="AC102" i="3"/>
  <c r="AC110" i="3"/>
  <c r="AC114" i="3"/>
  <c r="AC122" i="3"/>
  <c r="AC130" i="3"/>
  <c r="AC143" i="3"/>
  <c r="AC151" i="3"/>
  <c r="AC159" i="3"/>
  <c r="AC170" i="3"/>
  <c r="AC177" i="3"/>
  <c r="AC188" i="3"/>
  <c r="AC205" i="3"/>
  <c r="AC214" i="3"/>
  <c r="AC226" i="3"/>
  <c r="AC235" i="3"/>
  <c r="AC266" i="3"/>
  <c r="AC302" i="3"/>
  <c r="AC311" i="3"/>
  <c r="AC325" i="3"/>
  <c r="AC63" i="3"/>
  <c r="AC75" i="3"/>
  <c r="AC95" i="3"/>
  <c r="AC103" i="3"/>
  <c r="AC111" i="3"/>
  <c r="AC115" i="3"/>
  <c r="AC123" i="3"/>
  <c r="AC134" i="3"/>
  <c r="AC144" i="3"/>
  <c r="AC152" i="3"/>
  <c r="AC163" i="3"/>
  <c r="AC171" i="3"/>
  <c r="AC178" i="3"/>
  <c r="AC190" i="3"/>
  <c r="AC207" i="3"/>
  <c r="AC215" i="3"/>
  <c r="AC270" i="3"/>
  <c r="AC304" i="3"/>
  <c r="AC315" i="3"/>
  <c r="AC326" i="3"/>
  <c r="AC381" i="3"/>
  <c r="AC66" i="3"/>
  <c r="AC98" i="3"/>
  <c r="AC106" i="3"/>
  <c r="AC118" i="3"/>
  <c r="AC126" i="3"/>
  <c r="AC137" i="3"/>
  <c r="AC147" i="3"/>
  <c r="AC155" i="3"/>
  <c r="AC166" i="3"/>
  <c r="AC173" i="3"/>
  <c r="AC181" i="3"/>
  <c r="AC198" i="3"/>
  <c r="AC210" i="3"/>
  <c r="AC220" i="3"/>
  <c r="AC230" i="3"/>
  <c r="AC262" i="3"/>
  <c r="AC297" i="3"/>
  <c r="AC306" i="3"/>
  <c r="AC319" i="3"/>
  <c r="AC330" i="3"/>
  <c r="AC117" i="3"/>
  <c r="AC154" i="3"/>
  <c r="AC195" i="3"/>
  <c r="AC240" i="3"/>
  <c r="AC305" i="3"/>
  <c r="AC349" i="3"/>
  <c r="AC387" i="3"/>
  <c r="AC96" i="3"/>
  <c r="AC124" i="3"/>
  <c r="AC164" i="3"/>
  <c r="AC208" i="3"/>
  <c r="AC317" i="3"/>
  <c r="AC389" i="3"/>
  <c r="AC97" i="3"/>
  <c r="AC125" i="3"/>
  <c r="AC165" i="3"/>
  <c r="AC209" i="3"/>
  <c r="AC318" i="3"/>
  <c r="AC363" i="3"/>
  <c r="AC104" i="3"/>
  <c r="AC135" i="3"/>
  <c r="AC172" i="3"/>
  <c r="AC216" i="3"/>
  <c r="AC327" i="3"/>
  <c r="AC9" i="3"/>
  <c r="AC105" i="3"/>
  <c r="AC136" i="3"/>
  <c r="AC219" i="3"/>
  <c r="AC261" i="3"/>
  <c r="AC329" i="3"/>
  <c r="AC77" i="3"/>
  <c r="AC116" i="3"/>
  <c r="AC153" i="3"/>
  <c r="AC193" i="3"/>
  <c r="AC238" i="3"/>
  <c r="AC382" i="3"/>
  <c r="AC180" i="3"/>
  <c r="AC372" i="3"/>
  <c r="AC64" i="3"/>
  <c r="AC228" i="3"/>
  <c r="AC229" i="3"/>
  <c r="AC112" i="3"/>
  <c r="AC286" i="3"/>
  <c r="AC113" i="3"/>
  <c r="AC271" i="3"/>
  <c r="AC145" i="3"/>
  <c r="AC371" i="3"/>
  <c r="AC146" i="3"/>
  <c r="E319" i="8"/>
  <c r="D319" i="8"/>
  <c r="B319" i="8"/>
  <c r="A319" i="8"/>
  <c r="E318" i="8"/>
  <c r="D318" i="8"/>
  <c r="B318" i="8"/>
  <c r="A318" i="8"/>
  <c r="E306" i="8"/>
  <c r="D306" i="8"/>
  <c r="B306" i="8"/>
  <c r="A306" i="8"/>
  <c r="E305" i="8"/>
  <c r="D305" i="8"/>
  <c r="B305" i="8"/>
  <c r="A305" i="8"/>
  <c r="E304" i="8"/>
  <c r="D304" i="8"/>
  <c r="B304" i="8"/>
  <c r="A304" i="8"/>
  <c r="E303" i="8"/>
  <c r="D303" i="8"/>
  <c r="B303" i="8"/>
  <c r="A303" i="8"/>
  <c r="E302" i="8"/>
  <c r="D302" i="8"/>
  <c r="B302" i="8"/>
  <c r="A302" i="8"/>
  <c r="E301" i="8"/>
  <c r="D301" i="8"/>
  <c r="B301" i="8"/>
  <c r="A301" i="8"/>
  <c r="E300" i="8"/>
  <c r="D300" i="8"/>
  <c r="B300" i="8"/>
  <c r="A300" i="8"/>
  <c r="E299" i="8"/>
  <c r="D299" i="8"/>
  <c r="B299" i="8"/>
  <c r="A299" i="8"/>
  <c r="E298" i="8"/>
  <c r="D298" i="8"/>
  <c r="B298" i="8"/>
  <c r="A298" i="8"/>
  <c r="E297" i="8"/>
  <c r="D297" i="8"/>
  <c r="B297" i="8"/>
  <c r="A297" i="8"/>
  <c r="E296" i="8"/>
  <c r="D296" i="8"/>
  <c r="B296" i="8"/>
  <c r="A296" i="8"/>
  <c r="E295" i="8"/>
  <c r="D295" i="8"/>
  <c r="B295" i="8"/>
  <c r="A295" i="8"/>
  <c r="E294" i="8"/>
  <c r="D294" i="8"/>
  <c r="B294" i="8"/>
  <c r="A294" i="8"/>
  <c r="E293" i="8"/>
  <c r="D293" i="8"/>
  <c r="B293" i="8"/>
  <c r="A293" i="8"/>
  <c r="E292" i="8"/>
  <c r="D292" i="8"/>
  <c r="B292" i="8"/>
  <c r="A292" i="8"/>
  <c r="E291" i="8"/>
  <c r="D291" i="8"/>
  <c r="B291" i="8"/>
  <c r="A291" i="8"/>
  <c r="A287" i="8"/>
  <c r="B287" i="8"/>
  <c r="D287" i="8"/>
  <c r="E287" i="8"/>
  <c r="AB288" i="3" l="1"/>
  <c r="AB287" i="3"/>
  <c r="AB82" i="3"/>
  <c r="AB393" i="3"/>
  <c r="AB273" i="3"/>
  <c r="AB10" i="3"/>
  <c r="AB11" i="3"/>
  <c r="AB69" i="3"/>
  <c r="AB303" i="3"/>
  <c r="AB12" i="3"/>
  <c r="AB13" i="3"/>
  <c r="AB14" i="3"/>
  <c r="AB15" i="3"/>
  <c r="AB274" i="3"/>
  <c r="AB17" i="3"/>
  <c r="AB18" i="3"/>
  <c r="AB16" i="3"/>
  <c r="AB199" i="3"/>
  <c r="AB200" i="3"/>
  <c r="AB275" i="3"/>
  <c r="AB321" i="3"/>
  <c r="AB277" i="3"/>
  <c r="AB278" i="3"/>
  <c r="AB279" i="3"/>
  <c r="AB280" i="3"/>
  <c r="AB285" i="3"/>
  <c r="AB36" i="3"/>
  <c r="AB37" i="3"/>
  <c r="AB38" i="3"/>
  <c r="AB40" i="3"/>
  <c r="AB289" i="3"/>
  <c r="AB41" i="3"/>
  <c r="AB42" i="3"/>
  <c r="AB43" i="3"/>
  <c r="AB44" i="3"/>
  <c r="AB83" i="3"/>
  <c r="AB290" i="3"/>
  <c r="AB291" i="3"/>
  <c r="AB45" i="3"/>
  <c r="AB46" i="3"/>
  <c r="AB47" i="3"/>
  <c r="AB296" i="3"/>
  <c r="AB139" i="3"/>
  <c r="AB246" i="3"/>
  <c r="AB254" i="3"/>
  <c r="AB131" i="3"/>
  <c r="AB247" i="3"/>
  <c r="AB255" i="3"/>
  <c r="AB161" i="3"/>
  <c r="AB248" i="3"/>
  <c r="AB256" i="3"/>
  <c r="AB8" i="3"/>
  <c r="AB249" i="3"/>
  <c r="AB132" i="3"/>
  <c r="AB242" i="3"/>
  <c r="AB250" i="3"/>
  <c r="AB133" i="3"/>
  <c r="AB243" i="3"/>
  <c r="AB251" i="3"/>
  <c r="AB245" i="3"/>
  <c r="AB253" i="3"/>
  <c r="AB252" i="3"/>
  <c r="AB244" i="3"/>
  <c r="AB138" i="3"/>
  <c r="AB366" i="3"/>
  <c r="AB260" i="3"/>
  <c r="AB7" i="3"/>
  <c r="AB268" i="3"/>
  <c r="AB385" i="3"/>
  <c r="AB368" i="3"/>
  <c r="AB282" i="3"/>
  <c r="AB28" i="3"/>
  <c r="AB350" i="3"/>
  <c r="AB57" i="3"/>
  <c r="AB374" i="3"/>
  <c r="AB384" i="3"/>
  <c r="AB347" i="3"/>
  <c r="AB22" i="3"/>
  <c r="AB301" i="3"/>
  <c r="AB197" i="3"/>
  <c r="AB80" i="3"/>
  <c r="AB339" i="3"/>
  <c r="AB351" i="3"/>
  <c r="AB259" i="3"/>
  <c r="AB276" i="3"/>
  <c r="AB320" i="3"/>
  <c r="AB23" i="3"/>
  <c r="AB346" i="3"/>
  <c r="AB93" i="3"/>
  <c r="AB379" i="3"/>
  <c r="AB267" i="3"/>
  <c r="AB377" i="3"/>
  <c r="AB353" i="3"/>
  <c r="AB258" i="3"/>
  <c r="AB269" i="3"/>
  <c r="AB281" i="3"/>
  <c r="AB241" i="3"/>
  <c r="AB362" i="3"/>
  <c r="AB20" i="3"/>
  <c r="AB89" i="3"/>
  <c r="AB26" i="3"/>
  <c r="AB194" i="3"/>
  <c r="AB283" i="3"/>
  <c r="AB206" i="3"/>
  <c r="AB34" i="3"/>
  <c r="AB6" i="3"/>
  <c r="AB386" i="3"/>
  <c r="AB25" i="3"/>
  <c r="AB196" i="3"/>
  <c r="AB54" i="3"/>
  <c r="AB340" i="3"/>
  <c r="AB56" i="3"/>
  <c r="AB48" i="3"/>
  <c r="AB53" i="3"/>
  <c r="AB342" i="3"/>
  <c r="AB293" i="3"/>
  <c r="AB50" i="3"/>
  <c r="AB310" i="3"/>
  <c r="AB79" i="3"/>
  <c r="AB359" i="3"/>
  <c r="AB328" i="3"/>
  <c r="AB27" i="3"/>
  <c r="AB70" i="3"/>
  <c r="AB78" i="3"/>
  <c r="AB314" i="3"/>
  <c r="AB365" i="3"/>
  <c r="AB341" i="3"/>
  <c r="AB369" i="3"/>
  <c r="AB378" i="3"/>
  <c r="AB33" i="3"/>
  <c r="AB225" i="3"/>
  <c r="AB237" i="3"/>
  <c r="AB191" i="3"/>
  <c r="AB61" i="3"/>
  <c r="AB35" i="3"/>
  <c r="AB192" i="3"/>
  <c r="AB21" i="3"/>
  <c r="AB29" i="3"/>
  <c r="AB364" i="3"/>
  <c r="AB39" i="3"/>
  <c r="AB218" i="3"/>
  <c r="AB236" i="3"/>
  <c r="AB51" i="3"/>
  <c r="AB361" i="3"/>
  <c r="AB221" i="3"/>
  <c r="AB91" i="3"/>
  <c r="AB19" i="3"/>
  <c r="AB24" i="3"/>
  <c r="AB31" i="3"/>
  <c r="AB352" i="3"/>
  <c r="AB284" i="3"/>
  <c r="AB60" i="3"/>
  <c r="AB292" i="3"/>
  <c r="AB49" i="3"/>
  <c r="AB76" i="3"/>
  <c r="AB32" i="3"/>
  <c r="AB334" i="3"/>
  <c r="AB360" i="3"/>
  <c r="AB380" i="3"/>
  <c r="AB294" i="3"/>
  <c r="AB30" i="3"/>
  <c r="AB295" i="3"/>
  <c r="AB204" i="3"/>
  <c r="AB59" i="3"/>
  <c r="AB355" i="3"/>
  <c r="AB343" i="3"/>
  <c r="AB338" i="3"/>
  <c r="AB345" i="3"/>
  <c r="AB74" i="3"/>
  <c r="AB356" i="3"/>
  <c r="AB316" i="3"/>
  <c r="AB184" i="3"/>
  <c r="AB185" i="3"/>
  <c r="AB162" i="3"/>
  <c r="AB354" i="3"/>
  <c r="AB160" i="3"/>
  <c r="AB183" i="3"/>
  <c r="AB272" i="3"/>
  <c r="AB370" i="3"/>
  <c r="AB344" i="3"/>
  <c r="AB348" i="3"/>
  <c r="AB367" i="3"/>
  <c r="AB357" i="3"/>
  <c r="AB358" i="3"/>
  <c r="AB257" i="3"/>
  <c r="AB65" i="3"/>
  <c r="AB224" i="3"/>
  <c r="AB85" i="3"/>
  <c r="AB86" i="3"/>
  <c r="AB179" i="3"/>
  <c r="AB84" i="3"/>
  <c r="AB227" i="3"/>
  <c r="AB337" i="3"/>
  <c r="AB231" i="3"/>
  <c r="AB232" i="3"/>
  <c r="AB189" i="3"/>
  <c r="AB81" i="3"/>
  <c r="AB239" i="3"/>
  <c r="AB187" i="3"/>
  <c r="AB88" i="3"/>
  <c r="AB312" i="3"/>
  <c r="AB90" i="3"/>
  <c r="AB336" i="3"/>
  <c r="AB375" i="3"/>
  <c r="AB313" i="3"/>
  <c r="AB332" i="3"/>
  <c r="AB383" i="3"/>
  <c r="AB73" i="3"/>
  <c r="AB62" i="3"/>
  <c r="AB388" i="3"/>
  <c r="AB217" i="3"/>
  <c r="AB3" i="3"/>
  <c r="AB4" i="3"/>
  <c r="AB67" i="3"/>
  <c r="AB99" i="3"/>
  <c r="AB107" i="3"/>
  <c r="AB119" i="3"/>
  <c r="AB127" i="3"/>
  <c r="AB140" i="3"/>
  <c r="AB148" i="3"/>
  <c r="AB156" i="3"/>
  <c r="AB167" i="3"/>
  <c r="AB174" i="3"/>
  <c r="AB182" i="3"/>
  <c r="AB201" i="3"/>
  <c r="AB211" i="3"/>
  <c r="AB222" i="3"/>
  <c r="AB263" i="3"/>
  <c r="AB298" i="3"/>
  <c r="AB307" i="3"/>
  <c r="AB322" i="3"/>
  <c r="AB331" i="3"/>
  <c r="AB390" i="3"/>
  <c r="AB68" i="3"/>
  <c r="AB87" i="3"/>
  <c r="AB100" i="3"/>
  <c r="AB108" i="3"/>
  <c r="AB120" i="3"/>
  <c r="AB128" i="3"/>
  <c r="AB141" i="3"/>
  <c r="AB149" i="3"/>
  <c r="AB157" i="3"/>
  <c r="AB168" i="3"/>
  <c r="AB175" i="3"/>
  <c r="AB186" i="3"/>
  <c r="AB202" i="3"/>
  <c r="AB212" i="3"/>
  <c r="AB223" i="3"/>
  <c r="AB233" i="3"/>
  <c r="AB264" i="3"/>
  <c r="AB299" i="3"/>
  <c r="AB308" i="3"/>
  <c r="AB323" i="3"/>
  <c r="AB333" i="3"/>
  <c r="AB373" i="3"/>
  <c r="AB391" i="3"/>
  <c r="AB5" i="3"/>
  <c r="AB55" i="3"/>
  <c r="AB71" i="3"/>
  <c r="AB92" i="3"/>
  <c r="AB101" i="3"/>
  <c r="AB109" i="3"/>
  <c r="AB121" i="3"/>
  <c r="AB129" i="3"/>
  <c r="AB142" i="3"/>
  <c r="AB150" i="3"/>
  <c r="AB158" i="3"/>
  <c r="AB169" i="3"/>
  <c r="AB176" i="3"/>
  <c r="AB203" i="3"/>
  <c r="AB213" i="3"/>
  <c r="AB234" i="3"/>
  <c r="AB265" i="3"/>
  <c r="AB300" i="3"/>
  <c r="AB309" i="3"/>
  <c r="AB324" i="3"/>
  <c r="AB335" i="3"/>
  <c r="AB376" i="3"/>
  <c r="AB392" i="3"/>
  <c r="AB52" i="3"/>
  <c r="AB58" i="3"/>
  <c r="AB72" i="3"/>
  <c r="AB94" i="3"/>
  <c r="AB102" i="3"/>
  <c r="AB110" i="3"/>
  <c r="AB114" i="3"/>
  <c r="AB122" i="3"/>
  <c r="AB130" i="3"/>
  <c r="AB143" i="3"/>
  <c r="AB151" i="3"/>
  <c r="AB159" i="3"/>
  <c r="AB170" i="3"/>
  <c r="AB177" i="3"/>
  <c r="AB188" i="3"/>
  <c r="AB205" i="3"/>
  <c r="AB214" i="3"/>
  <c r="AB226" i="3"/>
  <c r="AB235" i="3"/>
  <c r="AB266" i="3"/>
  <c r="AB302" i="3"/>
  <c r="AB311" i="3"/>
  <c r="AB325" i="3"/>
  <c r="AB63" i="3"/>
  <c r="AB75" i="3"/>
  <c r="AB95" i="3"/>
  <c r="AB103" i="3"/>
  <c r="AB111" i="3"/>
  <c r="AB115" i="3"/>
  <c r="AB123" i="3"/>
  <c r="AB134" i="3"/>
  <c r="AB144" i="3"/>
  <c r="AB152" i="3"/>
  <c r="AB163" i="3"/>
  <c r="AB171" i="3"/>
  <c r="AB178" i="3"/>
  <c r="AB190" i="3"/>
  <c r="AB207" i="3"/>
  <c r="AB215" i="3"/>
  <c r="AB270" i="3"/>
  <c r="AB304" i="3"/>
  <c r="AB315" i="3"/>
  <c r="AB326" i="3"/>
  <c r="AB381" i="3"/>
  <c r="AB66" i="3"/>
  <c r="AB98" i="3"/>
  <c r="AB106" i="3"/>
  <c r="AB118" i="3"/>
  <c r="AB126" i="3"/>
  <c r="AB137" i="3"/>
  <c r="AB147" i="3"/>
  <c r="AB155" i="3"/>
  <c r="AB166" i="3"/>
  <c r="AB173" i="3"/>
  <c r="AB181" i="3"/>
  <c r="AB198" i="3"/>
  <c r="AB210" i="3"/>
  <c r="AB220" i="3"/>
  <c r="AB230" i="3"/>
  <c r="AB262" i="3"/>
  <c r="AB297" i="3"/>
  <c r="AB306" i="3"/>
  <c r="AB319" i="3"/>
  <c r="AB330" i="3"/>
  <c r="AB372" i="3"/>
  <c r="AB389" i="3"/>
  <c r="AB97" i="3"/>
  <c r="AB125" i="3"/>
  <c r="AB165" i="3"/>
  <c r="AB209" i="3"/>
  <c r="AB318" i="3"/>
  <c r="AB363" i="3"/>
  <c r="AB104" i="3"/>
  <c r="AB135" i="3"/>
  <c r="AB172" i="3"/>
  <c r="AB216" i="3"/>
  <c r="AB327" i="3"/>
  <c r="AB9" i="3"/>
  <c r="AB105" i="3"/>
  <c r="AB136" i="3"/>
  <c r="AB219" i="3"/>
  <c r="AB261" i="3"/>
  <c r="AB329" i="3"/>
  <c r="AB371" i="3"/>
  <c r="AB64" i="3"/>
  <c r="AB112" i="3"/>
  <c r="AB145" i="3"/>
  <c r="AB228" i="3"/>
  <c r="AB286" i="3"/>
  <c r="AB382" i="3"/>
  <c r="AB113" i="3"/>
  <c r="AB146" i="3"/>
  <c r="AB180" i="3"/>
  <c r="AB229" i="3"/>
  <c r="AB271" i="3"/>
  <c r="AB387" i="3"/>
  <c r="AB77" i="3"/>
  <c r="AB116" i="3"/>
  <c r="AB153" i="3"/>
  <c r="AB193" i="3"/>
  <c r="AB238" i="3"/>
  <c r="AB96" i="3"/>
  <c r="AB124" i="3"/>
  <c r="AB164" i="3"/>
  <c r="AB208" i="3"/>
  <c r="AB317" i="3"/>
  <c r="AB305" i="3"/>
  <c r="AB349" i="3"/>
  <c r="AB117" i="3"/>
  <c r="AB154" i="3"/>
  <c r="AB240" i="3"/>
  <c r="AB195" i="3"/>
  <c r="A188" i="8"/>
  <c r="B188" i="8"/>
  <c r="D188" i="8"/>
  <c r="E188" i="8"/>
  <c r="E461" i="8"/>
  <c r="D461" i="8"/>
  <c r="B461" i="8"/>
  <c r="A461" i="8"/>
  <c r="E460" i="8"/>
  <c r="D460" i="8"/>
  <c r="B460" i="8"/>
  <c r="A460" i="8"/>
  <c r="E459" i="8"/>
  <c r="D459" i="8"/>
  <c r="B459" i="8"/>
  <c r="A459" i="8"/>
  <c r="E458" i="8"/>
  <c r="D458" i="8"/>
  <c r="B458" i="8"/>
  <c r="A458" i="8"/>
  <c r="E457" i="8"/>
  <c r="D457" i="8"/>
  <c r="B457" i="8"/>
  <c r="A457" i="8"/>
  <c r="E456" i="8"/>
  <c r="D456" i="8"/>
  <c r="B456" i="8"/>
  <c r="A456" i="8"/>
  <c r="E455" i="8"/>
  <c r="D455" i="8"/>
  <c r="B455" i="8"/>
  <c r="A455" i="8"/>
  <c r="E454" i="8"/>
  <c r="D454" i="8"/>
  <c r="B454" i="8"/>
  <c r="A454" i="8"/>
  <c r="E453" i="8"/>
  <c r="D453" i="8"/>
  <c r="B453" i="8"/>
  <c r="A453" i="8"/>
  <c r="E452" i="8"/>
  <c r="D452" i="8"/>
  <c r="B452" i="8"/>
  <c r="A452" i="8"/>
  <c r="E451" i="8"/>
  <c r="D451" i="8"/>
  <c r="B451" i="8"/>
  <c r="A451" i="8"/>
  <c r="E450" i="8"/>
  <c r="D450" i="8"/>
  <c r="B450" i="8"/>
  <c r="A450" i="8"/>
  <c r="E449" i="8"/>
  <c r="D449" i="8"/>
  <c r="B449" i="8"/>
  <c r="A449" i="8"/>
  <c r="E448" i="8"/>
  <c r="D448" i="8"/>
  <c r="B448" i="8"/>
  <c r="A448" i="8"/>
  <c r="E447" i="8"/>
  <c r="D447" i="8"/>
  <c r="B447" i="8"/>
  <c r="A447" i="8"/>
  <c r="E446" i="8"/>
  <c r="D446" i="8"/>
  <c r="B446" i="8"/>
  <c r="A446" i="8"/>
  <c r="AG288" i="3" l="1"/>
  <c r="AG287" i="3"/>
  <c r="AG82" i="3"/>
  <c r="AG393" i="3"/>
  <c r="AG273" i="3"/>
  <c r="AG10" i="3"/>
  <c r="AG11" i="3"/>
  <c r="AG69" i="3"/>
  <c r="AG303" i="3"/>
  <c r="AG12" i="3"/>
  <c r="AG13" i="3"/>
  <c r="AG14" i="3"/>
  <c r="AG15" i="3"/>
  <c r="AG274" i="3"/>
  <c r="AG17" i="3"/>
  <c r="AG18" i="3"/>
  <c r="AG16" i="3"/>
  <c r="AG199" i="3"/>
  <c r="AG200" i="3"/>
  <c r="AG275" i="3"/>
  <c r="AG321" i="3"/>
  <c r="AG277" i="3"/>
  <c r="AG278" i="3"/>
  <c r="AG279" i="3"/>
  <c r="AG280" i="3"/>
  <c r="AG285" i="3"/>
  <c r="AG36" i="3"/>
  <c r="AG37" i="3"/>
  <c r="AG38" i="3"/>
  <c r="AG40" i="3"/>
  <c r="AG289" i="3"/>
  <c r="AG41" i="3"/>
  <c r="AG42" i="3"/>
  <c r="AG43" i="3"/>
  <c r="AG44" i="3"/>
  <c r="AG83" i="3"/>
  <c r="AG290" i="3"/>
  <c r="AG291" i="3"/>
  <c r="AG45" i="3"/>
  <c r="AG46" i="3"/>
  <c r="AG47" i="3"/>
  <c r="AG296" i="3"/>
  <c r="AG139" i="3"/>
  <c r="AG246" i="3"/>
  <c r="AG254" i="3"/>
  <c r="AG131" i="3"/>
  <c r="AG247" i="3"/>
  <c r="AG255" i="3"/>
  <c r="AG161" i="3"/>
  <c r="AG248" i="3"/>
  <c r="AG256" i="3"/>
  <c r="AG8" i="3"/>
  <c r="AG249" i="3"/>
  <c r="AG132" i="3"/>
  <c r="AG242" i="3"/>
  <c r="AG250" i="3"/>
  <c r="AG133" i="3"/>
  <c r="AG243" i="3"/>
  <c r="AG251" i="3"/>
  <c r="AG245" i="3"/>
  <c r="AG253" i="3"/>
  <c r="AG138" i="3"/>
  <c r="AG252" i="3"/>
  <c r="AG244" i="3"/>
  <c r="AG374" i="3"/>
  <c r="AG384" i="3"/>
  <c r="AG347" i="3"/>
  <c r="AG22" i="3"/>
  <c r="AG301" i="3"/>
  <c r="AG197" i="3"/>
  <c r="AG80" i="3"/>
  <c r="AG339" i="3"/>
  <c r="AG59" i="3"/>
  <c r="AG338" i="3"/>
  <c r="AG360" i="3"/>
  <c r="AG355" i="3"/>
  <c r="AG345" i="3"/>
  <c r="AG295" i="3"/>
  <c r="AG351" i="3"/>
  <c r="AG259" i="3"/>
  <c r="AG276" i="3"/>
  <c r="AG320" i="3"/>
  <c r="AG23" i="3"/>
  <c r="AG346" i="3"/>
  <c r="AG93" i="3"/>
  <c r="AG379" i="3"/>
  <c r="AG29" i="3"/>
  <c r="AG204" i="3"/>
  <c r="AG352" i="3"/>
  <c r="AG340" i="3"/>
  <c r="AG60" i="3"/>
  <c r="AG292" i="3"/>
  <c r="AG49" i="3"/>
  <c r="AG76" i="3"/>
  <c r="AG341" i="3"/>
  <c r="AG361" i="3"/>
  <c r="AG79" i="3"/>
  <c r="AG221" i="3"/>
  <c r="AG359" i="3"/>
  <c r="AG19" i="3"/>
  <c r="AG25" i="3"/>
  <c r="AG378" i="3"/>
  <c r="AG380" i="3"/>
  <c r="AG31" i="3"/>
  <c r="AG33" i="3"/>
  <c r="AG70" i="3"/>
  <c r="AG78" i="3"/>
  <c r="AG314" i="3"/>
  <c r="AG365" i="3"/>
  <c r="AG362" i="3"/>
  <c r="AG20" i="3"/>
  <c r="AG89" i="3"/>
  <c r="AG26" i="3"/>
  <c r="AG194" i="3"/>
  <c r="AG283" i="3"/>
  <c r="AG206" i="3"/>
  <c r="AG34" i="3"/>
  <c r="AG74" i="3"/>
  <c r="AG294" i="3"/>
  <c r="AG356" i="3"/>
  <c r="AG334" i="3"/>
  <c r="AG316" i="3"/>
  <c r="AG366" i="3"/>
  <c r="AG260" i="3"/>
  <c r="AG7" i="3"/>
  <c r="AG91" i="3"/>
  <c r="AG21" i="3"/>
  <c r="AG27" i="3"/>
  <c r="AG54" i="3"/>
  <c r="AG284" i="3"/>
  <c r="AG35" i="3"/>
  <c r="AG225" i="3"/>
  <c r="AG237" i="3"/>
  <c r="AG191" i="3"/>
  <c r="AG61" i="3"/>
  <c r="AG343" i="3"/>
  <c r="AG6" i="3"/>
  <c r="AG386" i="3"/>
  <c r="AG369" i="3"/>
  <c r="AG328" i="3"/>
  <c r="AG24" i="3"/>
  <c r="AG196" i="3"/>
  <c r="AG364" i="3"/>
  <c r="AG39" i="3"/>
  <c r="AG218" i="3"/>
  <c r="AG236" i="3"/>
  <c r="AG51" i="3"/>
  <c r="AG353" i="3"/>
  <c r="AG48" i="3"/>
  <c r="AG50" i="3"/>
  <c r="AG310" i="3"/>
  <c r="AG268" i="3"/>
  <c r="AG385" i="3"/>
  <c r="AG282" i="3"/>
  <c r="AG192" i="3"/>
  <c r="AG368" i="3"/>
  <c r="AG28" i="3"/>
  <c r="AG57" i="3"/>
  <c r="AG267" i="3"/>
  <c r="AG258" i="3"/>
  <c r="AG241" i="3"/>
  <c r="AG342" i="3"/>
  <c r="AG350" i="3"/>
  <c r="AG53" i="3"/>
  <c r="AG377" i="3"/>
  <c r="AG293" i="3"/>
  <c r="AG30" i="3"/>
  <c r="AG269" i="3"/>
  <c r="AG32" i="3"/>
  <c r="AG56" i="3"/>
  <c r="AG281" i="3"/>
  <c r="AG162" i="3"/>
  <c r="AG184" i="3"/>
  <c r="AG183" i="3"/>
  <c r="AG185" i="3"/>
  <c r="AG354" i="3"/>
  <c r="AG160" i="3"/>
  <c r="AG272" i="3"/>
  <c r="AG367" i="3"/>
  <c r="AG370" i="3"/>
  <c r="AG344" i="3"/>
  <c r="AG348" i="3"/>
  <c r="AG358" i="3"/>
  <c r="AG357" i="3"/>
  <c r="AG257" i="3"/>
  <c r="AG65" i="3"/>
  <c r="AG85" i="3"/>
  <c r="AG224" i="3"/>
  <c r="AG86" i="3"/>
  <c r="AG179" i="3"/>
  <c r="AG84" i="3"/>
  <c r="AG227" i="3"/>
  <c r="AG337" i="3"/>
  <c r="AG231" i="3"/>
  <c r="AG232" i="3"/>
  <c r="AG189" i="3"/>
  <c r="AG81" i="3"/>
  <c r="AG239" i="3"/>
  <c r="AG187" i="3"/>
  <c r="AG88" i="3"/>
  <c r="AG312" i="3"/>
  <c r="AG90" i="3"/>
  <c r="AG336" i="3"/>
  <c r="AG375" i="3"/>
  <c r="AG313" i="3"/>
  <c r="AG332" i="3"/>
  <c r="AG383" i="3"/>
  <c r="AG73" i="3"/>
  <c r="AG62" i="3"/>
  <c r="AG388" i="3"/>
  <c r="AG217" i="3"/>
  <c r="AG64" i="3"/>
  <c r="AG77" i="3"/>
  <c r="AG96" i="3"/>
  <c r="AG104" i="3"/>
  <c r="AG112" i="3"/>
  <c r="AG116" i="3"/>
  <c r="AG124" i="3"/>
  <c r="AG135" i="3"/>
  <c r="AG145" i="3"/>
  <c r="AG153" i="3"/>
  <c r="AG164" i="3"/>
  <c r="AG172" i="3"/>
  <c r="AG193" i="3"/>
  <c r="AG208" i="3"/>
  <c r="AG216" i="3"/>
  <c r="AG228" i="3"/>
  <c r="AG238" i="3"/>
  <c r="AG286" i="3"/>
  <c r="AG317" i="3"/>
  <c r="AG327" i="3"/>
  <c r="AG382" i="3"/>
  <c r="AG9" i="3"/>
  <c r="AG97" i="3"/>
  <c r="AG105" i="3"/>
  <c r="AG113" i="3"/>
  <c r="AG117" i="3"/>
  <c r="AG125" i="3"/>
  <c r="AG136" i="3"/>
  <c r="AG146" i="3"/>
  <c r="AG154" i="3"/>
  <c r="AG165" i="3"/>
  <c r="AG180" i="3"/>
  <c r="AG195" i="3"/>
  <c r="AG209" i="3"/>
  <c r="AG219" i="3"/>
  <c r="AG229" i="3"/>
  <c r="AG240" i="3"/>
  <c r="AG261" i="3"/>
  <c r="AG271" i="3"/>
  <c r="AG305" i="3"/>
  <c r="AG318" i="3"/>
  <c r="AG329" i="3"/>
  <c r="AG349" i="3"/>
  <c r="AG363" i="3"/>
  <c r="AG371" i="3"/>
  <c r="AG387" i="3"/>
  <c r="AG66" i="3"/>
  <c r="AG98" i="3"/>
  <c r="AG106" i="3"/>
  <c r="AG118" i="3"/>
  <c r="AG126" i="3"/>
  <c r="AG137" i="3"/>
  <c r="AG147" i="3"/>
  <c r="AG155" i="3"/>
  <c r="AG166" i="3"/>
  <c r="AG173" i="3"/>
  <c r="AG181" i="3"/>
  <c r="AG198" i="3"/>
  <c r="AG210" i="3"/>
  <c r="AG220" i="3"/>
  <c r="AG230" i="3"/>
  <c r="AG262" i="3"/>
  <c r="AG297" i="3"/>
  <c r="AG306" i="3"/>
  <c r="AG319" i="3"/>
  <c r="AG330" i="3"/>
  <c r="AG372" i="3"/>
  <c r="AG389" i="3"/>
  <c r="AG3" i="3"/>
  <c r="AG67" i="3"/>
  <c r="AG99" i="3"/>
  <c r="AG107" i="3"/>
  <c r="AG119" i="3"/>
  <c r="AG127" i="3"/>
  <c r="AG140" i="3"/>
  <c r="AG148" i="3"/>
  <c r="AG156" i="3"/>
  <c r="AG167" i="3"/>
  <c r="AG174" i="3"/>
  <c r="AG182" i="3"/>
  <c r="AG201" i="3"/>
  <c r="AG211" i="3"/>
  <c r="AG222" i="3"/>
  <c r="AG263" i="3"/>
  <c r="AG298" i="3"/>
  <c r="AG307" i="3"/>
  <c r="AG322" i="3"/>
  <c r="AG331" i="3"/>
  <c r="AG390" i="3"/>
  <c r="AG4" i="3"/>
  <c r="AG68" i="3"/>
  <c r="AG87" i="3"/>
  <c r="AG100" i="3"/>
  <c r="AG108" i="3"/>
  <c r="AG120" i="3"/>
  <c r="AG128" i="3"/>
  <c r="AG141" i="3"/>
  <c r="AG149" i="3"/>
  <c r="AG157" i="3"/>
  <c r="AG168" i="3"/>
  <c r="AG175" i="3"/>
  <c r="AG186" i="3"/>
  <c r="AG202" i="3"/>
  <c r="AG212" i="3"/>
  <c r="AG223" i="3"/>
  <c r="AG233" i="3"/>
  <c r="AG264" i="3"/>
  <c r="AG299" i="3"/>
  <c r="AG308" i="3"/>
  <c r="AG323" i="3"/>
  <c r="AG333" i="3"/>
  <c r="AG373" i="3"/>
  <c r="AG391" i="3"/>
  <c r="AG63" i="3"/>
  <c r="AG75" i="3"/>
  <c r="AG58" i="3"/>
  <c r="AG103" i="3"/>
  <c r="AG122" i="3"/>
  <c r="AG150" i="3"/>
  <c r="AG171" i="3"/>
  <c r="AG205" i="3"/>
  <c r="AG234" i="3"/>
  <c r="AG311" i="3"/>
  <c r="AG71" i="3"/>
  <c r="AG109" i="3"/>
  <c r="AG123" i="3"/>
  <c r="AG151" i="3"/>
  <c r="AG176" i="3"/>
  <c r="AG207" i="3"/>
  <c r="AG235" i="3"/>
  <c r="AG265" i="3"/>
  <c r="AG315" i="3"/>
  <c r="AG376" i="3"/>
  <c r="AG72" i="3"/>
  <c r="AG110" i="3"/>
  <c r="AG129" i="3"/>
  <c r="AG152" i="3"/>
  <c r="AG177" i="3"/>
  <c r="AG213" i="3"/>
  <c r="AG266" i="3"/>
  <c r="AG324" i="3"/>
  <c r="AG92" i="3"/>
  <c r="AG111" i="3"/>
  <c r="AG130" i="3"/>
  <c r="AG158" i="3"/>
  <c r="AG178" i="3"/>
  <c r="AG214" i="3"/>
  <c r="AG270" i="3"/>
  <c r="AG325" i="3"/>
  <c r="AG381" i="3"/>
  <c r="AG94" i="3"/>
  <c r="AG134" i="3"/>
  <c r="AG159" i="3"/>
  <c r="AG215" i="3"/>
  <c r="AG300" i="3"/>
  <c r="AG326" i="3"/>
  <c r="AG392" i="3"/>
  <c r="AG5" i="3"/>
  <c r="AG95" i="3"/>
  <c r="AG114" i="3"/>
  <c r="AG142" i="3"/>
  <c r="AG163" i="3"/>
  <c r="AG188" i="3"/>
  <c r="AG302" i="3"/>
  <c r="AG335" i="3"/>
  <c r="AG55" i="3"/>
  <c r="AG102" i="3"/>
  <c r="AG121" i="3"/>
  <c r="AG144" i="3"/>
  <c r="AG170" i="3"/>
  <c r="AG203" i="3"/>
  <c r="AG309" i="3"/>
  <c r="AG226" i="3"/>
  <c r="AG52" i="3"/>
  <c r="AG304" i="3"/>
  <c r="AG101" i="3"/>
  <c r="AG115" i="3"/>
  <c r="AG143" i="3"/>
  <c r="AG190" i="3"/>
  <c r="AG169" i="3"/>
  <c r="E286" i="8"/>
  <c r="D286" i="8"/>
  <c r="B286" i="8"/>
  <c r="A286" i="8"/>
  <c r="E285" i="8"/>
  <c r="D285" i="8"/>
  <c r="B285" i="8"/>
  <c r="A285" i="8"/>
  <c r="E284" i="8"/>
  <c r="D284" i="8"/>
  <c r="B284" i="8"/>
  <c r="A284" i="8"/>
  <c r="E283" i="8"/>
  <c r="D283" i="8"/>
  <c r="B283" i="8"/>
  <c r="A283" i="8"/>
  <c r="E278" i="8"/>
  <c r="D278" i="8"/>
  <c r="B278" i="8"/>
  <c r="A278" i="8"/>
  <c r="E277" i="8"/>
  <c r="D277" i="8"/>
  <c r="B277" i="8"/>
  <c r="A277" i="8"/>
  <c r="E276" i="8"/>
  <c r="D276" i="8"/>
  <c r="B276" i="8"/>
  <c r="A276" i="8"/>
  <c r="E275" i="8"/>
  <c r="D275" i="8"/>
  <c r="B275" i="8"/>
  <c r="A275" i="8"/>
  <c r="E274" i="8"/>
  <c r="D274" i="8"/>
  <c r="B274" i="8"/>
  <c r="A274" i="8"/>
  <c r="E273" i="8"/>
  <c r="D273" i="8"/>
  <c r="B273" i="8"/>
  <c r="A273" i="8"/>
  <c r="E272" i="8"/>
  <c r="D272" i="8"/>
  <c r="B272" i="8"/>
  <c r="A272" i="8"/>
  <c r="E271" i="8"/>
  <c r="D271" i="8"/>
  <c r="B271" i="8"/>
  <c r="A271" i="8"/>
  <c r="E270" i="8"/>
  <c r="D270" i="8"/>
  <c r="B270" i="8"/>
  <c r="A270"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AA288" i="3" l="1"/>
  <c r="AA287" i="3"/>
  <c r="AA82" i="3"/>
  <c r="AA393" i="3"/>
  <c r="AA273" i="3"/>
  <c r="AA10" i="3"/>
  <c r="AA11" i="3"/>
  <c r="AA69" i="3"/>
  <c r="AA303" i="3"/>
  <c r="AA12" i="3"/>
  <c r="AA13" i="3"/>
  <c r="AA14" i="3"/>
  <c r="AA15" i="3"/>
  <c r="AA274" i="3"/>
  <c r="AA17" i="3"/>
  <c r="AA18" i="3"/>
  <c r="AA16" i="3"/>
  <c r="AA199" i="3"/>
  <c r="AA200" i="3"/>
  <c r="AA275" i="3"/>
  <c r="AA321" i="3"/>
  <c r="AA277" i="3"/>
  <c r="AA278" i="3"/>
  <c r="AA279" i="3"/>
  <c r="AA280" i="3"/>
  <c r="AA285" i="3"/>
  <c r="AA36" i="3"/>
  <c r="AA37" i="3"/>
  <c r="AA38" i="3"/>
  <c r="AA40" i="3"/>
  <c r="AA289" i="3"/>
  <c r="AA41" i="3"/>
  <c r="AA42" i="3"/>
  <c r="AA43" i="3"/>
  <c r="AA44" i="3"/>
  <c r="AA83" i="3"/>
  <c r="AA290" i="3"/>
  <c r="AA291" i="3"/>
  <c r="AA45" i="3"/>
  <c r="AA46" i="3"/>
  <c r="AA47" i="3"/>
  <c r="AA296" i="3"/>
  <c r="AA138" i="3"/>
  <c r="AA244" i="3"/>
  <c r="AA252" i="3"/>
  <c r="AA245" i="3"/>
  <c r="AA253" i="3"/>
  <c r="AA139" i="3"/>
  <c r="AA246" i="3"/>
  <c r="AA254" i="3"/>
  <c r="AA131" i="3"/>
  <c r="AA247" i="3"/>
  <c r="AA255" i="3"/>
  <c r="AA161" i="3"/>
  <c r="AA248" i="3"/>
  <c r="AA256" i="3"/>
  <c r="AA8" i="3"/>
  <c r="AA249" i="3"/>
  <c r="AA133" i="3"/>
  <c r="AA243" i="3"/>
  <c r="AA251" i="3"/>
  <c r="AA132" i="3"/>
  <c r="AA242" i="3"/>
  <c r="AA250" i="3"/>
  <c r="AA341" i="3"/>
  <c r="AA361" i="3"/>
  <c r="AA79" i="3"/>
  <c r="AA221" i="3"/>
  <c r="AA359" i="3"/>
  <c r="AA19" i="3"/>
  <c r="AA25" i="3"/>
  <c r="AA378" i="3"/>
  <c r="AA380" i="3"/>
  <c r="AA31" i="3"/>
  <c r="AA33" i="3"/>
  <c r="AA70" i="3"/>
  <c r="AA78" i="3"/>
  <c r="AA314" i="3"/>
  <c r="AA365" i="3"/>
  <c r="AA362" i="3"/>
  <c r="AA20" i="3"/>
  <c r="AA89" i="3"/>
  <c r="AA26" i="3"/>
  <c r="AA194" i="3"/>
  <c r="AA283" i="3"/>
  <c r="AA206" i="3"/>
  <c r="AA34" i="3"/>
  <c r="AA74" i="3"/>
  <c r="AA294" i="3"/>
  <c r="AA356" i="3"/>
  <c r="AA334" i="3"/>
  <c r="AA316" i="3"/>
  <c r="AA268" i="3"/>
  <c r="AA385" i="3"/>
  <c r="AA368" i="3"/>
  <c r="AA282" i="3"/>
  <c r="AA28" i="3"/>
  <c r="AA350" i="3"/>
  <c r="AA57" i="3"/>
  <c r="AA192" i="3"/>
  <c r="AA343" i="3"/>
  <c r="AA6" i="3"/>
  <c r="AA386" i="3"/>
  <c r="AA369" i="3"/>
  <c r="AA328" i="3"/>
  <c r="AA24" i="3"/>
  <c r="AA196" i="3"/>
  <c r="AA364" i="3"/>
  <c r="AA39" i="3"/>
  <c r="AA218" i="3"/>
  <c r="AA236" i="3"/>
  <c r="AA51" i="3"/>
  <c r="AA374" i="3"/>
  <c r="AA384" i="3"/>
  <c r="AA347" i="3"/>
  <c r="AA22" i="3"/>
  <c r="AA301" i="3"/>
  <c r="AA197" i="3"/>
  <c r="AA80" i="3"/>
  <c r="AA339" i="3"/>
  <c r="AA59" i="3"/>
  <c r="AA338" i="3"/>
  <c r="AA360" i="3"/>
  <c r="AA355" i="3"/>
  <c r="AA345" i="3"/>
  <c r="AA295" i="3"/>
  <c r="AA267" i="3"/>
  <c r="AA377" i="3"/>
  <c r="AA353" i="3"/>
  <c r="AA258" i="3"/>
  <c r="AA269" i="3"/>
  <c r="AA281" i="3"/>
  <c r="AA241" i="3"/>
  <c r="AA30" i="3"/>
  <c r="AA32" i="3"/>
  <c r="AA56" i="3"/>
  <c r="AA48" i="3"/>
  <c r="AA53" i="3"/>
  <c r="AA342" i="3"/>
  <c r="AA293" i="3"/>
  <c r="AA50" i="3"/>
  <c r="AA310" i="3"/>
  <c r="AA7" i="3"/>
  <c r="AA91" i="3"/>
  <c r="AA225" i="3"/>
  <c r="AA351" i="3"/>
  <c r="AA93" i="3"/>
  <c r="AA60" i="3"/>
  <c r="AA292" i="3"/>
  <c r="AA49" i="3"/>
  <c r="AA259" i="3"/>
  <c r="AA320" i="3"/>
  <c r="AA29" i="3"/>
  <c r="AA260" i="3"/>
  <c r="AA21" i="3"/>
  <c r="AA27" i="3"/>
  <c r="AA54" i="3"/>
  <c r="AA35" i="3"/>
  <c r="AA276" i="3"/>
  <c r="AA23" i="3"/>
  <c r="AA379" i="3"/>
  <c r="AA204" i="3"/>
  <c r="AA340" i="3"/>
  <c r="AA76" i="3"/>
  <c r="AA346" i="3"/>
  <c r="AA352" i="3"/>
  <c r="AA237" i="3"/>
  <c r="AA366" i="3"/>
  <c r="AA191" i="3"/>
  <c r="AA61" i="3"/>
  <c r="AA284" i="3"/>
  <c r="AA162" i="3"/>
  <c r="AA183" i="3"/>
  <c r="AA354" i="3"/>
  <c r="AA184" i="3"/>
  <c r="AA160" i="3"/>
  <c r="AA185" i="3"/>
  <c r="AA358" i="3"/>
  <c r="AA367" i="3"/>
  <c r="AA370" i="3"/>
  <c r="AA344" i="3"/>
  <c r="AA348" i="3"/>
  <c r="AA357" i="3"/>
  <c r="AA272" i="3"/>
  <c r="AA257" i="3"/>
  <c r="AA65" i="3"/>
  <c r="AA179" i="3"/>
  <c r="AA84" i="3"/>
  <c r="AA227" i="3"/>
  <c r="AA337" i="3"/>
  <c r="AA85" i="3"/>
  <c r="AA86" i="3"/>
  <c r="AA224" i="3"/>
  <c r="AA232" i="3"/>
  <c r="AA231" i="3"/>
  <c r="AA189" i="3"/>
  <c r="AA81" i="3"/>
  <c r="AA239" i="3"/>
  <c r="AA187" i="3"/>
  <c r="AA88" i="3"/>
  <c r="AA312" i="3"/>
  <c r="AA90" i="3"/>
  <c r="AA336" i="3"/>
  <c r="AA375" i="3"/>
  <c r="AA313" i="3"/>
  <c r="AA332" i="3"/>
  <c r="AA383" i="3"/>
  <c r="AA73" i="3"/>
  <c r="AA62" i="3"/>
  <c r="AA388" i="3"/>
  <c r="AA217" i="3"/>
  <c r="AA5" i="3"/>
  <c r="AA55" i="3"/>
  <c r="AA71" i="3"/>
  <c r="AA92" i="3"/>
  <c r="AA52" i="3"/>
  <c r="AA58" i="3"/>
  <c r="AA72" i="3"/>
  <c r="AA94" i="3"/>
  <c r="AA63" i="3"/>
  <c r="AA75" i="3"/>
  <c r="AA64" i="3"/>
  <c r="AA77" i="3"/>
  <c r="AA9" i="3"/>
  <c r="AA95" i="3"/>
  <c r="AA103" i="3"/>
  <c r="AA111" i="3"/>
  <c r="AA115" i="3"/>
  <c r="AA123" i="3"/>
  <c r="AA134" i="3"/>
  <c r="AA144" i="3"/>
  <c r="AA152" i="3"/>
  <c r="AA163" i="3"/>
  <c r="AA171" i="3"/>
  <c r="AA178" i="3"/>
  <c r="AA190" i="3"/>
  <c r="AA207" i="3"/>
  <c r="AA215" i="3"/>
  <c r="AA270" i="3"/>
  <c r="AA304" i="3"/>
  <c r="AA315" i="3"/>
  <c r="AA326" i="3"/>
  <c r="AA381" i="3"/>
  <c r="AA96" i="3"/>
  <c r="AA104" i="3"/>
  <c r="AA112" i="3"/>
  <c r="AA116" i="3"/>
  <c r="AA124" i="3"/>
  <c r="AA135" i="3"/>
  <c r="AA145" i="3"/>
  <c r="AA153" i="3"/>
  <c r="AA164" i="3"/>
  <c r="AA172" i="3"/>
  <c r="AA193" i="3"/>
  <c r="AA208" i="3"/>
  <c r="AA216" i="3"/>
  <c r="AA228" i="3"/>
  <c r="AA238" i="3"/>
  <c r="AA286" i="3"/>
  <c r="AA317" i="3"/>
  <c r="AA327" i="3"/>
  <c r="AA382" i="3"/>
  <c r="AA66" i="3"/>
  <c r="AA97" i="3"/>
  <c r="AA105" i="3"/>
  <c r="AA113" i="3"/>
  <c r="AA117" i="3"/>
  <c r="AA125" i="3"/>
  <c r="AA136" i="3"/>
  <c r="AA146" i="3"/>
  <c r="AA154" i="3"/>
  <c r="AA165" i="3"/>
  <c r="AA180" i="3"/>
  <c r="AA195" i="3"/>
  <c r="AA209" i="3"/>
  <c r="AA219" i="3"/>
  <c r="AA229" i="3"/>
  <c r="AA240" i="3"/>
  <c r="AA261" i="3"/>
  <c r="AA271" i="3"/>
  <c r="AA305" i="3"/>
  <c r="AA318" i="3"/>
  <c r="AA329" i="3"/>
  <c r="AA349" i="3"/>
  <c r="AA363" i="3"/>
  <c r="AA371" i="3"/>
  <c r="AA387" i="3"/>
  <c r="AA67" i="3"/>
  <c r="AA98" i="3"/>
  <c r="AA106" i="3"/>
  <c r="AA118" i="3"/>
  <c r="AA126" i="3"/>
  <c r="AA137" i="3"/>
  <c r="AA147" i="3"/>
  <c r="AA155" i="3"/>
  <c r="AA166" i="3"/>
  <c r="AA173" i="3"/>
  <c r="AA181" i="3"/>
  <c r="AA198" i="3"/>
  <c r="AA210" i="3"/>
  <c r="AA220" i="3"/>
  <c r="AA230" i="3"/>
  <c r="AA262" i="3"/>
  <c r="AA297" i="3"/>
  <c r="AA306" i="3"/>
  <c r="AA319" i="3"/>
  <c r="AA330" i="3"/>
  <c r="AA372" i="3"/>
  <c r="AA389" i="3"/>
  <c r="AA68" i="3"/>
  <c r="AA99" i="3"/>
  <c r="AA107" i="3"/>
  <c r="AA119" i="3"/>
  <c r="AA127" i="3"/>
  <c r="AA140" i="3"/>
  <c r="AA148" i="3"/>
  <c r="AA156" i="3"/>
  <c r="AA167" i="3"/>
  <c r="AA174" i="3"/>
  <c r="AA182" i="3"/>
  <c r="AA201" i="3"/>
  <c r="AA211" i="3"/>
  <c r="AA222" i="3"/>
  <c r="AA263" i="3"/>
  <c r="AA298" i="3"/>
  <c r="AA307" i="3"/>
  <c r="AA322" i="3"/>
  <c r="AA331" i="3"/>
  <c r="AA390" i="3"/>
  <c r="AA3" i="3"/>
  <c r="AA100" i="3"/>
  <c r="AA108" i="3"/>
  <c r="AA120" i="3"/>
  <c r="AA128" i="3"/>
  <c r="AA141" i="3"/>
  <c r="AA149" i="3"/>
  <c r="AA157" i="3"/>
  <c r="AA168" i="3"/>
  <c r="AA175" i="3"/>
  <c r="AA186" i="3"/>
  <c r="AA202" i="3"/>
  <c r="AA212" i="3"/>
  <c r="AA223" i="3"/>
  <c r="AA233" i="3"/>
  <c r="AA264" i="3"/>
  <c r="AA299" i="3"/>
  <c r="AA308" i="3"/>
  <c r="AA323" i="3"/>
  <c r="AA333" i="3"/>
  <c r="AA373" i="3"/>
  <c r="AA391" i="3"/>
  <c r="AA87" i="3"/>
  <c r="AA122" i="3"/>
  <c r="AA159" i="3"/>
  <c r="AA205" i="3"/>
  <c r="AA311" i="3"/>
  <c r="AA101" i="3"/>
  <c r="AA129" i="3"/>
  <c r="AA169" i="3"/>
  <c r="AA213" i="3"/>
  <c r="AA324" i="3"/>
  <c r="AA102" i="3"/>
  <c r="AA130" i="3"/>
  <c r="AA170" i="3"/>
  <c r="AA214" i="3"/>
  <c r="AA325" i="3"/>
  <c r="AA109" i="3"/>
  <c r="AA142" i="3"/>
  <c r="AA176" i="3"/>
  <c r="AA265" i="3"/>
  <c r="AA335" i="3"/>
  <c r="AA376" i="3"/>
  <c r="AA110" i="3"/>
  <c r="AA143" i="3"/>
  <c r="AA177" i="3"/>
  <c r="AA226" i="3"/>
  <c r="AA266" i="3"/>
  <c r="AA4" i="3"/>
  <c r="AA150" i="3"/>
  <c r="AA234" i="3"/>
  <c r="AA300" i="3"/>
  <c r="AA392" i="3"/>
  <c r="AA121" i="3"/>
  <c r="AA158" i="3"/>
  <c r="AA203" i="3"/>
  <c r="AA309" i="3"/>
  <c r="AA114" i="3"/>
  <c r="AA151" i="3"/>
  <c r="AA188" i="3"/>
  <c r="AA235" i="3"/>
  <c r="AA302" i="3"/>
  <c r="E260" i="8"/>
  <c r="D260" i="8"/>
  <c r="B260" i="8"/>
  <c r="A260" i="8"/>
  <c r="E259" i="8"/>
  <c r="D259" i="8"/>
  <c r="B259" i="8"/>
  <c r="A259" i="8"/>
  <c r="E258" i="8"/>
  <c r="D258" i="8"/>
  <c r="B258" i="8"/>
  <c r="A258" i="8"/>
  <c r="E257" i="8"/>
  <c r="D257" i="8"/>
  <c r="B257" i="8"/>
  <c r="A257" i="8"/>
  <c r="E252" i="8"/>
  <c r="D252" i="8"/>
  <c r="B252" i="8"/>
  <c r="A252" i="8"/>
  <c r="E251" i="8"/>
  <c r="D251" i="8"/>
  <c r="B251" i="8"/>
  <c r="A251" i="8"/>
  <c r="E250" i="8"/>
  <c r="D250" i="8"/>
  <c r="B250" i="8"/>
  <c r="A250"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E237" i="8"/>
  <c r="D237" i="8"/>
  <c r="B237" i="8"/>
  <c r="A237" i="8"/>
  <c r="E234" i="8"/>
  <c r="D234" i="8"/>
  <c r="B234" i="8"/>
  <c r="A234" i="8"/>
  <c r="E233" i="8"/>
  <c r="D233" i="8"/>
  <c r="B233" i="8"/>
  <c r="A233" i="8"/>
  <c r="E231" i="8"/>
  <c r="D231" i="8"/>
  <c r="B231" i="8"/>
  <c r="A231" i="8"/>
  <c r="E230" i="8"/>
  <c r="D230" i="8"/>
  <c r="B230" i="8"/>
  <c r="A230" i="8"/>
  <c r="E229" i="8"/>
  <c r="D229" i="8"/>
  <c r="B229" i="8"/>
  <c r="A229" i="8"/>
  <c r="E228" i="8"/>
  <c r="D228" i="8"/>
  <c r="B228" i="8"/>
  <c r="A228" i="8"/>
  <c r="E227" i="8"/>
  <c r="D227" i="8"/>
  <c r="B227" i="8"/>
  <c r="A227" i="8"/>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Y288" i="3" l="1"/>
  <c r="Y287" i="3"/>
  <c r="Y82" i="3"/>
  <c r="Y393" i="3"/>
  <c r="Y273" i="3"/>
  <c r="Y10" i="3"/>
  <c r="Y11" i="3"/>
  <c r="Y69" i="3"/>
  <c r="Y303" i="3"/>
  <c r="Y12" i="3"/>
  <c r="Y13" i="3"/>
  <c r="Y14" i="3"/>
  <c r="Y15" i="3"/>
  <c r="Y274" i="3"/>
  <c r="Y17" i="3"/>
  <c r="Y18" i="3"/>
  <c r="Y16" i="3"/>
  <c r="Y199" i="3"/>
  <c r="Y200" i="3"/>
  <c r="Y275" i="3"/>
  <c r="Y321" i="3"/>
  <c r="Y277" i="3"/>
  <c r="Y278" i="3"/>
  <c r="Y279" i="3"/>
  <c r="Y280" i="3"/>
  <c r="Y285" i="3"/>
  <c r="Y36" i="3"/>
  <c r="Y37" i="3"/>
  <c r="Y38" i="3"/>
  <c r="Y40" i="3"/>
  <c r="Y289" i="3"/>
  <c r="Y41" i="3"/>
  <c r="Y42" i="3"/>
  <c r="Y43" i="3"/>
  <c r="Y44" i="3"/>
  <c r="Y83" i="3"/>
  <c r="Y290" i="3"/>
  <c r="Y291" i="3"/>
  <c r="Y45" i="3"/>
  <c r="Y46" i="3"/>
  <c r="Y47" i="3"/>
  <c r="Y296" i="3"/>
  <c r="Z288" i="3"/>
  <c r="Z287" i="3"/>
  <c r="Z82" i="3"/>
  <c r="Z393" i="3"/>
  <c r="Z273" i="3"/>
  <c r="Z10" i="3"/>
  <c r="Z11" i="3"/>
  <c r="Z69" i="3"/>
  <c r="Z303" i="3"/>
  <c r="Z12" i="3"/>
  <c r="Z13" i="3"/>
  <c r="Z14" i="3"/>
  <c r="Z15" i="3"/>
  <c r="Z274" i="3"/>
  <c r="Z17" i="3"/>
  <c r="Z18" i="3"/>
  <c r="Z16" i="3"/>
  <c r="Z199" i="3"/>
  <c r="Z200" i="3"/>
  <c r="Z275" i="3"/>
  <c r="Z321" i="3"/>
  <c r="Z277" i="3"/>
  <c r="Z278" i="3"/>
  <c r="Z279" i="3"/>
  <c r="Z280" i="3"/>
  <c r="Z285" i="3"/>
  <c r="Z36" i="3"/>
  <c r="Z37" i="3"/>
  <c r="Z38" i="3"/>
  <c r="Z40" i="3"/>
  <c r="Z289" i="3"/>
  <c r="Z41" i="3"/>
  <c r="Z42" i="3"/>
  <c r="Z43" i="3"/>
  <c r="Z44" i="3"/>
  <c r="Z83" i="3"/>
  <c r="Z290" i="3"/>
  <c r="Z291" i="3"/>
  <c r="Z45" i="3"/>
  <c r="Z46" i="3"/>
  <c r="Z47" i="3"/>
  <c r="Z296" i="3"/>
  <c r="Z132" i="3"/>
  <c r="Z242" i="3"/>
  <c r="Z250" i="3"/>
  <c r="Z133" i="3"/>
  <c r="Z243" i="3"/>
  <c r="Z251" i="3"/>
  <c r="Z138" i="3"/>
  <c r="Z244" i="3"/>
  <c r="Z252" i="3"/>
  <c r="Z245" i="3"/>
  <c r="Z253" i="3"/>
  <c r="Z139" i="3"/>
  <c r="Z246" i="3"/>
  <c r="Z254" i="3"/>
  <c r="Z131" i="3"/>
  <c r="Z247" i="3"/>
  <c r="Z255" i="3"/>
  <c r="Z8" i="3"/>
  <c r="Z249" i="3"/>
  <c r="Z248" i="3"/>
  <c r="Z256" i="3"/>
  <c r="Z161" i="3"/>
  <c r="Z341" i="3"/>
  <c r="Z361" i="3"/>
  <c r="Z79" i="3"/>
  <c r="Z221" i="3"/>
  <c r="Z359" i="3"/>
  <c r="Z19" i="3"/>
  <c r="Z25" i="3"/>
  <c r="Z378" i="3"/>
  <c r="Z362" i="3"/>
  <c r="Z20" i="3"/>
  <c r="Z89" i="3"/>
  <c r="Z26" i="3"/>
  <c r="Z194" i="3"/>
  <c r="Z283" i="3"/>
  <c r="Z268" i="3"/>
  <c r="Z385" i="3"/>
  <c r="Z368" i="3"/>
  <c r="Z282" i="3"/>
  <c r="Z28" i="3"/>
  <c r="Z350" i="3"/>
  <c r="Z57" i="3"/>
  <c r="Z343" i="3"/>
  <c r="Z6" i="3"/>
  <c r="Z386" i="3"/>
  <c r="Z369" i="3"/>
  <c r="Z328" i="3"/>
  <c r="Z24" i="3"/>
  <c r="Z196" i="3"/>
  <c r="Z364" i="3"/>
  <c r="Z39" i="3"/>
  <c r="Z374" i="3"/>
  <c r="Z384" i="3"/>
  <c r="Z267" i="3"/>
  <c r="Z377" i="3"/>
  <c r="Z353" i="3"/>
  <c r="Z258" i="3"/>
  <c r="Z269" i="3"/>
  <c r="Z281" i="3"/>
  <c r="Z241" i="3"/>
  <c r="Z30" i="3"/>
  <c r="Z32" i="3"/>
  <c r="Z56" i="3"/>
  <c r="Z48" i="3"/>
  <c r="Z53" i="3"/>
  <c r="Z342" i="3"/>
  <c r="Z293" i="3"/>
  <c r="Z50" i="3"/>
  <c r="Z7" i="3"/>
  <c r="Z91" i="3"/>
  <c r="Z23" i="3"/>
  <c r="Z31" i="3"/>
  <c r="Z352" i="3"/>
  <c r="Z284" i="3"/>
  <c r="Z340" i="3"/>
  <c r="Z192" i="3"/>
  <c r="Z351" i="3"/>
  <c r="Z347" i="3"/>
  <c r="Z54" i="3"/>
  <c r="Z339" i="3"/>
  <c r="Z225" i="3"/>
  <c r="Z338" i="3"/>
  <c r="Z218" i="3"/>
  <c r="Z236" i="3"/>
  <c r="Z51" i="3"/>
  <c r="Z259" i="3"/>
  <c r="Z346" i="3"/>
  <c r="Z301" i="3"/>
  <c r="Z204" i="3"/>
  <c r="Z33" i="3"/>
  <c r="Z59" i="3"/>
  <c r="Z237" i="3"/>
  <c r="Z355" i="3"/>
  <c r="Z76" i="3"/>
  <c r="Z260" i="3"/>
  <c r="Z379" i="3"/>
  <c r="Z380" i="3"/>
  <c r="Z34" i="3"/>
  <c r="Z60" i="3"/>
  <c r="Z292" i="3"/>
  <c r="Z49" i="3"/>
  <c r="Z310" i="3"/>
  <c r="Z276" i="3"/>
  <c r="Z320" i="3"/>
  <c r="Z35" i="3"/>
  <c r="Z70" i="3"/>
  <c r="Z78" i="3"/>
  <c r="Z314" i="3"/>
  <c r="Z365" i="3"/>
  <c r="Z22" i="3"/>
  <c r="Z29" i="3"/>
  <c r="Z206" i="3"/>
  <c r="Z360" i="3"/>
  <c r="Z191" i="3"/>
  <c r="Z61" i="3"/>
  <c r="Z295" i="3"/>
  <c r="Z93" i="3"/>
  <c r="Z74" i="3"/>
  <c r="Z356" i="3"/>
  <c r="Z316" i="3"/>
  <c r="Z197" i="3"/>
  <c r="Z345" i="3"/>
  <c r="Z334" i="3"/>
  <c r="Z21" i="3"/>
  <c r="Z294" i="3"/>
  <c r="Z27" i="3"/>
  <c r="Z80" i="3"/>
  <c r="Z366" i="3"/>
  <c r="Y161" i="3"/>
  <c r="Y248" i="3"/>
  <c r="Y256" i="3"/>
  <c r="Y8" i="3"/>
  <c r="Y249" i="3"/>
  <c r="Y132" i="3"/>
  <c r="Y242" i="3"/>
  <c r="Y250" i="3"/>
  <c r="Y133" i="3"/>
  <c r="Y243" i="3"/>
  <c r="Y251" i="3"/>
  <c r="Y138" i="3"/>
  <c r="Y244" i="3"/>
  <c r="Y252" i="3"/>
  <c r="Y245" i="3"/>
  <c r="Y253" i="3"/>
  <c r="Y131" i="3"/>
  <c r="Y247" i="3"/>
  <c r="Y255" i="3"/>
  <c r="Y139" i="3"/>
  <c r="Y246" i="3"/>
  <c r="Y254" i="3"/>
  <c r="Y268" i="3"/>
  <c r="Y385" i="3"/>
  <c r="Y368" i="3"/>
  <c r="Y282" i="3"/>
  <c r="Y28" i="3"/>
  <c r="Y350" i="3"/>
  <c r="Y57" i="3"/>
  <c r="Y192" i="3"/>
  <c r="Y343" i="3"/>
  <c r="Y6" i="3"/>
  <c r="Y386" i="3"/>
  <c r="Y369" i="3"/>
  <c r="Y328" i="3"/>
  <c r="Y24" i="3"/>
  <c r="Y196" i="3"/>
  <c r="Y364" i="3"/>
  <c r="Y39" i="3"/>
  <c r="Y218" i="3"/>
  <c r="Y236" i="3"/>
  <c r="Y51" i="3"/>
  <c r="Y351" i="3"/>
  <c r="Y259" i="3"/>
  <c r="Y276" i="3"/>
  <c r="Y320" i="3"/>
  <c r="Y23" i="3"/>
  <c r="Y346" i="3"/>
  <c r="Y93" i="3"/>
  <c r="Y379" i="3"/>
  <c r="Y29" i="3"/>
  <c r="Y204" i="3"/>
  <c r="Y352" i="3"/>
  <c r="Y340" i="3"/>
  <c r="Y60" i="3"/>
  <c r="Y292" i="3"/>
  <c r="Y49" i="3"/>
  <c r="Y76" i="3"/>
  <c r="Y267" i="3"/>
  <c r="Y377" i="3"/>
  <c r="Y353" i="3"/>
  <c r="Y258" i="3"/>
  <c r="Y269" i="3"/>
  <c r="Y281" i="3"/>
  <c r="Y241" i="3"/>
  <c r="Y30" i="3"/>
  <c r="Y32" i="3"/>
  <c r="Y56" i="3"/>
  <c r="Y48" i="3"/>
  <c r="Y53" i="3"/>
  <c r="Y342" i="3"/>
  <c r="Y293" i="3"/>
  <c r="Y50" i="3"/>
  <c r="Y310" i="3"/>
  <c r="Y341" i="3"/>
  <c r="Y361" i="3"/>
  <c r="Y79" i="3"/>
  <c r="Y221" i="3"/>
  <c r="Y359" i="3"/>
  <c r="Y19" i="3"/>
  <c r="Y25" i="3"/>
  <c r="Y378" i="3"/>
  <c r="Y380" i="3"/>
  <c r="Y31" i="3"/>
  <c r="Y33" i="3"/>
  <c r="Y70" i="3"/>
  <c r="Y78" i="3"/>
  <c r="Y314" i="3"/>
  <c r="Y365" i="3"/>
  <c r="Y366" i="3"/>
  <c r="Y260" i="3"/>
  <c r="Y7" i="3"/>
  <c r="Y91" i="3"/>
  <c r="Y21" i="3"/>
  <c r="Y27" i="3"/>
  <c r="Y54" i="3"/>
  <c r="Y284" i="3"/>
  <c r="Y35" i="3"/>
  <c r="Y225" i="3"/>
  <c r="Y237" i="3"/>
  <c r="Y191" i="3"/>
  <c r="Y61" i="3"/>
  <c r="Y374" i="3"/>
  <c r="Y295" i="3"/>
  <c r="Y89" i="3"/>
  <c r="Y194" i="3"/>
  <c r="Y362" i="3"/>
  <c r="Y283" i="3"/>
  <c r="Y206" i="3"/>
  <c r="Y74" i="3"/>
  <c r="Y356" i="3"/>
  <c r="Y316" i="3"/>
  <c r="Y339" i="3"/>
  <c r="Y338" i="3"/>
  <c r="Y345" i="3"/>
  <c r="Y26" i="3"/>
  <c r="Y34" i="3"/>
  <c r="Y334" i="3"/>
  <c r="Y20" i="3"/>
  <c r="Y294" i="3"/>
  <c r="Y347" i="3"/>
  <c r="Y59" i="3"/>
  <c r="Y22" i="3"/>
  <c r="Y360" i="3"/>
  <c r="Y301" i="3"/>
  <c r="Y197" i="3"/>
  <c r="Y80" i="3"/>
  <c r="Y384" i="3"/>
  <c r="Y355" i="3"/>
  <c r="Y160" i="3"/>
  <c r="Y185" i="3"/>
  <c r="Y183" i="3"/>
  <c r="Y354" i="3"/>
  <c r="Y184" i="3"/>
  <c r="Y162" i="3"/>
  <c r="Z162" i="3"/>
  <c r="Z185" i="3"/>
  <c r="Z354" i="3"/>
  <c r="Z160" i="3"/>
  <c r="Z183" i="3"/>
  <c r="Z184" i="3"/>
  <c r="Z357" i="3"/>
  <c r="Z358" i="3"/>
  <c r="Z367" i="3"/>
  <c r="Z370" i="3"/>
  <c r="Z344" i="3"/>
  <c r="Z348" i="3"/>
  <c r="Y357" i="3"/>
  <c r="Y358" i="3"/>
  <c r="Y367" i="3"/>
  <c r="Y370" i="3"/>
  <c r="Y348" i="3"/>
  <c r="Y344" i="3"/>
  <c r="Z272" i="3"/>
  <c r="Y272" i="3"/>
  <c r="Y257" i="3"/>
  <c r="Z257" i="3"/>
  <c r="Y65" i="3"/>
  <c r="Y84" i="3"/>
  <c r="Y227" i="3"/>
  <c r="Y85" i="3"/>
  <c r="Y337" i="3"/>
  <c r="Y86" i="3"/>
  <c r="Y224" i="3"/>
  <c r="Y179" i="3"/>
  <c r="Z65" i="3"/>
  <c r="Z179" i="3"/>
  <c r="Z84" i="3"/>
  <c r="Z227" i="3"/>
  <c r="Z337" i="3"/>
  <c r="Z85" i="3"/>
  <c r="Z224" i="3"/>
  <c r="Z86" i="3"/>
  <c r="Z231" i="3"/>
  <c r="Z232" i="3"/>
  <c r="Y231" i="3"/>
  <c r="Y232" i="3"/>
  <c r="Y189" i="3"/>
  <c r="Y81" i="3"/>
  <c r="Y239" i="3"/>
  <c r="Y187" i="3"/>
  <c r="Y88" i="3"/>
  <c r="Y312" i="3"/>
  <c r="Y90" i="3"/>
  <c r="Y336" i="3"/>
  <c r="Y375" i="3"/>
  <c r="Y313" i="3"/>
  <c r="Y332" i="3"/>
  <c r="Y383" i="3"/>
  <c r="Y73" i="3"/>
  <c r="Y62" i="3"/>
  <c r="Y388" i="3"/>
  <c r="Y217" i="3"/>
  <c r="Z189" i="3"/>
  <c r="Z81" i="3"/>
  <c r="Z239" i="3"/>
  <c r="Z187" i="3"/>
  <c r="Z88" i="3"/>
  <c r="Z312" i="3"/>
  <c r="Z90" i="3"/>
  <c r="Z336" i="3"/>
  <c r="Z375" i="3"/>
  <c r="Z313" i="3"/>
  <c r="Z332" i="3"/>
  <c r="Z383" i="3"/>
  <c r="Z73" i="3"/>
  <c r="Z62" i="3"/>
  <c r="Z388" i="3"/>
  <c r="Z217" i="3"/>
  <c r="Y5" i="3"/>
  <c r="Y55" i="3"/>
  <c r="Y71" i="3"/>
  <c r="Y52" i="3"/>
  <c r="Y58" i="3"/>
  <c r="Y72" i="3"/>
  <c r="Y4" i="3"/>
  <c r="Y64" i="3"/>
  <c r="Y98" i="3"/>
  <c r="Y106" i="3"/>
  <c r="Y118" i="3"/>
  <c r="Y126" i="3"/>
  <c r="Y137" i="3"/>
  <c r="Y147" i="3"/>
  <c r="Y155" i="3"/>
  <c r="Y166" i="3"/>
  <c r="Y173" i="3"/>
  <c r="Y181" i="3"/>
  <c r="Y198" i="3"/>
  <c r="Y210" i="3"/>
  <c r="Y220" i="3"/>
  <c r="Y230" i="3"/>
  <c r="Y262" i="3"/>
  <c r="Y297" i="3"/>
  <c r="Y306" i="3"/>
  <c r="Y319" i="3"/>
  <c r="Y330" i="3"/>
  <c r="Y372" i="3"/>
  <c r="Y389" i="3"/>
  <c r="Y99" i="3"/>
  <c r="Y107" i="3"/>
  <c r="Y119" i="3"/>
  <c r="Y127" i="3"/>
  <c r="Y140" i="3"/>
  <c r="Y148" i="3"/>
  <c r="Y156" i="3"/>
  <c r="Y167" i="3"/>
  <c r="Y174" i="3"/>
  <c r="Y182" i="3"/>
  <c r="Y201" i="3"/>
  <c r="Y211" i="3"/>
  <c r="Y222" i="3"/>
  <c r="Y263" i="3"/>
  <c r="Y298" i="3"/>
  <c r="Y307" i="3"/>
  <c r="Y322" i="3"/>
  <c r="Y331" i="3"/>
  <c r="Y390" i="3"/>
  <c r="Y66" i="3"/>
  <c r="Y87" i="3"/>
  <c r="Y100" i="3"/>
  <c r="Y108" i="3"/>
  <c r="Y120" i="3"/>
  <c r="Y128" i="3"/>
  <c r="Y141" i="3"/>
  <c r="Y149" i="3"/>
  <c r="Y157" i="3"/>
  <c r="Y168" i="3"/>
  <c r="Y175" i="3"/>
  <c r="Y186" i="3"/>
  <c r="Y202" i="3"/>
  <c r="Y212" i="3"/>
  <c r="Y223" i="3"/>
  <c r="Y233" i="3"/>
  <c r="Y264" i="3"/>
  <c r="Y299" i="3"/>
  <c r="Y308" i="3"/>
  <c r="Y323" i="3"/>
  <c r="Y333" i="3"/>
  <c r="Y373" i="3"/>
  <c r="Y391" i="3"/>
  <c r="Y9" i="3"/>
  <c r="Y67" i="3"/>
  <c r="Y92" i="3"/>
  <c r="Y101" i="3"/>
  <c r="Y109" i="3"/>
  <c r="Y121" i="3"/>
  <c r="Y129" i="3"/>
  <c r="Y142" i="3"/>
  <c r="Y150" i="3"/>
  <c r="Y158" i="3"/>
  <c r="Y169" i="3"/>
  <c r="Y68" i="3"/>
  <c r="Y94" i="3"/>
  <c r="Y102" i="3"/>
  <c r="Y110" i="3"/>
  <c r="Y114" i="3"/>
  <c r="Y122" i="3"/>
  <c r="Y130" i="3"/>
  <c r="Y143" i="3"/>
  <c r="Y151" i="3"/>
  <c r="Y159" i="3"/>
  <c r="Y170" i="3"/>
  <c r="Y177" i="3"/>
  <c r="Y188" i="3"/>
  <c r="Y205" i="3"/>
  <c r="Y214" i="3"/>
  <c r="Y226" i="3"/>
  <c r="Y235" i="3"/>
  <c r="Y266" i="3"/>
  <c r="Y302" i="3"/>
  <c r="Y311" i="3"/>
  <c r="Y325" i="3"/>
  <c r="Y77" i="3"/>
  <c r="Y96" i="3"/>
  <c r="Y104" i="3"/>
  <c r="Y112" i="3"/>
  <c r="Y116" i="3"/>
  <c r="Y124" i="3"/>
  <c r="Y135" i="3"/>
  <c r="Y145" i="3"/>
  <c r="Y153" i="3"/>
  <c r="Y164" i="3"/>
  <c r="Y172" i="3"/>
  <c r="Y193" i="3"/>
  <c r="Y208" i="3"/>
  <c r="Y216" i="3"/>
  <c r="Y228" i="3"/>
  <c r="Y238" i="3"/>
  <c r="Y286" i="3"/>
  <c r="Y317" i="3"/>
  <c r="Y327" i="3"/>
  <c r="Y382" i="3"/>
  <c r="Y95" i="3"/>
  <c r="Y123" i="3"/>
  <c r="Y163" i="3"/>
  <c r="Y190" i="3"/>
  <c r="Y304" i="3"/>
  <c r="Y335" i="3"/>
  <c r="Y363" i="3"/>
  <c r="Y97" i="3"/>
  <c r="Y125" i="3"/>
  <c r="Y103" i="3"/>
  <c r="Y134" i="3"/>
  <c r="Y171" i="3"/>
  <c r="Y203" i="3"/>
  <c r="Y229" i="3"/>
  <c r="Y309" i="3"/>
  <c r="Y3" i="3"/>
  <c r="Y105" i="3"/>
  <c r="Y136" i="3"/>
  <c r="Y207" i="3"/>
  <c r="Y234" i="3"/>
  <c r="Y261" i="3"/>
  <c r="Y315" i="3"/>
  <c r="Y371" i="3"/>
  <c r="Y111" i="3"/>
  <c r="Y144" i="3"/>
  <c r="Y176" i="3"/>
  <c r="Y209" i="3"/>
  <c r="Y265" i="3"/>
  <c r="Y318" i="3"/>
  <c r="Y376" i="3"/>
  <c r="Y63" i="3"/>
  <c r="Y113" i="3"/>
  <c r="Y146" i="3"/>
  <c r="Y178" i="3"/>
  <c r="Y213" i="3"/>
  <c r="Y240" i="3"/>
  <c r="Y270" i="3"/>
  <c r="Y324" i="3"/>
  <c r="Y349" i="3"/>
  <c r="Y381" i="3"/>
  <c r="Y117" i="3"/>
  <c r="Y154" i="3"/>
  <c r="Y219" i="3"/>
  <c r="Y300" i="3"/>
  <c r="Y329" i="3"/>
  <c r="Y392" i="3"/>
  <c r="Y75" i="3"/>
  <c r="Y387" i="3"/>
  <c r="Y115" i="3"/>
  <c r="Y152" i="3"/>
  <c r="Y271" i="3"/>
  <c r="Y165" i="3"/>
  <c r="Y305" i="3"/>
  <c r="Y180" i="3"/>
  <c r="Y326" i="3"/>
  <c r="Y195" i="3"/>
  <c r="Y215" i="3"/>
  <c r="Z4" i="3"/>
  <c r="Z68" i="3"/>
  <c r="Z87" i="3"/>
  <c r="Z100" i="3"/>
  <c r="Z108" i="3"/>
  <c r="Z5" i="3"/>
  <c r="Z55" i="3"/>
  <c r="Z71" i="3"/>
  <c r="Z92" i="3"/>
  <c r="Z101" i="3"/>
  <c r="Z109" i="3"/>
  <c r="Z121" i="3"/>
  <c r="Z129" i="3"/>
  <c r="Z142" i="3"/>
  <c r="Z150" i="3"/>
  <c r="Z158" i="3"/>
  <c r="Z169" i="3"/>
  <c r="Z176" i="3"/>
  <c r="Z203" i="3"/>
  <c r="Z213" i="3"/>
  <c r="Z234" i="3"/>
  <c r="Z265" i="3"/>
  <c r="Z300" i="3"/>
  <c r="Z309" i="3"/>
  <c r="Z324" i="3"/>
  <c r="Z335" i="3"/>
  <c r="Z52" i="3"/>
  <c r="Z58" i="3"/>
  <c r="Z72" i="3"/>
  <c r="Z94" i="3"/>
  <c r="Z102" i="3"/>
  <c r="Z110" i="3"/>
  <c r="Z114" i="3"/>
  <c r="Z122" i="3"/>
  <c r="Z130" i="3"/>
  <c r="Z143" i="3"/>
  <c r="Z151" i="3"/>
  <c r="Z159" i="3"/>
  <c r="Z170" i="3"/>
  <c r="Z177" i="3"/>
  <c r="Z63" i="3"/>
  <c r="Z75" i="3"/>
  <c r="Z95" i="3"/>
  <c r="Z103" i="3"/>
  <c r="Z64" i="3"/>
  <c r="Z77" i="3"/>
  <c r="Z96" i="3"/>
  <c r="Z104" i="3"/>
  <c r="Z112" i="3"/>
  <c r="Z116" i="3"/>
  <c r="Z124" i="3"/>
  <c r="Z135" i="3"/>
  <c r="Z145" i="3"/>
  <c r="Z153" i="3"/>
  <c r="Z164" i="3"/>
  <c r="Z172" i="3"/>
  <c r="Z193" i="3"/>
  <c r="Z208" i="3"/>
  <c r="Z216" i="3"/>
  <c r="Z228" i="3"/>
  <c r="Z238" i="3"/>
  <c r="Z286" i="3"/>
  <c r="Z317" i="3"/>
  <c r="Z327" i="3"/>
  <c r="Z382" i="3"/>
  <c r="Z9" i="3"/>
  <c r="Z97" i="3"/>
  <c r="Z105" i="3"/>
  <c r="Z113" i="3"/>
  <c r="Z117" i="3"/>
  <c r="Z125" i="3"/>
  <c r="Z136" i="3"/>
  <c r="Z146" i="3"/>
  <c r="Z154" i="3"/>
  <c r="Z165" i="3"/>
  <c r="Z180" i="3"/>
  <c r="Z195" i="3"/>
  <c r="Z209" i="3"/>
  <c r="Z219" i="3"/>
  <c r="Z229" i="3"/>
  <c r="Z240" i="3"/>
  <c r="Z261" i="3"/>
  <c r="Z271" i="3"/>
  <c r="Z305" i="3"/>
  <c r="Z318" i="3"/>
  <c r="Z329" i="3"/>
  <c r="Z349" i="3"/>
  <c r="Z363" i="3"/>
  <c r="Z371" i="3"/>
  <c r="Z387" i="3"/>
  <c r="Z107" i="3"/>
  <c r="Z123" i="3"/>
  <c r="Z144" i="3"/>
  <c r="Z163" i="3"/>
  <c r="Z178" i="3"/>
  <c r="Z202" i="3"/>
  <c r="Z220" i="3"/>
  <c r="Z235" i="3"/>
  <c r="Z270" i="3"/>
  <c r="Z308" i="3"/>
  <c r="Z330" i="3"/>
  <c r="Z66" i="3"/>
  <c r="Z111" i="3"/>
  <c r="Z126" i="3"/>
  <c r="Z147" i="3"/>
  <c r="Z166" i="3"/>
  <c r="Z181" i="3"/>
  <c r="Z205" i="3"/>
  <c r="Z222" i="3"/>
  <c r="Z297" i="3"/>
  <c r="Z311" i="3"/>
  <c r="Z331" i="3"/>
  <c r="Z376" i="3"/>
  <c r="Z67" i="3"/>
  <c r="Z127" i="3"/>
  <c r="Z148" i="3"/>
  <c r="Z167" i="3"/>
  <c r="Z182" i="3"/>
  <c r="Z207" i="3"/>
  <c r="Z223" i="3"/>
  <c r="Z298" i="3"/>
  <c r="Z315" i="3"/>
  <c r="Z333" i="3"/>
  <c r="Z128" i="3"/>
  <c r="Z149" i="3"/>
  <c r="Z168" i="3"/>
  <c r="Z186" i="3"/>
  <c r="Z210" i="3"/>
  <c r="Z226" i="3"/>
  <c r="Z299" i="3"/>
  <c r="Z319" i="3"/>
  <c r="Z381" i="3"/>
  <c r="Z115" i="3"/>
  <c r="Z134" i="3"/>
  <c r="Z152" i="3"/>
  <c r="Z171" i="3"/>
  <c r="Z188" i="3"/>
  <c r="Z211" i="3"/>
  <c r="Z262" i="3"/>
  <c r="Z302" i="3"/>
  <c r="Z322" i="3"/>
  <c r="Z389" i="3"/>
  <c r="Z98" i="3"/>
  <c r="Z118" i="3"/>
  <c r="Z137" i="3"/>
  <c r="Z155" i="3"/>
  <c r="Z173" i="3"/>
  <c r="Z190" i="3"/>
  <c r="Z212" i="3"/>
  <c r="Z230" i="3"/>
  <c r="Z263" i="3"/>
  <c r="Z304" i="3"/>
  <c r="Z323" i="3"/>
  <c r="Z390" i="3"/>
  <c r="Z106" i="3"/>
  <c r="Z120" i="3"/>
  <c r="Z141" i="3"/>
  <c r="Z157" i="3"/>
  <c r="Z175" i="3"/>
  <c r="Z201" i="3"/>
  <c r="Z215" i="3"/>
  <c r="Z233" i="3"/>
  <c r="Z266" i="3"/>
  <c r="Z307" i="3"/>
  <c r="Z326" i="3"/>
  <c r="Z392" i="3"/>
  <c r="Z99" i="3"/>
  <c r="Z372" i="3"/>
  <c r="Z119" i="3"/>
  <c r="Z264" i="3"/>
  <c r="Z373" i="3"/>
  <c r="Z140" i="3"/>
  <c r="Z306" i="3"/>
  <c r="Z391" i="3"/>
  <c r="Z156" i="3"/>
  <c r="Z325" i="3"/>
  <c r="Z174" i="3"/>
  <c r="Z198" i="3"/>
  <c r="Z3" i="3"/>
  <c r="Z214" i="3"/>
  <c r="E211" i="8" l="1"/>
  <c r="D211" i="8"/>
  <c r="B211" i="8"/>
  <c r="A211" i="8"/>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201" i="8"/>
  <c r="D201" i="8"/>
  <c r="B201" i="8"/>
  <c r="A201" i="8"/>
  <c r="E200" i="8"/>
  <c r="D200" i="8"/>
  <c r="B200" i="8"/>
  <c r="A200"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X288" i="3" l="1"/>
  <c r="X287" i="3"/>
  <c r="X82" i="3"/>
  <c r="X393" i="3"/>
  <c r="X273" i="3"/>
  <c r="X10" i="3"/>
  <c r="X11" i="3"/>
  <c r="X69" i="3"/>
  <c r="X303" i="3"/>
  <c r="X12" i="3"/>
  <c r="X13" i="3"/>
  <c r="X14" i="3"/>
  <c r="X15" i="3"/>
  <c r="X274" i="3"/>
  <c r="X17" i="3"/>
  <c r="X18" i="3"/>
  <c r="X16" i="3"/>
  <c r="X199" i="3"/>
  <c r="X200" i="3"/>
  <c r="X275" i="3"/>
  <c r="X321" i="3"/>
  <c r="X277" i="3"/>
  <c r="X278" i="3"/>
  <c r="X279" i="3"/>
  <c r="X280" i="3"/>
  <c r="X285" i="3"/>
  <c r="X36" i="3"/>
  <c r="X37" i="3"/>
  <c r="X38" i="3"/>
  <c r="X40" i="3"/>
  <c r="X289" i="3"/>
  <c r="X41" i="3"/>
  <c r="X42" i="3"/>
  <c r="X43" i="3"/>
  <c r="X44" i="3"/>
  <c r="X83" i="3"/>
  <c r="X290" i="3"/>
  <c r="X291" i="3"/>
  <c r="X45" i="3"/>
  <c r="X46" i="3"/>
  <c r="X47" i="3"/>
  <c r="X296" i="3"/>
  <c r="X139" i="3"/>
  <c r="X246" i="3"/>
  <c r="X254" i="3"/>
  <c r="X131" i="3"/>
  <c r="X247" i="3"/>
  <c r="X255" i="3"/>
  <c r="X161" i="3"/>
  <c r="X248" i="3"/>
  <c r="X256" i="3"/>
  <c r="X8" i="3"/>
  <c r="X249" i="3"/>
  <c r="X132" i="3"/>
  <c r="X242" i="3"/>
  <c r="X250" i="3"/>
  <c r="X133" i="3"/>
  <c r="X243" i="3"/>
  <c r="X251" i="3"/>
  <c r="X245" i="3"/>
  <c r="X253" i="3"/>
  <c r="X244" i="3"/>
  <c r="X252" i="3"/>
  <c r="X138" i="3"/>
  <c r="X9" i="3"/>
  <c r="X52" i="3"/>
  <c r="X3" i="3"/>
  <c r="X5" i="3"/>
  <c r="X4" i="3"/>
  <c r="X362" i="3"/>
  <c r="X267" i="3"/>
  <c r="X366" i="3"/>
  <c r="X276" i="3"/>
  <c r="X320" i="3"/>
  <c r="X23" i="3"/>
  <c r="X346" i="3"/>
  <c r="X93" i="3"/>
  <c r="X379" i="3"/>
  <c r="X29" i="3"/>
  <c r="X204" i="3"/>
  <c r="X352" i="3"/>
  <c r="X340" i="3"/>
  <c r="X60" i="3"/>
  <c r="X292" i="3"/>
  <c r="X49" i="3"/>
  <c r="X76" i="3"/>
  <c r="X341" i="3"/>
  <c r="X268" i="3"/>
  <c r="X281" i="3"/>
  <c r="X241" i="3"/>
  <c r="X30" i="3"/>
  <c r="X32" i="3"/>
  <c r="X56" i="3"/>
  <c r="X48" i="3"/>
  <c r="X53" i="3"/>
  <c r="X342" i="3"/>
  <c r="X293" i="3"/>
  <c r="X50" i="3"/>
  <c r="X310" i="3"/>
  <c r="X343" i="3"/>
  <c r="X269" i="3"/>
  <c r="X221" i="3"/>
  <c r="X20" i="3"/>
  <c r="X89" i="3"/>
  <c r="X26" i="3"/>
  <c r="X194" i="3"/>
  <c r="X283" i="3"/>
  <c r="X206" i="3"/>
  <c r="X34" i="3"/>
  <c r="X74" i="3"/>
  <c r="X294" i="3"/>
  <c r="X356" i="3"/>
  <c r="X334" i="3"/>
  <c r="X316" i="3"/>
  <c r="X259" i="3"/>
  <c r="X258" i="3"/>
  <c r="X91" i="3"/>
  <c r="X21" i="3"/>
  <c r="X27" i="3"/>
  <c r="X54" i="3"/>
  <c r="X284" i="3"/>
  <c r="X35" i="3"/>
  <c r="X225" i="3"/>
  <c r="X237" i="3"/>
  <c r="X191" i="3"/>
  <c r="X61" i="3"/>
  <c r="X374" i="3"/>
  <c r="X351" i="3"/>
  <c r="X7" i="3"/>
  <c r="X385" i="3"/>
  <c r="X368" i="3"/>
  <c r="X282" i="3"/>
  <c r="X28" i="3"/>
  <c r="X350" i="3"/>
  <c r="X57" i="3"/>
  <c r="X192" i="3"/>
  <c r="X377" i="3"/>
  <c r="X361" i="3"/>
  <c r="X260" i="3"/>
  <c r="X384" i="3"/>
  <c r="X347" i="3"/>
  <c r="X22" i="3"/>
  <c r="X301" i="3"/>
  <c r="X197" i="3"/>
  <c r="X80" i="3"/>
  <c r="X339" i="3"/>
  <c r="X59" i="3"/>
  <c r="X338" i="3"/>
  <c r="X360" i="3"/>
  <c r="X355" i="3"/>
  <c r="X345" i="3"/>
  <c r="X295" i="3"/>
  <c r="X19" i="3"/>
  <c r="X378" i="3"/>
  <c r="X78" i="3"/>
  <c r="X328" i="3"/>
  <c r="X364" i="3"/>
  <c r="X51" i="3"/>
  <c r="X196" i="3"/>
  <c r="X218" i="3"/>
  <c r="X359" i="3"/>
  <c r="X380" i="3"/>
  <c r="X70" i="3"/>
  <c r="X314" i="3"/>
  <c r="X353" i="3"/>
  <c r="X386" i="3"/>
  <c r="X369" i="3"/>
  <c r="X24" i="3"/>
  <c r="X39" i="3"/>
  <c r="X79" i="3"/>
  <c r="X236" i="3"/>
  <c r="X33" i="3"/>
  <c r="X365" i="3"/>
  <c r="X25" i="3"/>
  <c r="X6" i="3"/>
  <c r="X31" i="3"/>
  <c r="X183" i="3"/>
  <c r="X184" i="3"/>
  <c r="X185" i="3"/>
  <c r="X354" i="3"/>
  <c r="X160" i="3"/>
  <c r="X162" i="3"/>
  <c r="X272" i="3"/>
  <c r="X348" i="3"/>
  <c r="X357" i="3"/>
  <c r="X358" i="3"/>
  <c r="X367" i="3"/>
  <c r="X344" i="3"/>
  <c r="X370" i="3"/>
  <c r="X257" i="3"/>
  <c r="X65" i="3"/>
  <c r="X85" i="3"/>
  <c r="X84" i="3"/>
  <c r="X227" i="3"/>
  <c r="X86" i="3"/>
  <c r="X337" i="3"/>
  <c r="X224" i="3"/>
  <c r="X179" i="3"/>
  <c r="X232" i="3"/>
  <c r="X231" i="3"/>
  <c r="X189" i="3"/>
  <c r="X81" i="3"/>
  <c r="X239" i="3"/>
  <c r="X187" i="3"/>
  <c r="X88" i="3"/>
  <c r="X312" i="3"/>
  <c r="X90" i="3"/>
  <c r="X336" i="3"/>
  <c r="X375" i="3"/>
  <c r="X313" i="3"/>
  <c r="X332" i="3"/>
  <c r="X383" i="3"/>
  <c r="X73" i="3"/>
  <c r="X62" i="3"/>
  <c r="X388" i="3"/>
  <c r="X217" i="3"/>
  <c r="X63" i="3"/>
  <c r="X75" i="3"/>
  <c r="X95" i="3"/>
  <c r="X103" i="3"/>
  <c r="X111" i="3"/>
  <c r="X115" i="3"/>
  <c r="X123" i="3"/>
  <c r="X134" i="3"/>
  <c r="X144" i="3"/>
  <c r="X152" i="3"/>
  <c r="X163" i="3"/>
  <c r="X171" i="3"/>
  <c r="X178" i="3"/>
  <c r="X190" i="3"/>
  <c r="X207" i="3"/>
  <c r="X215" i="3"/>
  <c r="X270" i="3"/>
  <c r="X304" i="3"/>
  <c r="X315" i="3"/>
  <c r="X326" i="3"/>
  <c r="X381" i="3"/>
  <c r="X64" i="3"/>
  <c r="X77" i="3"/>
  <c r="X96" i="3"/>
  <c r="X104" i="3"/>
  <c r="X112" i="3"/>
  <c r="X116" i="3"/>
  <c r="X124" i="3"/>
  <c r="X135" i="3"/>
  <c r="X145" i="3"/>
  <c r="X153" i="3"/>
  <c r="X164" i="3"/>
  <c r="X172" i="3"/>
  <c r="X193" i="3"/>
  <c r="X208" i="3"/>
  <c r="X216" i="3"/>
  <c r="X228" i="3"/>
  <c r="X238" i="3"/>
  <c r="X286" i="3"/>
  <c r="X317" i="3"/>
  <c r="X327" i="3"/>
  <c r="X382" i="3"/>
  <c r="X97" i="3"/>
  <c r="X105" i="3"/>
  <c r="X113" i="3"/>
  <c r="X117" i="3"/>
  <c r="X125" i="3"/>
  <c r="X136" i="3"/>
  <c r="X146" i="3"/>
  <c r="X154" i="3"/>
  <c r="X165" i="3"/>
  <c r="X180" i="3"/>
  <c r="X195" i="3"/>
  <c r="X209" i="3"/>
  <c r="X219" i="3"/>
  <c r="X229" i="3"/>
  <c r="X240" i="3"/>
  <c r="X261" i="3"/>
  <c r="X271" i="3"/>
  <c r="X305" i="3"/>
  <c r="X318" i="3"/>
  <c r="X329" i="3"/>
  <c r="X349" i="3"/>
  <c r="X363" i="3"/>
  <c r="X371" i="3"/>
  <c r="X67" i="3"/>
  <c r="X99" i="3"/>
  <c r="X107" i="3"/>
  <c r="X119" i="3"/>
  <c r="X127" i="3"/>
  <c r="X140" i="3"/>
  <c r="X148" i="3"/>
  <c r="X156" i="3"/>
  <c r="X167" i="3"/>
  <c r="X174" i="3"/>
  <c r="X182" i="3"/>
  <c r="X201" i="3"/>
  <c r="X211" i="3"/>
  <c r="X222" i="3"/>
  <c r="X263" i="3"/>
  <c r="X298" i="3"/>
  <c r="X307" i="3"/>
  <c r="X322" i="3"/>
  <c r="X331" i="3"/>
  <c r="X55" i="3"/>
  <c r="X71" i="3"/>
  <c r="X92" i="3"/>
  <c r="X101" i="3"/>
  <c r="X109" i="3"/>
  <c r="X121" i="3"/>
  <c r="X129" i="3"/>
  <c r="X142" i="3"/>
  <c r="X150" i="3"/>
  <c r="X158" i="3"/>
  <c r="X169" i="3"/>
  <c r="X176" i="3"/>
  <c r="X203" i="3"/>
  <c r="X213" i="3"/>
  <c r="X234" i="3"/>
  <c r="X265" i="3"/>
  <c r="X300" i="3"/>
  <c r="X309" i="3"/>
  <c r="X324" i="3"/>
  <c r="X335" i="3"/>
  <c r="X110" i="3"/>
  <c r="X128" i="3"/>
  <c r="X155" i="3"/>
  <c r="X177" i="3"/>
  <c r="X212" i="3"/>
  <c r="X266" i="3"/>
  <c r="X323" i="3"/>
  <c r="X390" i="3"/>
  <c r="X94" i="3"/>
  <c r="X137" i="3"/>
  <c r="X159" i="3"/>
  <c r="X186" i="3"/>
  <c r="X220" i="3"/>
  <c r="X299" i="3"/>
  <c r="X330" i="3"/>
  <c r="X392" i="3"/>
  <c r="X98" i="3"/>
  <c r="X114" i="3"/>
  <c r="X141" i="3"/>
  <c r="X166" i="3"/>
  <c r="X188" i="3"/>
  <c r="X223" i="3"/>
  <c r="X302" i="3"/>
  <c r="X333" i="3"/>
  <c r="X373" i="3"/>
  <c r="X58" i="3"/>
  <c r="X100" i="3"/>
  <c r="X118" i="3"/>
  <c r="X143" i="3"/>
  <c r="X168" i="3"/>
  <c r="X198" i="3"/>
  <c r="X226" i="3"/>
  <c r="X306" i="3"/>
  <c r="X376" i="3"/>
  <c r="X66" i="3"/>
  <c r="X102" i="3"/>
  <c r="X120" i="3"/>
  <c r="X147" i="3"/>
  <c r="X170" i="3"/>
  <c r="X202" i="3"/>
  <c r="X230" i="3"/>
  <c r="X308" i="3"/>
  <c r="X72" i="3"/>
  <c r="X108" i="3"/>
  <c r="X126" i="3"/>
  <c r="X151" i="3"/>
  <c r="X175" i="3"/>
  <c r="X210" i="3"/>
  <c r="X235" i="3"/>
  <c r="X264" i="3"/>
  <c r="X319" i="3"/>
  <c r="X389" i="3"/>
  <c r="X130" i="3"/>
  <c r="X372" i="3"/>
  <c r="X149" i="3"/>
  <c r="X262" i="3"/>
  <c r="X387" i="3"/>
  <c r="X157" i="3"/>
  <c r="X297" i="3"/>
  <c r="X391" i="3"/>
  <c r="X68" i="3"/>
  <c r="X173" i="3"/>
  <c r="X311" i="3"/>
  <c r="X87" i="3"/>
  <c r="X181" i="3"/>
  <c r="X325" i="3"/>
  <c r="X106" i="3"/>
  <c r="X205" i="3"/>
  <c r="X214" i="3"/>
  <c r="X122" i="3"/>
  <c r="X233" i="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E172" i="8"/>
  <c r="D172" i="8"/>
  <c r="B172" i="8"/>
  <c r="A172" i="8"/>
  <c r="E171" i="8"/>
  <c r="D171" i="8"/>
  <c r="B171" i="8"/>
  <c r="A171" i="8"/>
  <c r="E170" i="8"/>
  <c r="D170" i="8"/>
  <c r="B170" i="8"/>
  <c r="A170" i="8"/>
  <c r="E169" i="8"/>
  <c r="D169" i="8"/>
  <c r="B169" i="8"/>
  <c r="A169" i="8"/>
  <c r="E168" i="8"/>
  <c r="D168" i="8"/>
  <c r="B168" i="8"/>
  <c r="A168" i="8"/>
  <c r="E167" i="8"/>
  <c r="D167" i="8"/>
  <c r="B167" i="8"/>
  <c r="A167" i="8"/>
  <c r="E166" i="8"/>
  <c r="D166" i="8"/>
  <c r="B166" i="8"/>
  <c r="A166" i="8"/>
  <c r="E165" i="8"/>
  <c r="D165" i="8"/>
  <c r="B165" i="8"/>
  <c r="A165" i="8"/>
  <c r="E164" i="8"/>
  <c r="D164" i="8"/>
  <c r="B164" i="8"/>
  <c r="A164" i="8"/>
  <c r="E163" i="8"/>
  <c r="D163" i="8"/>
  <c r="B163" i="8"/>
  <c r="A163" i="8"/>
  <c r="E162" i="8"/>
  <c r="D162" i="8"/>
  <c r="B162" i="8"/>
  <c r="A162" i="8"/>
  <c r="E161" i="8"/>
  <c r="D161" i="8"/>
  <c r="B161" i="8"/>
  <c r="A161" i="8"/>
  <c r="E160" i="8"/>
  <c r="D160" i="8"/>
  <c r="B160" i="8"/>
  <c r="A160" i="8"/>
  <c r="E159" i="8"/>
  <c r="D159" i="8"/>
  <c r="B159" i="8"/>
  <c r="A159" i="8"/>
  <c r="W288" i="3" l="1"/>
  <c r="W287" i="3"/>
  <c r="W82" i="3"/>
  <c r="W393" i="3"/>
  <c r="W273" i="3"/>
  <c r="W10" i="3"/>
  <c r="W11" i="3"/>
  <c r="W69" i="3"/>
  <c r="W303" i="3"/>
  <c r="W12" i="3"/>
  <c r="W13" i="3"/>
  <c r="W14" i="3"/>
  <c r="W15" i="3"/>
  <c r="W274" i="3"/>
  <c r="W17" i="3"/>
  <c r="W18" i="3"/>
  <c r="W16" i="3"/>
  <c r="W199" i="3"/>
  <c r="W200" i="3"/>
  <c r="W275" i="3"/>
  <c r="W321" i="3"/>
  <c r="W277" i="3"/>
  <c r="W278" i="3"/>
  <c r="W279" i="3"/>
  <c r="W280" i="3"/>
  <c r="W285" i="3"/>
  <c r="W36" i="3"/>
  <c r="W37" i="3"/>
  <c r="W38" i="3"/>
  <c r="W40" i="3"/>
  <c r="W289" i="3"/>
  <c r="W41" i="3"/>
  <c r="W42" i="3"/>
  <c r="W43" i="3"/>
  <c r="W44" i="3"/>
  <c r="W83" i="3"/>
  <c r="W290" i="3"/>
  <c r="W291" i="3"/>
  <c r="W45" i="3"/>
  <c r="W46" i="3"/>
  <c r="W47" i="3"/>
  <c r="W296" i="3"/>
  <c r="W138" i="3"/>
  <c r="W244" i="3"/>
  <c r="W252" i="3"/>
  <c r="W245" i="3"/>
  <c r="W253" i="3"/>
  <c r="W139" i="3"/>
  <c r="W246" i="3"/>
  <c r="W254" i="3"/>
  <c r="W131" i="3"/>
  <c r="W247" i="3"/>
  <c r="W255" i="3"/>
  <c r="W161" i="3"/>
  <c r="W248" i="3"/>
  <c r="W256" i="3"/>
  <c r="W8" i="3"/>
  <c r="W249" i="3"/>
  <c r="W133" i="3"/>
  <c r="W243" i="3"/>
  <c r="W251" i="3"/>
  <c r="W132" i="3"/>
  <c r="W242" i="3"/>
  <c r="W250" i="3"/>
  <c r="W374" i="3"/>
  <c r="W384" i="3"/>
  <c r="W347" i="3"/>
  <c r="W22" i="3"/>
  <c r="W351" i="3"/>
  <c r="W259" i="3"/>
  <c r="W276" i="3"/>
  <c r="W320" i="3"/>
  <c r="W23" i="3"/>
  <c r="W346" i="3"/>
  <c r="W93" i="3"/>
  <c r="W379" i="3"/>
  <c r="W29" i="3"/>
  <c r="W204" i="3"/>
  <c r="W352" i="3"/>
  <c r="W340" i="3"/>
  <c r="W60" i="3"/>
  <c r="W341" i="3"/>
  <c r="W361" i="3"/>
  <c r="W79" i="3"/>
  <c r="W221" i="3"/>
  <c r="W359" i="3"/>
  <c r="W19" i="3"/>
  <c r="W25" i="3"/>
  <c r="W378" i="3"/>
  <c r="W380" i="3"/>
  <c r="W31" i="3"/>
  <c r="W33" i="3"/>
  <c r="W362" i="3"/>
  <c r="W20" i="3"/>
  <c r="W89" i="3"/>
  <c r="W26" i="3"/>
  <c r="W194" i="3"/>
  <c r="W283" i="3"/>
  <c r="W206" i="3"/>
  <c r="W34" i="3"/>
  <c r="W366" i="3"/>
  <c r="W260" i="3"/>
  <c r="W7" i="3"/>
  <c r="W91" i="3"/>
  <c r="W21" i="3"/>
  <c r="W27" i="3"/>
  <c r="W54" i="3"/>
  <c r="W284" i="3"/>
  <c r="W35" i="3"/>
  <c r="W225" i="3"/>
  <c r="W237" i="3"/>
  <c r="W191" i="3"/>
  <c r="W61" i="3"/>
  <c r="W343" i="3"/>
  <c r="W6" i="3"/>
  <c r="W386" i="3"/>
  <c r="W369" i="3"/>
  <c r="W328" i="3"/>
  <c r="W24" i="3"/>
  <c r="W196" i="3"/>
  <c r="W364" i="3"/>
  <c r="W39" i="3"/>
  <c r="W218" i="3"/>
  <c r="W236" i="3"/>
  <c r="W51" i="3"/>
  <c r="W353" i="3"/>
  <c r="W350" i="3"/>
  <c r="W30" i="3"/>
  <c r="W338" i="3"/>
  <c r="W70" i="3"/>
  <c r="W314" i="3"/>
  <c r="W268" i="3"/>
  <c r="W385" i="3"/>
  <c r="W57" i="3"/>
  <c r="W293" i="3"/>
  <c r="W74" i="3"/>
  <c r="W356" i="3"/>
  <c r="W316" i="3"/>
  <c r="W368" i="3"/>
  <c r="W339" i="3"/>
  <c r="W342" i="3"/>
  <c r="W345" i="3"/>
  <c r="W267" i="3"/>
  <c r="W258" i="3"/>
  <c r="W241" i="3"/>
  <c r="W197" i="3"/>
  <c r="W32" i="3"/>
  <c r="W59" i="3"/>
  <c r="W360" i="3"/>
  <c r="W78" i="3"/>
  <c r="W28" i="3"/>
  <c r="W355" i="3"/>
  <c r="W53" i="3"/>
  <c r="W294" i="3"/>
  <c r="W48" i="3"/>
  <c r="W50" i="3"/>
  <c r="W334" i="3"/>
  <c r="W295" i="3"/>
  <c r="W310" i="3"/>
  <c r="W282" i="3"/>
  <c r="W56" i="3"/>
  <c r="W377" i="3"/>
  <c r="W301" i="3"/>
  <c r="W365" i="3"/>
  <c r="W269" i="3"/>
  <c r="W49" i="3"/>
  <c r="W80" i="3"/>
  <c r="W192" i="3"/>
  <c r="W292" i="3"/>
  <c r="W76" i="3"/>
  <c r="W281" i="3"/>
  <c r="W160" i="3"/>
  <c r="W354" i="3"/>
  <c r="W183" i="3"/>
  <c r="W184" i="3"/>
  <c r="W185" i="3"/>
  <c r="W162" i="3"/>
  <c r="W272" i="3"/>
  <c r="W344" i="3"/>
  <c r="W348" i="3"/>
  <c r="W357" i="3"/>
  <c r="W358" i="3"/>
  <c r="W367" i="3"/>
  <c r="W370" i="3"/>
  <c r="W257" i="3"/>
  <c r="W65" i="3"/>
  <c r="W337" i="3"/>
  <c r="W224" i="3"/>
  <c r="W85" i="3"/>
  <c r="W179" i="3"/>
  <c r="W86" i="3"/>
  <c r="W84" i="3"/>
  <c r="W227" i="3"/>
  <c r="W232" i="3"/>
  <c r="W231" i="3"/>
  <c r="W189" i="3"/>
  <c r="W81" i="3"/>
  <c r="W239" i="3"/>
  <c r="W187" i="3"/>
  <c r="W88" i="3"/>
  <c r="W312" i="3"/>
  <c r="W90" i="3"/>
  <c r="W336" i="3"/>
  <c r="W375" i="3"/>
  <c r="W313" i="3"/>
  <c r="W332" i="3"/>
  <c r="W383" i="3"/>
  <c r="W73" i="3"/>
  <c r="W62" i="3"/>
  <c r="W388" i="3"/>
  <c r="W217" i="3"/>
  <c r="W64" i="3"/>
  <c r="W77" i="3"/>
  <c r="W95" i="3"/>
  <c r="W103" i="3"/>
  <c r="W111" i="3"/>
  <c r="W115" i="3"/>
  <c r="W123" i="3"/>
  <c r="W137" i="3"/>
  <c r="W147" i="3"/>
  <c r="W155" i="3"/>
  <c r="W166" i="3"/>
  <c r="W173" i="3"/>
  <c r="W181" i="3"/>
  <c r="W198" i="3"/>
  <c r="W210" i="3"/>
  <c r="W220" i="3"/>
  <c r="W230" i="3"/>
  <c r="W261" i="3"/>
  <c r="W298" i="3"/>
  <c r="W307" i="3"/>
  <c r="W319" i="3"/>
  <c r="W330" i="3"/>
  <c r="W372" i="3"/>
  <c r="W389" i="3"/>
  <c r="W129" i="3"/>
  <c r="W130" i="3"/>
  <c r="W67" i="3"/>
  <c r="W98" i="3"/>
  <c r="W106" i="3"/>
  <c r="W118" i="3"/>
  <c r="W126" i="3"/>
  <c r="W142" i="3"/>
  <c r="W150" i="3"/>
  <c r="W158" i="3"/>
  <c r="W169" i="3"/>
  <c r="W176" i="3"/>
  <c r="W203" i="3"/>
  <c r="W213" i="3"/>
  <c r="W234" i="3"/>
  <c r="W264" i="3"/>
  <c r="W302" i="3"/>
  <c r="W309" i="3"/>
  <c r="W324" i="3"/>
  <c r="W335" i="3"/>
  <c r="W376" i="3"/>
  <c r="W392" i="3"/>
  <c r="W4" i="3"/>
  <c r="W55" i="3"/>
  <c r="W71" i="3"/>
  <c r="W270" i="3"/>
  <c r="W100" i="3"/>
  <c r="W108" i="3"/>
  <c r="W120" i="3"/>
  <c r="W128" i="3"/>
  <c r="W144" i="3"/>
  <c r="W152" i="3"/>
  <c r="W163" i="3"/>
  <c r="W171" i="3"/>
  <c r="W178" i="3"/>
  <c r="W190" i="3"/>
  <c r="W207" i="3"/>
  <c r="W215" i="3"/>
  <c r="W266" i="3"/>
  <c r="W315" i="3"/>
  <c r="W326" i="3"/>
  <c r="W381" i="3"/>
  <c r="W92" i="3"/>
  <c r="W105" i="3"/>
  <c r="W114" i="3"/>
  <c r="W127" i="3"/>
  <c r="W148" i="3"/>
  <c r="W164" i="3"/>
  <c r="W175" i="3"/>
  <c r="W195" i="3"/>
  <c r="W214" i="3"/>
  <c r="W286" i="3"/>
  <c r="W308" i="3"/>
  <c r="W329" i="3"/>
  <c r="W382" i="3"/>
  <c r="W134" i="3"/>
  <c r="W3" i="3"/>
  <c r="W66" i="3"/>
  <c r="W94" i="3"/>
  <c r="W107" i="3"/>
  <c r="W116" i="3"/>
  <c r="W135" i="3"/>
  <c r="W149" i="3"/>
  <c r="W165" i="3"/>
  <c r="W177" i="3"/>
  <c r="W201" i="3"/>
  <c r="W216" i="3"/>
  <c r="W233" i="3"/>
  <c r="W297" i="3"/>
  <c r="W311" i="3"/>
  <c r="W331" i="3"/>
  <c r="W387" i="3"/>
  <c r="W5" i="3"/>
  <c r="W68" i="3"/>
  <c r="W96" i="3"/>
  <c r="W109" i="3"/>
  <c r="W117" i="3"/>
  <c r="W136" i="3"/>
  <c r="W151" i="3"/>
  <c r="W167" i="3"/>
  <c r="W202" i="3"/>
  <c r="W219" i="3"/>
  <c r="W235" i="3"/>
  <c r="W299" i="3"/>
  <c r="W317" i="3"/>
  <c r="W333" i="3"/>
  <c r="W349" i="3"/>
  <c r="W390" i="3"/>
  <c r="W373" i="3"/>
  <c r="W52" i="3"/>
  <c r="W72" i="3"/>
  <c r="W97" i="3"/>
  <c r="W110" i="3"/>
  <c r="W119" i="3"/>
  <c r="W140" i="3"/>
  <c r="W153" i="3"/>
  <c r="W168" i="3"/>
  <c r="W180" i="3"/>
  <c r="W205" i="3"/>
  <c r="W222" i="3"/>
  <c r="W238" i="3"/>
  <c r="W300" i="3"/>
  <c r="W318" i="3"/>
  <c r="W391" i="3"/>
  <c r="W9" i="3"/>
  <c r="W75" i="3"/>
  <c r="W99" i="3"/>
  <c r="W112" i="3"/>
  <c r="W121" i="3"/>
  <c r="W141" i="3"/>
  <c r="W154" i="3"/>
  <c r="W170" i="3"/>
  <c r="W182" i="3"/>
  <c r="W208" i="3"/>
  <c r="W223" i="3"/>
  <c r="W240" i="3"/>
  <c r="W304" i="3"/>
  <c r="W322" i="3"/>
  <c r="W371" i="3"/>
  <c r="W58" i="3"/>
  <c r="W102" i="3"/>
  <c r="W124" i="3"/>
  <c r="W157" i="3"/>
  <c r="W188" i="3"/>
  <c r="W228" i="3"/>
  <c r="W306" i="3"/>
  <c r="W101" i="3"/>
  <c r="W113" i="3"/>
  <c r="W122" i="3"/>
  <c r="W143" i="3"/>
  <c r="W156" i="3"/>
  <c r="W172" i="3"/>
  <c r="W186" i="3"/>
  <c r="W209" i="3"/>
  <c r="W226" i="3"/>
  <c r="W262" i="3"/>
  <c r="W305" i="3"/>
  <c r="W323" i="3"/>
  <c r="W145" i="3"/>
  <c r="W211" i="3"/>
  <c r="W263" i="3"/>
  <c r="W325" i="3"/>
  <c r="W63" i="3"/>
  <c r="W87" i="3"/>
  <c r="W104" i="3"/>
  <c r="W125" i="3"/>
  <c r="W146" i="3"/>
  <c r="W159" i="3"/>
  <c r="W174" i="3"/>
  <c r="W193" i="3"/>
  <c r="W212" i="3"/>
  <c r="W229" i="3"/>
  <c r="W265" i="3"/>
  <c r="W271" i="3"/>
  <c r="W327" i="3"/>
  <c r="W363" i="3"/>
  <c r="E125" i="8" l="1"/>
  <c r="D125" i="8"/>
  <c r="B125" i="8"/>
  <c r="A125" i="8"/>
  <c r="E124" i="8"/>
  <c r="D124" i="8"/>
  <c r="B124" i="8"/>
  <c r="A124" i="8"/>
  <c r="E123" i="8"/>
  <c r="D123" i="8"/>
  <c r="B123" i="8"/>
  <c r="A123" i="8"/>
  <c r="E122" i="8"/>
  <c r="D122" i="8"/>
  <c r="B122" i="8"/>
  <c r="A122" i="8"/>
  <c r="E121" i="8"/>
  <c r="D121" i="8"/>
  <c r="B121" i="8"/>
  <c r="A121" i="8"/>
  <c r="E120" i="8"/>
  <c r="D120" i="8"/>
  <c r="B120" i="8"/>
  <c r="A120" i="8"/>
  <c r="E119" i="8"/>
  <c r="D119" i="8"/>
  <c r="B119" i="8"/>
  <c r="A119" i="8"/>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E103" i="8"/>
  <c r="D103" i="8"/>
  <c r="B103" i="8"/>
  <c r="A103" i="8"/>
  <c r="E102" i="8"/>
  <c r="D102" i="8"/>
  <c r="B102" i="8"/>
  <c r="A102" i="8"/>
  <c r="E101" i="8"/>
  <c r="D101" i="8"/>
  <c r="B101" i="8"/>
  <c r="A101" i="8"/>
  <c r="E100" i="8"/>
  <c r="D100" i="8"/>
  <c r="B100" i="8"/>
  <c r="A100" i="8"/>
  <c r="E99" i="8"/>
  <c r="D99" i="8"/>
  <c r="B99" i="8"/>
  <c r="A99" i="8"/>
  <c r="E98" i="8"/>
  <c r="D98" i="8"/>
  <c r="B98" i="8"/>
  <c r="A98" i="8"/>
  <c r="E97" i="8"/>
  <c r="D97" i="8"/>
  <c r="B97" i="8"/>
  <c r="A97" i="8"/>
  <c r="E96" i="8"/>
  <c r="D96" i="8"/>
  <c r="B96" i="8"/>
  <c r="A96" i="8"/>
  <c r="E95" i="8"/>
  <c r="D95" i="8"/>
  <c r="B95" i="8"/>
  <c r="A95" i="8"/>
  <c r="E94" i="8"/>
  <c r="D94" i="8"/>
  <c r="B94" i="8"/>
  <c r="A94" i="8"/>
  <c r="E93" i="8"/>
  <c r="D93" i="8"/>
  <c r="B93" i="8"/>
  <c r="A93" i="8"/>
  <c r="A63" i="8"/>
  <c r="A64" i="8"/>
  <c r="A65" i="8"/>
  <c r="A66" i="8"/>
  <c r="A67" i="8"/>
  <c r="A68" i="8"/>
  <c r="A69" i="8"/>
  <c r="A70" i="8"/>
  <c r="A71" i="8"/>
  <c r="A72" i="8"/>
  <c r="A73" i="8"/>
  <c r="A74" i="8"/>
  <c r="A75" i="8"/>
  <c r="A76" i="8"/>
  <c r="A77" i="8"/>
  <c r="A78" i="8"/>
  <c r="A79" i="8"/>
  <c r="A80" i="8"/>
  <c r="A81" i="8"/>
  <c r="A82" i="8"/>
  <c r="A83" i="8"/>
  <c r="A84" i="8"/>
  <c r="A85" i="8"/>
  <c r="A86" i="8"/>
  <c r="A87" i="8"/>
  <c r="A88" i="8"/>
  <c r="B63" i="8"/>
  <c r="B64" i="8"/>
  <c r="B65" i="8"/>
  <c r="B66" i="8"/>
  <c r="B67" i="8"/>
  <c r="B68" i="8"/>
  <c r="B69" i="8"/>
  <c r="B70" i="8"/>
  <c r="B71" i="8"/>
  <c r="B72" i="8"/>
  <c r="B73" i="8"/>
  <c r="B74" i="8"/>
  <c r="B75" i="8"/>
  <c r="B76" i="8"/>
  <c r="B77" i="8"/>
  <c r="B78" i="8"/>
  <c r="B79" i="8"/>
  <c r="B80" i="8"/>
  <c r="B81" i="8"/>
  <c r="B82" i="8"/>
  <c r="B83" i="8"/>
  <c r="B84" i="8"/>
  <c r="B85" i="8"/>
  <c r="B86" i="8"/>
  <c r="B87" i="8"/>
  <c r="B88" i="8"/>
  <c r="D63" i="8"/>
  <c r="D64" i="8"/>
  <c r="D65" i="8"/>
  <c r="D66" i="8"/>
  <c r="D67" i="8"/>
  <c r="D68" i="8"/>
  <c r="D69" i="8"/>
  <c r="D70" i="8"/>
  <c r="D71" i="8"/>
  <c r="D72" i="8"/>
  <c r="D73" i="8"/>
  <c r="D74" i="8"/>
  <c r="D75" i="8"/>
  <c r="D76" i="8"/>
  <c r="D77" i="8"/>
  <c r="D78" i="8"/>
  <c r="D79" i="8"/>
  <c r="D80" i="8"/>
  <c r="D81" i="8"/>
  <c r="D82" i="8"/>
  <c r="D83" i="8"/>
  <c r="D84" i="8"/>
  <c r="D85" i="8"/>
  <c r="D86" i="8"/>
  <c r="D87" i="8"/>
  <c r="D88" i="8"/>
  <c r="E63" i="8"/>
  <c r="E64" i="8"/>
  <c r="E65" i="8"/>
  <c r="E66" i="8"/>
  <c r="E67" i="8"/>
  <c r="E68" i="8"/>
  <c r="E69" i="8"/>
  <c r="E70" i="8"/>
  <c r="E71" i="8"/>
  <c r="E72" i="8"/>
  <c r="E73" i="8"/>
  <c r="E74" i="8"/>
  <c r="E75" i="8"/>
  <c r="E76" i="8"/>
  <c r="E77" i="8"/>
  <c r="E78" i="8"/>
  <c r="E79" i="8"/>
  <c r="E80" i="8"/>
  <c r="E81" i="8"/>
  <c r="E82" i="8"/>
  <c r="E83" i="8"/>
  <c r="E84" i="8"/>
  <c r="E85" i="8"/>
  <c r="E86" i="8"/>
  <c r="E87" i="8"/>
  <c r="E88" i="8"/>
  <c r="P288" i="3" l="1"/>
  <c r="P287" i="3"/>
  <c r="P82" i="3"/>
  <c r="P393" i="3"/>
  <c r="P273" i="3"/>
  <c r="P10" i="3"/>
  <c r="P11" i="3"/>
  <c r="P69" i="3"/>
  <c r="P303" i="3"/>
  <c r="P12" i="3"/>
  <c r="P13" i="3"/>
  <c r="P14" i="3"/>
  <c r="P15" i="3"/>
  <c r="P274" i="3"/>
  <c r="P17" i="3"/>
  <c r="P18" i="3"/>
  <c r="P16" i="3"/>
  <c r="P199" i="3"/>
  <c r="P200" i="3"/>
  <c r="P275" i="3"/>
  <c r="P321" i="3"/>
  <c r="P277" i="3"/>
  <c r="P278" i="3"/>
  <c r="P279" i="3"/>
  <c r="P280" i="3"/>
  <c r="P285" i="3"/>
  <c r="P36" i="3"/>
  <c r="P37" i="3"/>
  <c r="P38" i="3"/>
  <c r="P40" i="3"/>
  <c r="P289" i="3"/>
  <c r="P41" i="3"/>
  <c r="P42" i="3"/>
  <c r="P43" i="3"/>
  <c r="P44" i="3"/>
  <c r="P83" i="3"/>
  <c r="P290" i="3"/>
  <c r="P291" i="3"/>
  <c r="P45" i="3"/>
  <c r="P46" i="3"/>
  <c r="P47" i="3"/>
  <c r="P296" i="3"/>
  <c r="P139" i="3"/>
  <c r="P246" i="3"/>
  <c r="P254" i="3"/>
  <c r="P131" i="3"/>
  <c r="P247" i="3"/>
  <c r="P255" i="3"/>
  <c r="P161" i="3"/>
  <c r="P248" i="3"/>
  <c r="P256" i="3"/>
  <c r="P8" i="3"/>
  <c r="P249" i="3"/>
  <c r="P132" i="3"/>
  <c r="P242" i="3"/>
  <c r="P250" i="3"/>
  <c r="P133" i="3"/>
  <c r="P243" i="3"/>
  <c r="P251" i="3"/>
  <c r="P245" i="3"/>
  <c r="P253" i="3"/>
  <c r="P138" i="3"/>
  <c r="P244" i="3"/>
  <c r="P252" i="3"/>
  <c r="P341" i="3"/>
  <c r="P361" i="3"/>
  <c r="P79" i="3"/>
  <c r="P221" i="3"/>
  <c r="P359" i="3"/>
  <c r="P19" i="3"/>
  <c r="P25" i="3"/>
  <c r="P378" i="3"/>
  <c r="P380" i="3"/>
  <c r="P31" i="3"/>
  <c r="P33" i="3"/>
  <c r="P362" i="3"/>
  <c r="P20" i="3"/>
  <c r="P89" i="3"/>
  <c r="P26" i="3"/>
  <c r="P194" i="3"/>
  <c r="P283" i="3"/>
  <c r="P206" i="3"/>
  <c r="P34" i="3"/>
  <c r="P343" i="3"/>
  <c r="P6" i="3"/>
  <c r="P351" i="3"/>
  <c r="P259" i="3"/>
  <c r="P276" i="3"/>
  <c r="P320" i="3"/>
  <c r="P23" i="3"/>
  <c r="P346" i="3"/>
  <c r="P93" i="3"/>
  <c r="P379" i="3"/>
  <c r="P29" i="3"/>
  <c r="P204" i="3"/>
  <c r="P352" i="3"/>
  <c r="P340" i="3"/>
  <c r="P60" i="3"/>
  <c r="P377" i="3"/>
  <c r="P384" i="3"/>
  <c r="P281" i="3"/>
  <c r="P328" i="3"/>
  <c r="P301" i="3"/>
  <c r="P30" i="3"/>
  <c r="P284" i="3"/>
  <c r="P260" i="3"/>
  <c r="P385" i="3"/>
  <c r="P21" i="3"/>
  <c r="P282" i="3"/>
  <c r="P196" i="3"/>
  <c r="P54" i="3"/>
  <c r="P225" i="3"/>
  <c r="P39" i="3"/>
  <c r="P48" i="3"/>
  <c r="P53" i="3"/>
  <c r="P342" i="3"/>
  <c r="P293" i="3"/>
  <c r="P50" i="3"/>
  <c r="P310" i="3"/>
  <c r="P269" i="3"/>
  <c r="P386" i="3"/>
  <c r="P347" i="3"/>
  <c r="P24" i="3"/>
  <c r="P197" i="3"/>
  <c r="P57" i="3"/>
  <c r="P338" i="3"/>
  <c r="P70" i="3"/>
  <c r="P78" i="3"/>
  <c r="P314" i="3"/>
  <c r="P365" i="3"/>
  <c r="P7" i="3"/>
  <c r="P350" i="3"/>
  <c r="P339" i="3"/>
  <c r="P74" i="3"/>
  <c r="P294" i="3"/>
  <c r="P356" i="3"/>
  <c r="P334" i="3"/>
  <c r="P316" i="3"/>
  <c r="P267" i="3"/>
  <c r="P353" i="3"/>
  <c r="P22" i="3"/>
  <c r="P80" i="3"/>
  <c r="P32" i="3"/>
  <c r="P59" i="3"/>
  <c r="P366" i="3"/>
  <c r="P258" i="3"/>
  <c r="P241" i="3"/>
  <c r="P27" i="3"/>
  <c r="P35" i="3"/>
  <c r="P364" i="3"/>
  <c r="P192" i="3"/>
  <c r="P218" i="3"/>
  <c r="P236" i="3"/>
  <c r="P355" i="3"/>
  <c r="P368" i="3"/>
  <c r="P237" i="3"/>
  <c r="P191" i="3"/>
  <c r="P61" i="3"/>
  <c r="P374" i="3"/>
  <c r="P51" i="3"/>
  <c r="P268" i="3"/>
  <c r="P28" i="3"/>
  <c r="P345" i="3"/>
  <c r="P295" i="3"/>
  <c r="P369" i="3"/>
  <c r="P360" i="3"/>
  <c r="P76" i="3"/>
  <c r="P91" i="3"/>
  <c r="P56" i="3"/>
  <c r="P49" i="3"/>
  <c r="P292" i="3"/>
  <c r="P162" i="3"/>
  <c r="P183" i="3"/>
  <c r="P184" i="3"/>
  <c r="P185" i="3"/>
  <c r="P160" i="3"/>
  <c r="P354" i="3"/>
  <c r="P370" i="3"/>
  <c r="P344" i="3"/>
  <c r="P348" i="3"/>
  <c r="P357" i="3"/>
  <c r="P358" i="3"/>
  <c r="P367" i="3"/>
  <c r="P272" i="3"/>
  <c r="P257" i="3"/>
  <c r="P65" i="3"/>
  <c r="P337" i="3"/>
  <c r="P224" i="3"/>
  <c r="P84" i="3"/>
  <c r="P85" i="3"/>
  <c r="P179" i="3"/>
  <c r="P86" i="3"/>
  <c r="P227" i="3"/>
  <c r="P231" i="3"/>
  <c r="P232" i="3"/>
  <c r="P189" i="3"/>
  <c r="P81" i="3"/>
  <c r="P239" i="3"/>
  <c r="P187" i="3"/>
  <c r="P88" i="3"/>
  <c r="P312" i="3"/>
  <c r="P90" i="3"/>
  <c r="P336" i="3"/>
  <c r="P375" i="3"/>
  <c r="P313" i="3"/>
  <c r="P332" i="3"/>
  <c r="P383" i="3"/>
  <c r="P73" i="3"/>
  <c r="P62" i="3"/>
  <c r="P388" i="3"/>
  <c r="P217" i="3"/>
  <c r="P130" i="3"/>
  <c r="P387" i="3"/>
  <c r="P371" i="3"/>
  <c r="P363" i="3"/>
  <c r="P349" i="3"/>
  <c r="P329" i="3"/>
  <c r="P318" i="3"/>
  <c r="P306" i="3"/>
  <c r="P297" i="3"/>
  <c r="P240" i="3"/>
  <c r="P229" i="3"/>
  <c r="P219" i="3"/>
  <c r="P209" i="3"/>
  <c r="P195" i="3"/>
  <c r="P180" i="3"/>
  <c r="P165" i="3"/>
  <c r="P154" i="3"/>
  <c r="P146" i="3"/>
  <c r="P136" i="3"/>
  <c r="P122" i="3"/>
  <c r="P114" i="3"/>
  <c r="P110" i="3"/>
  <c r="P102" i="3"/>
  <c r="P94" i="3"/>
  <c r="P325" i="3"/>
  <c r="P311" i="3"/>
  <c r="P304" i="3"/>
  <c r="P265" i="3"/>
  <c r="P235" i="3"/>
  <c r="P226" i="3"/>
  <c r="P214" i="3"/>
  <c r="P205" i="3"/>
  <c r="P188" i="3"/>
  <c r="P177" i="3"/>
  <c r="P170" i="3"/>
  <c r="P159" i="3"/>
  <c r="P151" i="3"/>
  <c r="P143" i="3"/>
  <c r="P391" i="3"/>
  <c r="P373" i="3"/>
  <c r="P333" i="3"/>
  <c r="P323" i="3"/>
  <c r="P308" i="3"/>
  <c r="P300" i="3"/>
  <c r="P263" i="3"/>
  <c r="P233" i="3"/>
  <c r="P223" i="3"/>
  <c r="P212" i="3"/>
  <c r="P202" i="3"/>
  <c r="P186" i="3"/>
  <c r="P175" i="3"/>
  <c r="P168" i="3"/>
  <c r="P157" i="3"/>
  <c r="P149" i="3"/>
  <c r="P141" i="3"/>
  <c r="P125" i="3"/>
  <c r="P117" i="3"/>
  <c r="P113" i="3"/>
  <c r="P105" i="3"/>
  <c r="P134" i="3"/>
  <c r="P381" i="3"/>
  <c r="P327" i="3"/>
  <c r="P271" i="3"/>
  <c r="P266" i="3"/>
  <c r="P230" i="3"/>
  <c r="P213" i="3"/>
  <c r="P193" i="3"/>
  <c r="P174" i="3"/>
  <c r="P163" i="3"/>
  <c r="P147" i="3"/>
  <c r="P127" i="3"/>
  <c r="P116" i="3"/>
  <c r="P109" i="3"/>
  <c r="P99" i="3"/>
  <c r="P67" i="3"/>
  <c r="P376" i="3"/>
  <c r="P326" i="3"/>
  <c r="P307" i="3"/>
  <c r="P264" i="3"/>
  <c r="P228" i="3"/>
  <c r="P211" i="3"/>
  <c r="P190" i="3"/>
  <c r="P173" i="3"/>
  <c r="P158" i="3"/>
  <c r="P145" i="3"/>
  <c r="P126" i="3"/>
  <c r="P115" i="3"/>
  <c r="P108" i="3"/>
  <c r="P98" i="3"/>
  <c r="P66" i="3"/>
  <c r="P324" i="3"/>
  <c r="P305" i="3"/>
  <c r="P262" i="3"/>
  <c r="P210" i="3"/>
  <c r="P172" i="3"/>
  <c r="P156" i="3"/>
  <c r="P144" i="3"/>
  <c r="P124" i="3"/>
  <c r="P107" i="3"/>
  <c r="P97" i="3"/>
  <c r="P9" i="3"/>
  <c r="P331" i="3"/>
  <c r="P201" i="3"/>
  <c r="P150" i="3"/>
  <c r="P112" i="3"/>
  <c r="P55" i="3"/>
  <c r="P372" i="3"/>
  <c r="P322" i="3"/>
  <c r="P261" i="3"/>
  <c r="P208" i="3"/>
  <c r="P182" i="3"/>
  <c r="P171" i="3"/>
  <c r="P155" i="3"/>
  <c r="P142" i="3"/>
  <c r="P123" i="3"/>
  <c r="P106" i="3"/>
  <c r="P96" i="3"/>
  <c r="P77" i="3"/>
  <c r="P64" i="3"/>
  <c r="P298" i="3"/>
  <c r="P101" i="3"/>
  <c r="P4" i="3"/>
  <c r="P392" i="3"/>
  <c r="P319" i="3"/>
  <c r="P302" i="3"/>
  <c r="P238" i="3"/>
  <c r="P222" i="3"/>
  <c r="P207" i="3"/>
  <c r="P181" i="3"/>
  <c r="P169" i="3"/>
  <c r="P153" i="3"/>
  <c r="P140" i="3"/>
  <c r="P121" i="3"/>
  <c r="P104" i="3"/>
  <c r="P95" i="3"/>
  <c r="P75" i="3"/>
  <c r="P63" i="3"/>
  <c r="P52" i="3"/>
  <c r="P315" i="3"/>
  <c r="P216" i="3"/>
  <c r="P178" i="3"/>
  <c r="P135" i="3"/>
  <c r="P270" i="3"/>
  <c r="P390" i="3"/>
  <c r="P335" i="3"/>
  <c r="P317" i="3"/>
  <c r="P299" i="3"/>
  <c r="P220" i="3"/>
  <c r="P203" i="3"/>
  <c r="P167" i="3"/>
  <c r="P152" i="3"/>
  <c r="P137" i="3"/>
  <c r="P120" i="3"/>
  <c r="P103" i="3"/>
  <c r="P92" i="3"/>
  <c r="P72" i="3"/>
  <c r="P58" i="3"/>
  <c r="P5" i="3"/>
  <c r="P389" i="3"/>
  <c r="P234" i="3"/>
  <c r="P166" i="3"/>
  <c r="P119" i="3"/>
  <c r="P71" i="3"/>
  <c r="P129" i="3"/>
  <c r="P382" i="3"/>
  <c r="P330" i="3"/>
  <c r="P309" i="3"/>
  <c r="P286" i="3"/>
  <c r="P215" i="3"/>
  <c r="P198" i="3"/>
  <c r="P176" i="3"/>
  <c r="P164" i="3"/>
  <c r="P148" i="3"/>
  <c r="P128" i="3"/>
  <c r="P118" i="3"/>
  <c r="P111" i="3"/>
  <c r="P100" i="3"/>
  <c r="P87" i="3"/>
  <c r="P68" i="3"/>
  <c r="P3" i="3"/>
  <c r="A62" i="8"/>
  <c r="B62" i="8"/>
  <c r="D62" i="8"/>
  <c r="E62" i="8"/>
  <c r="A57" i="8"/>
  <c r="A58" i="8"/>
  <c r="A59" i="8"/>
  <c r="A60" i="8"/>
  <c r="A61" i="8"/>
  <c r="B57" i="8"/>
  <c r="B58" i="8"/>
  <c r="B59" i="8"/>
  <c r="B60" i="8"/>
  <c r="B61" i="8"/>
  <c r="D57" i="8"/>
  <c r="D58" i="8"/>
  <c r="D59" i="8"/>
  <c r="D60" i="8"/>
  <c r="D61" i="8"/>
  <c r="E57" i="8"/>
  <c r="E58" i="8"/>
  <c r="E59" i="8"/>
  <c r="E60" i="8"/>
  <c r="E61" i="8"/>
  <c r="A29" i="8" l="1"/>
  <c r="B29" i="8"/>
  <c r="D29" i="8"/>
  <c r="E29" i="8"/>
  <c r="A27" i="8" l="1"/>
  <c r="A28" i="8"/>
  <c r="B27" i="8"/>
  <c r="B28" i="8"/>
  <c r="D27" i="8"/>
  <c r="D28" i="8"/>
  <c r="E27" i="8"/>
  <c r="E28" i="8"/>
  <c r="A26" i="8"/>
  <c r="B26" i="8"/>
  <c r="D26" i="8"/>
  <c r="E26" i="8"/>
  <c r="G5" i="5" l="1"/>
  <c r="D50" i="5" l="1"/>
  <c r="B51" i="5" l="1"/>
  <c r="J51" i="5"/>
  <c r="I51" i="5"/>
  <c r="H51" i="5"/>
  <c r="K51" i="5"/>
  <c r="G53" i="5"/>
  <c r="J53" i="5"/>
  <c r="I53" i="5"/>
  <c r="H53" i="5"/>
  <c r="K53" i="5"/>
  <c r="H50" i="5"/>
  <c r="J50" i="5"/>
  <c r="K50" i="5"/>
  <c r="I50" i="5"/>
  <c r="C53" i="5"/>
  <c r="D53" i="5"/>
  <c r="F53" i="5"/>
  <c r="B53" i="5"/>
  <c r="C51" i="5"/>
  <c r="G51" i="5"/>
  <c r="F51" i="5"/>
  <c r="D51" i="5"/>
  <c r="G50" i="5"/>
  <c r="F50" i="5"/>
  <c r="C50" i="5"/>
  <c r="B50" i="5"/>
  <c r="A34" i="8" l="1"/>
  <c r="A35" i="8"/>
  <c r="A36" i="8"/>
  <c r="A37" i="8"/>
  <c r="A38" i="8"/>
  <c r="A39" i="8"/>
  <c r="A40" i="8"/>
  <c r="B34" i="8"/>
  <c r="B35" i="8"/>
  <c r="B36" i="8"/>
  <c r="B37" i="8"/>
  <c r="B38" i="8"/>
  <c r="B39" i="8"/>
  <c r="B40" i="8"/>
  <c r="D34" i="8"/>
  <c r="D35" i="8"/>
  <c r="D36" i="8"/>
  <c r="D37" i="8"/>
  <c r="D38" i="8"/>
  <c r="D39" i="8"/>
  <c r="D40" i="8"/>
  <c r="E34" i="8"/>
  <c r="E35" i="8"/>
  <c r="E36" i="8"/>
  <c r="E37" i="8"/>
  <c r="E38" i="8"/>
  <c r="E39" i="8"/>
  <c r="E40" i="8"/>
  <c r="A41" i="8"/>
  <c r="A42" i="8"/>
  <c r="A43" i="8"/>
  <c r="A44" i="8"/>
  <c r="A45" i="8"/>
  <c r="A46" i="8"/>
  <c r="A47" i="8"/>
  <c r="B41" i="8"/>
  <c r="B42" i="8"/>
  <c r="B43" i="8"/>
  <c r="B44" i="8"/>
  <c r="B45" i="8"/>
  <c r="B46" i="8"/>
  <c r="B47" i="8"/>
  <c r="D41" i="8"/>
  <c r="D42" i="8"/>
  <c r="D43" i="8"/>
  <c r="D44" i="8"/>
  <c r="D45" i="8"/>
  <c r="D46" i="8"/>
  <c r="D47" i="8"/>
  <c r="E41" i="8"/>
  <c r="E42" i="8"/>
  <c r="E43" i="8"/>
  <c r="E44" i="8"/>
  <c r="E45" i="8"/>
  <c r="E46" i="8"/>
  <c r="E47" i="8"/>
  <c r="A48" i="8"/>
  <c r="A49" i="8"/>
  <c r="A50" i="8"/>
  <c r="A51" i="8"/>
  <c r="A52" i="8"/>
  <c r="A53" i="8"/>
  <c r="B48" i="8"/>
  <c r="B49" i="8"/>
  <c r="B50" i="8"/>
  <c r="B51" i="8"/>
  <c r="B52" i="8"/>
  <c r="B53" i="8"/>
  <c r="D48" i="8"/>
  <c r="D49" i="8"/>
  <c r="D50" i="8"/>
  <c r="D51" i="8"/>
  <c r="D52" i="8"/>
  <c r="D53" i="8"/>
  <c r="E48" i="8"/>
  <c r="E49" i="8"/>
  <c r="E50" i="8"/>
  <c r="E51" i="8"/>
  <c r="E52" i="8"/>
  <c r="E53" i="8"/>
  <c r="A8" i="8"/>
  <c r="A9" i="8"/>
  <c r="A10" i="8"/>
  <c r="A11" i="8"/>
  <c r="B8" i="8"/>
  <c r="B9" i="8"/>
  <c r="B10" i="8"/>
  <c r="B11" i="8"/>
  <c r="D8" i="8"/>
  <c r="D9" i="8"/>
  <c r="D10" i="8"/>
  <c r="D11" i="8"/>
  <c r="E8" i="8"/>
  <c r="E9" i="8"/>
  <c r="E10" i="8"/>
  <c r="E11" i="8"/>
  <c r="A12" i="8" l="1"/>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A7" i="8"/>
  <c r="B7" i="8"/>
  <c r="D7" i="8"/>
  <c r="E7" i="8"/>
  <c r="B33" i="8" l="1"/>
  <c r="E33" i="8"/>
  <c r="E54" i="8"/>
  <c r="E55" i="8"/>
  <c r="E56" i="8"/>
  <c r="D33" i="8"/>
  <c r="D54" i="8"/>
  <c r="D55" i="8"/>
  <c r="D56" i="8"/>
  <c r="B54" i="8"/>
  <c r="B55" i="8"/>
  <c r="B56" i="8"/>
  <c r="A33" i="8"/>
  <c r="A54" i="8"/>
  <c r="A55" i="8"/>
  <c r="A56" i="8"/>
  <c r="E3" i="8"/>
  <c r="E4" i="8"/>
  <c r="E5" i="8"/>
  <c r="E6" i="8"/>
  <c r="D3" i="8"/>
  <c r="D4" i="8"/>
  <c r="D5" i="8"/>
  <c r="D6" i="8"/>
  <c r="B3" i="8"/>
  <c r="B4" i="8"/>
  <c r="B5" i="8"/>
  <c r="B6" i="8"/>
  <c r="A3" i="8"/>
  <c r="A4" i="8"/>
  <c r="A5" i="8"/>
  <c r="A6" i="8"/>
  <c r="N312" i="3" l="1"/>
  <c r="N288" i="3"/>
  <c r="N287" i="3"/>
  <c r="N82" i="3"/>
  <c r="N393" i="3"/>
  <c r="N273" i="3"/>
  <c r="N10" i="3"/>
  <c r="N11" i="3"/>
  <c r="N69" i="3"/>
  <c r="N303" i="3"/>
  <c r="N12" i="3"/>
  <c r="N13" i="3"/>
  <c r="N14" i="3"/>
  <c r="N15" i="3"/>
  <c r="N274" i="3"/>
  <c r="N17" i="3"/>
  <c r="N18" i="3"/>
  <c r="N16" i="3"/>
  <c r="N199" i="3"/>
  <c r="N200" i="3"/>
  <c r="N275" i="3"/>
  <c r="N321" i="3"/>
  <c r="N277" i="3"/>
  <c r="N278" i="3"/>
  <c r="N279" i="3"/>
  <c r="N280" i="3"/>
  <c r="N285" i="3"/>
  <c r="N36" i="3"/>
  <c r="N37" i="3"/>
  <c r="N38" i="3"/>
  <c r="N40" i="3"/>
  <c r="N289" i="3"/>
  <c r="N41" i="3"/>
  <c r="N42" i="3"/>
  <c r="N43" i="3"/>
  <c r="N44" i="3"/>
  <c r="N83" i="3"/>
  <c r="N290" i="3"/>
  <c r="N291" i="3"/>
  <c r="N45" i="3"/>
  <c r="N46" i="3"/>
  <c r="N47" i="3"/>
  <c r="N296" i="3"/>
  <c r="O288" i="3"/>
  <c r="O287" i="3"/>
  <c r="O82" i="3"/>
  <c r="O393" i="3"/>
  <c r="O273" i="3"/>
  <c r="O10" i="3"/>
  <c r="O11" i="3"/>
  <c r="O69" i="3"/>
  <c r="O303" i="3"/>
  <c r="O12" i="3"/>
  <c r="O13" i="3"/>
  <c r="O14" i="3"/>
  <c r="O15" i="3"/>
  <c r="O274" i="3"/>
  <c r="O17" i="3"/>
  <c r="O18" i="3"/>
  <c r="O16" i="3"/>
  <c r="O199" i="3"/>
  <c r="O200" i="3"/>
  <c r="O275" i="3"/>
  <c r="O321" i="3"/>
  <c r="O277" i="3"/>
  <c r="O278" i="3"/>
  <c r="O279" i="3"/>
  <c r="O280" i="3"/>
  <c r="O285" i="3"/>
  <c r="O36" i="3"/>
  <c r="O37" i="3"/>
  <c r="O38" i="3"/>
  <c r="O40" i="3"/>
  <c r="O289" i="3"/>
  <c r="O41" i="3"/>
  <c r="O42" i="3"/>
  <c r="O43" i="3"/>
  <c r="O44" i="3"/>
  <c r="O83" i="3"/>
  <c r="O290" i="3"/>
  <c r="O291" i="3"/>
  <c r="O45" i="3"/>
  <c r="O46" i="3"/>
  <c r="O47" i="3"/>
  <c r="O296" i="3"/>
  <c r="N132" i="3"/>
  <c r="N242" i="3"/>
  <c r="N250" i="3"/>
  <c r="N133" i="3"/>
  <c r="N243" i="3"/>
  <c r="N251" i="3"/>
  <c r="N138" i="3"/>
  <c r="N244" i="3"/>
  <c r="N252" i="3"/>
  <c r="N245" i="3"/>
  <c r="N253" i="3"/>
  <c r="N139" i="3"/>
  <c r="N246" i="3"/>
  <c r="N254" i="3"/>
  <c r="N131" i="3"/>
  <c r="N247" i="3"/>
  <c r="N255" i="3"/>
  <c r="N8" i="3"/>
  <c r="N249" i="3"/>
  <c r="N161" i="3"/>
  <c r="N248" i="3"/>
  <c r="N256" i="3"/>
  <c r="N351" i="3"/>
  <c r="N259" i="3"/>
  <c r="N276" i="3"/>
  <c r="N320" i="3"/>
  <c r="N23" i="3"/>
  <c r="N346" i="3"/>
  <c r="N93" i="3"/>
  <c r="N379" i="3"/>
  <c r="N29" i="3"/>
  <c r="N204" i="3"/>
  <c r="N352" i="3"/>
  <c r="N340" i="3"/>
  <c r="N267" i="3"/>
  <c r="N377" i="3"/>
  <c r="N353" i="3"/>
  <c r="N258" i="3"/>
  <c r="N269" i="3"/>
  <c r="N281" i="3"/>
  <c r="N241" i="3"/>
  <c r="N30" i="3"/>
  <c r="N32" i="3"/>
  <c r="N56" i="3"/>
  <c r="N48" i="3"/>
  <c r="N53" i="3"/>
  <c r="N342" i="3"/>
  <c r="N293" i="3"/>
  <c r="N50" i="3"/>
  <c r="N310" i="3"/>
  <c r="N341" i="3"/>
  <c r="N361" i="3"/>
  <c r="N79" i="3"/>
  <c r="N221" i="3"/>
  <c r="N359" i="3"/>
  <c r="N19" i="3"/>
  <c r="N25" i="3"/>
  <c r="N378" i="3"/>
  <c r="N380" i="3"/>
  <c r="N31" i="3"/>
  <c r="N33" i="3"/>
  <c r="N70" i="3"/>
  <c r="N78" i="3"/>
  <c r="N314" i="3"/>
  <c r="N365" i="3"/>
  <c r="N362" i="3"/>
  <c r="N20" i="3"/>
  <c r="N89" i="3"/>
  <c r="N26" i="3"/>
  <c r="N194" i="3"/>
  <c r="N283" i="3"/>
  <c r="N206" i="3"/>
  <c r="N34" i="3"/>
  <c r="N74" i="3"/>
  <c r="N294" i="3"/>
  <c r="N356" i="3"/>
  <c r="N334" i="3"/>
  <c r="N316" i="3"/>
  <c r="N366" i="3"/>
  <c r="N260" i="3"/>
  <c r="N7" i="3"/>
  <c r="N91" i="3"/>
  <c r="N21" i="3"/>
  <c r="N27" i="3"/>
  <c r="N54" i="3"/>
  <c r="N284" i="3"/>
  <c r="N35" i="3"/>
  <c r="N225" i="3"/>
  <c r="N237" i="3"/>
  <c r="N268" i="3"/>
  <c r="N385" i="3"/>
  <c r="N368" i="3"/>
  <c r="N282" i="3"/>
  <c r="N28" i="3"/>
  <c r="N350" i="3"/>
  <c r="N57" i="3"/>
  <c r="N192" i="3"/>
  <c r="N374" i="3"/>
  <c r="N384" i="3"/>
  <c r="N347" i="3"/>
  <c r="N22" i="3"/>
  <c r="N301" i="3"/>
  <c r="N197" i="3"/>
  <c r="N80" i="3"/>
  <c r="N339" i="3"/>
  <c r="N59" i="3"/>
  <c r="N338" i="3"/>
  <c r="N360" i="3"/>
  <c r="N355" i="3"/>
  <c r="N345" i="3"/>
  <c r="N295" i="3"/>
  <c r="N343" i="3"/>
  <c r="N196" i="3"/>
  <c r="N6" i="3"/>
  <c r="N369" i="3"/>
  <c r="N76" i="3"/>
  <c r="N60" i="3"/>
  <c r="N292" i="3"/>
  <c r="N328" i="3"/>
  <c r="N39" i="3"/>
  <c r="N49" i="3"/>
  <c r="N386" i="3"/>
  <c r="N24" i="3"/>
  <c r="N364" i="3"/>
  <c r="N51" i="3"/>
  <c r="N236" i="3"/>
  <c r="N61" i="3"/>
  <c r="N191" i="3"/>
  <c r="N218" i="3"/>
  <c r="O138" i="3"/>
  <c r="O244" i="3"/>
  <c r="O252" i="3"/>
  <c r="O245" i="3"/>
  <c r="O253" i="3"/>
  <c r="O139" i="3"/>
  <c r="O246" i="3"/>
  <c r="O254" i="3"/>
  <c r="O131" i="3"/>
  <c r="O247" i="3"/>
  <c r="O255" i="3"/>
  <c r="O161" i="3"/>
  <c r="O248" i="3"/>
  <c r="O256" i="3"/>
  <c r="O8" i="3"/>
  <c r="O249" i="3"/>
  <c r="O133" i="3"/>
  <c r="O243" i="3"/>
  <c r="O251" i="3"/>
  <c r="O132" i="3"/>
  <c r="O250" i="3"/>
  <c r="O242" i="3"/>
  <c r="O374" i="3"/>
  <c r="O351" i="3"/>
  <c r="O366" i="3"/>
  <c r="O260" i="3"/>
  <c r="O7" i="3"/>
  <c r="O91" i="3"/>
  <c r="O21" i="3"/>
  <c r="O27" i="3"/>
  <c r="O267" i="3"/>
  <c r="O268" i="3"/>
  <c r="O385" i="3"/>
  <c r="O368" i="3"/>
  <c r="O282" i="3"/>
  <c r="O28" i="3"/>
  <c r="O350" i="3"/>
  <c r="O57" i="3"/>
  <c r="O192" i="3"/>
  <c r="O341" i="3"/>
  <c r="O6" i="3"/>
  <c r="O386" i="3"/>
  <c r="O369" i="3"/>
  <c r="O328" i="3"/>
  <c r="O24" i="3"/>
  <c r="O196" i="3"/>
  <c r="O364" i="3"/>
  <c r="O39" i="3"/>
  <c r="O218" i="3"/>
  <c r="O236" i="3"/>
  <c r="O51" i="3"/>
  <c r="O343" i="3"/>
  <c r="O384" i="3"/>
  <c r="O347" i="3"/>
  <c r="O22" i="3"/>
  <c r="O301" i="3"/>
  <c r="O197" i="3"/>
  <c r="O353" i="3"/>
  <c r="O258" i="3"/>
  <c r="O269" i="3"/>
  <c r="O281" i="3"/>
  <c r="O241" i="3"/>
  <c r="O30" i="3"/>
  <c r="O32" i="3"/>
  <c r="O56" i="3"/>
  <c r="O48" i="3"/>
  <c r="O53" i="3"/>
  <c r="O342" i="3"/>
  <c r="O293" i="3"/>
  <c r="O50" i="3"/>
  <c r="O310" i="3"/>
  <c r="O362" i="3"/>
  <c r="O20" i="3"/>
  <c r="O89" i="3"/>
  <c r="O26" i="3"/>
  <c r="O194" i="3"/>
  <c r="O283" i="3"/>
  <c r="O206" i="3"/>
  <c r="O34" i="3"/>
  <c r="O74" i="3"/>
  <c r="O294" i="3"/>
  <c r="O356" i="3"/>
  <c r="O334" i="3"/>
  <c r="O316" i="3"/>
  <c r="O259" i="3"/>
  <c r="O320" i="3"/>
  <c r="O380" i="3"/>
  <c r="O284" i="3"/>
  <c r="O237" i="3"/>
  <c r="O191" i="3"/>
  <c r="O61" i="3"/>
  <c r="O79" i="3"/>
  <c r="O25" i="3"/>
  <c r="O339" i="3"/>
  <c r="O338" i="3"/>
  <c r="O345" i="3"/>
  <c r="O295" i="3"/>
  <c r="O276" i="3"/>
  <c r="O23" i="3"/>
  <c r="O379" i="3"/>
  <c r="O29" i="3"/>
  <c r="O352" i="3"/>
  <c r="O19" i="3"/>
  <c r="O378" i="3"/>
  <c r="O31" i="3"/>
  <c r="O33" i="3"/>
  <c r="O365" i="3"/>
  <c r="O346" i="3"/>
  <c r="O54" i="3"/>
  <c r="O35" i="3"/>
  <c r="O225" i="3"/>
  <c r="O377" i="3"/>
  <c r="O80" i="3"/>
  <c r="O59" i="3"/>
  <c r="O360" i="3"/>
  <c r="O355" i="3"/>
  <c r="O60" i="3"/>
  <c r="O49" i="3"/>
  <c r="O204" i="3"/>
  <c r="O76" i="3"/>
  <c r="O221" i="3"/>
  <c r="O78" i="3"/>
  <c r="O292" i="3"/>
  <c r="O93" i="3"/>
  <c r="O340" i="3"/>
  <c r="O70" i="3"/>
  <c r="O359" i="3"/>
  <c r="O361" i="3"/>
  <c r="O314" i="3"/>
  <c r="N162" i="3"/>
  <c r="O183" i="3"/>
  <c r="O354" i="3"/>
  <c r="O160" i="3"/>
  <c r="O184" i="3"/>
  <c r="O185" i="3"/>
  <c r="O162" i="3"/>
  <c r="N183" i="3"/>
  <c r="N184" i="3"/>
  <c r="N185" i="3"/>
  <c r="N354" i="3"/>
  <c r="N160" i="3"/>
  <c r="N367" i="3"/>
  <c r="N370" i="3"/>
  <c r="N344" i="3"/>
  <c r="N348" i="3"/>
  <c r="N358" i="3"/>
  <c r="N357" i="3"/>
  <c r="O370" i="3"/>
  <c r="O344" i="3"/>
  <c r="O348" i="3"/>
  <c r="O357" i="3"/>
  <c r="O367" i="3"/>
  <c r="O358" i="3"/>
  <c r="O272" i="3"/>
  <c r="N272" i="3"/>
  <c r="N257" i="3"/>
  <c r="O257" i="3"/>
  <c r="O65" i="3"/>
  <c r="O224" i="3"/>
  <c r="O85" i="3"/>
  <c r="O86" i="3"/>
  <c r="O179" i="3"/>
  <c r="O84" i="3"/>
  <c r="O227" i="3"/>
  <c r="O337" i="3"/>
  <c r="N65" i="3"/>
  <c r="N85" i="3"/>
  <c r="N224" i="3"/>
  <c r="N86" i="3"/>
  <c r="N179" i="3"/>
  <c r="N84" i="3"/>
  <c r="N227" i="3"/>
  <c r="N337" i="3"/>
  <c r="O231" i="3"/>
  <c r="O232" i="3"/>
  <c r="N232" i="3"/>
  <c r="N231" i="3"/>
  <c r="O189" i="3"/>
  <c r="O81" i="3"/>
  <c r="O239" i="3"/>
  <c r="O187" i="3"/>
  <c r="O88" i="3"/>
  <c r="O312" i="3"/>
  <c r="O90" i="3"/>
  <c r="O336" i="3"/>
  <c r="O375" i="3"/>
  <c r="O313" i="3"/>
  <c r="O332" i="3"/>
  <c r="O383" i="3"/>
  <c r="O73" i="3"/>
  <c r="O62" i="3"/>
  <c r="O388" i="3"/>
  <c r="O217" i="3"/>
  <c r="N189" i="3"/>
  <c r="N81" i="3"/>
  <c r="N239" i="3"/>
  <c r="N187" i="3"/>
  <c r="N88" i="3"/>
  <c r="N90" i="3"/>
  <c r="N336" i="3"/>
  <c r="N375" i="3"/>
  <c r="N313" i="3"/>
  <c r="N332" i="3"/>
  <c r="N383" i="3"/>
  <c r="N73" i="3"/>
  <c r="N62" i="3"/>
  <c r="N388" i="3"/>
  <c r="N217" i="3"/>
  <c r="N193" i="3"/>
  <c r="N373" i="3"/>
  <c r="N142" i="3"/>
  <c r="O130" i="3"/>
  <c r="O149" i="3"/>
  <c r="O326" i="3"/>
  <c r="O387" i="3"/>
  <c r="O140" i="3"/>
  <c r="O219" i="3"/>
  <c r="O145" i="3"/>
  <c r="O298" i="3"/>
  <c r="O201" i="3"/>
  <c r="O58" i="3"/>
  <c r="O141" i="3"/>
  <c r="O392" i="3"/>
  <c r="O71" i="3"/>
  <c r="O214" i="3"/>
  <c r="O305" i="3"/>
  <c r="O147" i="3"/>
  <c r="O349" i="3"/>
  <c r="O329" i="3"/>
  <c r="O389" i="3"/>
  <c r="O228" i="3"/>
  <c r="O211" i="3"/>
  <c r="O324" i="3"/>
  <c r="O146" i="3"/>
  <c r="O193" i="3"/>
  <c r="O202" i="3"/>
  <c r="O335" i="3"/>
  <c r="O52" i="3"/>
  <c r="O188" i="3"/>
  <c r="O75" i="3"/>
  <c r="O216" i="3"/>
  <c r="O306" i="3"/>
  <c r="O330" i="3"/>
  <c r="O390" i="3"/>
  <c r="O319" i="3"/>
  <c r="O213" i="3"/>
  <c r="O95" i="3"/>
  <c r="O299" i="3"/>
  <c r="O203" i="3"/>
  <c r="O220" i="3"/>
  <c r="O142" i="3"/>
  <c r="O143" i="3"/>
  <c r="O190" i="3"/>
  <c r="O77" i="3"/>
  <c r="O240" i="3"/>
  <c r="O5" i="3"/>
  <c r="O376" i="3"/>
  <c r="O148" i="3"/>
  <c r="O94" i="3"/>
  <c r="O238" i="3"/>
  <c r="O215" i="3"/>
  <c r="O136" i="3"/>
  <c r="O331" i="3"/>
  <c r="O391" i="3"/>
  <c r="O230" i="3"/>
  <c r="O150" i="3"/>
  <c r="O325" i="3"/>
  <c r="O97" i="3"/>
  <c r="O195" i="3"/>
  <c r="O205" i="3"/>
  <c r="O222" i="3"/>
  <c r="O234" i="3"/>
  <c r="O63" i="3"/>
  <c r="O137" i="3"/>
  <c r="O309" i="3"/>
  <c r="O302" i="3"/>
  <c r="O373" i="3"/>
  <c r="O327" i="3"/>
  <c r="O229" i="3"/>
  <c r="O212" i="3"/>
  <c r="O208" i="3"/>
  <c r="O98" i="3"/>
  <c r="O300" i="3"/>
  <c r="O207" i="3"/>
  <c r="O307" i="3"/>
  <c r="O235" i="3"/>
  <c r="O144" i="3"/>
  <c r="O209" i="3"/>
  <c r="O308" i="3"/>
  <c r="O68" i="3"/>
  <c r="O129" i="3"/>
  <c r="O333" i="3"/>
  <c r="O87" i="3"/>
  <c r="O151" i="3"/>
  <c r="O317" i="3"/>
  <c r="O99" i="3"/>
  <c r="O198" i="3"/>
  <c r="O66" i="3"/>
  <c r="O67" i="3"/>
  <c r="O210" i="3"/>
  <c r="O311" i="3"/>
  <c r="O134" i="3"/>
  <c r="O372" i="3"/>
  <c r="O382" i="3"/>
  <c r="O323" i="3"/>
  <c r="O55" i="3"/>
  <c r="O315" i="3"/>
  <c r="O371" i="3"/>
  <c r="O381" i="3"/>
  <c r="O226" i="3"/>
  <c r="O363" i="3"/>
  <c r="O322" i="3"/>
  <c r="O96" i="3"/>
  <c r="O64" i="3"/>
  <c r="O233" i="3"/>
  <c r="O92" i="3"/>
  <c r="O72" i="3"/>
  <c r="O304" i="3"/>
  <c r="O318" i="3"/>
  <c r="N305" i="3"/>
  <c r="N298" i="3"/>
  <c r="N149" i="3"/>
  <c r="N304" i="3"/>
  <c r="N371" i="3"/>
  <c r="N302" i="3"/>
  <c r="N372" i="3"/>
  <c r="N98" i="3"/>
  <c r="N150" i="3"/>
  <c r="N129" i="3"/>
  <c r="N220" i="3"/>
  <c r="N330" i="3"/>
  <c r="N141" i="3"/>
  <c r="N381" i="3"/>
  <c r="N382" i="3"/>
  <c r="N211" i="3"/>
  <c r="N64" i="3"/>
  <c r="N143" i="3"/>
  <c r="N315" i="3"/>
  <c r="N389" i="3"/>
  <c r="N308" i="3"/>
  <c r="N325" i="3"/>
  <c r="N214" i="3"/>
  <c r="N145" i="3"/>
  <c r="N96" i="3"/>
  <c r="N215" i="3"/>
  <c r="N94" i="3"/>
  <c r="N311" i="3"/>
  <c r="N198" i="3"/>
  <c r="N209" i="3"/>
  <c r="N208" i="3"/>
  <c r="N63" i="3"/>
  <c r="N230" i="3"/>
  <c r="N324" i="3"/>
  <c r="N203" i="3"/>
  <c r="N188" i="3"/>
  <c r="N233" i="3"/>
  <c r="N66" i="3"/>
  <c r="N326" i="3"/>
  <c r="N55" i="3"/>
  <c r="N71" i="3"/>
  <c r="N219" i="3"/>
  <c r="N72" i="3"/>
  <c r="N322" i="3"/>
  <c r="N68" i="3"/>
  <c r="N323" i="3"/>
  <c r="N99" i="3"/>
  <c r="N212" i="3"/>
  <c r="N130" i="3"/>
  <c r="N234" i="3"/>
  <c r="N391" i="3"/>
  <c r="N299" i="3"/>
  <c r="N329" i="3"/>
  <c r="N147" i="3"/>
  <c r="N306" i="3"/>
  <c r="N58" i="3"/>
  <c r="N87" i="3"/>
  <c r="N207" i="3"/>
  <c r="N201" i="3"/>
  <c r="N300" i="3"/>
  <c r="N390" i="3"/>
  <c r="N392" i="3"/>
  <c r="N75" i="3"/>
  <c r="N92" i="3"/>
  <c r="N363" i="3"/>
  <c r="N335" i="3"/>
  <c r="N210" i="3"/>
  <c r="N317" i="3"/>
  <c r="N134" i="3"/>
  <c r="N144" i="3"/>
  <c r="N229" i="3"/>
  <c r="N52" i="3"/>
  <c r="N222" i="3"/>
  <c r="N331" i="3"/>
  <c r="N240" i="3"/>
  <c r="N95" i="3"/>
  <c r="N387" i="3"/>
  <c r="N5" i="3"/>
  <c r="N349" i="3"/>
  <c r="N137" i="3"/>
  <c r="N97" i="3"/>
  <c r="N318" i="3"/>
  <c r="N376" i="3"/>
  <c r="N333" i="3"/>
  <c r="N140" i="3"/>
  <c r="N202" i="3"/>
  <c r="N226" i="3"/>
  <c r="N146" i="3"/>
  <c r="N238" i="3"/>
  <c r="N148" i="3"/>
  <c r="N67" i="3"/>
  <c r="N151" i="3"/>
  <c r="N216" i="3"/>
  <c r="N235" i="3"/>
  <c r="N228" i="3"/>
  <c r="N205" i="3"/>
  <c r="N77" i="3"/>
  <c r="N213" i="3"/>
  <c r="N307" i="3"/>
  <c r="N327" i="3"/>
  <c r="N309" i="3"/>
  <c r="N195" i="3"/>
  <c r="N136" i="3"/>
  <c r="N190" i="3"/>
  <c r="N319" i="3"/>
  <c r="O270" i="3"/>
  <c r="M50" i="5" s="1"/>
  <c r="O263" i="3"/>
  <c r="O271" i="3"/>
  <c r="O266" i="3"/>
  <c r="O261" i="3"/>
  <c r="O265" i="3"/>
  <c r="O264" i="3"/>
  <c r="M51" i="5" s="1"/>
  <c r="O262" i="3"/>
  <c r="O297" i="3"/>
  <c r="O3" i="3"/>
  <c r="N270" i="3"/>
  <c r="L50" i="5" s="1"/>
  <c r="N271" i="3"/>
  <c r="N263" i="3"/>
  <c r="N266" i="3"/>
  <c r="N262" i="3"/>
  <c r="N261" i="3"/>
  <c r="N264" i="3"/>
  <c r="L51" i="5" s="1"/>
  <c r="N297" i="3"/>
  <c r="N265" i="3"/>
  <c r="N3" i="3"/>
  <c r="N154" i="3"/>
  <c r="N153" i="3"/>
  <c r="N152" i="3"/>
  <c r="N127" i="3"/>
  <c r="N155" i="3"/>
  <c r="N157" i="3"/>
  <c r="N156" i="3"/>
  <c r="N158" i="3"/>
  <c r="N159" i="3"/>
  <c r="N118" i="3"/>
  <c r="N164" i="3"/>
  <c r="N163" i="3"/>
  <c r="N286" i="3"/>
  <c r="N115" i="3"/>
  <c r="N114" i="3"/>
  <c r="N128" i="3"/>
  <c r="N223" i="3"/>
  <c r="N186" i="3"/>
  <c r="N121" i="3"/>
  <c r="N181" i="3"/>
  <c r="N165" i="3"/>
  <c r="N9" i="3"/>
  <c r="N122" i="3"/>
  <c r="N135" i="3"/>
  <c r="N166" i="3"/>
  <c r="N167" i="3"/>
  <c r="N168" i="3"/>
  <c r="N169" i="3"/>
  <c r="L53" i="5" s="1"/>
  <c r="N170" i="3"/>
  <c r="N171" i="3"/>
  <c r="N172" i="3"/>
  <c r="N173" i="3"/>
  <c r="N174" i="3"/>
  <c r="N175" i="3"/>
  <c r="N176" i="3"/>
  <c r="N178" i="3"/>
  <c r="N180" i="3"/>
  <c r="N101" i="3"/>
  <c r="N104" i="3"/>
  <c r="N100" i="3"/>
  <c r="N102" i="3"/>
  <c r="N105" i="3"/>
  <c r="N103" i="3"/>
  <c r="N106" i="3"/>
  <c r="N108" i="3"/>
  <c r="N109" i="3"/>
  <c r="N110" i="3"/>
  <c r="N107" i="3"/>
  <c r="N111" i="3"/>
  <c r="N112" i="3"/>
  <c r="N113" i="3"/>
  <c r="N182" i="3"/>
  <c r="N177" i="3"/>
  <c r="N119" i="3"/>
  <c r="N120" i="3"/>
  <c r="N116" i="3"/>
  <c r="N117" i="3"/>
  <c r="N124" i="3"/>
  <c r="N123" i="3"/>
  <c r="N125" i="3"/>
  <c r="N126" i="3"/>
  <c r="O154" i="3"/>
  <c r="O153" i="3"/>
  <c r="O152" i="3"/>
  <c r="O127" i="3"/>
  <c r="O155" i="3"/>
  <c r="O157" i="3"/>
  <c r="O156" i="3"/>
  <c r="O158" i="3"/>
  <c r="O159" i="3"/>
  <c r="O118" i="3"/>
  <c r="O164" i="3"/>
  <c r="O163" i="3"/>
  <c r="O286" i="3"/>
  <c r="O115" i="3"/>
  <c r="O114" i="3"/>
  <c r="O128" i="3"/>
  <c r="O223" i="3"/>
  <c r="O186" i="3"/>
  <c r="O121" i="3"/>
  <c r="O181" i="3"/>
  <c r="O165" i="3"/>
  <c r="O9" i="3"/>
  <c r="O122" i="3"/>
  <c r="O135" i="3"/>
  <c r="O166" i="3"/>
  <c r="O167" i="3"/>
  <c r="O168" i="3"/>
  <c r="O169" i="3"/>
  <c r="M53" i="5" s="1"/>
  <c r="O170" i="3"/>
  <c r="O171" i="3"/>
  <c r="O172" i="3"/>
  <c r="O173" i="3"/>
  <c r="O174" i="3"/>
  <c r="O175" i="3"/>
  <c r="O176" i="3"/>
  <c r="O178" i="3"/>
  <c r="O180" i="3"/>
  <c r="O101" i="3"/>
  <c r="O104" i="3"/>
  <c r="O100" i="3"/>
  <c r="O102" i="3"/>
  <c r="O105" i="3"/>
  <c r="O103" i="3"/>
  <c r="O106" i="3"/>
  <c r="O108" i="3"/>
  <c r="O109" i="3"/>
  <c r="O110" i="3"/>
  <c r="O107" i="3"/>
  <c r="O111" i="3"/>
  <c r="O112" i="3"/>
  <c r="O113" i="3"/>
  <c r="O182" i="3"/>
  <c r="O177" i="3"/>
  <c r="O119" i="3"/>
  <c r="O120" i="3"/>
  <c r="O116" i="3"/>
  <c r="O117" i="3"/>
  <c r="O124" i="3"/>
  <c r="O123" i="3"/>
  <c r="O125" i="3"/>
  <c r="O126" i="3"/>
  <c r="N4" i="3"/>
  <c r="O4" i="3"/>
  <c r="A42" i="5" l="1"/>
  <c r="A41" i="5"/>
  <c r="A45" i="5"/>
  <c r="A46" i="5"/>
  <c r="A43" i="5"/>
  <c r="A40" i="5"/>
  <c r="E40" i="5" s="1"/>
  <c r="A38" i="5"/>
  <c r="A28" i="5"/>
  <c r="A18" i="5"/>
  <c r="A31" i="5"/>
  <c r="A30" i="5"/>
  <c r="E30" i="5" s="1"/>
  <c r="A37" i="5"/>
  <c r="A27" i="5"/>
  <c r="A17" i="5"/>
  <c r="A25" i="5"/>
  <c r="E25" i="5" s="1"/>
  <c r="A36" i="5"/>
  <c r="A26" i="5"/>
  <c r="A16" i="5"/>
  <c r="A15" i="5"/>
  <c r="E15" i="5" s="1"/>
  <c r="A21" i="5"/>
  <c r="A35" i="5"/>
  <c r="E35" i="5" s="1"/>
  <c r="A33" i="5"/>
  <c r="A23" i="5"/>
  <c r="F23" i="5" s="1"/>
  <c r="A13" i="5"/>
  <c r="A32" i="5"/>
  <c r="A22" i="5"/>
  <c r="A12" i="5"/>
  <c r="A11" i="5"/>
  <c r="A20" i="5"/>
  <c r="E20" i="5" s="1"/>
  <c r="E21" i="5" s="1"/>
  <c r="E22" i="5" s="1"/>
  <c r="A10" i="5"/>
  <c r="E41" i="5" l="1"/>
  <c r="E42" i="5" s="1"/>
  <c r="E43" i="5" s="1"/>
  <c r="E31" i="5"/>
  <c r="E32" i="5" s="1"/>
  <c r="E33" i="5" s="1"/>
  <c r="E26" i="5"/>
  <c r="E27" i="5" s="1"/>
  <c r="E28" i="5" s="1"/>
  <c r="E23" i="5"/>
  <c r="E36" i="5"/>
  <c r="E37" i="5" s="1"/>
  <c r="E38" i="5" s="1"/>
  <c r="G10" i="5"/>
  <c r="E10" i="5"/>
  <c r="E11" i="5" s="1"/>
  <c r="E12" i="5" s="1"/>
  <c r="E13" i="5" s="1"/>
  <c r="B40" i="5"/>
  <c r="J40" i="5"/>
  <c r="C40" i="5"/>
  <c r="K40" i="5"/>
  <c r="D40" i="5"/>
  <c r="L40" i="5"/>
  <c r="F40" i="5"/>
  <c r="M40" i="5"/>
  <c r="G40" i="5"/>
  <c r="H40" i="5"/>
  <c r="I40" i="5"/>
  <c r="C43" i="5"/>
  <c r="K43" i="5"/>
  <c r="D43" i="5"/>
  <c r="L43" i="5"/>
  <c r="H43" i="5"/>
  <c r="M43" i="5"/>
  <c r="F43" i="5"/>
  <c r="G43" i="5"/>
  <c r="I43" i="5"/>
  <c r="B43" i="5"/>
  <c r="J43" i="5"/>
  <c r="B46" i="5"/>
  <c r="K46" i="5"/>
  <c r="C46" i="5"/>
  <c r="L46" i="5"/>
  <c r="J46" i="5"/>
  <c r="D46" i="5"/>
  <c r="M46" i="5"/>
  <c r="F46" i="5"/>
  <c r="G46" i="5"/>
  <c r="H46" i="5"/>
  <c r="I46" i="5"/>
  <c r="G45" i="5"/>
  <c r="H45" i="5"/>
  <c r="L45" i="5"/>
  <c r="I45" i="5"/>
  <c r="B45" i="5"/>
  <c r="C45" i="5"/>
  <c r="J45" i="5"/>
  <c r="K45" i="5"/>
  <c r="D45" i="5"/>
  <c r="M45" i="5"/>
  <c r="F45" i="5"/>
  <c r="M41" i="5"/>
  <c r="F41" i="5"/>
  <c r="G41" i="5"/>
  <c r="J41" i="5"/>
  <c r="H41" i="5"/>
  <c r="I41" i="5"/>
  <c r="B41" i="5"/>
  <c r="C41" i="5"/>
  <c r="K41" i="5"/>
  <c r="D41" i="5"/>
  <c r="L41" i="5"/>
  <c r="H42" i="5"/>
  <c r="I42" i="5"/>
  <c r="B42" i="5"/>
  <c r="J42" i="5"/>
  <c r="L42" i="5"/>
  <c r="M42" i="5"/>
  <c r="C42" i="5"/>
  <c r="K42" i="5"/>
  <c r="D42" i="5"/>
  <c r="F42" i="5"/>
  <c r="G42" i="5"/>
  <c r="G20" i="5"/>
  <c r="B20" i="5"/>
  <c r="F20" i="5"/>
  <c r="D20" i="5"/>
  <c r="C20" i="5"/>
  <c r="G13" i="5"/>
  <c r="D13" i="5"/>
  <c r="F13" i="5"/>
  <c r="C13" i="5"/>
  <c r="B13" i="5"/>
  <c r="F16" i="5"/>
  <c r="G16" i="5"/>
  <c r="C16" i="5"/>
  <c r="D16" i="5"/>
  <c r="B16" i="5"/>
  <c r="C23" i="5"/>
  <c r="B23" i="5"/>
  <c r="D23" i="5"/>
  <c r="G23" i="5"/>
  <c r="G26" i="5"/>
  <c r="F26" i="5"/>
  <c r="D26" i="5"/>
  <c r="B26" i="5"/>
  <c r="C26" i="5"/>
  <c r="B30" i="5"/>
  <c r="G30" i="5"/>
  <c r="C30" i="5"/>
  <c r="D30" i="5"/>
  <c r="F30" i="5"/>
  <c r="D36" i="5"/>
  <c r="B36" i="5"/>
  <c r="F36" i="5"/>
  <c r="G36" i="5"/>
  <c r="C36" i="5"/>
  <c r="F31" i="5"/>
  <c r="D31" i="5"/>
  <c r="G31" i="5"/>
  <c r="B31" i="5"/>
  <c r="C31" i="5"/>
  <c r="C33" i="5"/>
  <c r="B33" i="5"/>
  <c r="G33" i="5"/>
  <c r="D33" i="5"/>
  <c r="F33" i="5"/>
  <c r="B18" i="5"/>
  <c r="D18" i="5"/>
  <c r="C18" i="5"/>
  <c r="F18" i="5"/>
  <c r="G18" i="5"/>
  <c r="B11" i="5"/>
  <c r="F11" i="5"/>
  <c r="C11" i="5"/>
  <c r="G11" i="5"/>
  <c r="D11" i="5"/>
  <c r="C12" i="5"/>
  <c r="D12" i="5"/>
  <c r="F12" i="5"/>
  <c r="G12" i="5"/>
  <c r="B12" i="5"/>
  <c r="F35" i="5"/>
  <c r="G35" i="5"/>
  <c r="B35" i="5"/>
  <c r="D35" i="5"/>
  <c r="C35" i="5"/>
  <c r="G25" i="5"/>
  <c r="F25" i="5"/>
  <c r="C25" i="5"/>
  <c r="D25" i="5"/>
  <c r="B25" i="5"/>
  <c r="G28" i="5"/>
  <c r="C28" i="5"/>
  <c r="D28" i="5"/>
  <c r="B28" i="5"/>
  <c r="F28" i="5"/>
  <c r="B37" i="5"/>
  <c r="G37" i="5"/>
  <c r="C37" i="5"/>
  <c r="F37" i="5"/>
  <c r="D37" i="5"/>
  <c r="G21" i="5"/>
  <c r="D21" i="5"/>
  <c r="C21" i="5"/>
  <c r="B21" i="5"/>
  <c r="F21" i="5"/>
  <c r="D17" i="5"/>
  <c r="C17" i="5"/>
  <c r="B17" i="5"/>
  <c r="F17" i="5"/>
  <c r="G17" i="5"/>
  <c r="B38" i="5"/>
  <c r="F38" i="5"/>
  <c r="C38" i="5"/>
  <c r="D38" i="5"/>
  <c r="G38" i="5"/>
  <c r="F22" i="5"/>
  <c r="G22" i="5"/>
  <c r="B22" i="5"/>
  <c r="C22" i="5"/>
  <c r="D22" i="5"/>
  <c r="G32" i="5"/>
  <c r="D32" i="5"/>
  <c r="B32" i="5"/>
  <c r="C32" i="5"/>
  <c r="F32" i="5"/>
  <c r="D15" i="5"/>
  <c r="G15" i="5"/>
  <c r="E16" i="5"/>
  <c r="E17" i="5" s="1"/>
  <c r="E18" i="5" s="1"/>
  <c r="F15" i="5"/>
  <c r="B15" i="5"/>
  <c r="C15" i="5"/>
  <c r="G27" i="5"/>
  <c r="F27" i="5"/>
  <c r="C27" i="5"/>
  <c r="B27" i="5"/>
  <c r="D27" i="5"/>
  <c r="H10" i="5"/>
  <c r="I10" i="5"/>
  <c r="K10" i="5"/>
  <c r="L10" i="5"/>
  <c r="B10" i="5"/>
  <c r="M10" i="5"/>
  <c r="C10" i="5"/>
  <c r="D10" i="5"/>
  <c r="F10" i="5"/>
  <c r="J10" i="5"/>
  <c r="H30" i="5"/>
  <c r="K30" i="5"/>
  <c r="I30" i="5"/>
  <c r="J30" i="5"/>
  <c r="M30" i="5"/>
  <c r="L30" i="5"/>
  <c r="L35" i="5"/>
  <c r="K35" i="5"/>
  <c r="J35" i="5"/>
  <c r="M35" i="5"/>
  <c r="I35" i="5"/>
  <c r="H35" i="5"/>
  <c r="I31" i="5"/>
  <c r="H31" i="5"/>
  <c r="L31" i="5"/>
  <c r="J31" i="5"/>
  <c r="K31" i="5"/>
  <c r="M31" i="5"/>
  <c r="M36" i="5"/>
  <c r="L36" i="5"/>
  <c r="J36" i="5"/>
  <c r="K36" i="5"/>
  <c r="I36" i="5"/>
  <c r="H36" i="5"/>
  <c r="J37" i="5"/>
  <c r="H37" i="5"/>
  <c r="K37" i="5"/>
  <c r="I37" i="5"/>
  <c r="L37" i="5"/>
  <c r="M37" i="5"/>
  <c r="L32" i="5"/>
  <c r="H32" i="5"/>
  <c r="M32" i="5"/>
  <c r="J32" i="5"/>
  <c r="K32" i="5"/>
  <c r="I32" i="5"/>
  <c r="M38" i="5"/>
  <c r="I38" i="5"/>
  <c r="J38" i="5"/>
  <c r="K38" i="5"/>
  <c r="H38" i="5"/>
  <c r="L38" i="5"/>
  <c r="I33" i="5"/>
  <c r="K33" i="5"/>
  <c r="J33" i="5"/>
  <c r="L33" i="5"/>
  <c r="H33" i="5"/>
  <c r="M33" i="5"/>
  <c r="L12" i="5"/>
  <c r="J12" i="5"/>
  <c r="I12" i="5"/>
  <c r="H12" i="5"/>
  <c r="M12" i="5"/>
  <c r="K12" i="5"/>
  <c r="J26" i="5"/>
  <c r="I26" i="5"/>
  <c r="H26" i="5"/>
  <c r="L26" i="5"/>
  <c r="M26" i="5"/>
  <c r="K26" i="5"/>
  <c r="J21" i="5"/>
  <c r="H21" i="5"/>
  <c r="L21" i="5"/>
  <c r="M21" i="5"/>
  <c r="K21" i="5"/>
  <c r="I21" i="5"/>
  <c r="J16" i="5"/>
  <c r="H16" i="5"/>
  <c r="L16" i="5"/>
  <c r="M16" i="5"/>
  <c r="K16" i="5"/>
  <c r="I16" i="5"/>
  <c r="M23" i="5"/>
  <c r="L23" i="5"/>
  <c r="K23" i="5"/>
  <c r="J23" i="5"/>
  <c r="H23" i="5"/>
  <c r="I23" i="5"/>
  <c r="H15" i="5"/>
  <c r="M15" i="5"/>
  <c r="L15" i="5"/>
  <c r="J15" i="5"/>
  <c r="K15" i="5"/>
  <c r="I15" i="5"/>
  <c r="L27" i="5"/>
  <c r="J27" i="5"/>
  <c r="I27" i="5"/>
  <c r="H27" i="5"/>
  <c r="M27" i="5"/>
  <c r="K27" i="5"/>
  <c r="L22" i="5"/>
  <c r="K22" i="5"/>
  <c r="J22" i="5"/>
  <c r="I22" i="5"/>
  <c r="H22" i="5"/>
  <c r="M22" i="5"/>
  <c r="H25" i="5"/>
  <c r="M25" i="5"/>
  <c r="L25" i="5"/>
  <c r="K25" i="5"/>
  <c r="J25" i="5"/>
  <c r="I25" i="5"/>
  <c r="M18" i="5"/>
  <c r="L18" i="5"/>
  <c r="K18" i="5"/>
  <c r="J18" i="5"/>
  <c r="I18" i="5"/>
  <c r="H18" i="5"/>
  <c r="J11" i="5"/>
  <c r="I11" i="5"/>
  <c r="H11" i="5"/>
  <c r="L11" i="5"/>
  <c r="M11" i="5"/>
  <c r="K11" i="5"/>
  <c r="H20" i="5"/>
  <c r="M20" i="5"/>
  <c r="L20" i="5"/>
  <c r="J20" i="5"/>
  <c r="K20" i="5"/>
  <c r="I20" i="5"/>
  <c r="M28" i="5"/>
  <c r="L28" i="5"/>
  <c r="K28" i="5"/>
  <c r="H28" i="5"/>
  <c r="J28" i="5"/>
  <c r="I28" i="5"/>
  <c r="L17" i="5"/>
  <c r="K17" i="5"/>
  <c r="J17" i="5"/>
  <c r="I17" i="5"/>
  <c r="H17" i="5"/>
  <c r="M17" i="5"/>
  <c r="M13" i="5"/>
  <c r="L13" i="5"/>
  <c r="K13" i="5"/>
  <c r="J13" i="5"/>
  <c r="I13" i="5"/>
  <c r="H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Kerr</author>
  </authors>
  <commentList>
    <comment ref="L671" authorId="0" shapeId="0" xr:uid="{00000000-0006-0000-0900-000003000000}">
      <text>
        <r>
          <rPr>
            <b/>
            <sz val="9"/>
            <color indexed="81"/>
            <rFont val="Tahoma"/>
            <family val="2"/>
          </rPr>
          <t>Mark Kerr:</t>
        </r>
        <r>
          <rPr>
            <sz val="9"/>
            <color indexed="81"/>
            <rFont val="Tahoma"/>
            <family val="2"/>
          </rPr>
          <t xml:space="preserve">
Unit title &amp; version change coming for 2025</t>
        </r>
      </text>
    </comment>
    <comment ref="L854" authorId="0" shapeId="0" xr:uid="{00000000-0006-0000-0900-000004000000}">
      <text>
        <r>
          <rPr>
            <b/>
            <sz val="9"/>
            <color indexed="81"/>
            <rFont val="Tahoma"/>
            <family val="2"/>
          </rPr>
          <t>Mark Kerr:</t>
        </r>
        <r>
          <rPr>
            <sz val="9"/>
            <color indexed="81"/>
            <rFont val="Tahoma"/>
            <family val="2"/>
          </rPr>
          <t xml:space="preserve">
Students who have passed ATAR Chemistry or equivalent choose CHEM1000 in Y1</t>
        </r>
      </text>
    </comment>
    <comment ref="L857" authorId="0" shapeId="0" xr:uid="{00000000-0006-0000-0900-000005000000}">
      <text>
        <r>
          <rPr>
            <b/>
            <sz val="9"/>
            <color indexed="81"/>
            <rFont val="Tahoma"/>
            <family val="2"/>
          </rPr>
          <t>Mark Kerr:</t>
        </r>
        <r>
          <rPr>
            <sz val="9"/>
            <color indexed="81"/>
            <rFont val="Tahoma"/>
            <family val="2"/>
          </rPr>
          <t xml:space="preserve">
Students who have passed ATAR Physics and ATAR Mathematics Methods or equivalent choose PHYS1005 in Y3</t>
        </r>
      </text>
    </comment>
    <comment ref="H937" authorId="0" shapeId="0" xr:uid="{00000000-0006-0000-0900-000006000000}">
      <text>
        <r>
          <rPr>
            <b/>
            <sz val="9"/>
            <color indexed="81"/>
            <rFont val="Tahoma"/>
            <family val="2"/>
          </rPr>
          <t>Mark Kerr:</t>
        </r>
        <r>
          <rPr>
            <sz val="9"/>
            <color indexed="81"/>
            <rFont val="Tahoma"/>
            <family val="2"/>
          </rPr>
          <t xml:space="preserve">
Entered into Akari incorrectly as one AC is enterd Y3 S1 and the other Y3 S2.
11/11/2024 - Messaged HUM PCs for clarification.</t>
        </r>
      </text>
    </comment>
  </commentList>
</comments>
</file>

<file path=xl/sharedStrings.xml><?xml version="1.0" encoding="utf-8"?>
<sst xmlns="http://schemas.openxmlformats.org/spreadsheetml/2006/main" count="17403" uniqueCount="1471">
  <si>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</si>
  <si>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</si>
  <si>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</si>
  <si>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</si>
  <si>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</si>
  <si>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</si>
  <si>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</si>
  <si>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</si>
  <si>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</si>
  <si>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</si>
  <si>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</si>
  <si>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Bachelor of Educational Studies</t>
  </si>
  <si>
    <t>Course version:</t>
  </si>
  <si>
    <t>Commencing:</t>
  </si>
  <si>
    <t>Semester 1 (February - June)</t>
  </si>
  <si>
    <t>Credits to Complete:</t>
  </si>
  <si>
    <t>2025 Availabilities</t>
  </si>
  <si>
    <t>Year 1</t>
  </si>
  <si>
    <t>Study Period</t>
  </si>
  <si>
    <t>Pre-Requisite(s)</t>
  </si>
  <si>
    <t>CP</t>
  </si>
  <si>
    <t>Sem1 BEN</t>
  </si>
  <si>
    <t>Sem1 FO</t>
  </si>
  <si>
    <t>Sem1 KAL</t>
  </si>
  <si>
    <t>Sem2 BEN</t>
  </si>
  <si>
    <t>Sem2 FO</t>
  </si>
  <si>
    <t>Sem2 KAL</t>
  </si>
  <si>
    <t>Notes / Progress</t>
  </si>
  <si>
    <t>Year 2</t>
  </si>
  <si>
    <t>Year 3</t>
  </si>
  <si>
    <t>Alternate Core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</si>
  <si>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</si>
  <si>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</si>
  <si>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</si>
  <si>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</si>
  <si>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 (Early Childhood Education)</t>
  </si>
  <si>
    <t>Year 4</t>
  </si>
  <si>
    <t>Options List</t>
  </si>
  <si>
    <t>Study any TWO options from the list below</t>
  </si>
  <si>
    <t>Bachelor of Education (Primary Education)</t>
  </si>
  <si>
    <t>Teaching Area Stream:</t>
  </si>
  <si>
    <t>Health and Physical Education Stream (BPriEd)</t>
  </si>
  <si>
    <t>Teaching Area Stream Version:</t>
  </si>
  <si>
    <t>Notes /  Progress</t>
  </si>
  <si>
    <t>Teaching Area Units</t>
  </si>
  <si>
    <t>Study all THREE units from your Teaching Area Stream</t>
  </si>
  <si>
    <t>Bachelor of Education</t>
  </si>
  <si>
    <t>RangeUnitSets</t>
  </si>
  <si>
    <t>B-EDUCSem1</t>
  </si>
  <si>
    <t>B-EDUCSem2</t>
  </si>
  <si>
    <t>B-EDECSem1</t>
  </si>
  <si>
    <t>B-EDECSem2</t>
  </si>
  <si>
    <t>B-EDPRSem1</t>
  </si>
  <si>
    <t>B-EDPRSem2</t>
  </si>
  <si>
    <t>Y1Sem1</t>
  </si>
  <si>
    <t>EDUC1021</t>
  </si>
  <si>
    <t>Y1Sem2</t>
  </si>
  <si>
    <t>EDUC1027</t>
  </si>
  <si>
    <t>EDUC1029</t>
  </si>
  <si>
    <t>TableCourses</t>
  </si>
  <si>
    <t>EDUC1019</t>
  </si>
  <si>
    <t>EDUC1025</t>
  </si>
  <si>
    <t>EDUC1023</t>
  </si>
  <si>
    <t>EDUC1031</t>
  </si>
  <si>
    <t>Choose your Education Course</t>
  </si>
  <si>
    <t>SM Version</t>
  </si>
  <si>
    <t>SM Effective Date</t>
  </si>
  <si>
    <t>Akari Iteration</t>
  </si>
  <si>
    <t>Akari Effective Date</t>
  </si>
  <si>
    <t>Credit Points</t>
  </si>
  <si>
    <t>SM Availabilities</t>
  </si>
  <si>
    <t>B-EDUC</t>
  </si>
  <si>
    <t>v.4</t>
  </si>
  <si>
    <t xml:space="preserve">600 credit points required </t>
  </si>
  <si>
    <t>Sem1 INT&amp;FO;Sem2 INT&amp;FO</t>
  </si>
  <si>
    <t>EDUC1033</t>
  </si>
  <si>
    <t>B-EDEC</t>
  </si>
  <si>
    <t>v.3</t>
  </si>
  <si>
    <t xml:space="preserve">800 credit points required </t>
  </si>
  <si>
    <r>
      <t>Sem1 INT&amp;FO&amp;KAL;Sem2 INT&amp;FO&amp;</t>
    </r>
    <r>
      <rPr>
        <sz val="12"/>
        <color rgb="FF00B050"/>
        <rFont val="Calibri"/>
        <family val="2"/>
        <scheme val="minor"/>
      </rPr>
      <t>KAL</t>
    </r>
  </si>
  <si>
    <t>B-EDPR</t>
  </si>
  <si>
    <t>Sem1 INT&amp;FO&amp;KAL;Sem2 INT&amp;FO&amp;KAL</t>
  </si>
  <si>
    <t>Bachelor of Education (Secondary Education)</t>
  </si>
  <si>
    <t>B-EDSC</t>
  </si>
  <si>
    <t>v.5</t>
  </si>
  <si>
    <t>Sem1 INT;Sem2 INT</t>
  </si>
  <si>
    <t>TableTeachingAreaStream</t>
  </si>
  <si>
    <t>Y2Sem1</t>
  </si>
  <si>
    <t>EDUC1035</t>
  </si>
  <si>
    <t>Y2Sem2</t>
  </si>
  <si>
    <t>EDPR2004</t>
  </si>
  <si>
    <t>EDUC2007</t>
  </si>
  <si>
    <t>EDEC2000</t>
  </si>
  <si>
    <t>EDUC2005</t>
  </si>
  <si>
    <t>Choose your Teaching Area Stream (drop-down list)</t>
  </si>
  <si>
    <t>EDPR2016</t>
  </si>
  <si>
    <t>EDPR2000</t>
  </si>
  <si>
    <t>EDEC2021</t>
  </si>
  <si>
    <t>Catholic Education Stream (BPriEd)</t>
  </si>
  <si>
    <t>STRU-CATHL</t>
  </si>
  <si>
    <t>v.1</t>
  </si>
  <si>
    <t xml:space="preserve">75 credit points required </t>
  </si>
  <si>
    <t>Elective</t>
  </si>
  <si>
    <t>EDEC2025</t>
  </si>
  <si>
    <t>EDEC2023</t>
  </si>
  <si>
    <t>English Language and Literacy Stream (BPriEd)</t>
  </si>
  <si>
    <t>STRU-ENGLL</t>
  </si>
  <si>
    <t>EDEC2019</t>
  </si>
  <si>
    <t>EDEC2027</t>
  </si>
  <si>
    <t>EDPR2012</t>
  </si>
  <si>
    <t>TAS Unit</t>
  </si>
  <si>
    <t>STRU-HLTPE</t>
  </si>
  <si>
    <t>iSTEM Stream (BPriEd)</t>
  </si>
  <si>
    <t>STRU-ISTEM</t>
  </si>
  <si>
    <t>Literacy and Numeracy in Diverse Populations Stream (BPriEd)</t>
  </si>
  <si>
    <t>STRU-LITNU</t>
  </si>
  <si>
    <t>EDPR2014</t>
  </si>
  <si>
    <t>Technologies Stream (BPriEd)</t>
  </si>
  <si>
    <t>STRU-TECHS</t>
  </si>
  <si>
    <t>International Baccalaureate Stream (BPriEd)</t>
  </si>
  <si>
    <t>STRU-INTBC</t>
  </si>
  <si>
    <t>Y3Sem1</t>
  </si>
  <si>
    <t>INED3001</t>
  </si>
  <si>
    <t>Y3Sem2</t>
  </si>
  <si>
    <t>EDPR3003</t>
  </si>
  <si>
    <t>EDEC3016</t>
  </si>
  <si>
    <t>EDEC3024</t>
  </si>
  <si>
    <t>EDPR3004</t>
  </si>
  <si>
    <t>AC-BEDUC</t>
  </si>
  <si>
    <t>EDUC4048</t>
  </si>
  <si>
    <t>EDEC3022</t>
  </si>
  <si>
    <t>EDPR3014</t>
  </si>
  <si>
    <t>EDPR3001</t>
  </si>
  <si>
    <t>TableStudyPeriods</t>
  </si>
  <si>
    <t>EDEC3026</t>
  </si>
  <si>
    <t>EDPR3000</t>
  </si>
  <si>
    <t>Choose your commencing study period (drop-down list)</t>
  </si>
  <si>
    <t>START</t>
  </si>
  <si>
    <t>Next</t>
  </si>
  <si>
    <t>EDEC3020</t>
  </si>
  <si>
    <t>Option</t>
  </si>
  <si>
    <t>Sem1</t>
  </si>
  <si>
    <t>Sem2</t>
  </si>
  <si>
    <t>Semester 2 (July -  November)</t>
  </si>
  <si>
    <t>EDUC3002</t>
  </si>
  <si>
    <t>EDEC3018</t>
  </si>
  <si>
    <t>EDEC4006</t>
  </si>
  <si>
    <t>EDPR3012</t>
  </si>
  <si>
    <t>Y4Sem1</t>
  </si>
  <si>
    <t>Y4Sem2</t>
  </si>
  <si>
    <t>EDEC4004</t>
  </si>
  <si>
    <t>EDPR4003</t>
  </si>
  <si>
    <t>EDPR4000</t>
  </si>
  <si>
    <t>EDUC4049</t>
  </si>
  <si>
    <t>1)      Update high level course / component &amp; study period details (Unitsets Tab)</t>
  </si>
  <si>
    <t>EDUC4040</t>
  </si>
  <si>
    <t>2)      Update Planner page(s) to reference year of planner e.g. “2025” (Planner Tab)</t>
  </si>
  <si>
    <t>Earlier</t>
  </si>
  <si>
    <t>-2-</t>
  </si>
  <si>
    <t>-1-</t>
  </si>
  <si>
    <t>3)      Update structures (Structures Tab)</t>
  </si>
  <si>
    <t>4)      Update Handbook unit list from updated structures (Handbook Tab)</t>
  </si>
  <si>
    <t>5)      Update Availabilities using updated Handbook unit list (Availabilities Tab)</t>
  </si>
  <si>
    <t>6)      Update Pre Requisites (Handbook Tab)</t>
  </si>
  <si>
    <t>RangeTeachingAreaStreams</t>
  </si>
  <si>
    <t>7)      Update sequences for courses / components (Unitsets Tab)</t>
  </si>
  <si>
    <t>8)      Review Handbook Tab for obvious issues / errors and enter notes (Handbook Tab)</t>
  </si>
  <si>
    <t>CTED4006</t>
  </si>
  <si>
    <t>EDUC4023</t>
  </si>
  <si>
    <t>EDUC4051</t>
  </si>
  <si>
    <t>EDUC4021</t>
  </si>
  <si>
    <t>EDUC4042</t>
  </si>
  <si>
    <t>EDUC4029</t>
  </si>
  <si>
    <t>9)      Review Planner Tab(s) for obvious issues / errors (Planner Tab)</t>
  </si>
  <si>
    <t>CTED4001</t>
  </si>
  <si>
    <t>EDUC4022</t>
  </si>
  <si>
    <t>EDUC4052</t>
  </si>
  <si>
    <t>EDUC4032</t>
  </si>
  <si>
    <t>EDUC4044</t>
  </si>
  <si>
    <t>EDUC4038</t>
  </si>
  <si>
    <t>CTED4008</t>
  </si>
  <si>
    <t>EDUC4036</t>
  </si>
  <si>
    <t>EDUC4053</t>
  </si>
  <si>
    <t>EDUC4034</t>
  </si>
  <si>
    <t>EDUC4020</t>
  </si>
  <si>
    <t>EDUC4046</t>
  </si>
  <si>
    <t>RangeOptions</t>
  </si>
  <si>
    <t>OiSTEM</t>
  </si>
  <si>
    <t>EDSC3007</t>
  </si>
  <si>
    <t>OELL</t>
  </si>
  <si>
    <t>OLNDP</t>
  </si>
  <si>
    <t>OT</t>
  </si>
  <si>
    <t>OCE</t>
  </si>
  <si>
    <t>OO</t>
  </si>
  <si>
    <t>EDUC4012</t>
  </si>
  <si>
    <t>EDUC4014</t>
  </si>
  <si>
    <t>EDIB4000</t>
  </si>
  <si>
    <t>EDIB4001</t>
  </si>
  <si>
    <t>EDIB4002</t>
  </si>
  <si>
    <t>EDUC4031</t>
  </si>
  <si>
    <t>CTED4000</t>
  </si>
  <si>
    <t>CTED4002</t>
  </si>
  <si>
    <t>Major:</t>
  </si>
  <si>
    <t>English Education Major (BEd Secondary)</t>
  </si>
  <si>
    <t>Major version:</t>
  </si>
  <si>
    <t>Biological Sciences Education Minor Teaching Area Stream (BEd Secondary)</t>
  </si>
  <si>
    <t>Teaching Area Stream version:</t>
  </si>
  <si>
    <t>Physical Education Major (BEd Secondary)</t>
  </si>
  <si>
    <t>Broadening Health and Physical Education Teaching Area Stream (BEd Secondary)</t>
  </si>
  <si>
    <t>2025 Full-Time Enrolment Planner (Maths no Methods)</t>
  </si>
  <si>
    <t>Humanities and Social Sciences Education Major (Geography) (BEd Secondary)</t>
  </si>
  <si>
    <t>Major Version:</t>
  </si>
  <si>
    <t>Second Specialisation:</t>
  </si>
  <si>
    <t>Mathematics Education Minor Teaching Area Stream (BEd Secondary)</t>
  </si>
  <si>
    <t>Specialisation version:</t>
  </si>
  <si>
    <t>StreamsMathsNoMethods</t>
  </si>
  <si>
    <t>Alternate Core Units (if applicable)</t>
  </si>
  <si>
    <t>STRU-VARTM</t>
  </si>
  <si>
    <t>TableCourseSecondary</t>
  </si>
  <si>
    <t>DropDownLists</t>
  </si>
  <si>
    <t>Streams Nil</t>
  </si>
  <si>
    <t>Choose your Teaching Area Stream second (drop-down list)</t>
  </si>
  <si>
    <t>RangeUnitSetsSec</t>
  </si>
  <si>
    <t>B-EDSCSem1</t>
  </si>
  <si>
    <t>B-EDSCSem2</t>
  </si>
  <si>
    <t>SCPH1MOSem1</t>
  </si>
  <si>
    <t>MJRU-SCPH1Sem2</t>
  </si>
  <si>
    <t>ARDR1BSCIMSem1</t>
  </si>
  <si>
    <t>ARDR1BSCIMSem2</t>
  </si>
  <si>
    <t>ARDR1PARTBSem1</t>
  </si>
  <si>
    <t>ARDR1PARTBSem2</t>
  </si>
  <si>
    <t>ARDR1ENGLMSem1</t>
  </si>
  <si>
    <t>ARDR1ENGLMSem2</t>
  </si>
  <si>
    <t>ARDR1GEOGMSem1</t>
  </si>
  <si>
    <t>ARDR1HISTMSem1</t>
  </si>
  <si>
    <t>ARDR1MATHMSem1</t>
  </si>
  <si>
    <t>ARDR1PSYCMSem1</t>
  </si>
  <si>
    <t>ARME1BSCIMSem1</t>
  </si>
  <si>
    <t>ARME1ENGLMSem1</t>
  </si>
  <si>
    <t>ARME1GEOGMSem1</t>
  </si>
  <si>
    <t>ARME1HISTMSem1</t>
  </si>
  <si>
    <t>ARME1MATHMSem1</t>
  </si>
  <si>
    <t>ARME1PSYCMSem1</t>
  </si>
  <si>
    <t>ARVA1BSCIMSem1</t>
  </si>
  <si>
    <t>ARVA1VARTBSem1</t>
  </si>
  <si>
    <t>ARVA1ENGLMSem1</t>
  </si>
  <si>
    <t>ARVA1GEOGMSem1</t>
  </si>
  <si>
    <t>ARVA1HISTMSem1</t>
  </si>
  <si>
    <t>ARVA1MATHMSem1</t>
  </si>
  <si>
    <t>ARVA1PSYCMSem1</t>
  </si>
  <si>
    <t>ENGL1BSCIMSem1</t>
  </si>
  <si>
    <t>ENGL1ENGLBSem1</t>
  </si>
  <si>
    <t>ENGL1GEOGMSem1</t>
  </si>
  <si>
    <t>ENGL1HISTMSem1</t>
  </si>
  <si>
    <t>ENGL1MATHMSem1</t>
  </si>
  <si>
    <t>ENGL1PSYCMSem1</t>
  </si>
  <si>
    <t>ENGL1MARTMSem1</t>
  </si>
  <si>
    <t>ENGL1PARTMSem1</t>
  </si>
  <si>
    <t>ENGL1VARTMSem1</t>
  </si>
  <si>
    <t>HSEC1BSCIMSem1</t>
  </si>
  <si>
    <t>HSEC1ECOB1Sem1</t>
  </si>
  <si>
    <t>HSEC1ENGLMSem1</t>
  </si>
  <si>
    <t>HSEC1MATHMSem1</t>
  </si>
  <si>
    <t>HSEC1PSYCMSem1</t>
  </si>
  <si>
    <t>HSEC1MARTMSem1</t>
  </si>
  <si>
    <t>HSEC1PARTMSem1</t>
  </si>
  <si>
    <t>HSEC1VARTMSem1</t>
  </si>
  <si>
    <t>HSGE1BSCIMSem1</t>
  </si>
  <si>
    <t>HSGE1GEOB1Sem1</t>
  </si>
  <si>
    <t>HSGE1ENGLMSem1</t>
  </si>
  <si>
    <t>HSGE1MATHMSem1</t>
  </si>
  <si>
    <t>HSGE1PSYCMSem1</t>
  </si>
  <si>
    <t>HSGE1MARTMSem1</t>
  </si>
  <si>
    <t>HSGE1PARTMSem1</t>
  </si>
  <si>
    <t>HSGE1VARTMSem1</t>
  </si>
  <si>
    <t>HSHI1BSCIMSem1</t>
  </si>
  <si>
    <t>HSHI1HISB1Sem1</t>
  </si>
  <si>
    <t>HSHI1ENGLMSem1</t>
  </si>
  <si>
    <t>HSHI1MATHMSem1</t>
  </si>
  <si>
    <t>HSHI1PSYCMSem1</t>
  </si>
  <si>
    <t>HSHI1MARTMSem1</t>
  </si>
  <si>
    <t>HSHI1PARTMSem1</t>
  </si>
  <si>
    <t>HSHI1VARTMSem1</t>
  </si>
  <si>
    <t>HSPL1BSCIMSem1</t>
  </si>
  <si>
    <t>HSPL1POLB1Sem1</t>
  </si>
  <si>
    <t>HSPL1ENGLMSem1</t>
  </si>
  <si>
    <t>HSPL1MATHMSem1</t>
  </si>
  <si>
    <t>HSPL1PSYCMSem1</t>
  </si>
  <si>
    <t>HSPL1MARTMSem1</t>
  </si>
  <si>
    <t>HSPL1PARTMSem1</t>
  </si>
  <si>
    <t>HSPL1VARTMSem1</t>
  </si>
  <si>
    <t>HSPL1Sem1</t>
  </si>
  <si>
    <t>MATH1BSCIMSem1</t>
  </si>
  <si>
    <t>MATH1MATHBSem1</t>
  </si>
  <si>
    <t>MATH1ENGLMSem1</t>
  </si>
  <si>
    <t>MATH1GEOGMSem1</t>
  </si>
  <si>
    <t>MATH1HISTMSem1</t>
  </si>
  <si>
    <t>MATH1PSYCMSem1</t>
  </si>
  <si>
    <t>MATH1MARTMSem1</t>
  </si>
  <si>
    <t>MATH1PARTMSem1</t>
  </si>
  <si>
    <t>MATH1VARTMSem1</t>
  </si>
  <si>
    <t>PHYSEBSCIMSem1</t>
  </si>
  <si>
    <t>PHYSEHPEB1Sem1</t>
  </si>
  <si>
    <t>SCBI1BIOLBSem1</t>
  </si>
  <si>
    <t>SCBI1ENGLMSem1</t>
  </si>
  <si>
    <t>SCBI1GEOGMSem1</t>
  </si>
  <si>
    <t>SCBI1HISTMSem1</t>
  </si>
  <si>
    <t>SCBI1MATHMSem1</t>
  </si>
  <si>
    <t>SCBI1MARTMSem1</t>
  </si>
  <si>
    <t>SCBI1PARTMSem1</t>
  </si>
  <si>
    <t>SCBI1VARTMSem1</t>
  </si>
  <si>
    <t>SCCH1CHEMBSem1</t>
  </si>
  <si>
    <t>SCCH1ENGLMSem1</t>
  </si>
  <si>
    <t>SCCH1GEOGMSem1</t>
  </si>
  <si>
    <t>SCCH1HISTMSem1</t>
  </si>
  <si>
    <t>SCCH1MATHMSem1</t>
  </si>
  <si>
    <t>SCCH1MARTMSem1</t>
  </si>
  <si>
    <t>SCCH1PARTMSem1</t>
  </si>
  <si>
    <t>SCCH1VARTMSem1</t>
  </si>
  <si>
    <t>SCHB1HUMBBSem1</t>
  </si>
  <si>
    <t>SCHB1ENGLMSem1</t>
  </si>
  <si>
    <t>SCHB1GEOGMSem1</t>
  </si>
  <si>
    <t>SCHB1HISTMSem1</t>
  </si>
  <si>
    <t>SCHB1MATHMSem1</t>
  </si>
  <si>
    <t>SCHB1MARTMSem1</t>
  </si>
  <si>
    <t>SCHB1PARTMSem1</t>
  </si>
  <si>
    <t>SCHB1VARTMSem1</t>
  </si>
  <si>
    <t>SCPS1PSYCBSem1</t>
  </si>
  <si>
    <t>SCPS1ENGLMSem1</t>
  </si>
  <si>
    <t>SCPS1GEOGMSem1</t>
  </si>
  <si>
    <t>SCPS1HISTMSem1</t>
  </si>
  <si>
    <t>SCPS1MATHMSem1</t>
  </si>
  <si>
    <t>SCPS1MARTMSem1</t>
  </si>
  <si>
    <t>SCPS1PARTMSem1</t>
  </si>
  <si>
    <t>SCPS1VARTMSem1</t>
  </si>
  <si>
    <t>MJRU-ARDR1</t>
  </si>
  <si>
    <t>MJRU-SCPH1</t>
  </si>
  <si>
    <t>MJRU-ARME1</t>
  </si>
  <si>
    <t>MJRU-ARVA1</t>
  </si>
  <si>
    <t>MJRU-ENGL1</t>
  </si>
  <si>
    <t>MJRU-HSEC1</t>
  </si>
  <si>
    <t>MJRU-HSGE1</t>
  </si>
  <si>
    <t>MJRU-HSHI1</t>
  </si>
  <si>
    <t>MJRU-HSPL1</t>
  </si>
  <si>
    <t>MJRU-MATH1</t>
  </si>
  <si>
    <t>MJRU-PHYSE</t>
  </si>
  <si>
    <t>MJRU-SCBI1</t>
  </si>
  <si>
    <t>MJRU-SCCH1</t>
  </si>
  <si>
    <t>MJRU-SCHB1</t>
  </si>
  <si>
    <t>MJRU-SCPS1</t>
  </si>
  <si>
    <t>STRU-BSCIM</t>
  </si>
  <si>
    <t>MO</t>
  </si>
  <si>
    <t>STRU-PARTB</t>
  </si>
  <si>
    <t>STRU-ENGLM</t>
  </si>
  <si>
    <t>STRU-GEOGM</t>
  </si>
  <si>
    <t>STRU-HISTM</t>
  </si>
  <si>
    <t>STRU-MATHM</t>
  </si>
  <si>
    <t>STRU-PSYCM</t>
  </si>
  <si>
    <t>STRU-VARTB</t>
  </si>
  <si>
    <t>STRU-ENGLB</t>
  </si>
  <si>
    <t>STRU-MARTM</t>
  </si>
  <si>
    <t>STRU-PARTM</t>
  </si>
  <si>
    <t>STRU-ECOB1</t>
  </si>
  <si>
    <t>STRU-GEOB1</t>
  </si>
  <si>
    <t>STRU-HISB1</t>
  </si>
  <si>
    <t>STRU-POLB1</t>
  </si>
  <si>
    <t>STRU-MATHB</t>
  </si>
  <si>
    <t>STRU-HPEB1</t>
  </si>
  <si>
    <t>STRU-BIOLB</t>
  </si>
  <si>
    <t>STRU-CHEMB</t>
  </si>
  <si>
    <t>STRU-HUMBB</t>
  </si>
  <si>
    <t>STRU-PSYCB</t>
  </si>
  <si>
    <t>TableMajors</t>
  </si>
  <si>
    <t/>
  </si>
  <si>
    <t>Choose your Major first (drop-down list)</t>
  </si>
  <si>
    <t>-N.A.-</t>
  </si>
  <si>
    <t xml:space="preserve">375 credit points required </t>
  </si>
  <si>
    <t>Humanities and Social Sciences Education Major (Economics) (BEd Secondary)</t>
  </si>
  <si>
    <t>Humanities and Social Sciences Education Major (History) (BEd Secondary)</t>
  </si>
  <si>
    <t>EDUC1034</t>
  </si>
  <si>
    <t>Humanities and Social Sciences Education Major (Politics and Law) (BEd Secondary)</t>
  </si>
  <si>
    <t>EDSC2011</t>
  </si>
  <si>
    <t>Mathematics Education Major (BEd Secondary)</t>
  </si>
  <si>
    <t>EdMajor</t>
  </si>
  <si>
    <t>SecondSpec</t>
  </si>
  <si>
    <t>Science Education Major (Biology) (BEd Secondary)</t>
  </si>
  <si>
    <t>EDSC2012</t>
  </si>
  <si>
    <t>Science Education Major (Chemistry) (BEd Secondary)</t>
  </si>
  <si>
    <t>Science Education Major (Human Biology) (BEd Secondary)</t>
  </si>
  <si>
    <t>Science Education Major (Physics) (BEd Secondary)</t>
  </si>
  <si>
    <t>Science Education Major (Psychology) (BEd Secondary)</t>
  </si>
  <si>
    <t>EDSC2013</t>
  </si>
  <si>
    <t>The Arts Education Major (Drama) (BEd Secondary)</t>
  </si>
  <si>
    <t>The Arts Education Major (Media Production and Analysis) (BEd Secondary)</t>
  </si>
  <si>
    <t>The Arts Education Major (Visual Arts) (BEd Secondary)</t>
  </si>
  <si>
    <t>EDSC3012</t>
  </si>
  <si>
    <t>TableStreams</t>
  </si>
  <si>
    <t>Choose your Specialisation Stream second (drop-down list)</t>
  </si>
  <si>
    <t xml:space="preserve">150 credit points required </t>
  </si>
  <si>
    <t>Broadening Biology Teaching Area Stream (BEd Secondary)</t>
  </si>
  <si>
    <t>EDSC3013</t>
  </si>
  <si>
    <t>Broadening Chemistry Teaching Area Stream (BEd Secondary)</t>
  </si>
  <si>
    <t>Broadening English Teaching Area Stream (BEd Secondary)</t>
  </si>
  <si>
    <t>Broadening HASS for Economics Teaching Area Stream (BEd Secondary)</t>
  </si>
  <si>
    <t>v.2</t>
  </si>
  <si>
    <t>Broadening HASS for Geography Teaching Area Stream (BEd Secondary)</t>
  </si>
  <si>
    <t>Broadening HASS for History Teaching Area Stream (BEd Secondary)</t>
  </si>
  <si>
    <t>Broadening HASS for Politics and Law Teaching Area Stream (BEd Secondary)</t>
  </si>
  <si>
    <t>Broadening Human Biology Teaching Area Stream (BEd Secondary)</t>
  </si>
  <si>
    <t>Broadening Mathematics Teaching Area Stream (BEd Secondary)</t>
  </si>
  <si>
    <t>Broadening Performing Arts Teaching Area Stream (BEd Secondary)</t>
  </si>
  <si>
    <t>Broadening Psychology Teaching Area Stream (BEd Secondary)</t>
  </si>
  <si>
    <t>Broadening Visual Arts Teaching Area Stream (BEd Secondary)</t>
  </si>
  <si>
    <t>English Education Minor Teaching Area Stream (BEd Secondary)</t>
  </si>
  <si>
    <t>Geography Education Minor Teaching Area Stream (BEd Secondary)</t>
  </si>
  <si>
    <t>RangeMajorsSec</t>
  </si>
  <si>
    <t>MJRU-SCPH1Sem1</t>
  </si>
  <si>
    <t>MJRU-ARDR1Sem1</t>
  </si>
  <si>
    <t>MJRU-ARDR1Sem2</t>
  </si>
  <si>
    <t>MJRU-ARME1Sem1</t>
  </si>
  <si>
    <t>MJRU-ARME1Sem2</t>
  </si>
  <si>
    <t>MJRU-ARVA1Sem1</t>
  </si>
  <si>
    <t>MJRU-ARVA1Sem2</t>
  </si>
  <si>
    <t>MJRU-ENGL1Sem1</t>
  </si>
  <si>
    <t>MJRU-ENGL1Sem2</t>
  </si>
  <si>
    <t>MJRU-HSEC1Sem1</t>
  </si>
  <si>
    <t>MJRU-HSEC1Sem2</t>
  </si>
  <si>
    <t>MJRU-HSGE1Sem1</t>
  </si>
  <si>
    <t>MJRU-HSGE1Sem2</t>
  </si>
  <si>
    <t>MJRU-HSHI1Sem1</t>
  </si>
  <si>
    <t>MJRU-HSHI1Sem2</t>
  </si>
  <si>
    <t>MJRU-HSPL1Sem1</t>
  </si>
  <si>
    <t>MJRU-HSPL1Sem2</t>
  </si>
  <si>
    <t>MJRU-MATH1Sem1</t>
  </si>
  <si>
    <t>MJRU-MATH1Sem2</t>
  </si>
  <si>
    <t>MJRU-PHYSESem1</t>
  </si>
  <si>
    <t>MJRU-PHYSESem2</t>
  </si>
  <si>
    <t>MJRU-SCBI1Sem1</t>
  </si>
  <si>
    <t>MJRU-SCBI1Sem2</t>
  </si>
  <si>
    <t>MJRU-SCCH1Sem1</t>
  </si>
  <si>
    <t>MJRU-SCCH1Sem2</t>
  </si>
  <si>
    <t>MJRU-SCHB1Sem1</t>
  </si>
  <si>
    <t>MJRU-SCHB1Sem2</t>
  </si>
  <si>
    <t>MJRU-SCPS1Sem1</t>
  </si>
  <si>
    <t>MJRU-SCPS1Sem2</t>
  </si>
  <si>
    <t>History Education Minor Teaching Area Stream (BEd Secondary)</t>
  </si>
  <si>
    <t>MATH1016</t>
  </si>
  <si>
    <t>--</t>
  </si>
  <si>
    <t>THTR1002</t>
  </si>
  <si>
    <t>AC-ARME1</t>
  </si>
  <si>
    <t>VISA1004</t>
  </si>
  <si>
    <t>CWRI1003</t>
  </si>
  <si>
    <t>ECON1000</t>
  </si>
  <si>
    <t>AC-HSGE11</t>
  </si>
  <si>
    <t>ANTH1001</t>
  </si>
  <si>
    <t>REHT1001</t>
  </si>
  <si>
    <t>AC-SCBI1</t>
  </si>
  <si>
    <t>CHEM1000</t>
  </si>
  <si>
    <t>HUMB1000</t>
  </si>
  <si>
    <t>PSYC1001</t>
  </si>
  <si>
    <t>Major Only</t>
  </si>
  <si>
    <t>EDSC4022</t>
  </si>
  <si>
    <t>THTR1001</t>
  </si>
  <si>
    <t>EDSC4032</t>
  </si>
  <si>
    <t>EDSC4030</t>
  </si>
  <si>
    <t>EDSC4024</t>
  </si>
  <si>
    <t>EDSC4020</t>
  </si>
  <si>
    <t>HUMB1006</t>
  </si>
  <si>
    <t>STAT1004</t>
  </si>
  <si>
    <t>NETS2000</t>
  </si>
  <si>
    <t>AC-ARVA1</t>
  </si>
  <si>
    <t>AC-ENGL1</t>
  </si>
  <si>
    <t>AC-HSEC11</t>
  </si>
  <si>
    <t>GEOG1000</t>
  </si>
  <si>
    <t>HIST1000</t>
  </si>
  <si>
    <t>STRD1000</t>
  </si>
  <si>
    <t>STAT1005</t>
  </si>
  <si>
    <t>EDSC4034</t>
  </si>
  <si>
    <t>BIOL1005</t>
  </si>
  <si>
    <t>CHEM1002</t>
  </si>
  <si>
    <t>HUMB1001</t>
  </si>
  <si>
    <t>PSYC1000</t>
  </si>
  <si>
    <t>Psychology Education Minor Teaching Area Stream (BEd Secondary)</t>
  </si>
  <si>
    <t>EDSC4023</t>
  </si>
  <si>
    <t>EDSC4028</t>
  </si>
  <si>
    <t>EDSC4018</t>
  </si>
  <si>
    <t>EDSC4026</t>
  </si>
  <si>
    <t>EDSC4021</t>
  </si>
  <si>
    <t>EDSC4035</t>
  </si>
  <si>
    <t>CHEM2005</t>
  </si>
  <si>
    <t>PSYC2003</t>
  </si>
  <si>
    <t>The Arts - Media Education Minor Teaching Area Stream (BEd Secondary)</t>
  </si>
  <si>
    <t>MATH2010</t>
  </si>
  <si>
    <t>THTR2003</t>
  </si>
  <si>
    <t>COMS1001</t>
  </si>
  <si>
    <t>VISA2006</t>
  </si>
  <si>
    <t>LCST2007</t>
  </si>
  <si>
    <t>ECON2001</t>
  </si>
  <si>
    <t>AC-HSGE12</t>
  </si>
  <si>
    <t>AC-HSHI11</t>
  </si>
  <si>
    <t>AC-HSPL11</t>
  </si>
  <si>
    <t>MATH1015</t>
  </si>
  <si>
    <t>REHT2001</t>
  </si>
  <si>
    <t>BOTA2000</t>
  </si>
  <si>
    <t>HUMB2012</t>
  </si>
  <si>
    <t>The Arts - Performing Arts Education Minor Teaching Area Stream (BEd Secondary)</t>
  </si>
  <si>
    <t>THTR2002</t>
  </si>
  <si>
    <t>NETS3010</t>
  </si>
  <si>
    <t>VISA2023</t>
  </si>
  <si>
    <t>LCST2006</t>
  </si>
  <si>
    <t>AC-HSEC12</t>
  </si>
  <si>
    <t>AC-HSGE13</t>
  </si>
  <si>
    <t>AC-HSHI12</t>
  </si>
  <si>
    <t>AC-HSPL12</t>
  </si>
  <si>
    <t>AC-MATH1</t>
  </si>
  <si>
    <t>HUMV2000</t>
  </si>
  <si>
    <t>ZOOL2000</t>
  </si>
  <si>
    <t>CHEM2004</t>
  </si>
  <si>
    <t>HUMB2013</t>
  </si>
  <si>
    <t>PSYC2001</t>
  </si>
  <si>
    <t>The Arts - Visual Arts Education Minor Teaching Area Stream (BEd Secondary)</t>
  </si>
  <si>
    <t>THTR3004</t>
  </si>
  <si>
    <t>SPRO2000</t>
  </si>
  <si>
    <t>Opt-ARVA1</t>
  </si>
  <si>
    <t>LCST3007</t>
  </si>
  <si>
    <t>AC-HSEC13</t>
  </si>
  <si>
    <t>AC-HSGE14</t>
  </si>
  <si>
    <t>AC-HSHI13</t>
  </si>
  <si>
    <t>AC-HSPL13</t>
  </si>
  <si>
    <t>STAT3011</t>
  </si>
  <si>
    <t>REHT3002</t>
  </si>
  <si>
    <t>ENST3002</t>
  </si>
  <si>
    <t>AC-SCCH11</t>
  </si>
  <si>
    <t>MEDS3005</t>
  </si>
  <si>
    <t>PSYC3000</t>
  </si>
  <si>
    <t>PHYS3009</t>
  </si>
  <si>
    <t>THTR3000</t>
  </si>
  <si>
    <t>SPRO3004</t>
  </si>
  <si>
    <t>VISA3006</t>
  </si>
  <si>
    <t>LCST3006</t>
  </si>
  <si>
    <t>MGMT3026</t>
  </si>
  <si>
    <t>AC-HSGE15</t>
  </si>
  <si>
    <t>HIST3003</t>
  </si>
  <si>
    <t>AC-HSPL14</t>
  </si>
  <si>
    <t>STAT2001</t>
  </si>
  <si>
    <t>PSYC3006</t>
  </si>
  <si>
    <t>EDSC3011</t>
  </si>
  <si>
    <t>AC-SCCH12</t>
  </si>
  <si>
    <t>PSYT3000</t>
  </si>
  <si>
    <t>AERO3000</t>
  </si>
  <si>
    <t>Opt-ARDR1</t>
  </si>
  <si>
    <t>Opt-ARME1</t>
  </si>
  <si>
    <t>VISA3010</t>
  </si>
  <si>
    <t>Opt-ENGL1</t>
  </si>
  <si>
    <t>Opt-HSEC1</t>
  </si>
  <si>
    <t>Opt-HSGE1</t>
  </si>
  <si>
    <t>Opt-HSHI1</t>
  </si>
  <si>
    <t>Opt-HSPL1</t>
  </si>
  <si>
    <t>MATH3011</t>
  </si>
  <si>
    <t>REHT2003</t>
  </si>
  <si>
    <t>Opt-SCBI1</t>
  </si>
  <si>
    <t>Opt-SCCH1</t>
  </si>
  <si>
    <t>Opt-SCHB1</t>
  </si>
  <si>
    <t>Opt-SCPS1</t>
  </si>
  <si>
    <t>NETS1001</t>
  </si>
  <si>
    <t>VISA1003</t>
  </si>
  <si>
    <t>LCST1004</t>
  </si>
  <si>
    <t>BLAW1002</t>
  </si>
  <si>
    <t>PHGY1000</t>
  </si>
  <si>
    <t>HIST2000</t>
  </si>
  <si>
    <t>ANTH2000</t>
  </si>
  <si>
    <t>MATH2009</t>
  </si>
  <si>
    <t>AGRI1000</t>
  </si>
  <si>
    <t>CHEM3001</t>
  </si>
  <si>
    <t>HUMB2011</t>
  </si>
  <si>
    <t>PSYC2000</t>
  </si>
  <si>
    <t>SPRO2003</t>
  </si>
  <si>
    <t>SCST1000</t>
  </si>
  <si>
    <t>VISA1015</t>
  </si>
  <si>
    <t>PWRP1000</t>
  </si>
  <si>
    <t>ECOM1000</t>
  </si>
  <si>
    <t>URDE1001</t>
  </si>
  <si>
    <t>INDS2004</t>
  </si>
  <si>
    <t>ANTH2002</t>
  </si>
  <si>
    <t>MATH2011</t>
  </si>
  <si>
    <t>CHEM3003</t>
  </si>
  <si>
    <t>HUMB2014</t>
  </si>
  <si>
    <t>PSYC2008</t>
  </si>
  <si>
    <t>MATH1014</t>
  </si>
  <si>
    <t xml:space="preserve"> </t>
  </si>
  <si>
    <t>-</t>
  </si>
  <si>
    <t>HUMB3009</t>
  </si>
  <si>
    <t>PSYC3003</t>
  </si>
  <si>
    <t>ECON2004</t>
  </si>
  <si>
    <t>GEOG2000</t>
  </si>
  <si>
    <t>HIST2001</t>
  </si>
  <si>
    <t>CHEM3004</t>
  </si>
  <si>
    <t>HAVE NOT DONE SEM2 Sequences!!!</t>
  </si>
  <si>
    <t>SCST3010</t>
  </si>
  <si>
    <t>INDS2002</t>
  </si>
  <si>
    <t>COMS2000</t>
  </si>
  <si>
    <t>ECON2006</t>
  </si>
  <si>
    <t>PHGY2000</t>
  </si>
  <si>
    <t>INTR2000</t>
  </si>
  <si>
    <t>AGRI3006</t>
  </si>
  <si>
    <t>CHEM3009</t>
  </si>
  <si>
    <t>VISA1005</t>
  </si>
  <si>
    <t>COMS2001</t>
  </si>
  <si>
    <t>ECEV2000</t>
  </si>
  <si>
    <t>VISA2004</t>
  </si>
  <si>
    <t>CWRI2002</t>
  </si>
  <si>
    <t>ECON3004</t>
  </si>
  <si>
    <t>GEOG2001</t>
  </si>
  <si>
    <t>HIST3001</t>
  </si>
  <si>
    <t>ANTH3003</t>
  </si>
  <si>
    <t>ENST3007</t>
  </si>
  <si>
    <t>VISA2005</t>
  </si>
  <si>
    <t>CWRI3011</t>
  </si>
  <si>
    <t>ECON3007</t>
  </si>
  <si>
    <t>GEOG2002</t>
  </si>
  <si>
    <t>HIST3002</t>
  </si>
  <si>
    <t>POLS3000</t>
  </si>
  <si>
    <t>ERTH3000</t>
  </si>
  <si>
    <t>CHEM2003</t>
  </si>
  <si>
    <t>ZOOL2001</t>
  </si>
  <si>
    <t>CHEM2008</t>
  </si>
  <si>
    <t>GEOG3000</t>
  </si>
  <si>
    <t>ANTH3005</t>
  </si>
  <si>
    <t>FOOD2003</t>
  </si>
  <si>
    <t>ACCT1002</t>
  </si>
  <si>
    <t>PHGY3000</t>
  </si>
  <si>
    <t>ANTH1000</t>
  </si>
  <si>
    <t>ANTH3006</t>
  </si>
  <si>
    <t>FOOD3006</t>
  </si>
  <si>
    <t>BLAW2011</t>
  </si>
  <si>
    <t>GEOG3001</t>
  </si>
  <si>
    <t>SCWK2001</t>
  </si>
  <si>
    <t>URDE3002</t>
  </si>
  <si>
    <t>COMS1003</t>
  </si>
  <si>
    <t>HIST3000</t>
  </si>
  <si>
    <t>INDS2001</t>
  </si>
  <si>
    <t>STRD2001</t>
  </si>
  <si>
    <t>PHGY3002</t>
  </si>
  <si>
    <t>INTR1001</t>
  </si>
  <si>
    <t>URDE1006</t>
  </si>
  <si>
    <t>RangeStreamsSec</t>
  </si>
  <si>
    <t>MOSem1</t>
  </si>
  <si>
    <t>MOSem2</t>
  </si>
  <si>
    <t>STRU-BIOLBSem1</t>
  </si>
  <si>
    <t>STRU-BIOLBSem2</t>
  </si>
  <si>
    <t>STRU-BSCIMSem1</t>
  </si>
  <si>
    <t>STRU-BSCIMSem2</t>
  </si>
  <si>
    <t>STRU-CHEMBSem1</t>
  </si>
  <si>
    <t>STRU-CHEMBSem2</t>
  </si>
  <si>
    <t>STRU-ECOB1Sem1</t>
  </si>
  <si>
    <t>STRU-ECOB1Sem2</t>
  </si>
  <si>
    <t>STRU-ENGLBSem1</t>
  </si>
  <si>
    <t>STRU-ENGLBSem2</t>
  </si>
  <si>
    <t>STRU-ENGLMSem1</t>
  </si>
  <si>
    <t>STRU-ENGLMSem2</t>
  </si>
  <si>
    <t>STRU-GEOB1Sem1</t>
  </si>
  <si>
    <t>STRU-GEOB1Sem2</t>
  </si>
  <si>
    <t>STRU-GEOGMSem1</t>
  </si>
  <si>
    <t>STRU-GEOGMSem2</t>
  </si>
  <si>
    <t>STRU-HISB1Sem1</t>
  </si>
  <si>
    <t>STRU-HISB1Sem2</t>
  </si>
  <si>
    <t>STRU-HISTMSem1</t>
  </si>
  <si>
    <t>STRU-HISTMSem2</t>
  </si>
  <si>
    <t>STRU-HPEB1Sem1</t>
  </si>
  <si>
    <t>STRU-HPEB1Sem2</t>
  </si>
  <si>
    <t>STRU-HUMBBSem1</t>
  </si>
  <si>
    <t>STRU-HUMBBSem2</t>
  </si>
  <si>
    <t>STRU-MARTMSem1</t>
  </si>
  <si>
    <t>STRU-MARTMSem2</t>
  </si>
  <si>
    <t>STRU-MATHBSem1</t>
  </si>
  <si>
    <t>STRU-MATHBSem2</t>
  </si>
  <si>
    <t>STRU-MATHMSem1</t>
  </si>
  <si>
    <t>STRU-MATHMSem2</t>
  </si>
  <si>
    <t>STRU-PARTBSem1</t>
  </si>
  <si>
    <t>STRU-PARTBSem2</t>
  </si>
  <si>
    <t>STRU-PARTMSem1</t>
  </si>
  <si>
    <t>STRU-PARTMSem2</t>
  </si>
  <si>
    <t>STRU-POLB1Sem1</t>
  </si>
  <si>
    <t>STRU-POLB1Sem2</t>
  </si>
  <si>
    <t>STRU-PSYCBSem1</t>
  </si>
  <si>
    <t>STRU-PSYCBSem2</t>
  </si>
  <si>
    <t>STRU-PSYCMSem1</t>
  </si>
  <si>
    <t>STRU-PSYCMSem2</t>
  </si>
  <si>
    <t>STRU-VARTBSem1</t>
  </si>
  <si>
    <t>STRU-VARTBSem2</t>
  </si>
  <si>
    <t>STRU-VARTMSem1</t>
  </si>
  <si>
    <t>STRU-VARTMSem2</t>
  </si>
  <si>
    <t>AC-BIOLB1</t>
  </si>
  <si>
    <t>AC-BSCIM1</t>
  </si>
  <si>
    <t>AC-CHEMB1</t>
  </si>
  <si>
    <t>COMS1010</t>
  </si>
  <si>
    <t>HUMB1002</t>
  </si>
  <si>
    <t>AC-HUMBB1</t>
  </si>
  <si>
    <t>Opt-MATHB</t>
  </si>
  <si>
    <t>AC-PARTB1</t>
  </si>
  <si>
    <t>SPRO1000</t>
  </si>
  <si>
    <t>AC-PSYCB1</t>
  </si>
  <si>
    <t>PHYS1005</t>
  </si>
  <si>
    <t>AC-BIOLB2</t>
  </si>
  <si>
    <t>AC-BSCIM2</t>
  </si>
  <si>
    <t>AC-CHEMB2</t>
  </si>
  <si>
    <t>CWRI2001</t>
  </si>
  <si>
    <t>HUMB2006</t>
  </si>
  <si>
    <t>STAT2006</t>
  </si>
  <si>
    <t>AC-PARTB2</t>
  </si>
  <si>
    <t>PHYS1007</t>
  </si>
  <si>
    <t>AC-BSCIM3</t>
  </si>
  <si>
    <t>CWRI2016</t>
  </si>
  <si>
    <t>PUBH1000</t>
  </si>
  <si>
    <t>AC-HUMBB2</t>
  </si>
  <si>
    <t>AC-MATHM</t>
  </si>
  <si>
    <t>AC-PARTB3</t>
  </si>
  <si>
    <t>AC-PSYCB2</t>
  </si>
  <si>
    <t>PHYS2006</t>
  </si>
  <si>
    <t>ATOC2000</t>
  </si>
  <si>
    <t>AC-CHEMB3</t>
  </si>
  <si>
    <t>PWRP3010</t>
  </si>
  <si>
    <t>AC-HUMBB3</t>
  </si>
  <si>
    <t>AC-PSYCB3</t>
  </si>
  <si>
    <t>Opt-BIOLB</t>
  </si>
  <si>
    <t>AC-BSCIM4</t>
  </si>
  <si>
    <t>Opt-CHEMB</t>
  </si>
  <si>
    <t>Opt-ECOB1</t>
  </si>
  <si>
    <t>Opt-ENGLB</t>
  </si>
  <si>
    <t>Opt-GEOB1</t>
  </si>
  <si>
    <t>Opt-HISB1</t>
  </si>
  <si>
    <t>Opt-HPEB1</t>
  </si>
  <si>
    <t>Opt-HUMBB</t>
  </si>
  <si>
    <t>Opt-PARTB</t>
  </si>
  <si>
    <t>THTR2004</t>
  </si>
  <si>
    <t>Opt-POLB1</t>
  </si>
  <si>
    <t>Opt-PSYCB</t>
  </si>
  <si>
    <t>Opt-VARTB</t>
  </si>
  <si>
    <t>ASTR2000</t>
  </si>
  <si>
    <t>ENST2003</t>
  </si>
  <si>
    <t>CHEM2006</t>
  </si>
  <si>
    <t>HLPR2003</t>
  </si>
  <si>
    <t>MEDI2000</t>
  </si>
  <si>
    <t>AC-PARTB4</t>
  </si>
  <si>
    <t>PSYC2002</t>
  </si>
  <si>
    <t>VISA2007</t>
  </si>
  <si>
    <t>Opt-MATHB.</t>
  </si>
  <si>
    <t>GEOL1005</t>
  </si>
  <si>
    <t>MATH2000</t>
  </si>
  <si>
    <t>CHEM1003</t>
  </si>
  <si>
    <t>GEOL1007</t>
  </si>
  <si>
    <t>PHYS1006</t>
  </si>
  <si>
    <t>SPRO2004</t>
  </si>
  <si>
    <t>Major only</t>
  </si>
  <si>
    <t>RangeMathNoMethods</t>
  </si>
  <si>
    <t>MathsNoMethods</t>
  </si>
  <si>
    <t>Choose your Major (drop-down list)</t>
  </si>
  <si>
    <t>Title</t>
  </si>
  <si>
    <t>S1BEN</t>
  </si>
  <si>
    <t>S1OnBEN</t>
  </si>
  <si>
    <t>S1OnKAL</t>
  </si>
  <si>
    <t>S2BEN</t>
  </si>
  <si>
    <t>S2OnBEN</t>
  </si>
  <si>
    <t>S2OnKAL</t>
  </si>
  <si>
    <t>Notes</t>
  </si>
  <si>
    <t>Not applicable to this selection</t>
  </si>
  <si>
    <t>Please note this is a 100CP unit studied in Semester 1</t>
  </si>
  <si>
    <t>Please note this is a 100CP unit studied in Special Study Period 2 (SSP2)</t>
  </si>
  <si>
    <t>Study either SCST1000 or NETS1001 (see below)</t>
  </si>
  <si>
    <t>See below</t>
  </si>
  <si>
    <t>Study either VISA1003 or VISA1015 (see below)</t>
  </si>
  <si>
    <t>AC-BEDSC</t>
  </si>
  <si>
    <t>Choose Your Major</t>
  </si>
  <si>
    <t>Study either EDPR3004 or EDSC3007 (see below)</t>
  </si>
  <si>
    <t>Study either CHEM1000 or CHEM1003 (see below)</t>
  </si>
  <si>
    <t>Study either PHYS1005 or PHYS1006 (see below)</t>
  </si>
  <si>
    <t>Study either HUMB1002 or HUMB1000 (see below)</t>
  </si>
  <si>
    <t>Study one of HUMB2006 or BIOL1005 or HUMB1001 (see below)</t>
  </si>
  <si>
    <t>Study either HUMB2012 or BOTA2000 (see below)</t>
  </si>
  <si>
    <t>Study either ZOOL2000 or EDSC3011 (see below)</t>
  </si>
  <si>
    <t>Study either GEOL1005 or GEOL1007 (see below)</t>
  </si>
  <si>
    <t>Study either ATOC2000 or BIOL1005 (see below)</t>
  </si>
  <si>
    <t>Financial Decision Making</t>
  </si>
  <si>
    <t>Nil</t>
  </si>
  <si>
    <t>Study either PWRP1000 or LCST1004 (see below)</t>
  </si>
  <si>
    <t>Study either ECOM1000 or BLAW1002 (see below)</t>
  </si>
  <si>
    <t>Study either ECON2006 or ECON2004 (see below)</t>
  </si>
  <si>
    <t>Study either ECON3007 or ECON3004 (see below)</t>
  </si>
  <si>
    <t>Study either PHGY1000 or URDE1001 (see below)</t>
  </si>
  <si>
    <t>Study either GEOG2000 or PHGY2000 (see below)</t>
  </si>
  <si>
    <t>Study either GEOG2002 or GEOG2001 (see below)</t>
  </si>
  <si>
    <t>Study either PHGY3000 or GEOG3000 (see below)</t>
  </si>
  <si>
    <t>Study either GEOG3001 or URDE3002 (see below)</t>
  </si>
  <si>
    <t>Study either INDS2004 or HIST2000 (see below)</t>
  </si>
  <si>
    <t>Study either HIST2001 or INDS2004 (see below)</t>
  </si>
  <si>
    <t>Study either HIST3001 or HIST3002 (see below)</t>
  </si>
  <si>
    <t>Study either ANTH2000 or ANTH2002 (see below)</t>
  </si>
  <si>
    <t>Study either HIST2001 or INTR2000 (see below)</t>
  </si>
  <si>
    <t>Study either ANTH3003 or POLS3000 (see below)</t>
  </si>
  <si>
    <t>Study either ANTH3005 or ANTH3006 (see below)</t>
  </si>
  <si>
    <t>Study either CHEM1003 or CHEM1000 (see below)</t>
  </si>
  <si>
    <t>Study either ENST2003 or BOTA2000 (see below)</t>
  </si>
  <si>
    <t>Study either PHYS1006 or PHYS1005 (see below)</t>
  </si>
  <si>
    <t>Study either MATH2011 or MATH2009 (see below)</t>
  </si>
  <si>
    <t>Study either MATH2000 or MATH2010  (see below)</t>
  </si>
  <si>
    <t>Study either EDUC1029 or SPRO1000 (see below)</t>
  </si>
  <si>
    <t>Study either THTR2004 or COMS1003 (see below)</t>
  </si>
  <si>
    <t>Study either VISA1004 or SCST3010 (see below)</t>
  </si>
  <si>
    <t>Study either COMS2001 or SPRO2004 (see below)</t>
  </si>
  <si>
    <t>Study either BOTA2000 or ENST2003 (see below)</t>
  </si>
  <si>
    <t>Study either AGRI1000 or HUMB1000 (see below)</t>
  </si>
  <si>
    <t>Study either CHEM3001 or CHEM3003 (see below)</t>
  </si>
  <si>
    <t>Study either CHEM3009 or CHEM3004 (see below)</t>
  </si>
  <si>
    <t>Space Systems Design</t>
  </si>
  <si>
    <t>STAT1004 + MATH1016 (in MJRU-SCPH1)</t>
  </si>
  <si>
    <t>Pre Reqs - many alternate options, condensed for Major.</t>
  </si>
  <si>
    <t>Land and Water Resources</t>
  </si>
  <si>
    <t>Agricultural Microbiology</t>
  </si>
  <si>
    <t>Self, Culture and Society</t>
  </si>
  <si>
    <t>Society and Culture in a Globalising World</t>
  </si>
  <si>
    <t>Ethnographies of the City</t>
  </si>
  <si>
    <t>Private Lives and Public Issues</t>
  </si>
  <si>
    <t>Human Rights and Social Justice</t>
  </si>
  <si>
    <t>Social Inequality: Possibilities for Change</t>
  </si>
  <si>
    <t>Understanding Social Research A</t>
  </si>
  <si>
    <t>Physics of Stars and Galaxies</t>
  </si>
  <si>
    <t>Atmospheric and Oceanographic Sciences</t>
  </si>
  <si>
    <t>Foundations of Biology</t>
  </si>
  <si>
    <t>Markets and Legal Frameworks</t>
  </si>
  <si>
    <t>Safety and Environmental Health Law</t>
  </si>
  <si>
    <t>100CP</t>
  </si>
  <si>
    <t>Plant Diversity and Adaptation</t>
  </si>
  <si>
    <t>Principles and Processes in Chemistry</t>
  </si>
  <si>
    <t>Reactivity and Function in Chemistry</t>
  </si>
  <si>
    <t>CHEM1000 or CHEM1001</t>
  </si>
  <si>
    <t>Introduction to Chemistry</t>
  </si>
  <si>
    <t>Medicinal and Natural Product Chemistry</t>
  </si>
  <si>
    <t>Chemical Structure and Spectroscopy</t>
  </si>
  <si>
    <t>CHEM1000 + CHEM1002</t>
  </si>
  <si>
    <t>Analytical Chemistry</t>
  </si>
  <si>
    <t>Chemical Reactions and Mechanisms</t>
  </si>
  <si>
    <t>CHEM1000 + CHEM1002 + CHEM2004</t>
  </si>
  <si>
    <t>Chemistry for Sustainability</t>
  </si>
  <si>
    <t>ATAR Chemistry or CHEM1000 or CHEM1002</t>
  </si>
  <si>
    <t>Environmental Chemistry</t>
  </si>
  <si>
    <t>Bioanalytical and Biophysical Chemistry</t>
  </si>
  <si>
    <t>CHEM1000 or CHEM1002</t>
  </si>
  <si>
    <t>Analytical Chemistry and Spectroscopy</t>
  </si>
  <si>
    <t>CHEM2004 + CHEM2005</t>
  </si>
  <si>
    <t>Industrial Chemistry and Achieving Sustainability</t>
  </si>
  <si>
    <t>CHEM1000 or CHEM1002 or CHEM2008</t>
  </si>
  <si>
    <t>Engaging Media</t>
  </si>
  <si>
    <t>Culture to Cultures</t>
  </si>
  <si>
    <t>Academic and Professional Communications</t>
  </si>
  <si>
    <t>Media, Culture and Consumption</t>
  </si>
  <si>
    <t>100CP or COMS1001 or COMS1003</t>
  </si>
  <si>
    <t>Asian Media in Transition</t>
  </si>
  <si>
    <t>100CP or COMS1001 or COMS1003 or COMS1010</t>
  </si>
  <si>
    <t>Teaching About Sacraments in Catholic Schools</t>
  </si>
  <si>
    <t>Teaching About Jesus in Catholic Schools</t>
  </si>
  <si>
    <t>Teaching About the Gospels in Catholic Schools</t>
  </si>
  <si>
    <t>Engaging Narrative</t>
  </si>
  <si>
    <t>Writing Poetry</t>
  </si>
  <si>
    <t>Writing Short Fiction</t>
  </si>
  <si>
    <t>Writing Genre Fiction</t>
  </si>
  <si>
    <t>Writing for Children</t>
  </si>
  <si>
    <t>Terrestrial Ecology</t>
  </si>
  <si>
    <t>AGRI1000 or BIOL1005</t>
  </si>
  <si>
    <t>Analytics for Decision Making</t>
  </si>
  <si>
    <t>Introductory Economics</t>
  </si>
  <si>
    <t>Macroeconomic Principles</t>
  </si>
  <si>
    <t>Microeconomic Principles</t>
  </si>
  <si>
    <t>Applied Economics</t>
  </si>
  <si>
    <t>ECON2001 or ECON2004</t>
  </si>
  <si>
    <t>Macroeconomic Theory</t>
  </si>
  <si>
    <t>Advanced Applied Economics</t>
  </si>
  <si>
    <t>Early Learning Through the Humanities and Social Sciences</t>
  </si>
  <si>
    <t>100CP + EDUC1027</t>
  </si>
  <si>
    <t>Early Childhood Professional Experience 1: Learning and Teaching in Junior Primary</t>
  </si>
  <si>
    <t>150CP + EDUC1017 + EDUC1023 + EDUC1031</t>
  </si>
  <si>
    <t>Pre Reqs - EDUC1017 Deactivating</t>
  </si>
  <si>
    <t>Engaging Children in Science</t>
  </si>
  <si>
    <t>Visual and Media Arts for Early Childhood</t>
  </si>
  <si>
    <t>Pre Req - S1 only has 100CP in B-EDEC, Akari has 100CP + EDUC1029</t>
  </si>
  <si>
    <t>Mathematics for the Early Years</t>
  </si>
  <si>
    <t>100CP + EDUC1031</t>
  </si>
  <si>
    <t>Health and Physical Education in Early Childhood</t>
  </si>
  <si>
    <t>100CP + EDUC1021</t>
  </si>
  <si>
    <t>Early Childhood Professional Experience 2: Quality Frameworks in Early Learning Centres</t>
  </si>
  <si>
    <t>Early Childhood Professional Experience 3: Kindergarten to Pre-primary Learning Environments</t>
  </si>
  <si>
    <t>450CP + EDEC3016</t>
  </si>
  <si>
    <t>Leadership in Early Childhood Education</t>
  </si>
  <si>
    <t>350CP + EDEC2019</t>
  </si>
  <si>
    <t>Mathematics during the First Five Years of Life</t>
  </si>
  <si>
    <t>300CP + EDEC2025</t>
  </si>
  <si>
    <t>Early Childhood Literacies</t>
  </si>
  <si>
    <t>Pedagogical Contexts for Play</t>
  </si>
  <si>
    <t>400CP + EDEC2019</t>
  </si>
  <si>
    <t>Curriculum Integration and Differentiation</t>
  </si>
  <si>
    <t>600CP + EDEC3018*</t>
  </si>
  <si>
    <t>Social Justice and Diversity in Early Childhood</t>
  </si>
  <si>
    <t>Inquiry in the Science Classroom</t>
  </si>
  <si>
    <t>Children as Mathematical Learners</t>
  </si>
  <si>
    <t>100CP + (EDSC1009 or EDUC1031)</t>
  </si>
  <si>
    <t>Pre Reqs - EDSC1009 Deactivating</t>
  </si>
  <si>
    <t>Primary Professional Experience 1: Planning for Teaching</t>
  </si>
  <si>
    <t>Primary Professional Experience 2: Leadership and Stewardship for Diverse Learners</t>
  </si>
  <si>
    <t>Health and Physical Education</t>
  </si>
  <si>
    <t>Inquiry in the Mathematics Classroom</t>
  </si>
  <si>
    <t>English Pedagogies and the Integrated Curriculum</t>
  </si>
  <si>
    <t>Inquiry in the Humanities and Social Sciences Classroom</t>
  </si>
  <si>
    <t>150CP + EDUC1027</t>
  </si>
  <si>
    <t>Cultural Contexts in Primary Education</t>
  </si>
  <si>
    <t>300CP + EDUC1025</t>
  </si>
  <si>
    <t>Primary Professional Experience 3: Evaluating Learning</t>
  </si>
  <si>
    <t>450CP + EDPR2014</t>
  </si>
  <si>
    <t>Visual and Media Arts Education</t>
  </si>
  <si>
    <t>300CP + EDUC1029</t>
  </si>
  <si>
    <t>Mathematics Pedagogies and Integrated Curriculum</t>
  </si>
  <si>
    <t>The Literacy Researcher</t>
  </si>
  <si>
    <t>EDSC1009.RE</t>
  </si>
  <si>
    <t>Literacy and Numeracy Across the Curriculum</t>
  </si>
  <si>
    <t>Removed from 2025 Structures</t>
  </si>
  <si>
    <t>EDSC1011.RE</t>
  </si>
  <si>
    <t>Managing the Learning Environment</t>
  </si>
  <si>
    <t>EDSC2008.RE</t>
  </si>
  <si>
    <t>Secondary Professional Experience 1: Planning</t>
  </si>
  <si>
    <t>EDSC2009.RE</t>
  </si>
  <si>
    <t>Secondary Professional Experience 2: Assessment and Reporting</t>
  </si>
  <si>
    <t>Educating Adolescents: Diversity, Differentiation and Inclusion</t>
  </si>
  <si>
    <t>Secondary Professional Teaching Practice 2 (details coming)</t>
  </si>
  <si>
    <t>Secondary Professional Experience 2</t>
  </si>
  <si>
    <t>EDSC3005.RE</t>
  </si>
  <si>
    <t>Secondary Professional Experience 3: Using Data to Inform Teaching and Learning</t>
  </si>
  <si>
    <t>Curriculum and Culture in Secondary Schools</t>
  </si>
  <si>
    <t>300CP</t>
  </si>
  <si>
    <t>EDSC3009.RE</t>
  </si>
  <si>
    <t>Educating Adolescents: Diversity and Inclusion</t>
  </si>
  <si>
    <t>Species Evolution Over Time</t>
  </si>
  <si>
    <t>BIOL1005 or HUMB2011 or HUMB2013 or ZOOL2000</t>
  </si>
  <si>
    <t>Secondary Professional Teaching Practice 3 (details coming)</t>
  </si>
  <si>
    <t>Secondary Professional Experience 3 (details coming)</t>
  </si>
  <si>
    <t>Curriculum and Instruction Senior Secondary: English</t>
  </si>
  <si>
    <t>Curriculum and Instruction Lower Secondary: Mathematics</t>
  </si>
  <si>
    <t>Pre Req - S1 has: 100 Credit Points in spk(s): B-EDSC - Bachelor of Education (Secondary Education). Akari: Not evident at all.</t>
  </si>
  <si>
    <t>Curriculum and Instruction Senior Secondary: Mathematics</t>
  </si>
  <si>
    <t>Curriculum and Instruction Lower Secondary: Science</t>
  </si>
  <si>
    <t>Curriculum and Instruction Senior Secondary: Science</t>
  </si>
  <si>
    <t>Curriculum and Instruction Lower Secondary: Humanities and Social Sciences</t>
  </si>
  <si>
    <t>Pre Req - S1 has: 100 Credit Points in spk(s): B-EDSC - Bachelor of Education (Secondary Education)
Akari: Mentioned in discussion notes but not evident in fields.</t>
  </si>
  <si>
    <t>Curriculum and Instruction Senior Secondary: Humanities and Social Sciences</t>
  </si>
  <si>
    <t>Curriculum and Instruction Senior Secondary: The Arts</t>
  </si>
  <si>
    <t>Curriculum and Instruction Lower Secondary: English</t>
  </si>
  <si>
    <t>Curriculum and Instruction Lower Secondary: The Arts</t>
  </si>
  <si>
    <t>Curriculum and Instruction Lower Secondary: Health and Physical Education</t>
  </si>
  <si>
    <t>Pre Req - Is this correct? All other C&amp;I Lower are 100CP</t>
  </si>
  <si>
    <t>Curriculum and Instruction Senior Secondary: Health and Physical Education</t>
  </si>
  <si>
    <t>EDUC1017.RE</t>
  </si>
  <si>
    <t>The Professional Educator: Developing Teacher Identity</t>
  </si>
  <si>
    <t>Teaching and Learning in the Digital World</t>
  </si>
  <si>
    <t>Child Development for Educators</t>
  </si>
  <si>
    <t>Introducing Language, Literacy and Literature for Educators</t>
  </si>
  <si>
    <t>Exploring and Contesting Curriculum</t>
  </si>
  <si>
    <t>Educators Inquiring About the World</t>
  </si>
  <si>
    <t>Performing Arts for Educators</t>
  </si>
  <si>
    <t>The Numerate Educator</t>
  </si>
  <si>
    <t>Communication Skills for Educators</t>
  </si>
  <si>
    <t>Professional Experience 1</t>
  </si>
  <si>
    <t>Professional Teaching Practice 1</t>
  </si>
  <si>
    <t>Learning Theories, Diversity and Differentiation</t>
  </si>
  <si>
    <t>50CP + EDUC1021</t>
  </si>
  <si>
    <t>Teaching Language, Literacy and Literature in Junior Primary</t>
  </si>
  <si>
    <t>100CP + (EDSC1009 or EDUC1023)</t>
  </si>
  <si>
    <t>Reflection and Research in Education</t>
  </si>
  <si>
    <t>500CP</t>
  </si>
  <si>
    <t>Relationships and Sexuality Education</t>
  </si>
  <si>
    <t>Diverse Abilities and Curriculum Differentiation</t>
  </si>
  <si>
    <t>Supporting Literacy and Numeracy Development for Diverse Learners</t>
  </si>
  <si>
    <t>Project-based iSTEM Education</t>
  </si>
  <si>
    <t>Creative Literacies</t>
  </si>
  <si>
    <t>Creating and Responding to Literature</t>
  </si>
  <si>
    <t>Technologies: Coding for Teachers</t>
  </si>
  <si>
    <t>iSTEM Education through Digital Stories</t>
  </si>
  <si>
    <t>iSTEM: Social Issues</t>
  </si>
  <si>
    <t>Language and Diversity</t>
  </si>
  <si>
    <t>Technologies: Design Solutions</t>
  </si>
  <si>
    <t>Professional Experience 4: The Internship</t>
  </si>
  <si>
    <t>700CP</t>
  </si>
  <si>
    <t>Alternative Approaches to Teaching Literacy and Numeracy</t>
  </si>
  <si>
    <t>Literacy and Numeracy for First Nations Peoples of Australia</t>
  </si>
  <si>
    <t>Technologies: Digital Solutions</t>
  </si>
  <si>
    <t>Mentoring, Coaching and Tutoring</t>
  </si>
  <si>
    <t>The Professional Educator: Transition to the Profession</t>
  </si>
  <si>
    <t>600CP + (EDPR3012 or EDEC3018 or EDSC3005)*</t>
  </si>
  <si>
    <t>Pre Req - EDSC3005 Deactivating</t>
  </si>
  <si>
    <t>Physical Education Pedagogy</t>
  </si>
  <si>
    <t>Primary Physical Education: Curriculum &amp; Assessment</t>
  </si>
  <si>
    <t>Teaching Health Education in Primary Schools</t>
  </si>
  <si>
    <t>Study an Elective unit</t>
  </si>
  <si>
    <t>See Handbook</t>
  </si>
  <si>
    <t>Ecotoxicology and Environmental Monitoring</t>
  </si>
  <si>
    <t>Environmental Restoration</t>
  </si>
  <si>
    <t>Wildlife Conservation</t>
  </si>
  <si>
    <t>Habitat and Landform Mapping</t>
  </si>
  <si>
    <t>Food Chemistry</t>
  </si>
  <si>
    <t>CHEM1001 or CHEM1002 or CHEM1006 or CHEM1007</t>
  </si>
  <si>
    <t>Current Topics in Food Science</t>
  </si>
  <si>
    <t>Human Geography</t>
  </si>
  <si>
    <t>Geographies of Migration</t>
  </si>
  <si>
    <t>Geographies of Food Security</t>
  </si>
  <si>
    <t>Fieldwork Skills</t>
  </si>
  <si>
    <t>Urban Geographies</t>
  </si>
  <si>
    <t>Sustainable Livelihoods</t>
  </si>
  <si>
    <t>Fundamentals of Geology</t>
  </si>
  <si>
    <t>Planetary Science</t>
  </si>
  <si>
    <t>Legacies of Empire</t>
  </si>
  <si>
    <t>Social Change in Australian History</t>
  </si>
  <si>
    <t>Democracy and Dictatorship</t>
  </si>
  <si>
    <t>A History of Nationalism and Nation-Making</t>
  </si>
  <si>
    <t>Competition, Cooperation and Conflict since 1945</t>
  </si>
  <si>
    <t>History in Practice</t>
  </si>
  <si>
    <t>Australians at War</t>
  </si>
  <si>
    <t>Promoting Mental Health and Social Inclusion</t>
  </si>
  <si>
    <t>Human Structure and Function</t>
  </si>
  <si>
    <t>Integrated Systems Anatomy and Physiology</t>
  </si>
  <si>
    <t>Functional Anatomy</t>
  </si>
  <si>
    <t>Admitted to B-EDSC</t>
  </si>
  <si>
    <t>Human Physiology for Exercise Science</t>
  </si>
  <si>
    <t>Exercise Physiology</t>
  </si>
  <si>
    <t>HUMB1006 + REHT1001</t>
  </si>
  <si>
    <t>Limb Anatomy and Biomechanics</t>
  </si>
  <si>
    <t>HUMB1001 or HUMB1002</t>
  </si>
  <si>
    <t>Physiological Processes</t>
  </si>
  <si>
    <t>Trunk Anatomy and Embryology</t>
  </si>
  <si>
    <t>Vital Physiology</t>
  </si>
  <si>
    <t>Neuroanatomy</t>
  </si>
  <si>
    <t>Biomechanics</t>
  </si>
  <si>
    <t>HUMB1002 + REHT1001</t>
  </si>
  <si>
    <t>Pre Req - HUMB1002 not Core to Major however is in both Streams</t>
  </si>
  <si>
    <t>Indigenous Australian Land and Environments</t>
  </si>
  <si>
    <t>Indigenous Australian Arts</t>
  </si>
  <si>
    <t>Listening to Country: First Nations’ Perspectives</t>
  </si>
  <si>
    <t>Indigenous Australian Education</t>
  </si>
  <si>
    <t>300CP + EDUC1021 + (EDUC2005 or EDSC2011)</t>
  </si>
  <si>
    <t>Australia's Global Politics</t>
  </si>
  <si>
    <t>International Relations Theory</t>
  </si>
  <si>
    <t>Introduction to Cultural Studies</t>
  </si>
  <si>
    <t>Genre and Classic Texts</t>
  </si>
  <si>
    <t>Reading Gender</t>
  </si>
  <si>
    <t>Decolonising Place</t>
  </si>
  <si>
    <t>Textual Futures</t>
  </si>
  <si>
    <t>Foundations of Calculus</t>
  </si>
  <si>
    <t>Only studied if student has not studied ATAR Methods</t>
  </si>
  <si>
    <t>Linear Algebra 1</t>
  </si>
  <si>
    <t>Calculus 1</t>
  </si>
  <si>
    <t>Network Optimisation</t>
  </si>
  <si>
    <t>Calculus 2</t>
  </si>
  <si>
    <t>Linear Algebra 2</t>
  </si>
  <si>
    <t>MATH1015 + MATH1016</t>
  </si>
  <si>
    <t>Operations Research</t>
  </si>
  <si>
    <t>MATH1013 or MATH1015 or MATH1019</t>
  </si>
  <si>
    <t>Present and Future Mathematics</t>
  </si>
  <si>
    <t>Any MATH2xxx unit</t>
  </si>
  <si>
    <t>Foundations of Immunobiology</t>
  </si>
  <si>
    <t>HUMB1001 + MEDI1000</t>
  </si>
  <si>
    <t>Pre Req - B-EDSC students cannot study MEDI1000</t>
  </si>
  <si>
    <t>Human Reproductive Science</t>
  </si>
  <si>
    <t>HUMB1001 + (HUMB2012 or HUMB2013)</t>
  </si>
  <si>
    <t>Business Innovation Lab</t>
  </si>
  <si>
    <t>400CP</t>
  </si>
  <si>
    <t>Web Communications</t>
  </si>
  <si>
    <t>Web Media</t>
  </si>
  <si>
    <t>Online Games and Play</t>
  </si>
  <si>
    <t>Catholic Education Options</t>
  </si>
  <si>
    <t>(Heading for EDEC Options List - Keep)</t>
  </si>
  <si>
    <t>English Language and Literacy Options</t>
  </si>
  <si>
    <t>OIB</t>
  </si>
  <si>
    <t>International Baccalaureate Options</t>
  </si>
  <si>
    <t>iSTEM Options</t>
  </si>
  <si>
    <t>Literacy and Numeracy in Diverse Populations Options</t>
  </si>
  <si>
    <t>Other Bachelor of Education (ECE) Options</t>
  </si>
  <si>
    <t>Study one MAJOR Option unit from the list below</t>
  </si>
  <si>
    <t>OptBEDEC</t>
  </si>
  <si>
    <t>Study any TWO options from the list below:</t>
  </si>
  <si>
    <t>OptBEDPR</t>
  </si>
  <si>
    <t>Study all THREE Options from ONE group below:</t>
  </si>
  <si>
    <t>OptBEDUC</t>
  </si>
  <si>
    <t>Study any FOUR options from the list below:</t>
  </si>
  <si>
    <t>Study one Teaching Area Stream Option unit from the list below</t>
  </si>
  <si>
    <t>Study an Option unit from the list below</t>
  </si>
  <si>
    <t>Study two Teaching Area Stream Option units from this list</t>
  </si>
  <si>
    <t>(Heading for Options List - Keep)</t>
  </si>
  <si>
    <t>Technologies Options</t>
  </si>
  <si>
    <t>Physical Geography</t>
  </si>
  <si>
    <t>Natural Hazards</t>
  </si>
  <si>
    <t>Cultural Landscapes</t>
  </si>
  <si>
    <t>Rural Geographies</t>
  </si>
  <si>
    <t>Physics 1</t>
  </si>
  <si>
    <t>Foundations of Physics</t>
  </si>
  <si>
    <t>Physics 2</t>
  </si>
  <si>
    <t>Classical Mechanics and Quantum Physics</t>
  </si>
  <si>
    <t>PHYS1005 + PHYS1007</t>
  </si>
  <si>
    <t>Quantum Mechanics</t>
  </si>
  <si>
    <t>International Political Economy</t>
  </si>
  <si>
    <t>Introduction to Psychology</t>
  </si>
  <si>
    <t>Foundations of Psychology</t>
  </si>
  <si>
    <t>Psychology of Learning</t>
  </si>
  <si>
    <t>Social Psychology</t>
  </si>
  <si>
    <t>PSYC1000 or PSYC2008</t>
  </si>
  <si>
    <t>Psychological Science Correlational Methods</t>
  </si>
  <si>
    <t>CMHL1001 or EPID1000</t>
  </si>
  <si>
    <t>Pre Req - B-EDSC students cannot study either Pre Req</t>
  </si>
  <si>
    <t>Child Developmental Psychology</t>
  </si>
  <si>
    <t>Introduction to Health Psychology</t>
  </si>
  <si>
    <t>CMHL1001 or PSYC1000</t>
  </si>
  <si>
    <t>Indigenous and Cross Cultural Psychology</t>
  </si>
  <si>
    <t>EDUC2005 + PSYC2001</t>
  </si>
  <si>
    <t>Pre Req - B-EDSC students cannot study EDUC2005</t>
  </si>
  <si>
    <t>Adult Developmental Psychology</t>
  </si>
  <si>
    <t>Behaviour Change for Exercise and Health</t>
  </si>
  <si>
    <t>EDUC2005 or PSYC2004</t>
  </si>
  <si>
    <t>Abnormal Psychology</t>
  </si>
  <si>
    <t>Admitted to B-EDSC + PSYC1001 + (PSYC2000 or EDUC2005)</t>
  </si>
  <si>
    <t>Pre Req - B-EDSC students cannot study EDUC2005 and PSYC2000 is only an Option.</t>
  </si>
  <si>
    <t>Introduction to Public Health</t>
  </si>
  <si>
    <t>Introduction to Creative and Professional Writing</t>
  </si>
  <si>
    <t>Advanced Narrative Nonfiction</t>
  </si>
  <si>
    <t>PWRP2007</t>
  </si>
  <si>
    <t>Pre Req - B-EDSC students cannot study PWRP2007</t>
  </si>
  <si>
    <t>Physical Activity, Exercise and Fitness Assessment</t>
  </si>
  <si>
    <t>25CP in MJRU-HLTPE</t>
  </si>
  <si>
    <t>Pre Req - MJRU-HLTPE being Deactivated</t>
  </si>
  <si>
    <t>Motor Learning</t>
  </si>
  <si>
    <t>EDUC2005 or HUMB2010</t>
  </si>
  <si>
    <t>Exercise Delivery</t>
  </si>
  <si>
    <t>Exercise Prescription</t>
  </si>
  <si>
    <t>HUMB2006 + HUMV2000 + REHT2003</t>
  </si>
  <si>
    <t>Pre Req - HUMB2006 not Core to Major however is in both Streams</t>
  </si>
  <si>
    <t>Introduction to Screen Creativity</t>
  </si>
  <si>
    <t>Reading Screens</t>
  </si>
  <si>
    <t>Citizenship, Culture and Diversity</t>
  </si>
  <si>
    <t>Introduction to Screen Industries</t>
  </si>
  <si>
    <t>Studio Production</t>
  </si>
  <si>
    <t>Drama Narratives</t>
  </si>
  <si>
    <t>200CP</t>
  </si>
  <si>
    <t>Creative Documentary and Actualities</t>
  </si>
  <si>
    <t>Community Media Production</t>
  </si>
  <si>
    <t>SPRO2000 or SPRO2004</t>
  </si>
  <si>
    <t>Introduction to Scientific Data Analysis</t>
  </si>
  <si>
    <t>Introduction to Probability and Data Analysis</t>
  </si>
  <si>
    <t>Mathematical Statistics</t>
  </si>
  <si>
    <t>MATH1015 + MATH1016 + STAT1005</t>
  </si>
  <si>
    <t>Data Science in Practice</t>
  </si>
  <si>
    <t>New to STRU-MATHB</t>
  </si>
  <si>
    <t>Data Visualisation</t>
  </si>
  <si>
    <t>Power, Politics and Government</t>
  </si>
  <si>
    <t>Great Power Competition</t>
  </si>
  <si>
    <t>Stream</t>
  </si>
  <si>
    <t>Choose Your Minor Teaching Area Stream</t>
  </si>
  <si>
    <t>Broadening Humanities and Social Sciences for Economics Teaching Area Stream (BEd Secondary)</t>
  </si>
  <si>
    <t>Broadening Humanities and Social Sciences for Geography Teaching Area Stream (BEd Secondary)</t>
  </si>
  <si>
    <t>Broadening Humanities and Social Sciences for History Teaching Area Stream (BEd Secondary)</t>
  </si>
  <si>
    <t>Broadening Humanities and Social Sciences for Politics and Law Teaching Area Stream (BEd Secondary)</t>
  </si>
  <si>
    <t>Study a unit from your Teaching Area Stream (see below)</t>
  </si>
  <si>
    <t>Acting Fundamentals</t>
  </si>
  <si>
    <t>Devising Fundamentals</t>
  </si>
  <si>
    <t>Technical Theatre Fundamentals</t>
  </si>
  <si>
    <t>Movement for the Actor</t>
  </si>
  <si>
    <t>Voice for the Actor</t>
  </si>
  <si>
    <t>Directing Theatre</t>
  </si>
  <si>
    <t>THTR2001 or THTR2002 or THTR2005</t>
  </si>
  <si>
    <t>Australian Theatre</t>
  </si>
  <si>
    <t>THTR2001 or THTR2005</t>
  </si>
  <si>
    <t>Urban Analysis</t>
  </si>
  <si>
    <t>Introduction to Planning</t>
  </si>
  <si>
    <t>Urban Regeneration</t>
  </si>
  <si>
    <t>Drawing</t>
  </si>
  <si>
    <t>Fine Art Studio Methods</t>
  </si>
  <si>
    <t>Fine Art Studio Materials</t>
  </si>
  <si>
    <t>Introduction to Creative Arts</t>
  </si>
  <si>
    <t>Fine Art Studio Strategies</t>
  </si>
  <si>
    <t>Fine Art Studio Processes</t>
  </si>
  <si>
    <t>Fine Art Studio Extension</t>
  </si>
  <si>
    <t>EDSC4032 or VISA2004 or VISA2005</t>
  </si>
  <si>
    <t>Pre Req - Draft in Akari "Removal of unit pre-requisites and addition of credit point pre-requisite."  (2024 - MCASI OK with waivers if needed)</t>
  </si>
  <si>
    <t>Fine Art Project</t>
  </si>
  <si>
    <t>VISA2004 or VISA2005</t>
  </si>
  <si>
    <t>Pre Req - both Pre Reqs are only Options and sequenced at the same time (2024 - MCASI OK with waivers). Draft in Akari "Students require completion of 100 credits in B-CRARTS, B-ARTS, B-EDSC, BB-ARTINN, AD-FINART or B-COMRCE to meet the pre-requisite requirement for this unit."</t>
  </si>
  <si>
    <t>Fine Art Theory and Criticism</t>
  </si>
  <si>
    <t>Fine Art Concepts and Contexts</t>
  </si>
  <si>
    <t>EDSC4028 or VISA2023</t>
  </si>
  <si>
    <t>Fine Art Studio Practice</t>
  </si>
  <si>
    <t>Animal Diversity and Evolution</t>
  </si>
  <si>
    <t>Marine Biodiversity</t>
  </si>
  <si>
    <t>Effective:</t>
  </si>
  <si>
    <t>Downloaded:</t>
  </si>
  <si>
    <t>Version</t>
  </si>
  <si>
    <t>OUA Code</t>
  </si>
  <si>
    <t>CPs</t>
  </si>
  <si>
    <t>No.</t>
  </si>
  <si>
    <t>Component Type</t>
  </si>
  <si>
    <t>Year Level</t>
  </si>
  <si>
    <t>Study Package Code</t>
  </si>
  <si>
    <t>Structure Line</t>
  </si>
  <si>
    <t>Effective</t>
  </si>
  <si>
    <t>Discont.</t>
  </si>
  <si>
    <t>Column1</t>
  </si>
  <si>
    <t>Column2</t>
  </si>
  <si>
    <t>Core</t>
  </si>
  <si>
    <t>Semester 1</t>
  </si>
  <si>
    <t>EDUC1017</t>
  </si>
  <si>
    <t>AC-BEDUC1</t>
  </si>
  <si>
    <t>Semester 2</t>
  </si>
  <si>
    <t>Choose an Elective</t>
  </si>
  <si>
    <t>EDSC1011</t>
  </si>
  <si>
    <t>AltCore</t>
  </si>
  <si>
    <t>Choose EDPR3004 or EDSC3007</t>
  </si>
  <si>
    <t>AC-BEDUC2</t>
  </si>
  <si>
    <t>EDSC1009</t>
  </si>
  <si>
    <t>Choose an Option</t>
  </si>
  <si>
    <t>Special Study Period 2</t>
  </si>
  <si>
    <t>NA</t>
  </si>
  <si>
    <t>Choose a Teaching Area Stream</t>
  </si>
  <si>
    <t>TASBEDPR</t>
  </si>
  <si>
    <t>EDIB4003</t>
  </si>
  <si>
    <t>AltCoreBEDSC</t>
  </si>
  <si>
    <t>Secondary Professional Teaching Practice 2</t>
  </si>
  <si>
    <t>EDSC2008</t>
  </si>
  <si>
    <t>EDSC2009</t>
  </si>
  <si>
    <t>Secondary Professional Teaching Practice 3</t>
  </si>
  <si>
    <t>EDSC3005</t>
  </si>
  <si>
    <t>Secondary Professional Experience 3</t>
  </si>
  <si>
    <t>MJRU-ARTDR</t>
  </si>
  <si>
    <t>MJRU-ARTME</t>
  </si>
  <si>
    <t>MJRU-ARTVA</t>
  </si>
  <si>
    <t>MJRU-ENGLT</t>
  </si>
  <si>
    <t>MJRU-HLTPE</t>
  </si>
  <si>
    <t>MJRU-HUSEC</t>
  </si>
  <si>
    <t>MJRU-HUSGE</t>
  </si>
  <si>
    <t>MJRU-HUSHI</t>
  </si>
  <si>
    <t>MJRU-HUSPL</t>
  </si>
  <si>
    <t>MJRU-MATHT</t>
  </si>
  <si>
    <t>MJRU-SCIBI</t>
  </si>
  <si>
    <t>MJRU-SCICH</t>
  </si>
  <si>
    <t>MJRU-SCIHB</t>
  </si>
  <si>
    <t>MJRU-SCIPH</t>
  </si>
  <si>
    <t>MJRU-SCIPS</t>
  </si>
  <si>
    <t>THTR2001</t>
  </si>
  <si>
    <t>EDSC3009</t>
  </si>
  <si>
    <t>THTR3007</t>
  </si>
  <si>
    <t>STRU-EDART</t>
  </si>
  <si>
    <t>STRU-HUMAM</t>
  </si>
  <si>
    <t>STRU-PSCIM</t>
  </si>
  <si>
    <t>STRU-SOSCM</t>
  </si>
  <si>
    <t>Choose SCST1000 or NETS1001</t>
  </si>
  <si>
    <t>Choose VISA1003 or VISA1015</t>
  </si>
  <si>
    <t>Choose PWRP1000 or LCST1004</t>
  </si>
  <si>
    <t>STRU-EDENG</t>
  </si>
  <si>
    <r>
      <t>AC-</t>
    </r>
    <r>
      <rPr>
        <b/>
        <sz val="12"/>
        <color theme="1"/>
        <rFont val="Calibri"/>
        <family val="2"/>
        <scheme val="minor"/>
      </rPr>
      <t>HSEC11</t>
    </r>
  </si>
  <si>
    <t>Choose ECOM1000 or BLAW1002</t>
  </si>
  <si>
    <t>Choose ECON2006 or ECON2004</t>
  </si>
  <si>
    <t>Choose ECON3007 or ECON3004</t>
  </si>
  <si>
    <t>ERROR</t>
  </si>
  <si>
    <t>STRU-EDHAS</t>
  </si>
  <si>
    <t>Choose PHGY1000 or URDE1001</t>
  </si>
  <si>
    <t>Choose GEOG2000 or PHGY2000</t>
  </si>
  <si>
    <t>Choose GEOG2002 or GEOG2001</t>
  </si>
  <si>
    <t>Choose PHGY3000 or GEOG3000</t>
  </si>
  <si>
    <t>Choose GEOG3001 or URDE3002</t>
  </si>
  <si>
    <t>Choose Minor Teaching Area Stream</t>
  </si>
  <si>
    <t>Choose INDS2004 or HIST2000</t>
  </si>
  <si>
    <t>Choose HIST2001 or INDS2004</t>
  </si>
  <si>
    <t>Choose HIST3001 or HIST3002</t>
  </si>
  <si>
    <t>Social Change in Contemporary Australian History</t>
  </si>
  <si>
    <t>AltCoreMJRUHUSPL</t>
  </si>
  <si>
    <t>Choose ANTH2000 or ANTH2002</t>
  </si>
  <si>
    <t>Choose HIST2001 or INTR2000</t>
  </si>
  <si>
    <t>Choose ANTH3003 or POLS3000</t>
  </si>
  <si>
    <t>Choose ANTH3005 or ANTH3006</t>
  </si>
  <si>
    <t>Choose MATH2011 or MATH2009.</t>
  </si>
  <si>
    <t>MATH3001</t>
  </si>
  <si>
    <t>STRU-EDMAT</t>
  </si>
  <si>
    <t>Choose AGRI1000 or HUMB1000</t>
  </si>
  <si>
    <t>AltCoreMJRUSCIBI</t>
  </si>
  <si>
    <t>STRU-EDSCI</t>
  </si>
  <si>
    <t>Choose CHEM3001 or CHEM3003</t>
  </si>
  <si>
    <t>Choose CHEM3009 or CHEM3004</t>
  </si>
  <si>
    <t>AltCoreMJRUSCIHB</t>
  </si>
  <si>
    <t>PHYS2002</t>
  </si>
  <si>
    <t>B-EDSC STREAMS</t>
  </si>
  <si>
    <t>Choose Option</t>
  </si>
  <si>
    <t>Choose CHEM1000 or CHEM1003. If you have passed ATAR Chemistry or equivalent, choose CHEM1000 in Y1</t>
  </si>
  <si>
    <t>Choose PHYS1005 or PHYS1006. If you have passed ATAR Physics and ATAR Mathematics Methods or equivalent choose PHYS1005 in Y2</t>
  </si>
  <si>
    <t>OptionStream</t>
  </si>
  <si>
    <t>Choose HUMB1002 or HUMB1000</t>
  </si>
  <si>
    <t>Choose HUMB2006 or BIOL1005 or HUMB1001</t>
  </si>
  <si>
    <t>Choose HUMB2012 or BOTA2000</t>
  </si>
  <si>
    <t>AltCoreSTRUBSCIM</t>
  </si>
  <si>
    <t>Choose ZOOL2000 or EDSC3011</t>
  </si>
  <si>
    <t>Choose PHYS1005 or PHYS1006</t>
  </si>
  <si>
    <t>CHEM1001</t>
  </si>
  <si>
    <t>CHEM2000</t>
  </si>
  <si>
    <t>Choose ATOC2000 or BIOL1005</t>
  </si>
  <si>
    <t>AltCoreSTRUECOB1</t>
  </si>
  <si>
    <t>AltCoreSTRUGEOB1</t>
  </si>
  <si>
    <t>AltCoreSTRUHISB1</t>
  </si>
  <si>
    <t>Choose CHEM1003 or CHEM1000</t>
  </si>
  <si>
    <t>MEDI1000</t>
  </si>
  <si>
    <t>Choose ENST2003 or BOTA2000</t>
  </si>
  <si>
    <t>Choose PHYS1006 or PHYS1005</t>
  </si>
  <si>
    <t>Choose an Option for Year 3</t>
  </si>
  <si>
    <t>Choose MATH2000 or MATH2010. You must select MATH2010 if you are selecting this stream as part of a Science Education Major (Physics)</t>
  </si>
  <si>
    <t>Choose EDUC1029 or SPRO1000</t>
  </si>
  <si>
    <t>Choose THTR2004 or COMS1003</t>
  </si>
  <si>
    <t>Choose VISA1004 or SCST3010</t>
  </si>
  <si>
    <t>Choose COMS2001 or SPRO2004</t>
  </si>
  <si>
    <t>Choose CHEM1000 or CHEM1003. Choose CHEM1000 if you have passed ATAR Chemistry or equivalent</t>
  </si>
  <si>
    <t>EPID1000</t>
  </si>
  <si>
    <t>Choose BOTA2000 or ENST2003</t>
  </si>
  <si>
    <t>BEHV2000</t>
  </si>
  <si>
    <t>Choose PHYS1005 or PHYS1006. Choose PHYS1005 if you have passed ATAR Physics and ATAR Mathematics Methods or equivalent</t>
  </si>
  <si>
    <t>AltCoreSTRUPSYCM</t>
  </si>
  <si>
    <t>VISA3023</t>
  </si>
  <si>
    <t>Row Labels</t>
  </si>
  <si>
    <t>Sem1 Internal</t>
  </si>
  <si>
    <t>Sem1 Online BEN</t>
  </si>
  <si>
    <t>Sem1 Online KAL</t>
  </si>
  <si>
    <t>Sem2 Internal</t>
  </si>
  <si>
    <t>Sem2 Online BEN</t>
  </si>
  <si>
    <t>Sem2 Online KAL</t>
  </si>
  <si>
    <t>SSP2 Internal</t>
  </si>
  <si>
    <t>SSP2 Online BEN</t>
  </si>
  <si>
    <t>SSP2 Online KAL</t>
  </si>
  <si>
    <t>CHEM2001</t>
  </si>
  <si>
    <t>THTR3004 is CORE in structure Y3S2, however has Pre Reqs "THTR2001 or THTR2005", neither of which are available to B-EDSC students.</t>
  </si>
  <si>
    <t>Structural and Pre Requisite issues for Alternate Core units.</t>
  </si>
  <si>
    <t>AC-PARTB4 in structure in Y3S2, AC unit COMS2001 only available in Sem1, other AC unit SPRO2004 only available in Sem2</t>
  </si>
  <si>
    <t>1. NETS3010 in structure in Y3S2 but only available in Sem1. Switched with SPRO200 which is in structure in Y3S1, but is available both Semesters. NETS3010 -&gt; Y3S1; SPRO2000 -&gt; Y3S2.
2. Option list (Opt-ARME1) in structure in "Y4S1", one unit (SCST3010) not available in Sem1 but all units available in Sem2 (no major issue I think)</t>
  </si>
  <si>
    <t>Option list (Opt-ARVA1) in structure in "Y3S2", however only INDS2002 &amp; MATH1014 available Sem2 while VISA1005, VISA2004 &amp; VISA2005 are only available Sem1.</t>
  </si>
  <si>
    <t>VISA2007 is CORE in structure Y3S2, however has Pre Reqs "VISA2004 or VISA2005" which are Options in the Major MJRU-ARVA1 which is listed in the structure in "Y3S2".</t>
  </si>
  <si>
    <t>1. PWRP3010 in structure in Y3S1 but only available in Sem2.
2. PWRP3010 has Pre Req PWRP2007 which is not available to B-EDSC students.</t>
  </si>
  <si>
    <t>VISA2023 in structure in Y2S2 but only available in Sem1, Could swtich with VISA1003 which is in structure in Y2S1 but is available BOTH semesters.</t>
  </si>
  <si>
    <t>Option list (Opt-HSPL1) in structure in "Y4S1", and all option units available Sem1, howver no units apart from MATH1014 are available Sem2. Could this be an issue?</t>
  </si>
  <si>
    <t>1. EDPR3000 in structure in Y3S2 but is only available Sem1. Could swtich with Opt-MATHB in Y3S1 as options are available both Semesters.
2. EDPR2004 in structure in Y2S2 has Pre Req EDSC1009 which is deactivating.
3. Just want to check on 50CP of Option units. One in Y1S2 and one in Y3S1, is this correct?</t>
  </si>
  <si>
    <t>Requires alteration to "Generic" sequence.</t>
  </si>
  <si>
    <t>May require sequencing juggle due to sequencing for the Major.</t>
  </si>
  <si>
    <t>HUMB1000 is CORE in stream structure Y2S2 but is an AltCore in Major structure in Y1S2. Could this potentially confusing / confounding?</t>
  </si>
  <si>
    <t>MEDI2000 in structure in Y3S2 has Pre Reqs "HUMB1001 + MEDI1000", however MEDI1000 is not available to B-EDSC students.</t>
  </si>
  <si>
    <t xml:space="preserve">1. PSYC3000 in structure in Y3S2 has Pre Reqs "EDUC2005 + PSYC2001", however EDUC2005 is deactivating.
2. PSYT3000 in structure in Y4S1 has Pre Reqs "Admitted to B-EDSC + PSYC1001 + (PSYC2000 or EDUC2005)", however PSYC2000 is not available to B-EDSC students and EDUC2005 is deactivating. </t>
  </si>
  <si>
    <t>PSYC2002 in structure in Y3S2 has Pre Reqs "CMHL1001 or EPID1000", neither of which are available to B-EDSC students.</t>
  </si>
  <si>
    <t>EDEC2019 is CORE in EDEC structure and has Pre Reqs "150CP + EDUC1017 + EDUC1023 + EDUC1031", however EDUC1017 is deactivating.</t>
  </si>
  <si>
    <t>EDPR2004 is CORE &amp; OPTION in structures and has Pre Reqs "100CP + (EDSC1009 or EDUC1031)", however EDUC109 is deactivating.</t>
  </si>
  <si>
    <t>EDPR2012 is CORE in EDPR structure and has Pre Reqs "150CP + EDUC1017 + EDUC1023 + EDUC1031", however EDUC1017 is deactivating.</t>
  </si>
  <si>
    <t>EDPR2004 is CORE in structures and has Pre Reqs "100CP + (EDSC1009 or EDUC1023)", however EDUC109 is deactivating.</t>
  </si>
  <si>
    <t>EDPR2004 is CORE in structures and has Pre Reqs "600CP + (EDPR3012 or EDEC3018 or EDSC3005)*", however EDSC3005 is deactivating.</t>
  </si>
  <si>
    <t>PSYC3006 is CORE in MJRU-PHYSE and has Pre Reqs "EDUC2005 or PSYC2004", however EDUC2005 is deactivating and PSYC2004 is not available to B-EDSC students.</t>
  </si>
  <si>
    <t>REHT1001 is CORE in MJRU-PHYSE and has Pre Reqs "25CP in MJRU-HLTPE", however MJRU-HLTPE is deactivating and being replaced by MJRU-PHYSE.</t>
  </si>
  <si>
    <t>REHT2001 is CORE in MJRU-PHYSE and has Pre Reqs "EDUC2005 or HUMB2010", however EDUC2005 is deactivating and HUMB2010 is not available to B-EDSC students.</t>
  </si>
  <si>
    <t>Physical Education Pedagogy (details coming)</t>
  </si>
  <si>
    <t>Primary Physical Education: Curriculum &amp; Assessment (details coming)</t>
  </si>
  <si>
    <t>Teaching Health Education in Primary Schools (details coming)</t>
  </si>
  <si>
    <t>SCPH1MOSem2</t>
  </si>
  <si>
    <t>ARDR1GEOGMSem2</t>
  </si>
  <si>
    <t>ARDR1HISTMSem2</t>
  </si>
  <si>
    <t>ARDR1MATHMSem2</t>
  </si>
  <si>
    <t>ARDR1PSYCMSem2</t>
  </si>
  <si>
    <t>ARME1BSCIMSem2</t>
  </si>
  <si>
    <t>ARME1ENGLMSem2</t>
  </si>
  <si>
    <t>ARME1GEOGMSem2</t>
  </si>
  <si>
    <t>ARME1HISTMSem2</t>
  </si>
  <si>
    <t>ARME1MATHMSem2</t>
  </si>
  <si>
    <t>ARME1PSYCMSem2</t>
  </si>
  <si>
    <t>ARVA1BSCIMSem2</t>
  </si>
  <si>
    <t>ARVA1VARTBSem2</t>
  </si>
  <si>
    <t>ARVA1ENGLMSem2</t>
  </si>
  <si>
    <t>ARVA1GEOGMSem2</t>
  </si>
  <si>
    <t>ARVA1HISTMSem2</t>
  </si>
  <si>
    <t>ARVA1MATHMSem2</t>
  </si>
  <si>
    <t>ARVA1PSYCMSem2</t>
  </si>
  <si>
    <t>ENGL1BSCIMSem2</t>
  </si>
  <si>
    <t>ENGL1ENGLBSem2</t>
  </si>
  <si>
    <t>ENGL1GEOGMSem2</t>
  </si>
  <si>
    <t>ENGL1HISTMSem2</t>
  </si>
  <si>
    <t>ENGL1MATHMSem2</t>
  </si>
  <si>
    <t>ENGL1PSYCMSem2</t>
  </si>
  <si>
    <t>ENGL1MARTMSem2</t>
  </si>
  <si>
    <t>ENGL1PARTMSem2</t>
  </si>
  <si>
    <t>ENGL1VARTMSem2</t>
  </si>
  <si>
    <t>HSEC1BSCIMSem2</t>
  </si>
  <si>
    <t>HSEC1ECOB1Sem2</t>
  </si>
  <si>
    <t>HSEC1ENGLMSem2</t>
  </si>
  <si>
    <t>HSEC1MATHMSem2</t>
  </si>
  <si>
    <t>HSEC1PSYCMSem2</t>
  </si>
  <si>
    <t>HSEC1MARTMSem2</t>
  </si>
  <si>
    <t>HSEC1PARTMSem2</t>
  </si>
  <si>
    <t>HSEC1VARTMSem2</t>
  </si>
  <si>
    <t>HSGE1BSCIMSem2</t>
  </si>
  <si>
    <t>HSGE1GEOB1Sem2</t>
  </si>
  <si>
    <t>HSGE1ENGLMSem2</t>
  </si>
  <si>
    <t>HSGE1MATHMSem2</t>
  </si>
  <si>
    <t>HSGE1PSYCMSem2</t>
  </si>
  <si>
    <t>HSGE1MARTMSem2</t>
  </si>
  <si>
    <t>HSGE1PARTMSem2</t>
  </si>
  <si>
    <t>HSGE1VARTMSem2</t>
  </si>
  <si>
    <t>HSHI1BSCIMSem2</t>
  </si>
  <si>
    <t>HSHI1HISB1Sem2</t>
  </si>
  <si>
    <t>HSHI1ENGLMSem2</t>
  </si>
  <si>
    <t>HSHI1MATHMSem2</t>
  </si>
  <si>
    <t>HSHI1PSYCMSem2</t>
  </si>
  <si>
    <t>HSHI1MARTMSem2</t>
  </si>
  <si>
    <t>HSHI1PARTMSem2</t>
  </si>
  <si>
    <t>HSHI1VARTMSem2</t>
  </si>
  <si>
    <t>HSPL1BSCIMSem2</t>
  </si>
  <si>
    <t>HSPL1POLB1Sem2</t>
  </si>
  <si>
    <t>HSPL1ENGLMSem2</t>
  </si>
  <si>
    <t>HSPL1MATHMSem2</t>
  </si>
  <si>
    <t>HSPL1PSYCMSem2</t>
  </si>
  <si>
    <t>HSPL1MARTMSem2</t>
  </si>
  <si>
    <t>HSPL1PARTMSem2</t>
  </si>
  <si>
    <t>HSPL1VARTMSem2</t>
  </si>
  <si>
    <t>HSPL10Sem2</t>
  </si>
  <si>
    <t>MATH1BSCIMSem2</t>
  </si>
  <si>
    <t>MATH1MATHBSem2</t>
  </si>
  <si>
    <t>MATH1ENGLMSem2</t>
  </si>
  <si>
    <t>MATH1GEOGMSem2</t>
  </si>
  <si>
    <t>MATH1HISTMSem2</t>
  </si>
  <si>
    <t>MATH1PSYCMSem2</t>
  </si>
  <si>
    <t>MATH1MARTMSem2</t>
  </si>
  <si>
    <t>MATH1PARTMSem2</t>
  </si>
  <si>
    <t>MATH1VARTMSem2</t>
  </si>
  <si>
    <t>PHYSEBSCIMSem2</t>
  </si>
  <si>
    <t>PHYSEHPEB1Sem2</t>
  </si>
  <si>
    <t>SCBI1BIOLBSem2</t>
  </si>
  <si>
    <t>SCBI1ENGLMSem2</t>
  </si>
  <si>
    <t>SCBI1GEOGMSem2</t>
  </si>
  <si>
    <t>SCBI1HISTMSem2</t>
  </si>
  <si>
    <t>SCBI1MATHMSem2</t>
  </si>
  <si>
    <t>SCBI1MARTMSem2</t>
  </si>
  <si>
    <t>SCBI1PARTMSem2</t>
  </si>
  <si>
    <t>SCBI1VARTMSem2</t>
  </si>
  <si>
    <t>SCCH1CHEMBSem2</t>
  </si>
  <si>
    <t>SCCH1ENGLMSem2</t>
  </si>
  <si>
    <t>SCCH1GEOGMSem2</t>
  </si>
  <si>
    <t>SCCH1HISTMSem2</t>
  </si>
  <si>
    <t>SCCH1MATHMSem2</t>
  </si>
  <si>
    <t>SCCH1MARTMSem2</t>
  </si>
  <si>
    <t>SCCH1PARTMSem2</t>
  </si>
  <si>
    <t>SCCH1VARTMSem2</t>
  </si>
  <si>
    <t>SCHB1HUMBBSem2</t>
  </si>
  <si>
    <t>SCHB1ENGLMSem2</t>
  </si>
  <si>
    <t>SCHB1GEOGMSem2</t>
  </si>
  <si>
    <t>SCHB1HISTMSem2</t>
  </si>
  <si>
    <t>SCHB1MATHMSem2</t>
  </si>
  <si>
    <t>SCHB1MARTMSem2</t>
  </si>
  <si>
    <t>SCHB1PARTMSem2</t>
  </si>
  <si>
    <t>SCHB1VARTMSem2</t>
  </si>
  <si>
    <t>SCPS1PSYCBSem2</t>
  </si>
  <si>
    <t>SCPS1ENGLMSem2</t>
  </si>
  <si>
    <t>SCPS1GEOGMSem2</t>
  </si>
  <si>
    <t>SCPS1HISTMSem2</t>
  </si>
  <si>
    <t>SCPS1MATHMSem2</t>
  </si>
  <si>
    <t>SCPS1MARTMSem2</t>
  </si>
  <si>
    <t>SCPS1PARTMSem2</t>
  </si>
  <si>
    <t>SCPS1VARTMSem2</t>
  </si>
  <si>
    <t>Change to Generic Sequence</t>
  </si>
  <si>
    <t>Needing to solve some of the issues before publication, help required. See Issues Log Tab.</t>
  </si>
  <si>
    <t>Pre Req &amp; Avail Issue</t>
  </si>
  <si>
    <t>Possible switch</t>
  </si>
  <si>
    <t>Avail issue VISA2023, switched</t>
  </si>
  <si>
    <t>Enrolment Planner not yet available for Semester 2 starters</t>
  </si>
  <si>
    <t>Choose GEOL1007 or GEOL1005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</si>
</sst>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sz val="18"/>
      <color theme="1"/>
      <name val="Segoe UI"/>
      <family val="2"/>
    </font>
    <font>
      <b/>
      <i/>
      <sz val="12"/>
      <color theme="0" tint="-0.249977111117893"/>
      <name val="Calibri"/>
      <family val="2"/>
      <scheme val="minor"/>
    </font>
    <font>
      <b/>
      <i/>
      <sz val="10"/>
      <color theme="0" tint="-0.499984740745262"/>
      <name val="Arial"/>
      <family val="2"/>
    </font>
    <font>
      <sz val="12"/>
      <name val="Calibri"/>
      <family val="2"/>
      <scheme val="minor"/>
    </font>
    <font>
      <b/>
      <sz val="8"/>
      <color rgb="FFFF0000"/>
      <name val="Arial"/>
      <family val="2"/>
    </font>
    <font>
      <b/>
      <sz val="9"/>
      <color rgb="FFFF0000"/>
      <name val="Segoe UI"/>
      <family val="2"/>
    </font>
    <font>
      <i/>
      <sz val="10"/>
      <color theme="0" tint="-0.34998626667073579"/>
      <name val="Arial"/>
      <family val="2"/>
    </font>
    <font>
      <b/>
      <sz val="8"/>
      <name val="Arial"/>
      <family val="2"/>
    </font>
    <font>
      <b/>
      <i/>
      <u/>
      <sz val="9"/>
      <name val="Segoe UI"/>
      <family val="2"/>
    </font>
    <font>
      <b/>
      <sz val="11"/>
      <name val="Segoe UI"/>
      <family val="2"/>
    </font>
    <font>
      <b/>
      <sz val="12"/>
      <color rgb="FFFF0000"/>
      <name val="Calibri"/>
      <family val="2"/>
      <scheme val="minor"/>
    </font>
    <font>
      <i/>
      <sz val="10"/>
      <color rgb="FFFF0000"/>
      <name val="Arial"/>
      <family val="2"/>
    </font>
    <font>
      <b/>
      <sz val="11"/>
      <color theme="7"/>
      <name val="Segoe UI"/>
      <family val="2"/>
    </font>
    <font>
      <b/>
      <sz val="8"/>
      <color theme="1"/>
      <name val="Arial"/>
      <family val="2"/>
    </font>
    <font>
      <b/>
      <sz val="9"/>
      <color theme="0"/>
      <name val="Segoe UI"/>
      <family val="2"/>
    </font>
    <font>
      <sz val="11"/>
      <color rgb="FF006100"/>
      <name val="Calibri"/>
      <family val="2"/>
      <scheme val="minor"/>
    </font>
    <font>
      <sz val="10"/>
      <color theme="0" tint="-0.499984740745262"/>
      <name val="Arial"/>
      <family val="2"/>
    </font>
    <font>
      <b/>
      <i/>
      <sz val="9"/>
      <name val="Segoe UI"/>
      <family val="2"/>
    </font>
    <font>
      <b/>
      <i/>
      <sz val="9"/>
      <color theme="1"/>
      <name val="Segoe UI"/>
      <family val="2"/>
    </font>
    <font>
      <sz val="10"/>
      <color theme="0"/>
      <name val="Arial"/>
      <family val="2"/>
    </font>
    <font>
      <sz val="9"/>
      <color rgb="FFFF0000"/>
      <name val="Segoe UI"/>
      <family val="2"/>
    </font>
    <font>
      <sz val="9"/>
      <color theme="0"/>
      <name val="Segoe UI"/>
      <family val="2"/>
    </font>
    <font>
      <strike/>
      <sz val="12"/>
      <color theme="1"/>
      <name val="Calibri"/>
      <family val="2"/>
      <scheme val="minor"/>
    </font>
    <font>
      <sz val="10"/>
      <color rgb="FF00B050"/>
      <name val="Arial"/>
      <family val="2"/>
    </font>
    <font>
      <sz val="12"/>
      <color rgb="FF00B050"/>
      <name val="Calibri"/>
      <family val="2"/>
      <scheme val="minor"/>
    </font>
    <font>
      <b/>
      <i/>
      <sz val="12"/>
      <color rgb="FF00B050"/>
      <name val="Calibri"/>
      <family val="2"/>
      <scheme val="minor"/>
    </font>
    <font>
      <sz val="8"/>
      <color rgb="FF00B050"/>
      <name val="Arial"/>
      <family val="2"/>
    </font>
    <font>
      <b/>
      <sz val="8"/>
      <color rgb="FF00B050"/>
      <name val="Arial"/>
      <family val="2"/>
    </font>
    <font>
      <b/>
      <sz val="8"/>
      <name val="Segoe UI"/>
      <family val="2"/>
    </font>
    <font>
      <sz val="8"/>
      <color theme="0" tint="-0.34998626667073579"/>
      <name val="Arial"/>
      <family val="2"/>
    </font>
    <font>
      <sz val="9"/>
      <color indexed="81"/>
      <name val="Tahoma"/>
      <family val="2"/>
    </font>
    <font>
      <b/>
      <sz val="9"/>
      <color indexed="81"/>
      <name val="Tahoma"/>
      <family val="2"/>
    </font>
    <font>
      <sz val="8"/>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7"/>
        <bgColor indexed="64"/>
      </patternFill>
    </fill>
    <fill>
      <patternFill patternType="solid">
        <fgColor theme="7"/>
        <bgColor rgb="FF000000"/>
      </patternFill>
    </fill>
    <fill>
      <patternFill patternType="solid">
        <fgColor theme="0" tint="-0.14999847407452621"/>
        <bgColor indexed="64"/>
      </patternFill>
    </fill>
    <fill>
      <patternFill patternType="solid">
        <fgColor rgb="FFC6EFCE"/>
      </patternFill>
    </fill>
    <fill>
      <patternFill patternType="solid">
        <fgColor rgb="FF00B05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FFFF00"/>
        <bgColor rgb="FF000000"/>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0691854609822"/>
      </left>
      <right/>
      <top style="thin">
        <color theme="0" tint="-0.14993743705557422"/>
      </top>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right style="thin">
        <color theme="0" tint="-0.1498764000366222"/>
      </right>
      <top style="thin">
        <color theme="0" tint="-0.14993743705557422"/>
      </top>
      <bottom/>
      <diagonal/>
    </border>
    <border>
      <left/>
      <right/>
      <top style="thin">
        <color indexed="64"/>
      </top>
      <bottom/>
      <diagonal/>
    </border>
    <border>
      <left style="thin">
        <color rgb="FFD9D9D9"/>
      </left>
      <right/>
      <top style="thin">
        <color indexed="64"/>
      </top>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3" fillId="0" borderId="0"/>
    <xf numFmtId="0" fontId="27" fillId="0" borderId="0" applyNumberFormat="0" applyFill="0" applyBorder="0" applyAlignment="0" applyProtection="0"/>
    <xf numFmtId="0" fontId="63" fillId="19" borderId="0" applyNumberFormat="0" applyBorder="0" applyAlignment="0" applyProtection="0"/>
    <xf numFmtId="0" fontId="2" fillId="0" borderId="0"/>
  </cellStyleXfs>
  <cellXfs count="444">
    <xf numFmtId="0" fontId="0" fillId="0" borderId="0" xfId="0"/>
    <xf numFmtId="0" fontId="4" fillId="3" borderId="1" xfId="0" applyFont="1" applyFill="1" applyBorder="1"/>
    <xf numFmtId="0" fontId="4" fillId="3" borderId="3"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4" fillId="3" borderId="3" xfId="0" applyFont="1" applyFill="1" applyBorder="1" applyAlignment="1">
      <alignment horizontal="right" vertical="center"/>
    </xf>
    <xf numFmtId="0" fontId="4" fillId="4" borderId="2" xfId="0" applyFont="1" applyFill="1" applyBorder="1" applyAlignment="1">
      <alignment horizontal="right" vertical="center"/>
    </xf>
    <xf numFmtId="0" fontId="4" fillId="3" borderId="2" xfId="0" applyFont="1" applyFill="1" applyBorder="1" applyAlignment="1">
      <alignment horizontal="right" vertical="center"/>
    </xf>
    <xf numFmtId="0" fontId="12" fillId="0" borderId="0" xfId="0" applyFont="1" applyAlignment="1">
      <alignment horizontal="left"/>
    </xf>
    <xf numFmtId="0" fontId="16" fillId="0" borderId="0" xfId="0" applyFont="1" applyAlignment="1">
      <alignment horizontal="left"/>
    </xf>
    <xf numFmtId="0" fontId="14" fillId="0" borderId="0" xfId="0" applyFont="1"/>
    <xf numFmtId="0" fontId="5" fillId="0" borderId="0" xfId="0" applyFont="1"/>
    <xf numFmtId="0" fontId="15" fillId="0" borderId="0" xfId="0" applyFont="1"/>
    <xf numFmtId="0" fontId="13" fillId="0" borderId="0" xfId="0" applyFont="1" applyAlignment="1">
      <alignment horizontal="center" vertical="center"/>
    </xf>
    <xf numFmtId="0" fontId="4" fillId="3" borderId="1" xfId="0" applyFont="1" applyFill="1" applyBorder="1" applyAlignment="1">
      <alignment horizontal="center" vertical="center"/>
    </xf>
    <xf numFmtId="0" fontId="3" fillId="0" borderId="0" xfId="1"/>
    <xf numFmtId="0" fontId="3"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3"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5" fillId="0" borderId="0" xfId="1" applyFont="1" applyAlignment="1" applyProtection="1">
      <alignment vertical="center" wrapText="1"/>
      <protection locked="0"/>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30" fillId="2" borderId="0" xfId="1" applyFont="1" applyFill="1" applyProtection="1">
      <protection locked="0"/>
    </xf>
    <xf numFmtId="0" fontId="31" fillId="2" borderId="0" xfId="1" applyFont="1" applyFill="1" applyProtection="1">
      <protection locked="0"/>
    </xf>
    <xf numFmtId="0" fontId="31" fillId="2" borderId="0" xfId="1" applyFont="1" applyFill="1"/>
    <xf numFmtId="0" fontId="32" fillId="2" borderId="0" xfId="1" applyFont="1" applyFill="1" applyAlignment="1">
      <alignment vertical="center"/>
    </xf>
    <xf numFmtId="0" fontId="34" fillId="2" borderId="0" xfId="1" applyFont="1" applyFill="1" applyAlignment="1">
      <alignment vertical="center"/>
    </xf>
    <xf numFmtId="0" fontId="35" fillId="2" borderId="0" xfId="1" applyFont="1" applyFill="1" applyProtection="1">
      <protection locked="0"/>
    </xf>
    <xf numFmtId="0" fontId="14" fillId="2" borderId="0" xfId="1" applyFont="1" applyFill="1" applyProtection="1">
      <protection locked="0"/>
    </xf>
    <xf numFmtId="0" fontId="14" fillId="2" borderId="0" xfId="1" applyFont="1" applyFill="1"/>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 fillId="0" borderId="0" xfId="1" applyAlignment="1" applyProtection="1">
      <alignment horizontal="center" vertical="top"/>
      <protection locked="0"/>
    </xf>
    <xf numFmtId="0" fontId="3" fillId="0" borderId="0" xfId="1" applyAlignment="1">
      <alignment horizontal="center" vertical="top"/>
    </xf>
    <xf numFmtId="0" fontId="36" fillId="0" borderId="15" xfId="1" applyFont="1" applyBorder="1" applyAlignment="1">
      <alignment horizontal="left" vertical="center"/>
    </xf>
    <xf numFmtId="0" fontId="36" fillId="0" borderId="16" xfId="1" applyFont="1" applyBorder="1" applyAlignment="1">
      <alignment horizontal="left" vertical="center"/>
    </xf>
    <xf numFmtId="0" fontId="36" fillId="0" borderId="16" xfId="1" applyFont="1" applyBorder="1" applyAlignment="1">
      <alignment vertical="center"/>
    </xf>
    <xf numFmtId="0" fontId="36" fillId="0" borderId="16" xfId="1" applyFont="1" applyBorder="1" applyAlignment="1">
      <alignment vertical="center" wrapText="1"/>
    </xf>
    <xf numFmtId="0" fontId="36" fillId="0" borderId="16" xfId="1" applyFont="1" applyBorder="1" applyAlignment="1">
      <alignment horizontal="center" vertical="center" wrapText="1"/>
    </xf>
    <xf numFmtId="0" fontId="14" fillId="2" borderId="0" xfId="1" applyFont="1" applyFill="1" applyAlignment="1">
      <alignment vertical="center"/>
    </xf>
    <xf numFmtId="0" fontId="34" fillId="2" borderId="0" xfId="1" applyFont="1" applyFill="1" applyAlignment="1">
      <alignment horizontal="right" vertical="center"/>
    </xf>
    <xf numFmtId="0" fontId="17" fillId="0" borderId="0" xfId="0" applyFont="1"/>
    <xf numFmtId="0" fontId="4" fillId="0" borderId="0" xfId="0" applyFont="1"/>
    <xf numFmtId="0" fontId="37" fillId="0" borderId="0" xfId="0" applyFont="1" applyAlignment="1">
      <alignment horizontal="left"/>
    </xf>
    <xf numFmtId="0" fontId="4" fillId="3" borderId="1" xfId="0" applyFont="1" applyFill="1" applyBorder="1" applyAlignment="1">
      <alignment horizontal="right" vertical="center"/>
    </xf>
    <xf numFmtId="0" fontId="24" fillId="2" borderId="16"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0" borderId="17"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16" xfId="1" applyFont="1" applyBorder="1" applyAlignment="1">
      <alignment vertical="center" wrapText="1"/>
    </xf>
    <xf numFmtId="0" fontId="21" fillId="2" borderId="15" xfId="1" applyFont="1" applyFill="1" applyBorder="1" applyAlignment="1">
      <alignment horizontal="center" vertical="center" wrapText="1"/>
    </xf>
    <xf numFmtId="0" fontId="21" fillId="2" borderId="16" xfId="1" applyFont="1" applyFill="1" applyBorder="1" applyAlignment="1">
      <alignment vertical="center" wrapText="1"/>
    </xf>
    <xf numFmtId="0" fontId="21" fillId="2" borderId="17" xfId="1" applyFont="1" applyFill="1" applyBorder="1" applyAlignment="1" applyProtection="1">
      <alignment horizontal="center" vertical="center" wrapText="1"/>
      <protection locked="0"/>
    </xf>
    <xf numFmtId="0" fontId="21" fillId="0" borderId="17" xfId="1" applyFont="1" applyBorder="1" applyAlignment="1" applyProtection="1">
      <alignment horizontal="center" vertical="center" wrapText="1"/>
      <protection locked="0"/>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Border="1" applyAlignment="1">
      <alignment horizontal="center" vertical="center" wrapText="1"/>
    </xf>
    <xf numFmtId="0" fontId="12" fillId="5" borderId="0" xfId="0" applyFont="1" applyFill="1" applyAlignment="1">
      <alignment horizontal="center"/>
    </xf>
    <xf numFmtId="0" fontId="25" fillId="0" borderId="0" xfId="1" applyFont="1" applyAlignment="1" applyProtection="1">
      <alignment horizontal="left" vertical="top" wrapText="1"/>
      <protection locked="0"/>
    </xf>
    <xf numFmtId="0" fontId="21" fillId="0" borderId="0" xfId="1" applyFont="1" applyAlignment="1" applyProtection="1">
      <alignment vertical="top" wrapText="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1" xfId="0" applyBorder="1" applyAlignment="1">
      <alignment horizontal="center"/>
    </xf>
    <xf numFmtId="0" fontId="13" fillId="0" borderId="0" xfId="0" applyFont="1" applyAlignment="1">
      <alignment horizontal="center"/>
    </xf>
    <xf numFmtId="0" fontId="36" fillId="0" borderId="16" xfId="1" applyFont="1" applyBorder="1" applyAlignment="1">
      <alignment horizontal="center" vertical="center"/>
    </xf>
    <xf numFmtId="0" fontId="12" fillId="6" borderId="0" xfId="0" applyFont="1" applyFill="1" applyAlignment="1">
      <alignment wrapText="1"/>
    </xf>
    <xf numFmtId="0" fontId="42" fillId="0" borderId="0" xfId="0" applyFont="1" applyAlignment="1">
      <alignment horizontal="right" wrapText="1"/>
    </xf>
    <xf numFmtId="0" fontId="21" fillId="2" borderId="0" xfId="1" applyFont="1" applyFill="1" applyAlignment="1">
      <alignment horizontal="right" vertical="center" indent="1"/>
    </xf>
    <xf numFmtId="0" fontId="49" fillId="0" borderId="0" xfId="0" applyFont="1" applyAlignment="1">
      <alignment horizontal="right"/>
    </xf>
    <xf numFmtId="0" fontId="28" fillId="7" borderId="0" xfId="2" applyFont="1" applyFill="1" applyAlignment="1" applyProtection="1">
      <alignment vertical="center"/>
    </xf>
    <xf numFmtId="0" fontId="27" fillId="7" borderId="0" xfId="2" applyFill="1" applyAlignment="1" applyProtection="1">
      <alignment vertical="center"/>
    </xf>
    <xf numFmtId="0" fontId="13" fillId="0" borderId="27" xfId="0" applyFont="1" applyBorder="1" applyAlignment="1">
      <alignment horizontal="center"/>
    </xf>
    <xf numFmtId="0" fontId="13" fillId="0" borderId="28" xfId="0" applyFont="1" applyBorder="1" applyAlignment="1">
      <alignment horizontal="center"/>
    </xf>
    <xf numFmtId="0" fontId="5" fillId="0" borderId="27" xfId="0" applyFont="1" applyBorder="1" applyAlignment="1">
      <alignment horizontal="center"/>
    </xf>
    <xf numFmtId="0" fontId="5" fillId="0" borderId="0" xfId="0" applyFont="1" applyAlignment="1">
      <alignment horizontal="center"/>
    </xf>
    <xf numFmtId="0" fontId="13" fillId="0" borderId="29"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0" fillId="0" borderId="0" xfId="0" applyAlignment="1">
      <alignment wrapText="1"/>
    </xf>
    <xf numFmtId="0" fontId="0" fillId="0" borderId="0" xfId="0" applyAlignment="1">
      <alignment horizontal="center" wrapText="1"/>
    </xf>
    <xf numFmtId="0" fontId="0" fillId="0" borderId="21" xfId="0" applyBorder="1" applyAlignment="1">
      <alignment horizontal="center" wrapText="1"/>
    </xf>
    <xf numFmtId="0" fontId="11" fillId="0" borderId="0" xfId="1" applyFont="1" applyAlignment="1">
      <alignment horizontal="center"/>
    </xf>
    <xf numFmtId="0" fontId="18" fillId="0" borderId="0" xfId="1" applyFont="1" applyAlignment="1">
      <alignment horizontal="center"/>
    </xf>
    <xf numFmtId="0" fontId="18" fillId="0" borderId="0" xfId="1" applyFont="1"/>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22" fillId="9" borderId="0" xfId="1" applyFont="1" applyFill="1" applyAlignment="1">
      <alignment horizontal="center" vertical="center"/>
    </xf>
    <xf numFmtId="0" fontId="22" fillId="9" borderId="0" xfId="1" applyFont="1" applyFill="1" applyAlignment="1">
      <alignment horizontal="left" vertical="center" indent="1"/>
    </xf>
    <xf numFmtId="0" fontId="22" fillId="9" borderId="0" xfId="1" applyFont="1" applyFill="1" applyAlignment="1">
      <alignment vertical="center"/>
    </xf>
    <xf numFmtId="0" fontId="22" fillId="9" borderId="0" xfId="1" applyFont="1" applyFill="1" applyAlignment="1">
      <alignment horizontal="left" vertical="center"/>
    </xf>
    <xf numFmtId="0" fontId="22" fillId="9" borderId="14" xfId="1" applyFont="1" applyFill="1" applyBorder="1" applyAlignment="1">
      <alignment horizontal="left" vertical="center"/>
    </xf>
    <xf numFmtId="0" fontId="22" fillId="9" borderId="0" xfId="1" applyFont="1" applyFill="1" applyAlignment="1" applyProtection="1">
      <alignment vertical="center"/>
      <protection locked="0"/>
    </xf>
    <xf numFmtId="0" fontId="22" fillId="9" borderId="0" xfId="1" applyFont="1" applyFill="1" applyAlignment="1">
      <alignment horizontal="center" vertical="center" wrapText="1"/>
    </xf>
    <xf numFmtId="0" fontId="22" fillId="9" borderId="0" xfId="1" applyFont="1" applyFill="1" applyAlignment="1" applyProtection="1">
      <alignment horizontal="center" vertical="center"/>
      <protection locked="0"/>
    </xf>
    <xf numFmtId="0" fontId="22" fillId="9" borderId="18" xfId="1" applyFont="1" applyFill="1" applyBorder="1" applyAlignment="1">
      <alignment horizontal="center" vertical="center" wrapText="1"/>
    </xf>
    <xf numFmtId="0" fontId="22" fillId="9" borderId="14" xfId="1" applyFont="1" applyFill="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 xfId="0" quotePrefix="1" applyFont="1" applyBorder="1" applyAlignment="1">
      <alignment horizontal="center" vertical="center"/>
    </xf>
    <xf numFmtId="0" fontId="21" fillId="0" borderId="16" xfId="1" applyFont="1" applyBorder="1" applyAlignment="1">
      <alignment horizontal="left" vertical="center" wrapText="1"/>
    </xf>
    <xf numFmtId="0" fontId="22" fillId="9" borderId="0" xfId="1" applyFont="1" applyFill="1" applyAlignment="1">
      <alignment horizontal="left" vertical="center" wrapText="1"/>
    </xf>
    <xf numFmtId="0" fontId="42" fillId="8" borderId="0" xfId="0" applyFont="1" applyFill="1"/>
    <xf numFmtId="0" fontId="50" fillId="0" borderId="0" xfId="0" applyFont="1" applyAlignment="1">
      <alignment horizontal="left"/>
    </xf>
    <xf numFmtId="0" fontId="5" fillId="0" borderId="7" xfId="0" quotePrefix="1" applyFont="1" applyBorder="1" applyAlignment="1">
      <alignment horizontal="center" vertical="center"/>
    </xf>
    <xf numFmtId="14" fontId="0" fillId="0" borderId="0" xfId="0" applyNumberFormat="1"/>
    <xf numFmtId="0" fontId="51" fillId="0" borderId="0" xfId="0" applyFont="1"/>
    <xf numFmtId="0" fontId="5" fillId="11"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11" borderId="8" xfId="0" applyFont="1" applyFill="1" applyBorder="1" applyAlignment="1">
      <alignment horizontal="center" vertical="center"/>
    </xf>
    <xf numFmtId="0" fontId="5" fillId="5" borderId="7" xfId="0" applyFont="1" applyFill="1" applyBorder="1" applyAlignment="1">
      <alignment horizontal="center" vertical="center"/>
    </xf>
    <xf numFmtId="0" fontId="4" fillId="12" borderId="4" xfId="0" applyFont="1" applyFill="1" applyBorder="1"/>
    <xf numFmtId="0" fontId="4" fillId="12" borderId="4" xfId="0" applyFont="1" applyFill="1" applyBorder="1" applyAlignment="1">
      <alignment horizontal="center" vertical="center"/>
    </xf>
    <xf numFmtId="0" fontId="4" fillId="12" borderId="5" xfId="0" applyFont="1" applyFill="1" applyBorder="1" applyAlignment="1">
      <alignment horizontal="right" vertical="center"/>
    </xf>
    <xf numFmtId="0" fontId="4" fillId="13" borderId="4" xfId="0" applyFont="1" applyFill="1" applyBorder="1"/>
    <xf numFmtId="0" fontId="52" fillId="13" borderId="5" xfId="0" applyFont="1" applyFill="1" applyBorder="1" applyAlignment="1">
      <alignment horizontal="right" vertical="center"/>
    </xf>
    <xf numFmtId="0" fontId="4" fillId="13" borderId="4" xfId="0" applyFont="1" applyFill="1" applyBorder="1" applyAlignment="1">
      <alignment horizontal="center" vertical="center"/>
    </xf>
    <xf numFmtId="0" fontId="52" fillId="13" borderId="4" xfId="0" applyFont="1" applyFill="1" applyBorder="1" applyAlignment="1">
      <alignment horizontal="center" vertical="center"/>
    </xf>
    <xf numFmtId="0" fontId="4" fillId="13" borderId="5" xfId="0" applyFont="1" applyFill="1" applyBorder="1" applyAlignment="1">
      <alignment horizontal="right" vertical="center"/>
    </xf>
    <xf numFmtId="0" fontId="11" fillId="8" borderId="8" xfId="0" applyFont="1" applyFill="1" applyBorder="1" applyAlignment="1">
      <alignment horizontal="center" vertical="center"/>
    </xf>
    <xf numFmtId="0" fontId="12" fillId="0" borderId="34" xfId="0" applyFont="1" applyBorder="1"/>
    <xf numFmtId="0" fontId="12" fillId="0" borderId="33" xfId="0" applyFont="1" applyBorder="1"/>
    <xf numFmtId="0" fontId="12" fillId="0" borderId="35" xfId="0" applyFont="1" applyBorder="1"/>
    <xf numFmtId="0" fontId="12" fillId="0" borderId="32" xfId="0" applyFont="1" applyBorder="1"/>
    <xf numFmtId="0" fontId="54" fillId="0" borderId="32" xfId="0" applyFont="1" applyBorder="1"/>
    <xf numFmtId="0" fontId="54" fillId="0" borderId="34" xfId="0" applyFont="1" applyBorder="1"/>
    <xf numFmtId="0" fontId="54" fillId="0" borderId="33" xfId="0" applyFont="1" applyBorder="1"/>
    <xf numFmtId="0" fontId="54" fillId="0" borderId="35" xfId="0" applyFont="1" applyBorder="1"/>
    <xf numFmtId="0" fontId="10" fillId="8" borderId="32" xfId="0" applyFont="1" applyFill="1" applyBorder="1"/>
    <xf numFmtId="0" fontId="55" fillId="12" borderId="5" xfId="0" applyFont="1" applyFill="1" applyBorder="1" applyAlignment="1">
      <alignment horizontal="right" vertical="center"/>
    </xf>
    <xf numFmtId="0" fontId="55" fillId="12" borderId="4" xfId="0" applyFont="1" applyFill="1" applyBorder="1"/>
    <xf numFmtId="0" fontId="55" fillId="12" borderId="4" xfId="0" applyFont="1" applyFill="1" applyBorder="1" applyAlignment="1">
      <alignment horizontal="center" vertical="center"/>
    </xf>
    <xf numFmtId="0" fontId="55" fillId="13" borderId="4" xfId="0" applyFont="1" applyFill="1" applyBorder="1"/>
    <xf numFmtId="0" fontId="55" fillId="13" borderId="5" xfId="0" applyFont="1" applyFill="1" applyBorder="1" applyAlignment="1">
      <alignment horizontal="right" vertical="center"/>
    </xf>
    <xf numFmtId="0" fontId="55" fillId="13" borderId="4" xfId="0" applyFont="1" applyFill="1" applyBorder="1" applyAlignment="1">
      <alignment horizontal="center" vertical="center"/>
    </xf>
    <xf numFmtId="0" fontId="55" fillId="14" borderId="4" xfId="0" applyFont="1" applyFill="1" applyBorder="1"/>
    <xf numFmtId="0" fontId="55" fillId="14" borderId="5" xfId="0" applyFont="1" applyFill="1" applyBorder="1" applyAlignment="1">
      <alignment horizontal="right" vertical="center"/>
    </xf>
    <xf numFmtId="0" fontId="55" fillId="14" borderId="4" xfId="0" applyFont="1" applyFill="1" applyBorder="1" applyAlignment="1">
      <alignment horizontal="center" vertical="center"/>
    </xf>
    <xf numFmtId="0" fontId="10" fillId="15" borderId="34" xfId="0" applyFont="1" applyFill="1" applyBorder="1"/>
    <xf numFmtId="0" fontId="12" fillId="15" borderId="34" xfId="0" applyFont="1" applyFill="1" applyBorder="1"/>
    <xf numFmtId="0" fontId="57" fillId="2" borderId="0" xfId="1" applyFont="1" applyFill="1" applyAlignment="1">
      <alignment vertical="center"/>
    </xf>
    <xf numFmtId="0" fontId="0" fillId="0" borderId="4" xfId="0" applyBorder="1"/>
    <xf numFmtId="0" fontId="0" fillId="0" borderId="6" xfId="0" applyBorder="1"/>
    <xf numFmtId="0" fontId="0" fillId="0" borderId="9" xfId="0" applyBorder="1"/>
    <xf numFmtId="0" fontId="21" fillId="0" borderId="15" xfId="1" applyFont="1" applyBorder="1" applyAlignment="1">
      <alignment horizontal="center" vertical="center" wrapText="1"/>
    </xf>
    <xf numFmtId="0" fontId="58" fillId="8" borderId="0" xfId="0" applyFont="1" applyFill="1"/>
    <xf numFmtId="14" fontId="58" fillId="8" borderId="0" xfId="0" applyNumberFormat="1" applyFont="1" applyFill="1"/>
    <xf numFmtId="0" fontId="22" fillId="9" borderId="18" xfId="1" applyFont="1" applyFill="1" applyBorder="1" applyAlignment="1">
      <alignment horizontal="left" vertical="center"/>
    </xf>
    <xf numFmtId="0" fontId="38" fillId="16" borderId="0" xfId="1" applyFont="1" applyFill="1" applyAlignment="1">
      <alignment vertical="center" wrapText="1"/>
    </xf>
    <xf numFmtId="0" fontId="44" fillId="17" borderId="0" xfId="0" applyFont="1" applyFill="1" applyAlignment="1">
      <alignment vertical="center" readingOrder="1"/>
    </xf>
    <xf numFmtId="0" fontId="45" fillId="17" borderId="0" xfId="0" applyFont="1" applyFill="1" applyAlignment="1">
      <alignment horizontal="left" vertical="center" readingOrder="1"/>
    </xf>
    <xf numFmtId="0" fontId="46" fillId="17" borderId="0" xfId="0" applyFont="1" applyFill="1" applyAlignment="1">
      <alignment horizontal="left" vertical="center" readingOrder="1"/>
    </xf>
    <xf numFmtId="0" fontId="44" fillId="17" borderId="0" xfId="0" applyFont="1" applyFill="1" applyAlignment="1">
      <alignment horizontal="center" vertical="center" readingOrder="1"/>
    </xf>
    <xf numFmtId="0" fontId="22" fillId="17" borderId="22" xfId="0" applyFont="1" applyFill="1" applyBorder="1" applyAlignment="1">
      <alignment vertical="center" readingOrder="1"/>
    </xf>
    <xf numFmtId="0" fontId="47" fillId="17" borderId="0" xfId="0" applyFont="1" applyFill="1" applyAlignment="1">
      <alignment vertical="center" readingOrder="1"/>
    </xf>
    <xf numFmtId="0" fontId="47" fillId="17" borderId="0" xfId="0" applyFont="1" applyFill="1" applyAlignment="1">
      <alignment horizontal="center" vertical="center"/>
    </xf>
    <xf numFmtId="0" fontId="47" fillId="17" borderId="0" xfId="0" applyFont="1" applyFill="1" applyAlignment="1">
      <alignment horizontal="left" vertical="center" readingOrder="1"/>
    </xf>
    <xf numFmtId="0" fontId="47" fillId="17" borderId="0" xfId="0" applyFont="1" applyFill="1" applyAlignment="1">
      <alignment horizontal="center" vertical="center" wrapText="1" readingOrder="1"/>
    </xf>
    <xf numFmtId="0" fontId="47" fillId="17" borderId="23" xfId="0" applyFont="1" applyFill="1" applyBorder="1" applyAlignment="1">
      <alignment horizontal="center" vertical="top"/>
    </xf>
    <xf numFmtId="0" fontId="61" fillId="0" borderId="24" xfId="0" applyFont="1" applyBorder="1" applyAlignment="1">
      <alignment horizontal="center"/>
    </xf>
    <xf numFmtId="0" fontId="61" fillId="0" borderId="25" xfId="0" applyFont="1" applyBorder="1" applyAlignment="1">
      <alignment horizontal="center"/>
    </xf>
    <xf numFmtId="0" fontId="61" fillId="0" borderId="26" xfId="0" applyFont="1" applyBorder="1" applyAlignment="1">
      <alignment horizontal="center"/>
    </xf>
    <xf numFmtId="0" fontId="21" fillId="0" borderId="0" xfId="1" applyFont="1" applyAlignment="1">
      <alignment vertical="top" wrapText="1"/>
    </xf>
    <xf numFmtId="0" fontId="23" fillId="2" borderId="0" xfId="1" applyFont="1" applyFill="1" applyAlignment="1">
      <alignment vertical="center"/>
    </xf>
    <xf numFmtId="0" fontId="25" fillId="0" borderId="0" xfId="1" applyFont="1" applyAlignment="1">
      <alignment horizontal="left" vertical="top" wrapText="1"/>
    </xf>
    <xf numFmtId="0" fontId="23" fillId="2" borderId="0" xfId="1" applyFont="1" applyFill="1" applyAlignment="1">
      <alignment wrapText="1"/>
    </xf>
    <xf numFmtId="0" fontId="25" fillId="0" borderId="0" xfId="1" applyFont="1" applyAlignment="1">
      <alignment vertical="center" wrapText="1"/>
    </xf>
    <xf numFmtId="0" fontId="23" fillId="2" borderId="0" xfId="1" applyFont="1" applyFill="1"/>
    <xf numFmtId="0" fontId="35" fillId="2" borderId="0" xfId="1" applyFont="1" applyFill="1"/>
    <xf numFmtId="0" fontId="30" fillId="2" borderId="0" xfId="1" applyFont="1" applyFill="1"/>
    <xf numFmtId="0" fontId="20" fillId="2" borderId="0" xfId="1" applyFont="1" applyFill="1" applyAlignment="1" applyProtection="1">
      <alignment vertical="center"/>
      <protection locked="0"/>
    </xf>
    <xf numFmtId="0" fontId="20" fillId="2" borderId="0" xfId="1" applyFont="1" applyFill="1" applyAlignment="1">
      <alignment horizontal="right" vertical="center"/>
    </xf>
    <xf numFmtId="0" fontId="41" fillId="0" borderId="0" xfId="1" applyFont="1" applyAlignment="1" applyProtection="1">
      <alignment vertical="center"/>
      <protection locked="0"/>
    </xf>
    <xf numFmtId="0" fontId="41" fillId="11" borderId="0" xfId="1" applyFont="1" applyFill="1" applyAlignment="1" applyProtection="1">
      <alignment vertical="center"/>
      <protection locked="0"/>
    </xf>
    <xf numFmtId="0" fontId="10" fillId="0" borderId="33" xfId="0" applyFont="1" applyBorder="1"/>
    <xf numFmtId="0" fontId="59" fillId="0" borderId="35" xfId="0" applyFont="1" applyBorder="1"/>
    <xf numFmtId="0" fontId="9" fillId="0" borderId="35" xfId="0" applyFont="1" applyBorder="1"/>
    <xf numFmtId="0" fontId="0" fillId="0" borderId="0" xfId="0" applyAlignment="1">
      <alignment horizontal="left" textRotation="90"/>
    </xf>
    <xf numFmtId="0" fontId="51" fillId="0" borderId="0" xfId="0" applyFont="1" applyAlignment="1">
      <alignment horizontal="right"/>
    </xf>
    <xf numFmtId="14" fontId="0" fillId="11" borderId="0" xfId="0" applyNumberFormat="1" applyFill="1"/>
    <xf numFmtId="0" fontId="0" fillId="5" borderId="0" xfId="0" applyFill="1"/>
    <xf numFmtId="0" fontId="0" fillId="5" borderId="0" xfId="0" applyFill="1" applyAlignment="1">
      <alignment horizontal="center"/>
    </xf>
    <xf numFmtId="0" fontId="43" fillId="5" borderId="0" xfId="0" applyFont="1" applyFill="1"/>
    <xf numFmtId="14" fontId="0" fillId="5" borderId="0" xfId="0" applyNumberFormat="1" applyFill="1"/>
    <xf numFmtId="0" fontId="0" fillId="11" borderId="0" xfId="0" applyFill="1"/>
    <xf numFmtId="0" fontId="0" fillId="11" borderId="0" xfId="0" applyFill="1" applyAlignment="1">
      <alignment horizontal="center"/>
    </xf>
    <xf numFmtId="0" fontId="64" fillId="0" borderId="0" xfId="0" applyFont="1" applyAlignment="1">
      <alignment horizontal="center"/>
    </xf>
    <xf numFmtId="0" fontId="12" fillId="0" borderId="0" xfId="0" applyFont="1" applyAlignment="1">
      <alignment wrapText="1"/>
    </xf>
    <xf numFmtId="0" fontId="12" fillId="0" borderId="0" xfId="0" applyFont="1" applyAlignment="1">
      <alignment horizontal="left" textRotation="90"/>
    </xf>
    <xf numFmtId="0" fontId="12" fillId="11" borderId="0" xfId="0" applyFont="1" applyFill="1" applyAlignment="1">
      <alignment horizontal="center"/>
    </xf>
    <xf numFmtId="0" fontId="12" fillId="0" borderId="6" xfId="0" applyFont="1" applyBorder="1" applyAlignment="1">
      <alignment horizontal="left" textRotation="90"/>
    </xf>
    <xf numFmtId="0" fontId="12" fillId="11" borderId="6" xfId="0" applyFont="1" applyFill="1" applyBorder="1" applyAlignment="1">
      <alignment horizontal="center"/>
    </xf>
    <xf numFmtId="14" fontId="63" fillId="19" borderId="0" xfId="3" applyNumberFormat="1" applyAlignment="1">
      <alignment horizontal="center" vertical="top"/>
    </xf>
    <xf numFmtId="14" fontId="12" fillId="0" borderId="0" xfId="0" applyNumberFormat="1" applyFont="1" applyAlignment="1">
      <alignment horizontal="center"/>
    </xf>
    <xf numFmtId="0" fontId="12" fillId="0" borderId="0" xfId="0" quotePrefix="1" applyFont="1" applyAlignment="1">
      <alignment horizontal="center"/>
    </xf>
    <xf numFmtId="0" fontId="15" fillId="0" borderId="0" xfId="0" applyFont="1" applyAlignment="1">
      <alignment horizontal="left"/>
    </xf>
    <xf numFmtId="0" fontId="67" fillId="0" borderId="0" xfId="0" applyFont="1"/>
    <xf numFmtId="0" fontId="68" fillId="0" borderId="0" xfId="1" applyFont="1" applyAlignment="1">
      <alignment vertical="top" wrapText="1"/>
    </xf>
    <xf numFmtId="0" fontId="65" fillId="18" borderId="15" xfId="1" applyFont="1" applyFill="1" applyBorder="1" applyAlignment="1">
      <alignment horizontal="left" vertical="center"/>
    </xf>
    <xf numFmtId="0" fontId="65" fillId="18" borderId="16" xfId="1" applyFont="1" applyFill="1" applyBorder="1" applyAlignment="1">
      <alignment horizontal="center" vertical="center"/>
    </xf>
    <xf numFmtId="0" fontId="65" fillId="18" borderId="16" xfId="1" applyFont="1" applyFill="1" applyBorder="1" applyAlignment="1">
      <alignment vertical="center"/>
    </xf>
    <xf numFmtId="0" fontId="65" fillId="18" borderId="16" xfId="1" applyFont="1" applyFill="1" applyBorder="1" applyAlignment="1">
      <alignment vertical="center" wrapText="1"/>
    </xf>
    <xf numFmtId="0" fontId="65" fillId="18" borderId="16" xfId="1" applyFont="1" applyFill="1" applyBorder="1" applyAlignment="1">
      <alignment horizontal="center" vertical="center" wrapText="1"/>
    </xf>
    <xf numFmtId="0" fontId="66" fillId="18" borderId="19" xfId="1" applyFont="1" applyFill="1" applyBorder="1" applyAlignment="1">
      <alignment horizontal="center" vertical="center" wrapText="1"/>
    </xf>
    <xf numFmtId="0" fontId="66" fillId="18" borderId="16" xfId="1" applyFont="1" applyFill="1" applyBorder="1" applyAlignment="1">
      <alignment horizontal="center" vertical="center" wrapText="1"/>
    </xf>
    <xf numFmtId="0" fontId="66" fillId="18" borderId="20" xfId="1" applyFont="1" applyFill="1" applyBorder="1" applyAlignment="1">
      <alignment horizontal="center" vertical="center" wrapText="1"/>
    </xf>
    <xf numFmtId="0" fontId="66" fillId="18" borderId="17" xfId="1" applyFont="1" applyFill="1" applyBorder="1" applyAlignment="1" applyProtection="1">
      <alignment horizontal="center" vertical="center" wrapText="1"/>
      <protection locked="0"/>
    </xf>
    <xf numFmtId="0" fontId="22" fillId="9" borderId="37"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0" borderId="38" xfId="1" applyFont="1" applyBorder="1" applyAlignment="1">
      <alignment horizontal="center" vertical="center" wrapText="1"/>
    </xf>
    <xf numFmtId="0" fontId="47" fillId="17" borderId="18" xfId="0" applyFont="1" applyFill="1" applyBorder="1" applyAlignment="1">
      <alignment horizontal="center" vertical="center" wrapText="1" readingOrder="1"/>
    </xf>
    <xf numFmtId="0" fontId="47" fillId="17" borderId="37" xfId="0" applyFont="1" applyFill="1" applyBorder="1" applyAlignment="1">
      <alignment horizontal="center" vertical="center" wrapText="1" readingOrder="1"/>
    </xf>
    <xf numFmtId="0" fontId="66" fillId="18" borderId="38" xfId="1" applyFont="1" applyFill="1" applyBorder="1" applyAlignment="1">
      <alignment horizontal="center" vertical="center" wrapText="1"/>
    </xf>
    <xf numFmtId="0" fontId="68" fillId="0" borderId="0" xfId="1" applyFont="1" applyAlignment="1" applyProtection="1">
      <alignment vertical="top" wrapText="1"/>
      <protection locked="0"/>
    </xf>
    <xf numFmtId="0" fontId="40" fillId="18" borderId="12" xfId="1" applyFont="1" applyFill="1" applyBorder="1" applyAlignment="1">
      <alignment vertical="center"/>
    </xf>
    <xf numFmtId="0" fontId="19" fillId="18" borderId="13" xfId="1" applyFont="1" applyFill="1" applyBorder="1" applyAlignment="1">
      <alignment vertical="center"/>
    </xf>
    <xf numFmtId="0" fontId="19" fillId="18" borderId="13" xfId="1" applyFont="1" applyFill="1" applyBorder="1" applyAlignment="1">
      <alignment horizontal="right" vertical="center"/>
    </xf>
    <xf numFmtId="0" fontId="48" fillId="18" borderId="13" xfId="1" applyFont="1" applyFill="1" applyBorder="1" applyAlignment="1">
      <alignment horizontal="center" vertical="center"/>
    </xf>
    <xf numFmtId="0" fontId="40" fillId="18" borderId="13" xfId="1" applyFont="1" applyFill="1" applyBorder="1" applyAlignment="1">
      <alignment vertical="center"/>
    </xf>
    <xf numFmtId="0" fontId="62" fillId="0" borderId="0" xfId="1" applyFont="1" applyAlignment="1" applyProtection="1">
      <alignment horizontal="right" vertical="center" wrapText="1"/>
      <protection locked="0"/>
    </xf>
    <xf numFmtId="0" fontId="47" fillId="17" borderId="23" xfId="0" applyFont="1" applyFill="1" applyBorder="1" applyAlignment="1">
      <alignment horizontal="center" vertical="center"/>
    </xf>
    <xf numFmtId="0" fontId="21" fillId="18" borderId="10" xfId="1" applyFont="1" applyFill="1" applyBorder="1" applyAlignment="1">
      <alignment horizontal="center" vertical="center" wrapText="1"/>
    </xf>
    <xf numFmtId="0" fontId="21" fillId="18" borderId="0" xfId="1" applyFont="1" applyFill="1" applyAlignment="1">
      <alignment horizontal="center" vertical="center" wrapText="1"/>
    </xf>
    <xf numFmtId="0" fontId="21" fillId="18" borderId="0" xfId="1" applyFont="1" applyFill="1" applyAlignment="1">
      <alignment vertical="center" wrapText="1"/>
    </xf>
    <xf numFmtId="0" fontId="24" fillId="18" borderId="0" xfId="1" applyFont="1" applyFill="1" applyAlignment="1">
      <alignment horizontal="left" vertical="center" wrapText="1"/>
    </xf>
    <xf numFmtId="0" fontId="21" fillId="18" borderId="18" xfId="1" applyFont="1" applyFill="1" applyBorder="1" applyAlignment="1">
      <alignment horizontal="center" vertical="center" wrapText="1"/>
    </xf>
    <xf numFmtId="0" fontId="21" fillId="18" borderId="37" xfId="1" applyFont="1" applyFill="1" applyBorder="1" applyAlignment="1">
      <alignment horizontal="center" vertical="center" wrapText="1"/>
    </xf>
    <xf numFmtId="0" fontId="21" fillId="18" borderId="14" xfId="1" applyFont="1" applyFill="1" applyBorder="1" applyAlignment="1">
      <alignment horizontal="center" vertical="center" wrapText="1"/>
    </xf>
    <xf numFmtId="0" fontId="21" fillId="18" borderId="14" xfId="1" applyFont="1" applyFill="1" applyBorder="1" applyAlignment="1" applyProtection="1">
      <alignment horizontal="center" vertical="center" wrapText="1"/>
      <protection locked="0"/>
    </xf>
    <xf numFmtId="0" fontId="29" fillId="2" borderId="0" xfId="1" applyFont="1" applyFill="1" applyAlignment="1">
      <alignment vertical="center"/>
    </xf>
    <xf numFmtId="0" fontId="23" fillId="0" borderId="16" xfId="1" applyFont="1" applyBorder="1" applyAlignment="1">
      <alignment horizontal="center" vertical="center" wrapText="1"/>
    </xf>
    <xf numFmtId="0" fontId="62" fillId="0" borderId="0" xfId="1" applyFont="1" applyAlignment="1">
      <alignment horizontal="right" vertical="center" wrapText="1"/>
    </xf>
    <xf numFmtId="0" fontId="22" fillId="9" borderId="0" xfId="1" applyFont="1" applyFill="1" applyAlignment="1">
      <alignment horizontal="left" vertical="center" shrinkToFit="1"/>
    </xf>
    <xf numFmtId="0" fontId="21" fillId="2" borderId="16" xfId="1" applyFont="1" applyFill="1" applyBorder="1" applyAlignment="1">
      <alignment vertical="center" shrinkToFit="1"/>
    </xf>
    <xf numFmtId="0" fontId="21" fillId="0" borderId="16" xfId="1" applyFont="1" applyBorder="1" applyAlignment="1">
      <alignment horizontal="left" vertical="center" shrinkToFit="1"/>
    </xf>
    <xf numFmtId="0" fontId="21" fillId="0" borderId="16" xfId="1" applyFont="1" applyBorder="1" applyAlignment="1">
      <alignment vertical="center" shrinkToFit="1"/>
    </xf>
    <xf numFmtId="0" fontId="21" fillId="18" borderId="0" xfId="1" applyFont="1" applyFill="1" applyAlignment="1">
      <alignment vertical="center" shrinkToFit="1"/>
    </xf>
    <xf numFmtId="0" fontId="34" fillId="2" borderId="0" xfId="1" applyFont="1" applyFill="1" applyAlignment="1">
      <alignment horizontal="center" vertical="center"/>
    </xf>
    <xf numFmtId="0" fontId="40" fillId="17" borderId="0" xfId="0" applyFont="1" applyFill="1" applyAlignment="1">
      <alignment horizontal="center" vertical="center"/>
    </xf>
    <xf numFmtId="0" fontId="60" fillId="17" borderId="0" xfId="0" applyFont="1" applyFill="1" applyAlignment="1">
      <alignment horizontal="center" vertical="center"/>
    </xf>
    <xf numFmtId="0" fontId="33" fillId="2" borderId="0" xfId="1" applyFont="1" applyFill="1" applyAlignment="1">
      <alignment horizontal="left" vertical="center" shrinkToFit="1"/>
    </xf>
    <xf numFmtId="0" fontId="47" fillId="17" borderId="0" xfId="0" applyFont="1" applyFill="1" applyAlignment="1">
      <alignment horizontal="left" vertical="center" shrinkToFit="1"/>
    </xf>
    <xf numFmtId="0" fontId="65" fillId="18" borderId="16" xfId="1" applyFont="1" applyFill="1" applyBorder="1" applyAlignment="1">
      <alignment vertical="center" shrinkToFit="1"/>
    </xf>
    <xf numFmtId="0" fontId="36" fillId="0" borderId="16" xfId="1" applyFont="1" applyBorder="1" applyAlignment="1">
      <alignment vertical="center" shrinkToFit="1"/>
    </xf>
    <xf numFmtId="0" fontId="45" fillId="17" borderId="0" xfId="0" applyFont="1" applyFill="1" applyAlignment="1">
      <alignment horizontal="left" vertical="center" shrinkToFit="1"/>
    </xf>
    <xf numFmtId="0" fontId="62" fillId="0" borderId="0" xfId="1" applyFont="1" applyAlignment="1">
      <alignment horizontal="right" vertical="center"/>
    </xf>
    <xf numFmtId="0" fontId="69" fillId="0" borderId="0" xfId="1" applyFont="1" applyAlignment="1">
      <alignment vertical="top" wrapText="1"/>
    </xf>
    <xf numFmtId="0" fontId="70" fillId="0" borderId="0" xfId="0" applyFont="1"/>
    <xf numFmtId="0" fontId="12" fillId="10" borderId="0" xfId="0" applyFont="1" applyFill="1" applyAlignment="1">
      <alignment horizontal="center"/>
    </xf>
    <xf numFmtId="14" fontId="12" fillId="10" borderId="0" xfId="0" applyNumberFormat="1" applyFont="1" applyFill="1" applyAlignment="1">
      <alignment horizontal="center"/>
    </xf>
    <xf numFmtId="0" fontId="71" fillId="0" borderId="0" xfId="0" applyFont="1" applyAlignment="1">
      <alignment horizontal="center"/>
    </xf>
    <xf numFmtId="0" fontId="8" fillId="0" borderId="0" xfId="0" applyFont="1" applyAlignment="1">
      <alignment horizontal="center"/>
    </xf>
    <xf numFmtId="14" fontId="43" fillId="10" borderId="0" xfId="0" applyNumberFormat="1" applyFont="1" applyFill="1" applyAlignment="1">
      <alignment horizontal="center"/>
    </xf>
    <xf numFmtId="0" fontId="43" fillId="10" borderId="0" xfId="0" applyFont="1" applyFill="1" applyAlignment="1">
      <alignment horizontal="center"/>
    </xf>
    <xf numFmtId="0" fontId="43" fillId="10" borderId="0" xfId="0" applyFont="1" applyFill="1"/>
    <xf numFmtId="0" fontId="12" fillId="20" borderId="0" xfId="0" applyFont="1" applyFill="1" applyAlignment="1">
      <alignment horizontal="center"/>
    </xf>
    <xf numFmtId="14" fontId="71" fillId="0" borderId="0" xfId="0" applyNumberFormat="1" applyFont="1" applyAlignment="1">
      <alignment horizontal="center"/>
    </xf>
    <xf numFmtId="14" fontId="8" fillId="0" borderId="0" xfId="0" applyNumberFormat="1" applyFont="1" applyAlignment="1">
      <alignment horizontal="center"/>
    </xf>
    <xf numFmtId="14" fontId="73" fillId="0" borderId="0" xfId="0" applyNumberFormat="1" applyFont="1" applyAlignment="1">
      <alignment horizontal="center"/>
    </xf>
    <xf numFmtId="0" fontId="73" fillId="0" borderId="0" xfId="0" applyFont="1"/>
    <xf numFmtId="0" fontId="73" fillId="0" borderId="0" xfId="0" applyFont="1" applyAlignment="1">
      <alignment horizontal="center"/>
    </xf>
    <xf numFmtId="0" fontId="74" fillId="0" borderId="8" xfId="0" applyFont="1" applyBorder="1" applyAlignment="1">
      <alignment horizontal="center" vertical="center"/>
    </xf>
    <xf numFmtId="0" fontId="75" fillId="0" borderId="25" xfId="0" applyFont="1" applyBorder="1" applyAlignment="1">
      <alignment horizontal="center"/>
    </xf>
    <xf numFmtId="0" fontId="74" fillId="0" borderId="0" xfId="0" applyFont="1" applyAlignment="1">
      <alignment horizontal="center"/>
    </xf>
    <xf numFmtId="0" fontId="74" fillId="0" borderId="30" xfId="0" applyFont="1" applyBorder="1" applyAlignment="1">
      <alignment horizontal="center"/>
    </xf>
    <xf numFmtId="0" fontId="74" fillId="0" borderId="7" xfId="0" applyFont="1" applyBorder="1" applyAlignment="1">
      <alignment horizontal="center" vertical="center"/>
    </xf>
    <xf numFmtId="0" fontId="74" fillId="0" borderId="5" xfId="0" applyFont="1" applyBorder="1" applyAlignment="1">
      <alignment horizontal="center" vertical="center"/>
    </xf>
    <xf numFmtId="0" fontId="13" fillId="2" borderId="0" xfId="1" applyFont="1" applyFill="1" applyAlignment="1">
      <alignment vertical="center"/>
    </xf>
    <xf numFmtId="0" fontId="47" fillId="17" borderId="0" xfId="0" applyFont="1" applyFill="1" applyAlignment="1">
      <alignment horizontal="center" vertical="center" readingOrder="1"/>
    </xf>
    <xf numFmtId="0" fontId="68" fillId="0" borderId="0" xfId="1" applyFont="1" applyAlignment="1">
      <alignment horizontal="left" vertical="top" wrapText="1"/>
    </xf>
    <xf numFmtId="0" fontId="47" fillId="17" borderId="0" xfId="0" applyFont="1" applyFill="1" applyAlignment="1">
      <alignment horizontal="center" vertical="center" shrinkToFit="1"/>
    </xf>
    <xf numFmtId="0" fontId="36" fillId="0" borderId="16" xfId="1" applyFont="1" applyBorder="1" applyAlignment="1">
      <alignment horizontal="center" vertical="center" shrinkToFit="1"/>
    </xf>
    <xf numFmtId="0" fontId="23" fillId="0" borderId="16" xfId="1" applyFont="1" applyBorder="1" applyAlignment="1">
      <alignment horizontal="center" vertical="center" shrinkToFit="1"/>
    </xf>
    <xf numFmtId="14" fontId="12" fillId="0" borderId="0" xfId="0" applyNumberFormat="1" applyFont="1"/>
    <xf numFmtId="0" fontId="12" fillId="10" borderId="0" xfId="0" applyFont="1" applyFill="1"/>
    <xf numFmtId="0" fontId="72" fillId="0" borderId="0" xfId="0" applyFont="1"/>
    <xf numFmtId="0" fontId="12" fillId="8" borderId="0" xfId="0" applyFont="1" applyFill="1"/>
    <xf numFmtId="0" fontId="77" fillId="0" borderId="5" xfId="0" applyFont="1" applyBorder="1" applyAlignment="1">
      <alignment horizontal="center" vertical="center"/>
    </xf>
    <xf numFmtId="0" fontId="77" fillId="0" borderId="7" xfId="0" applyFont="1" applyBorder="1" applyAlignment="1">
      <alignment horizontal="center" vertical="center"/>
    </xf>
    <xf numFmtId="0" fontId="77" fillId="0" borderId="8" xfId="0" applyFont="1" applyBorder="1" applyAlignment="1">
      <alignment horizontal="center" vertical="center"/>
    </xf>
    <xf numFmtId="0" fontId="77" fillId="0" borderId="5" xfId="0" quotePrefix="1" applyFont="1" applyBorder="1" applyAlignment="1">
      <alignment horizontal="center" vertical="center"/>
    </xf>
    <xf numFmtId="0" fontId="77" fillId="0" borderId="7" xfId="0" quotePrefix="1"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42" fillId="0" borderId="0" xfId="0" applyFont="1"/>
    <xf numFmtId="0" fontId="12" fillId="21" borderId="0" xfId="0" applyFont="1" applyFill="1"/>
    <xf numFmtId="0" fontId="41" fillId="5" borderId="0" xfId="1" applyFont="1" applyFill="1" applyAlignment="1" applyProtection="1">
      <alignment vertical="center" shrinkToFit="1"/>
      <protection locked="0"/>
    </xf>
    <xf numFmtId="0" fontId="9" fillId="8" borderId="0" xfId="0" applyFont="1" applyFill="1" applyAlignment="1">
      <alignment horizontal="center"/>
    </xf>
    <xf numFmtId="0" fontId="9" fillId="8" borderId="0" xfId="0" applyFont="1" applyFill="1"/>
    <xf numFmtId="0" fontId="9" fillId="8" borderId="0" xfId="0" applyFont="1" applyFill="1" applyAlignment="1">
      <alignment wrapText="1"/>
    </xf>
    <xf numFmtId="0" fontId="10" fillId="0" borderId="0" xfId="0" applyFont="1" applyAlignment="1">
      <alignment horizontal="center"/>
    </xf>
    <xf numFmtId="0" fontId="71" fillId="6" borderId="0" xfId="0" applyFont="1" applyFill="1" applyAlignment="1">
      <alignment wrapText="1"/>
    </xf>
    <xf numFmtId="0" fontId="9" fillId="6" borderId="0" xfId="0" applyFont="1" applyFill="1" applyAlignment="1">
      <alignment wrapText="1"/>
    </xf>
    <xf numFmtId="0" fontId="9" fillId="0" borderId="0" xfId="0" applyFont="1" applyAlignment="1">
      <alignment wrapText="1"/>
    </xf>
    <xf numFmtId="0" fontId="10" fillId="0" borderId="0" xfId="0" applyFont="1" applyAlignment="1">
      <alignment wrapText="1"/>
    </xf>
    <xf numFmtId="0" fontId="2" fillId="10" borderId="0" xfId="4" applyFill="1"/>
    <xf numFmtId="0" fontId="2" fillId="0" borderId="0" xfId="4"/>
    <xf numFmtId="0" fontId="2" fillId="22" borderId="0" xfId="4" applyFill="1"/>
    <xf numFmtId="0" fontId="2" fillId="8" borderId="0" xfId="4" applyFill="1"/>
    <xf numFmtId="0" fontId="2" fillId="0" borderId="0" xfId="4" applyAlignment="1">
      <alignment wrapText="1"/>
    </xf>
    <xf numFmtId="0" fontId="2" fillId="23" borderId="0" xfId="4" applyFill="1"/>
    <xf numFmtId="0" fontId="10" fillId="6" borderId="0" xfId="0" applyFont="1" applyFill="1" applyAlignment="1">
      <alignment wrapText="1"/>
    </xf>
    <xf numFmtId="0" fontId="0" fillId="0" borderId="0" xfId="4" applyFont="1"/>
    <xf numFmtId="0" fontId="0" fillId="0" borderId="0" xfId="4" applyFont="1" applyAlignment="1">
      <alignment wrapText="1"/>
    </xf>
    <xf numFmtId="0" fontId="0" fillId="8" borderId="0" xfId="0" applyFill="1"/>
    <xf numFmtId="0" fontId="0" fillId="0" borderId="33" xfId="0" applyBorder="1"/>
    <xf numFmtId="0" fontId="0" fillId="0" borderId="35" xfId="0" applyBorder="1"/>
    <xf numFmtId="0" fontId="59" fillId="0" borderId="33" xfId="0" applyFont="1" applyBorder="1"/>
    <xf numFmtId="0" fontId="9" fillId="0" borderId="33" xfId="0" applyFont="1" applyBorder="1"/>
    <xf numFmtId="0" fontId="20" fillId="0" borderId="0" xfId="1"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3" fillId="11" borderId="0" xfId="0" applyFont="1" applyFill="1" applyAlignment="1">
      <alignment horizontal="center" vertical="center"/>
    </xf>
    <xf numFmtId="0" fontId="4" fillId="4" borderId="3" xfId="0" applyFont="1" applyFill="1" applyBorder="1" applyAlignment="1">
      <alignment horizontal="right" vertical="center"/>
    </xf>
    <xf numFmtId="0" fontId="4" fillId="12" borderId="6" xfId="0" applyFont="1" applyFill="1" applyBorder="1"/>
    <xf numFmtId="0" fontId="4" fillId="12" borderId="7" xfId="0" applyFont="1" applyFill="1" applyBorder="1" applyAlignment="1">
      <alignment horizontal="right" vertical="center"/>
    </xf>
    <xf numFmtId="0" fontId="4" fillId="12" borderId="9" xfId="0" applyFont="1" applyFill="1" applyBorder="1"/>
    <xf numFmtId="0" fontId="4" fillId="12" borderId="8" xfId="0" applyFont="1" applyFill="1" applyBorder="1" applyAlignment="1">
      <alignment horizontal="right" vertical="center"/>
    </xf>
    <xf numFmtId="0" fontId="11" fillId="5" borderId="8" xfId="0" applyFont="1" applyFill="1" applyBorder="1" applyAlignment="1">
      <alignment horizontal="center" vertical="center"/>
    </xf>
    <xf numFmtId="0" fontId="11" fillId="5" borderId="7" xfId="0" applyFont="1" applyFill="1" applyBorder="1" applyAlignment="1">
      <alignment horizontal="center" vertical="center"/>
    </xf>
    <xf numFmtId="0" fontId="13" fillId="5" borderId="0" xfId="0" applyFont="1" applyFill="1" applyAlignment="1">
      <alignment horizontal="center" vertical="center"/>
    </xf>
    <xf numFmtId="0" fontId="52" fillId="12" borderId="4" xfId="0" applyFont="1" applyFill="1" applyBorder="1"/>
    <xf numFmtId="0" fontId="52" fillId="12" borderId="5" xfId="0" applyFont="1" applyFill="1" applyBorder="1" applyAlignment="1">
      <alignment horizontal="right" vertical="center"/>
    </xf>
    <xf numFmtId="0" fontId="52" fillId="12" borderId="4"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right" vertical="center"/>
    </xf>
    <xf numFmtId="0" fontId="20" fillId="0" borderId="9" xfId="1" applyFont="1" applyBorder="1" applyAlignment="1">
      <alignment vertical="center"/>
    </xf>
    <xf numFmtId="0" fontId="20" fillId="0" borderId="8" xfId="1" applyFont="1" applyBorder="1" applyAlignment="1">
      <alignment vertical="center"/>
    </xf>
    <xf numFmtId="0" fontId="52" fillId="24" borderId="5" xfId="0" applyFont="1" applyFill="1" applyBorder="1" applyAlignment="1">
      <alignment horizontal="right" vertical="center"/>
    </xf>
    <xf numFmtId="0" fontId="52" fillId="24" borderId="7" xfId="0" applyFont="1" applyFill="1" applyBorder="1" applyAlignment="1">
      <alignment horizontal="right" vertical="center"/>
    </xf>
    <xf numFmtId="0" fontId="52" fillId="24" borderId="4" xfId="0" applyFont="1" applyFill="1" applyBorder="1" applyAlignment="1">
      <alignment horizontal="center" vertical="center"/>
    </xf>
    <xf numFmtId="0" fontId="8" fillId="10" borderId="0" xfId="0" applyFont="1" applyFill="1"/>
    <xf numFmtId="0" fontId="8" fillId="10" borderId="0" xfId="0" applyFont="1" applyFill="1" applyAlignment="1">
      <alignment horizontal="left"/>
    </xf>
    <xf numFmtId="0" fontId="8" fillId="0" borderId="0" xfId="0" applyFont="1"/>
    <xf numFmtId="0" fontId="12" fillId="0" borderId="0" xfId="0" quotePrefix="1" applyFont="1"/>
    <xf numFmtId="0" fontId="4" fillId="14" borderId="4" xfId="0" applyFont="1" applyFill="1" applyBorder="1" applyAlignment="1">
      <alignment horizontal="center" vertical="center"/>
    </xf>
    <xf numFmtId="0" fontId="4" fillId="14" borderId="5" xfId="0" applyFont="1" applyFill="1" applyBorder="1" applyAlignment="1">
      <alignment horizontal="right" vertical="center"/>
    </xf>
    <xf numFmtId="0" fontId="4" fillId="15" borderId="0" xfId="0" applyFont="1" applyFill="1" applyAlignment="1">
      <alignment horizontal="center" vertical="center"/>
    </xf>
    <xf numFmtId="0" fontId="4" fillId="15" borderId="0" xfId="0" applyFont="1" applyFill="1" applyAlignment="1">
      <alignment horizontal="right" vertical="center"/>
    </xf>
    <xf numFmtId="0" fontId="20" fillId="15" borderId="0" xfId="1" applyFont="1" applyFill="1" applyAlignment="1">
      <alignment vertical="center"/>
    </xf>
    <xf numFmtId="0" fontId="4" fillId="14" borderId="8" xfId="0" applyFont="1" applyFill="1" applyBorder="1" applyAlignment="1">
      <alignment horizontal="right" vertical="center"/>
    </xf>
    <xf numFmtId="0" fontId="77"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13" fillId="8" borderId="0" xfId="0" applyFont="1" applyFill="1" applyAlignment="1">
      <alignment horizontal="center"/>
    </xf>
    <xf numFmtId="0" fontId="10" fillId="8" borderId="0" xfId="0" applyFont="1" applyFill="1"/>
    <xf numFmtId="0" fontId="11" fillId="8" borderId="7" xfId="0" applyFont="1" applyFill="1" applyBorder="1" applyAlignment="1">
      <alignment horizontal="center" vertical="center"/>
    </xf>
    <xf numFmtId="0" fontId="77" fillId="8" borderId="7" xfId="0" applyFont="1" applyFill="1" applyBorder="1" applyAlignment="1">
      <alignment horizontal="center" vertical="center"/>
    </xf>
    <xf numFmtId="0" fontId="80" fillId="8" borderId="0" xfId="0" applyFont="1" applyFill="1" applyAlignment="1">
      <alignment horizontal="center"/>
    </xf>
    <xf numFmtId="0" fontId="4" fillId="24" borderId="7" xfId="0" applyFont="1" applyFill="1" applyBorder="1" applyAlignment="1">
      <alignment horizontal="right" vertical="center"/>
    </xf>
    <xf numFmtId="0" fontId="1" fillId="0" borderId="0" xfId="4" applyFont="1"/>
    <xf numFmtId="0" fontId="60" fillId="17" borderId="0" xfId="0" applyFont="1" applyFill="1" applyAlignment="1">
      <alignment horizontal="center" vertical="center" readingOrder="1"/>
    </xf>
    <xf numFmtId="0" fontId="21" fillId="0" borderId="42" xfId="1" applyFont="1" applyBorder="1" applyAlignment="1" applyProtection="1">
      <alignment horizontal="center" vertical="center" wrapText="1"/>
      <protection locked="0"/>
    </xf>
    <xf numFmtId="0" fontId="36" fillId="0" borderId="17" xfId="1" applyFont="1" applyBorder="1" applyAlignment="1" applyProtection="1">
      <alignment horizontal="center" vertical="center" wrapText="1"/>
      <protection locked="0"/>
    </xf>
    <xf numFmtId="14" fontId="51" fillId="0" borderId="0" xfId="0" applyNumberFormat="1" applyFont="1"/>
    <xf numFmtId="0" fontId="36" fillId="0" borderId="0" xfId="1" applyFont="1" applyAlignment="1">
      <alignment horizontal="right" vertical="center" indent="1"/>
    </xf>
    <xf numFmtId="0" fontId="62" fillId="2" borderId="0" xfId="1" applyFont="1" applyFill="1" applyAlignment="1">
      <alignment horizontal="right" vertical="center"/>
    </xf>
    <xf numFmtId="0" fontId="25" fillId="0" borderId="0" xfId="1" applyFont="1" applyAlignment="1">
      <alignment horizontal="center" vertical="center" wrapText="1"/>
    </xf>
    <xf numFmtId="0" fontId="24" fillId="0" borderId="16" xfId="1" applyFont="1" applyBorder="1" applyAlignment="1">
      <alignment horizontal="center" vertical="center" wrapText="1"/>
    </xf>
    <xf numFmtId="0" fontId="22" fillId="9" borderId="36" xfId="1" applyFont="1" applyFill="1" applyBorder="1" applyAlignment="1">
      <alignment horizontal="center" vertical="center" wrapText="1"/>
    </xf>
    <xf numFmtId="0" fontId="22" fillId="9" borderId="39" xfId="1" applyFont="1" applyFill="1" applyBorder="1" applyAlignment="1">
      <alignment horizontal="center" vertical="center" wrapText="1"/>
    </xf>
    <xf numFmtId="0" fontId="23" fillId="0" borderId="0" xfId="1" applyFont="1" applyAlignment="1">
      <alignment horizontal="center" vertical="center"/>
    </xf>
    <xf numFmtId="0" fontId="35" fillId="2" borderId="0" xfId="1" applyFont="1" applyFill="1" applyAlignment="1">
      <alignment horizontal="center" vertical="center"/>
    </xf>
    <xf numFmtId="0" fontId="57" fillId="12" borderId="40" xfId="0" applyFont="1" applyFill="1" applyBorder="1" applyAlignment="1">
      <alignment vertical="center" readingOrder="1"/>
    </xf>
    <xf numFmtId="0" fontId="41" fillId="12" borderId="40" xfId="0" applyFont="1" applyFill="1" applyBorder="1" applyAlignment="1">
      <alignment horizontal="left" vertical="center" readingOrder="1"/>
    </xf>
    <xf numFmtId="0" fontId="36" fillId="12" borderId="40" xfId="0" applyFont="1" applyFill="1" applyBorder="1" applyAlignment="1">
      <alignment horizontal="left" vertical="center" readingOrder="1"/>
    </xf>
    <xf numFmtId="0" fontId="57" fillId="12" borderId="40" xfId="0" applyFont="1" applyFill="1" applyBorder="1" applyAlignment="1">
      <alignment horizontal="center" vertical="center" readingOrder="1"/>
    </xf>
    <xf numFmtId="0" fontId="76" fillId="12" borderId="41" xfId="0" applyFont="1" applyFill="1" applyBorder="1" applyAlignment="1">
      <alignment vertical="center" readingOrder="1"/>
    </xf>
    <xf numFmtId="0" fontId="76" fillId="12" borderId="40" xfId="0" applyFont="1" applyFill="1" applyBorder="1" applyAlignment="1">
      <alignment vertical="center" readingOrder="1"/>
    </xf>
    <xf numFmtId="0" fontId="57" fillId="12" borderId="40" xfId="0" applyFont="1" applyFill="1" applyBorder="1" applyAlignment="1">
      <alignment horizontal="center" vertical="center"/>
    </xf>
    <xf numFmtId="0" fontId="3" fillId="0" borderId="0" xfId="1" applyAlignment="1">
      <alignment horizontal="center" vertical="center"/>
    </xf>
    <xf numFmtId="0" fontId="76" fillId="12" borderId="0" xfId="0" applyFont="1" applyFill="1" applyAlignment="1">
      <alignment horizontal="left" vertical="center"/>
    </xf>
    <xf numFmtId="0" fontId="76" fillId="12" borderId="0" xfId="0" applyFont="1" applyFill="1" applyAlignment="1">
      <alignment horizontal="center" vertical="center"/>
    </xf>
    <xf numFmtId="0" fontId="76" fillId="12" borderId="0" xfId="0" applyFont="1" applyFill="1" applyAlignment="1">
      <alignment horizontal="left" vertical="center" readingOrder="1"/>
    </xf>
    <xf numFmtId="0" fontId="76" fillId="12" borderId="18" xfId="0" applyFont="1" applyFill="1" applyBorder="1" applyAlignment="1">
      <alignment horizontal="center" vertical="center" wrapText="1" readingOrder="1"/>
    </xf>
    <xf numFmtId="0" fontId="76" fillId="12" borderId="37" xfId="0" applyFont="1" applyFill="1" applyBorder="1" applyAlignment="1">
      <alignment horizontal="center" vertical="center" wrapText="1" readingOrder="1"/>
    </xf>
    <xf numFmtId="0" fontId="76" fillId="12" borderId="0" xfId="0" applyFont="1" applyFill="1" applyAlignment="1">
      <alignment horizontal="center" vertical="center" wrapText="1" readingOrder="1"/>
    </xf>
    <xf numFmtId="0" fontId="76" fillId="12" borderId="23" xfId="0" applyFont="1" applyFill="1" applyBorder="1" applyAlignment="1">
      <alignment horizontal="center" vertical="center"/>
    </xf>
    <xf numFmtId="0" fontId="25" fillId="11" borderId="0" xfId="1" applyFont="1" applyFill="1" applyAlignment="1">
      <alignment horizontal="center" vertical="center" wrapText="1"/>
    </xf>
    <xf numFmtId="0" fontId="57" fillId="13" borderId="40" xfId="0" applyFont="1" applyFill="1" applyBorder="1" applyAlignment="1">
      <alignment vertical="center" readingOrder="1"/>
    </xf>
    <xf numFmtId="0" fontId="41" fillId="13" borderId="40" xfId="0" applyFont="1" applyFill="1" applyBorder="1" applyAlignment="1">
      <alignment horizontal="left" vertical="center" readingOrder="1"/>
    </xf>
    <xf numFmtId="0" fontId="36" fillId="13" borderId="40" xfId="0" applyFont="1" applyFill="1" applyBorder="1" applyAlignment="1">
      <alignment horizontal="left" vertical="center" readingOrder="1"/>
    </xf>
    <xf numFmtId="0" fontId="57" fillId="13" borderId="40" xfId="0" applyFont="1" applyFill="1" applyBorder="1" applyAlignment="1">
      <alignment horizontal="center" vertical="center" readingOrder="1"/>
    </xf>
    <xf numFmtId="0" fontId="76" fillId="13" borderId="41" xfId="0" applyFont="1" applyFill="1" applyBorder="1" applyAlignment="1">
      <alignment vertical="center" readingOrder="1"/>
    </xf>
    <xf numFmtId="0" fontId="76" fillId="13" borderId="40" xfId="0" applyFont="1" applyFill="1" applyBorder="1" applyAlignment="1">
      <alignment vertical="center" readingOrder="1"/>
    </xf>
    <xf numFmtId="0" fontId="57" fillId="13" borderId="40" xfId="0" applyFont="1" applyFill="1" applyBorder="1" applyAlignment="1">
      <alignment horizontal="right" vertical="center" readingOrder="1"/>
    </xf>
    <xf numFmtId="0" fontId="76" fillId="13" borderId="0" xfId="0" applyFont="1" applyFill="1" applyAlignment="1">
      <alignment horizontal="center" vertical="center"/>
    </xf>
    <xf numFmtId="0" fontId="76" fillId="13" borderId="0" xfId="0" applyFont="1" applyFill="1" applyAlignment="1">
      <alignment horizontal="left" vertical="center" readingOrder="1"/>
    </xf>
    <xf numFmtId="0" fontId="76" fillId="13" borderId="18" xfId="0" applyFont="1" applyFill="1" applyBorder="1" applyAlignment="1">
      <alignment horizontal="center" vertical="center" wrapText="1" readingOrder="1"/>
    </xf>
    <xf numFmtId="0" fontId="76" fillId="13" borderId="37" xfId="0" applyFont="1" applyFill="1" applyBorder="1" applyAlignment="1">
      <alignment horizontal="center" vertical="center" wrapText="1" readingOrder="1"/>
    </xf>
    <xf numFmtId="0" fontId="76" fillId="13" borderId="0" xfId="0" applyFont="1" applyFill="1" applyAlignment="1">
      <alignment horizontal="center" vertical="center" wrapText="1" readingOrder="1"/>
    </xf>
    <xf numFmtId="0" fontId="76" fillId="13" borderId="23" xfId="0" applyFont="1" applyFill="1" applyBorder="1" applyAlignment="1">
      <alignment horizontal="center" vertical="center"/>
    </xf>
    <xf numFmtId="0" fontId="25" fillId="5" borderId="0" xfId="1" applyFont="1" applyFill="1" applyAlignment="1">
      <alignment horizontal="center" vertical="center" wrapText="1"/>
    </xf>
    <xf numFmtId="0" fontId="56" fillId="15" borderId="0" xfId="1" applyFont="1" applyFill="1" applyAlignment="1">
      <alignment vertical="center"/>
    </xf>
    <xf numFmtId="0" fontId="53" fillId="2" borderId="0" xfId="1" applyFont="1" applyFill="1" applyAlignment="1">
      <alignment horizontal="right" vertical="center"/>
    </xf>
    <xf numFmtId="0" fontId="21" fillId="7" borderId="10" xfId="1" applyFont="1" applyFill="1" applyBorder="1" applyAlignment="1">
      <alignment horizontal="center" vertical="center" wrapText="1"/>
    </xf>
    <xf numFmtId="0" fontId="21" fillId="7" borderId="0" xfId="1" applyFont="1" applyFill="1" applyAlignment="1">
      <alignment horizontal="center" vertical="center" wrapText="1"/>
    </xf>
    <xf numFmtId="0" fontId="21" fillId="7" borderId="0" xfId="1" applyFont="1" applyFill="1" applyAlignment="1">
      <alignment vertical="center" wrapText="1"/>
    </xf>
    <xf numFmtId="0" fontId="24" fillId="7" borderId="0" xfId="1" applyFont="1" applyFill="1" applyAlignment="1">
      <alignment horizontal="left" vertical="center" wrapText="1"/>
    </xf>
    <xf numFmtId="0" fontId="21" fillId="7" borderId="18" xfId="1" applyFont="1" applyFill="1" applyBorder="1" applyAlignment="1">
      <alignment horizontal="center" vertical="center" wrapText="1"/>
    </xf>
    <xf numFmtId="0" fontId="21" fillId="7" borderId="37" xfId="1" applyFont="1" applyFill="1" applyBorder="1" applyAlignment="1">
      <alignment horizontal="center" vertical="center" wrapText="1"/>
    </xf>
    <xf numFmtId="0" fontId="21" fillId="7" borderId="14" xfId="1" applyFont="1" applyFill="1" applyBorder="1" applyAlignment="1">
      <alignment horizontal="center" vertical="center" wrapText="1"/>
    </xf>
    <xf numFmtId="0" fontId="21" fillId="11" borderId="15" xfId="1" applyFont="1" applyFill="1" applyBorder="1" applyAlignment="1">
      <alignment horizontal="center" vertical="center" wrapText="1"/>
    </xf>
    <xf numFmtId="0" fontId="21" fillId="11" borderId="16" xfId="1" applyFont="1" applyFill="1" applyBorder="1" applyAlignment="1">
      <alignment horizontal="center" vertical="center" wrapText="1"/>
    </xf>
    <xf numFmtId="0" fontId="21" fillId="11" borderId="16" xfId="1" applyFont="1" applyFill="1" applyBorder="1" applyAlignment="1">
      <alignment vertical="center" wrapText="1"/>
    </xf>
    <xf numFmtId="0" fontId="24" fillId="11" borderId="16" xfId="1" applyFont="1" applyFill="1" applyBorder="1" applyAlignment="1">
      <alignment horizontal="center" vertical="center" wrapText="1"/>
    </xf>
    <xf numFmtId="0" fontId="36" fillId="15" borderId="15" xfId="1" applyFont="1" applyFill="1" applyBorder="1" applyAlignment="1">
      <alignment horizontal="center" vertical="center" wrapText="1"/>
    </xf>
    <xf numFmtId="0" fontId="21" fillId="15" borderId="16" xfId="1" applyFont="1" applyFill="1" applyBorder="1" applyAlignment="1">
      <alignment horizontal="center" vertical="center" wrapText="1"/>
    </xf>
    <xf numFmtId="0" fontId="21" fillId="15" borderId="16" xfId="1" applyFont="1" applyFill="1" applyBorder="1" applyAlignment="1">
      <alignment horizontal="left" vertical="center" wrapText="1"/>
    </xf>
    <xf numFmtId="0" fontId="24" fillId="15" borderId="16" xfId="1" applyFont="1" applyFill="1" applyBorder="1" applyAlignment="1">
      <alignment horizontal="center" vertical="center" wrapText="1"/>
    </xf>
    <xf numFmtId="0" fontId="25" fillId="15" borderId="0" xfId="1" applyFont="1" applyFill="1" applyAlignment="1">
      <alignment horizontal="center" vertical="center" wrapText="1"/>
    </xf>
    <xf numFmtId="0" fontId="23" fillId="2" borderId="0" xfId="1" applyFont="1" applyFill="1" applyAlignment="1">
      <alignment horizontal="center" vertical="center"/>
    </xf>
    <xf numFmtId="0" fontId="21" fillId="11" borderId="16" xfId="1" applyFont="1" applyFill="1" applyBorder="1" applyAlignment="1">
      <alignment horizontal="left" vertical="center" wrapText="1"/>
    </xf>
    <xf numFmtId="0" fontId="36" fillId="15" borderId="16" xfId="1" applyFont="1" applyFill="1" applyBorder="1" applyAlignment="1">
      <alignment horizontal="center" vertical="center" wrapText="1"/>
    </xf>
    <xf numFmtId="0" fontId="36" fillId="15" borderId="16" xfId="1" applyFont="1" applyFill="1" applyBorder="1" applyAlignment="1">
      <alignment horizontal="left" vertical="center" wrapText="1"/>
    </xf>
    <xf numFmtId="0" fontId="23" fillId="15" borderId="16" xfId="1" applyFont="1" applyFill="1" applyBorder="1" applyAlignment="1">
      <alignment horizontal="center" vertical="center" wrapText="1"/>
    </xf>
    <xf numFmtId="0" fontId="36" fillId="0" borderId="19" xfId="1" applyFont="1" applyBorder="1" applyAlignment="1">
      <alignment horizontal="center" vertical="center" wrapText="1"/>
    </xf>
    <xf numFmtId="0" fontId="36" fillId="0" borderId="38" xfId="1" applyFont="1" applyBorder="1" applyAlignment="1">
      <alignment horizontal="center" vertical="center" wrapText="1"/>
    </xf>
    <xf numFmtId="0" fontId="36" fillId="0" borderId="20" xfId="1" applyFont="1" applyBorder="1" applyAlignment="1">
      <alignment horizontal="center" vertical="center" wrapText="1"/>
    </xf>
    <xf numFmtId="0" fontId="25" fillId="2" borderId="0" xfId="1" applyFont="1" applyFill="1" applyAlignment="1">
      <alignment horizontal="center" vertical="center"/>
    </xf>
    <xf numFmtId="0" fontId="40" fillId="17" borderId="0" xfId="0" applyFont="1" applyFill="1" applyAlignment="1">
      <alignment horizontal="right" vertical="center" readingOrder="1"/>
    </xf>
    <xf numFmtId="0" fontId="21" fillId="7" borderId="14" xfId="1" applyFont="1" applyFill="1" applyBorder="1" applyAlignment="1" applyProtection="1">
      <alignment horizontal="center" vertical="center" wrapText="1"/>
      <protection locked="0"/>
    </xf>
    <xf numFmtId="0" fontId="38" fillId="16" borderId="11" xfId="1" applyFont="1" applyFill="1" applyBorder="1" applyAlignment="1">
      <alignment horizontal="left" vertical="center" wrapText="1"/>
    </xf>
    <xf numFmtId="0" fontId="26" fillId="2" borderId="0" xfId="1" applyFont="1" applyFill="1" applyAlignment="1">
      <alignment horizontal="center" vertical="center" wrapText="1"/>
    </xf>
  </cellXfs>
  <cellStyles count="5">
    <cellStyle name="Good" xfId="3" builtinId="26"/>
    <cellStyle name="Hyperlink" xfId="2" builtinId="8"/>
    <cellStyle name="Normal" xfId="0" builtinId="0"/>
    <cellStyle name="Normal 2" xfId="1" xr:uid="{00000000-0005-0000-0000-000003000000}"/>
    <cellStyle name="Normal 3" xfId="4" xr:uid="{00000000-0005-0000-0000-000004000000}"/>
  </cellStyles>
  <dxfs count="100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59996337778862885"/>
        </patternFill>
      </fill>
    </dxf>
    <dxf>
      <fill>
        <patternFill>
          <bgColor theme="5" tint="0.59996337778862885"/>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ont>
        <b val="0"/>
        <i val="0"/>
      </font>
      <fill>
        <patternFill>
          <bgColor theme="0" tint="-0.14996795556505021"/>
        </patternFill>
      </fill>
    </dxf>
    <dxf>
      <font>
        <b val="0"/>
        <i/>
      </font>
      <fill>
        <patternFill>
          <bgColor theme="0" tint="-0.14996795556505021"/>
        </patternFill>
      </fill>
    </dxf>
    <dxf>
      <font>
        <b/>
        <i/>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color rgb="FFFF0000"/>
        <name val="Calibri"/>
        <scheme val="minor"/>
      </font>
      <fill>
        <patternFill patternType="solid">
          <fgColor indexed="64"/>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color rgb="FFFF0000"/>
        <name val="Calibri"/>
        <scheme val="minor"/>
      </font>
      <fill>
        <patternFill patternType="solid">
          <fgColor indexed="64"/>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00B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rgb="FF92D050"/>
        </patternFill>
      </fill>
    </dxf>
    <dxf>
      <fill>
        <patternFill patternType="solid">
          <fgColor indexed="64"/>
          <bgColor rgb="FF92D050"/>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295276</xdr:colOff>
      <xdr:row>3</xdr:row>
      <xdr:rowOff>123826</xdr:rowOff>
    </xdr:from>
    <xdr:ext cx="5634990" cy="6229782"/>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382376" y="628651"/>
          <a:ext cx="563499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b="1">
              <a:solidFill>
                <a:schemeClr val="accent5"/>
              </a:solidFill>
              <a:effectLst/>
            </a:rPr>
            <a:t>Bachelor of Educational Studies</a:t>
          </a: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Elective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Educational Studies</a:t>
          </a:r>
          <a:r>
            <a:rPr lang="en-AU" sz="1100" b="0" i="1">
              <a:solidFill>
                <a:schemeClr val="dk1"/>
              </a:solidFill>
              <a:effectLst/>
              <a:latin typeface="+mn-lt"/>
              <a:ea typeface="+mn-ea"/>
              <a:cs typeface="+mn-cs"/>
            </a:rPr>
            <a:t> students </a:t>
          </a:r>
          <a:r>
            <a:rPr lang="en-AU" sz="1100">
              <a:solidFill>
                <a:schemeClr val="dk1"/>
              </a:solidFill>
              <a:effectLst/>
              <a:latin typeface="+mn-lt"/>
              <a:ea typeface="+mn-ea"/>
              <a:cs typeface="+mn-cs"/>
            </a:rPr>
            <a:t>choose</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five </a:t>
          </a:r>
          <a:r>
            <a:rPr lang="en-AU" sz="1100">
              <a:solidFill>
                <a:schemeClr val="dk1"/>
              </a:solidFill>
              <a:effectLst/>
              <a:latin typeface="+mn-lt"/>
              <a:ea typeface="+mn-ea"/>
              <a:cs typeface="+mn-cs"/>
            </a:rPr>
            <a:t>Elective</a:t>
          </a:r>
          <a:r>
            <a:rPr lang="en-AU" sz="1100" baseline="0">
              <a:solidFill>
                <a:schemeClr val="dk1"/>
              </a:solidFill>
              <a:effectLst/>
              <a:latin typeface="+mn-lt"/>
              <a:ea typeface="+mn-ea"/>
              <a:cs typeface="+mn-cs"/>
            </a:rPr>
            <a:t> units, see Curtin Handbook</a:t>
          </a:r>
          <a:r>
            <a:rPr lang="en-AU" sz="1100">
              <a:solidFill>
                <a:schemeClr val="dk1"/>
              </a:solidFill>
              <a:effectLst/>
              <a:latin typeface="+mn-lt"/>
              <a:ea typeface="+mn-ea"/>
              <a:cs typeface="+mn-cs"/>
            </a:rPr>
            <a:t>.</a:t>
          </a:r>
          <a:endParaRPr lang="en-AU" sz="1100">
            <a:effectLst/>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20</xdr:col>
      <xdr:colOff>64771</xdr:colOff>
      <xdr:row>2</xdr:row>
      <xdr:rowOff>362822</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80871" y="362822"/>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76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171451</xdr:colOff>
      <xdr:row>3</xdr:row>
      <xdr:rowOff>104776</xdr:rowOff>
    </xdr:from>
    <xdr:ext cx="5634990" cy="7263142"/>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706226" y="609601"/>
          <a:ext cx="5634990" cy="72631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(Early Childhood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indent="-171450">
            <a:buFont typeface="Arial" panose="020B0604020202020204" pitchFamily="34" charset="0"/>
            <a:buChar char="•"/>
          </a:pP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Option units from any of those listed in the Options List.</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19</xdr:col>
      <xdr:colOff>626746</xdr:colOff>
      <xdr:row>2</xdr:row>
      <xdr:rowOff>343017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904721" y="34301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twoCellAnchor>
    <xdr:from>
      <xdr:col>19</xdr:col>
      <xdr:colOff>160020</xdr:colOff>
      <xdr:row>20</xdr:row>
      <xdr:rowOff>53341</xdr:rowOff>
    </xdr:from>
    <xdr:to>
      <xdr:col>23</xdr:col>
      <xdr:colOff>272416</xdr:colOff>
      <xdr:row>21</xdr:row>
      <xdr:rowOff>76201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437995" y="4625341"/>
          <a:ext cx="2855596" cy="27051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161926</xdr:colOff>
      <xdr:row>3</xdr:row>
      <xdr:rowOff>104775</xdr:rowOff>
    </xdr:from>
    <xdr:ext cx="5634990" cy="740401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06251" y="609600"/>
          <a:ext cx="5634990" cy="740401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Teaching Area Stream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students must study </a:t>
          </a:r>
          <a:r>
            <a:rPr lang="en-AU" sz="1100" b="1">
              <a:solidFill>
                <a:schemeClr val="dk1"/>
              </a:solidFill>
              <a:effectLst/>
              <a:latin typeface="+mn-lt"/>
              <a:ea typeface="+mn-ea"/>
              <a:cs typeface="+mn-cs"/>
            </a:rPr>
            <a:t>all three</a:t>
          </a:r>
          <a:r>
            <a:rPr lang="en-AU" sz="1100" b="0">
              <a:solidFill>
                <a:schemeClr val="dk1"/>
              </a:solidFill>
              <a:effectLst/>
              <a:latin typeface="+mn-lt"/>
              <a:ea typeface="+mn-ea"/>
              <a:cs typeface="+mn-cs"/>
            </a:rPr>
            <a:t> units from the</a:t>
          </a:r>
          <a:r>
            <a:rPr lang="en-AU" sz="1100" b="0" baseline="0">
              <a:solidFill>
                <a:schemeClr val="dk1"/>
              </a:solidFill>
              <a:effectLst/>
              <a:latin typeface="+mn-lt"/>
              <a:ea typeface="+mn-ea"/>
              <a:cs typeface="+mn-cs"/>
            </a:rPr>
            <a:t> Teaching Area Stream selected.</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19</xdr:col>
      <xdr:colOff>617221</xdr:colOff>
      <xdr:row>2</xdr:row>
      <xdr:rowOff>343772</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5104746" y="343772"/>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19</xdr:col>
      <xdr:colOff>93345</xdr:colOff>
      <xdr:row>20</xdr:row>
      <xdr:rowOff>227962</xdr:rowOff>
    </xdr:from>
    <xdr:ext cx="2855596" cy="264560"/>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200-000006000000}"/>
            </a:ext>
          </a:extLst>
        </xdr:cNvPr>
        <xdr:cNvSpPr txBox="1"/>
      </xdr:nvSpPr>
      <xdr:spPr>
        <a:xfrm>
          <a:off x="14580870" y="4799962"/>
          <a:ext cx="285559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06075"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272416</xdr:colOff>
      <xdr:row>3</xdr:row>
      <xdr:rowOff>163831</xdr:rowOff>
    </xdr:from>
    <xdr:ext cx="5575934" cy="8296502"/>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673841" y="668656"/>
          <a:ext cx="5575934" cy="829650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(Secondary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 </a:t>
          </a:r>
          <a:r>
            <a:rPr lang="en-AU" sz="1100" b="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Teaching Area Stream </a:t>
          </a:r>
          <a:r>
            <a:rPr lang="en-AU" sz="1100" b="0" i="1" baseline="0">
              <a:solidFill>
                <a:schemeClr val="dk1"/>
              </a:solidFill>
              <a:effectLst/>
              <a:latin typeface="+mn-lt"/>
              <a:ea typeface="+mn-ea"/>
              <a:cs typeface="+mn-cs"/>
            </a:rPr>
            <a:t>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a:t>
          </a:r>
        </a:p>
        <a:p>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 / Minor Teaching Area </a:t>
          </a:r>
          <a:endParaRPr lang="en-AU">
            <a:effectLst/>
          </a:endParaRPr>
        </a:p>
        <a:p>
          <a:r>
            <a:rPr lang="en-AU" sz="1100" b="0" baseline="0">
              <a:solidFill>
                <a:schemeClr val="dk1"/>
              </a:solidFill>
              <a:effectLst/>
              <a:latin typeface="+mn-lt"/>
              <a:ea typeface="+mn-ea"/>
              <a:cs typeface="+mn-cs"/>
            </a:rPr>
            <a:t>All requests to change Minor Teaching Area Stream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Mathematics Minor - students who have not completed Maths Methods</a:t>
          </a:r>
          <a:endParaRPr lang="en-AU">
            <a:effectLst/>
          </a:endParaRPr>
        </a:p>
        <a:p>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Option unit. Please use the tab "</a:t>
          </a:r>
          <a:r>
            <a:rPr lang="en-AU" sz="1100" b="0" i="1" baseline="0">
              <a:solidFill>
                <a:schemeClr val="dk1"/>
              </a:solidFill>
              <a:effectLst/>
              <a:latin typeface="+mn-lt"/>
              <a:ea typeface="+mn-ea"/>
              <a:cs typeface="+mn-cs"/>
            </a:rPr>
            <a:t>Planner</a:t>
          </a:r>
          <a:r>
            <a:rPr lang="en-AU" sz="1100" b="0"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BEd (Sec) No Methods</a:t>
          </a:r>
          <a:r>
            <a:rPr lang="en-AU" sz="1100" b="0" i="0" baseline="0">
              <a:solidFill>
                <a:schemeClr val="dk1"/>
              </a:solidFill>
              <a:effectLst/>
              <a:latin typeface="+mn-lt"/>
              <a:ea typeface="+mn-ea"/>
              <a:cs typeface="+mn-cs"/>
            </a:rPr>
            <a:t>" (below) </a:t>
          </a:r>
          <a:r>
            <a:rPr lang="en-AU" sz="1100" b="0" baseline="0">
              <a:solidFill>
                <a:schemeClr val="dk1"/>
              </a:solidFill>
              <a:effectLst/>
              <a:latin typeface="+mn-lt"/>
              <a:ea typeface="+mn-ea"/>
              <a:cs typeface="+mn-cs"/>
            </a:rPr>
            <a:t>if you wish to choose a Maths Minor, but have not completed Maths Methods.</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1" i="0">
            <a:solidFill>
              <a:sysClr val="windowText" lastClr="000000"/>
            </a:solidFill>
            <a:effectLst/>
            <a:latin typeface="+mn-lt"/>
            <a:ea typeface="+mn-ea"/>
            <a:cs typeface="+mn-cs"/>
          </a:endParaRPr>
        </a:p>
        <a:p>
          <a:pPr algn="ctr" rtl="0" fontAlgn="base"/>
          <a:r>
            <a:rPr lang="en-AU" sz="900" b="1" i="0">
              <a:solidFill>
                <a:sysClr val="windowText" lastClr="000000"/>
              </a:solidFill>
              <a:effectLst/>
              <a:latin typeface="+mn-lt"/>
              <a:ea typeface="+mn-ea"/>
              <a:cs typeface="+mn-cs"/>
            </a:rPr>
            <a:t>Note:</a:t>
          </a:r>
          <a:endParaRPr lang="en-AU" sz="900" b="1" i="0" baseline="0">
            <a:solidFill>
              <a:sysClr val="windowText" lastClr="000000"/>
            </a:solidFill>
            <a:effectLst/>
            <a:latin typeface="+mn-lt"/>
            <a:ea typeface="+mn-ea"/>
            <a:cs typeface="+mn-cs"/>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xdr:txBody>
    </xdr:sp>
    <xdr:clientData/>
  </xdr:oneCellAnchor>
  <xdr:oneCellAnchor>
    <xdr:from>
      <xdr:col>18</xdr:col>
      <xdr:colOff>0</xdr:colOff>
      <xdr:row>2</xdr:row>
      <xdr:rowOff>400922</xdr:rowOff>
    </xdr:from>
    <xdr:ext cx="2419350"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xdr:nvSpPr>
      <xdr:spPr>
        <a:xfrm>
          <a:off x="14830425" y="400922"/>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twoCellAnchor editAs="absolute">
    <xdr:from>
      <xdr:col>17</xdr:col>
      <xdr:colOff>198121</xdr:colOff>
      <xdr:row>23</xdr:row>
      <xdr:rowOff>210817</xdr:rowOff>
    </xdr:from>
    <xdr:to>
      <xdr:col>21</xdr:col>
      <xdr:colOff>312422</xdr:colOff>
      <xdr:row>25</xdr:row>
      <xdr:rowOff>170577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400-000006000000}"/>
            </a:ext>
          </a:extLst>
        </xdr:cNvPr>
        <xdr:cNvSpPr txBox="1"/>
      </xdr:nvSpPr>
      <xdr:spPr>
        <a:xfrm>
          <a:off x="14333221" y="55257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234316</xdr:colOff>
      <xdr:row>3</xdr:row>
      <xdr:rowOff>114299</xdr:rowOff>
    </xdr:from>
    <xdr:ext cx="5490209" cy="8092921"/>
    <xdr:sp macro="" textlink="">
      <xdr:nvSpPr>
        <xdr:cNvPr id="104" name="TextBox 2">
          <a:extLst>
            <a:ext uri="{FF2B5EF4-FFF2-40B4-BE49-F238E27FC236}">
              <a16:creationId xmlns:a16="http://schemas.microsoft.com/office/drawing/2014/main" id="{00000000-0008-0000-0500-000068000000}"/>
            </a:ext>
          </a:extLst>
        </xdr:cNvPr>
        <xdr:cNvSpPr txBox="1"/>
      </xdr:nvSpPr>
      <xdr:spPr>
        <a:xfrm>
          <a:off x="11797666" y="619124"/>
          <a:ext cx="5490209" cy="809292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NOTE: Mathematics Minor - students who have not completed Maths Methods:</a:t>
          </a:r>
          <a:endParaRPr lang="en-AU">
            <a:effectLst/>
          </a:endParaRPr>
        </a:p>
        <a:p>
          <a:pPr algn="ctr"/>
          <a:r>
            <a:rPr lang="en-AU" sz="1100">
              <a:solidFill>
                <a:schemeClr val="dk1"/>
              </a:solidFill>
              <a:effectLst/>
              <a:latin typeface="+mn-lt"/>
              <a:ea typeface="+mn-ea"/>
              <a:cs typeface="+mn-cs"/>
            </a:rPr>
            <a:t>The planner on this page is ONLY for students taking the Mathematics Second Specialisation who have </a:t>
          </a:r>
          <a:r>
            <a:rPr lang="en-AU" sz="1100" b="1" i="0" u="sng">
              <a:solidFill>
                <a:schemeClr val="dk1"/>
              </a:solidFill>
              <a:effectLst/>
              <a:latin typeface="+mn-lt"/>
              <a:ea typeface="+mn-ea"/>
              <a:cs typeface="+mn-cs"/>
            </a:rPr>
            <a:t>not</a:t>
          </a:r>
          <a:r>
            <a:rPr lang="en-AU" sz="1100">
              <a:solidFill>
                <a:schemeClr val="dk1"/>
              </a:solidFill>
              <a:effectLst/>
              <a:latin typeface="+mn-lt"/>
              <a:ea typeface="+mn-ea"/>
              <a:cs typeface="+mn-cs"/>
            </a:rPr>
            <a:t> taken Mathematics Methods ATAR (or equivalent). </a:t>
          </a:r>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a:t>
          </a:r>
          <a:r>
            <a:rPr lang="en-AU" sz="1100" b="1" u="sng" baseline="0">
              <a:solidFill>
                <a:schemeClr val="dk1"/>
              </a:solidFill>
              <a:effectLst/>
              <a:latin typeface="+mn-lt"/>
              <a:ea typeface="+mn-ea"/>
              <a:cs typeface="+mn-cs"/>
            </a:rPr>
            <a:t>MATH1014</a:t>
          </a:r>
          <a:r>
            <a:rPr lang="en-AU" sz="1100" b="0" baseline="0">
              <a:solidFill>
                <a:schemeClr val="dk1"/>
              </a:solidFill>
              <a:effectLst/>
              <a:latin typeface="+mn-lt"/>
              <a:ea typeface="+mn-ea"/>
              <a:cs typeface="+mn-cs"/>
            </a:rPr>
            <a:t> as your Option unit.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Bachelor of Education (Secondary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a:t>
          </a:r>
          <a:r>
            <a:rPr lang="en-AU" sz="1100" b="0" i="1" baseline="0">
              <a:solidFill>
                <a:schemeClr val="dk1"/>
              </a:solidFill>
              <a:effectLst/>
              <a:latin typeface="+mn-lt"/>
              <a:ea typeface="+mn-ea"/>
              <a:cs typeface="+mn-cs"/>
            </a:rPr>
            <a:t> 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0" i="0">
            <a:solidFill>
              <a:schemeClr val="dk1"/>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17</xdr:col>
      <xdr:colOff>544830</xdr:colOff>
      <xdr:row>2</xdr:row>
      <xdr:rowOff>358060</xdr:rowOff>
    </xdr:from>
    <xdr:ext cx="2436495" cy="264560"/>
    <xdr:sp macro="" textlink="">
      <xdr:nvSpPr>
        <xdr:cNvPr id="103" name="TextBox 3">
          <a:hlinkClick xmlns:r="http://schemas.openxmlformats.org/officeDocument/2006/relationships" r:id="rId2"/>
          <a:extLst>
            <a:ext uri="{FF2B5EF4-FFF2-40B4-BE49-F238E27FC236}">
              <a16:creationId xmlns:a16="http://schemas.microsoft.com/office/drawing/2014/main" id="{00000000-0008-0000-0500-000067000000}"/>
            </a:ext>
          </a:extLst>
        </xdr:cNvPr>
        <xdr:cNvSpPr txBox="1"/>
      </xdr:nvSpPr>
      <xdr:spPr>
        <a:xfrm>
          <a:off x="14851380" y="358060"/>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26671</xdr:colOff>
      <xdr:row>28</xdr:row>
      <xdr:rowOff>25079</xdr:rowOff>
    </xdr:from>
    <xdr:ext cx="2857501" cy="264560"/>
    <xdr:sp macro="" textlink="">
      <xdr:nvSpPr>
        <xdr:cNvPr id="54" name="TextBox 5">
          <a:hlinkClick xmlns:r="http://schemas.openxmlformats.org/officeDocument/2006/relationships" r:id="rId3"/>
          <a:extLst>
            <a:ext uri="{FF2B5EF4-FFF2-40B4-BE49-F238E27FC236}">
              <a16:creationId xmlns:a16="http://schemas.microsoft.com/office/drawing/2014/main" id="{00000000-0008-0000-0500-000036000000}"/>
            </a:ext>
          </a:extLst>
        </xdr:cNvPr>
        <xdr:cNvSpPr txBox="1"/>
      </xdr:nvSpPr>
      <xdr:spPr>
        <a:xfrm>
          <a:off x="14085571" y="6387779"/>
          <a:ext cx="2857501" cy="264560"/>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0" totalsRowShown="0" headerRowDxfId="1008">
  <autoFilter ref="A6:H10" xr:uid="{00000000-0009-0000-0100-000003000000}"/>
  <sortState xmlns:xlrd2="http://schemas.microsoft.com/office/spreadsheetml/2017/richdata2" ref="A7:E9">
    <sortCondition ref="A6:A9"/>
  </sortState>
  <tableColumns count="8">
    <tableColumn id="3" xr3:uid="{00000000-0010-0000-0000-000003000000}" name="Choose your Education Course" dataDxfId="1007"/>
    <tableColumn id="1" xr3:uid="{00000000-0010-0000-0000-000001000000}" name="UDC" dataDxfId="1006"/>
    <tableColumn id="2" xr3:uid="{00000000-0010-0000-0000-000002000000}" name="SM Version" dataDxfId="1005"/>
    <tableColumn id="5" xr3:uid="{00000000-0010-0000-0000-000005000000}" name="SM Effective Date" dataDxfId="1004"/>
    <tableColumn id="4" xr3:uid="{00000000-0010-0000-0000-000004000000}" name="Akari Iteration" dataDxfId="1003"/>
    <tableColumn id="7" xr3:uid="{00000000-0010-0000-0000-000007000000}" name="Akari Effective Date" dataDxfId="1002"/>
    <tableColumn id="6" xr3:uid="{00000000-0010-0000-0000-000006000000}" name="Credit Points" dataDxfId="1001"/>
    <tableColumn id="8" xr3:uid="{00000000-0010-0000-0000-000008000000}" name="SM Availabilities" dataDxfId="100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TeachingAreaStream" displayName="TableTeachingAreaStream" ref="A13:G20" totalsRowShown="0" headerRowDxfId="999">
  <autoFilter ref="A13:G20" xr:uid="{00000000-0009-0000-0100-000004000000}"/>
  <sortState xmlns:xlrd2="http://schemas.microsoft.com/office/spreadsheetml/2017/richdata2" ref="A14:E17">
    <sortCondition ref="A6:A9"/>
  </sortState>
  <tableColumns count="7">
    <tableColumn id="3" xr3:uid="{00000000-0010-0000-0100-000003000000}" name="Choose your Teaching Area Stream (drop-down list)" dataDxfId="998"/>
    <tableColumn id="1" xr3:uid="{00000000-0010-0000-0100-000001000000}" name="UDC" dataDxfId="997"/>
    <tableColumn id="2" xr3:uid="{00000000-0010-0000-0100-000002000000}" name="SM Version" dataDxfId="996"/>
    <tableColumn id="5" xr3:uid="{00000000-0010-0000-0100-000005000000}" name="SM Effective Date" dataDxfId="995"/>
    <tableColumn id="4" xr3:uid="{00000000-0010-0000-0100-000004000000}" name="Akari Iteration" dataDxfId="994"/>
    <tableColumn id="7" xr3:uid="{00000000-0010-0000-0100-000007000000}" name="Akari Effective Date" dataDxfId="993"/>
    <tableColumn id="6" xr3:uid="{00000000-0010-0000-0100-000006000000}" name="Credit Points" dataDxfId="99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2000000}" name="TableStudyPeriods" displayName="TableStudyPeriods" ref="A23:C25" totalsRowShown="0" dataDxfId="991">
  <autoFilter ref="A23:C25" xr:uid="{00000000-0009-0000-0100-000066000000}"/>
  <tableColumns count="3">
    <tableColumn id="1" xr3:uid="{00000000-0010-0000-0200-000001000000}" name="Choose your commencing study period (drop-down list)" dataDxfId="990"/>
    <tableColumn id="2" xr3:uid="{00000000-0010-0000-0200-000002000000}" name="START" dataDxfId="989"/>
    <tableColumn id="3" xr3:uid="{00000000-0010-0000-0200-000003000000}" name="Next" dataDxfId="98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Majors" displayName="TableMajors" ref="A7:G22" totalsRowShown="0" headerRowDxfId="987" dataDxfId="986">
  <autoFilter ref="A7:G22" xr:uid="{00000000-0009-0000-0100-000018000000}"/>
  <sortState xmlns:xlrd2="http://schemas.microsoft.com/office/spreadsheetml/2017/richdata2" ref="A8:G22">
    <sortCondition ref="A7:A22"/>
  </sortState>
  <tableColumns count="7">
    <tableColumn id="3" xr3:uid="{00000000-0010-0000-0300-000003000000}" name="Choose your Major first (drop-down list)" dataDxfId="985"/>
    <tableColumn id="1" xr3:uid="{00000000-0010-0000-0300-000001000000}" name="UDC" dataDxfId="984"/>
    <tableColumn id="2" xr3:uid="{00000000-0010-0000-0300-000002000000}" name="SM Version" dataDxfId="983"/>
    <tableColumn id="5" xr3:uid="{00000000-0010-0000-0300-000005000000}" name="SM Effective Date" dataDxfId="982"/>
    <tableColumn id="4" xr3:uid="{00000000-0010-0000-0300-000004000000}" name="Akari Iteration" dataDxfId="981"/>
    <tableColumn id="6" xr3:uid="{00000000-0010-0000-0300-000006000000}" name="Akari Effective Date" dataDxfId="980"/>
    <tableColumn id="8" xr3:uid="{00000000-0010-0000-0300-000008000000}" name="Credit Points" dataDxfId="97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4000000}" name="TableStreams" displayName="TableStreams" ref="A25:G48" totalsRowShown="0" headerRowDxfId="978" dataDxfId="977">
  <autoFilter ref="A25:G48" xr:uid="{00000000-0009-0000-0100-00001B000000}"/>
  <sortState xmlns:xlrd2="http://schemas.microsoft.com/office/spreadsheetml/2017/richdata2" ref="A26:G48">
    <sortCondition ref="A25:A48"/>
  </sortState>
  <tableColumns count="7">
    <tableColumn id="3" xr3:uid="{00000000-0010-0000-0400-000003000000}" name="Choose your Specialisation Stream second (drop-down list)" dataDxfId="976"/>
    <tableColumn id="1" xr3:uid="{00000000-0010-0000-0400-000001000000}" name="UDC" dataDxfId="975"/>
    <tableColumn id="2" xr3:uid="{00000000-0010-0000-0400-000002000000}" name="SM Version" dataDxfId="974"/>
    <tableColumn id="5" xr3:uid="{00000000-0010-0000-0400-000005000000}" name="SM Effective Date" dataDxfId="973"/>
    <tableColumn id="4" xr3:uid="{00000000-0010-0000-0400-000004000000}" name="Akari Iteration" dataDxfId="972"/>
    <tableColumn id="6" xr3:uid="{00000000-0010-0000-0400-000006000000}" name="Akari Effective Date" dataDxfId="971"/>
    <tableColumn id="9" xr3:uid="{00000000-0010-0000-0400-000009000000}" name="Credit Points" dataDxfId="970"/>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5000000}" name="TableCourseSecondary" displayName="TableCourseSecondary" ref="A3:H4" totalsRowShown="0" headerRowDxfId="969">
  <autoFilter ref="A3:H4" xr:uid="{00000000-0009-0000-0100-000034000000}"/>
  <sortState xmlns:xlrd2="http://schemas.microsoft.com/office/spreadsheetml/2017/richdata2" ref="A4:E6">
    <sortCondition ref="A6:A9"/>
  </sortState>
  <tableColumns count="8">
    <tableColumn id="3" xr3:uid="{00000000-0010-0000-0500-000003000000}" name="Choose your Education Course" dataDxfId="968"/>
    <tableColumn id="1" xr3:uid="{00000000-0010-0000-0500-000001000000}" name="UDC" dataDxfId="967"/>
    <tableColumn id="2" xr3:uid="{00000000-0010-0000-0500-000002000000}" name="SM Version" dataDxfId="966"/>
    <tableColumn id="5" xr3:uid="{00000000-0010-0000-0500-000005000000}" name="SM Effective Date" dataDxfId="965"/>
    <tableColumn id="4" xr3:uid="{00000000-0010-0000-0500-000004000000}" name="Akari Iteration" dataDxfId="964"/>
    <tableColumn id="6" xr3:uid="{00000000-0010-0000-0500-000006000000}" name="Akari Effective Date" dataDxfId="963"/>
    <tableColumn id="8" xr3:uid="{00000000-0010-0000-0500-000008000000}" name="Credit Points" dataDxfId="962"/>
    <tableColumn id="7" xr3:uid="{00000000-0010-0000-0500-000007000000}" name="SM Availabilities" dataDxfId="961"/>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Handbook" displayName="TableHandbook" ref="A2:BH393" totalsRowShown="0" headerRowDxfId="960" dataDxfId="959">
  <autoFilter ref="A2:BH393" xr:uid="{00000000-0009-0000-0100-000002000000}"/>
  <sortState xmlns:xlrd2="http://schemas.microsoft.com/office/spreadsheetml/2017/richdata2" ref="A3:BH1171">
    <sortCondition ref="A2:A1171"/>
  </sortState>
  <tableColumns count="60">
    <tableColumn id="1" xr3:uid="{00000000-0010-0000-0600-000001000000}" name="UDC" dataDxfId="958"/>
    <tableColumn id="2" xr3:uid="{00000000-0010-0000-0600-000002000000}" name="Ver" dataDxfId="957"/>
    <tableColumn id="3" xr3:uid="{00000000-0010-0000-0600-000003000000}" name="OUA Cd" dataDxfId="956"/>
    <tableColumn id="4" xr3:uid="{00000000-0010-0000-0600-000004000000}" name="Title" dataDxfId="955"/>
    <tableColumn id="5" xr3:uid="{00000000-0010-0000-0600-000005000000}" name="Credits" dataDxfId="954"/>
    <tableColumn id="6" xr3:uid="{00000000-0010-0000-0600-000006000000}" name="Pre-reqs" dataDxfId="953"/>
    <tableColumn id="12" xr3:uid="{00000000-0010-0000-0600-00000C000000}" name="S1BEN" dataDxfId="952">
      <calculatedColumnFormula>IFERROR(IF(VLOOKUP(TableHandbook[[#This Row],[UDC]],TableAvailabilities[],2,FALSE)&gt;0,"Y",""),"")</calculatedColumnFormula>
    </tableColumn>
    <tableColumn id="13" xr3:uid="{00000000-0010-0000-0600-00000D000000}" name="S1OnBEN" dataDxfId="951">
      <calculatedColumnFormula>IFERROR(IF(VLOOKUP(TableHandbook[[#This Row],[UDC]],TableAvailabilities[],3,FALSE)&gt;0,"Y",""),"")</calculatedColumnFormula>
    </tableColumn>
    <tableColumn id="7" xr3:uid="{00000000-0010-0000-0600-000007000000}" name="S1OnKAL" dataDxfId="950">
      <calculatedColumnFormula>IFERROR(IF(VLOOKUP(TableHandbook[[#This Row],[UDC]],TableAvailabilities[],4,FALSE)&gt;0,"Y",""),"")</calculatedColumnFormula>
    </tableColumn>
    <tableColumn id="14" xr3:uid="{00000000-0010-0000-0600-00000E000000}" name="S2BEN" dataDxfId="949">
      <calculatedColumnFormula>IFERROR(IF(VLOOKUP(TableHandbook[[#This Row],[UDC]],TableAvailabilities[],5,FALSE)&gt;0,"Y",""),"")</calculatedColumnFormula>
    </tableColumn>
    <tableColumn id="11" xr3:uid="{00000000-0010-0000-0600-00000B000000}" name="S2OnBEN" dataDxfId="948">
      <calculatedColumnFormula>IFERROR(IF(VLOOKUP(TableHandbook[[#This Row],[UDC]],TableAvailabilities[],6,FALSE)&gt;0,"Y",""),"")</calculatedColumnFormula>
    </tableColumn>
    <tableColumn id="15" xr3:uid="{00000000-0010-0000-0600-00000F000000}" name="S2OnKAL" dataDxfId="947">
      <calculatedColumnFormula>IFERROR(IF(VLOOKUP(TableHandbook[[#This Row],[UDC]],TableAvailabilities[],7,FALSE)&gt;0,"Y",""),"")</calculatedColumnFormula>
    </tableColumn>
    <tableColumn id="16" xr3:uid="{00000000-0010-0000-0600-000010000000}" name="Notes" dataDxfId="946"/>
    <tableColumn id="8" xr3:uid="{00000000-0010-0000-0600-000008000000}" name="B-EDUC" dataDxfId="945">
      <calculatedColumnFormula>IFERROR(VLOOKUP(TableHandbook[[#This Row],[UDC]],TableBEDUC[],7,FALSE),"")</calculatedColumnFormula>
    </tableColumn>
    <tableColumn id="9" xr3:uid="{00000000-0010-0000-0600-000009000000}" name="B-EDEC" dataDxfId="944">
      <calculatedColumnFormula>IFERROR(VLOOKUP(TableHandbook[[#This Row],[UDC]],TableBEDEC[],7,FALSE),"")</calculatedColumnFormula>
    </tableColumn>
    <tableColumn id="17" xr3:uid="{00000000-0010-0000-0600-000011000000}" name="B-EDPR" dataDxfId="943">
      <calculatedColumnFormula>IFERROR(VLOOKUP(TableHandbook[[#This Row],[UDC]],TableBEDPR[],7,FALSE),"")</calculatedColumnFormula>
    </tableColumn>
    <tableColumn id="60" xr3:uid="{00000000-0010-0000-0600-00003C000000}" name="STRU-CATHL" dataDxfId="942">
      <calculatedColumnFormula>IFERROR(VLOOKUP(TableHandbook[[#This Row],[UDC]],TableSTRUCATHL[],7,FALSE),"")</calculatedColumnFormula>
    </tableColumn>
    <tableColumn id="61" xr3:uid="{00000000-0010-0000-0600-00003D000000}" name="STRU-ENGLL" dataDxfId="941">
      <calculatedColumnFormula>IFERROR(VLOOKUP(TableHandbook[[#This Row],[UDC]],TableSTRUENGLL[],7,FALSE),"")</calculatedColumnFormula>
    </tableColumn>
    <tableColumn id="62" xr3:uid="{00000000-0010-0000-0600-00003E000000}" name="STRU-HLTPE" dataDxfId="940">
      <calculatedColumnFormula>IFERROR(VLOOKUP(TableHandbook[[#This Row],[UDC]],TableSTRUHLTPE[],7,FALSE),"")</calculatedColumnFormula>
    </tableColumn>
    <tableColumn id="63" xr3:uid="{00000000-0010-0000-0600-00003F000000}" name="STRU-ISTEM" dataDxfId="939">
      <calculatedColumnFormula>IFERROR(VLOOKUP(TableHandbook[[#This Row],[UDC]],TableSTRUISTEM[],7,FALSE),"")</calculatedColumnFormula>
    </tableColumn>
    <tableColumn id="64" xr3:uid="{00000000-0010-0000-0600-000040000000}" name="STRU-LITNU" dataDxfId="938">
      <calculatedColumnFormula>IFERROR(VLOOKUP(TableHandbook[[#This Row],[UDC]],TableSTRULITNU[],7,FALSE),"")</calculatedColumnFormula>
    </tableColumn>
    <tableColumn id="65" xr3:uid="{00000000-0010-0000-0600-000041000000}" name="STRU-TECHS" dataDxfId="937">
      <calculatedColumnFormula>IFERROR(VLOOKUP(TableHandbook[[#This Row],[UDC]],TableSTRUTECHS[],7,FALSE),"")</calculatedColumnFormula>
    </tableColumn>
    <tableColumn id="10" xr3:uid="{00000000-0010-0000-0600-00000A000000}" name="B-EDSC" dataDxfId="936">
      <calculatedColumnFormula>IFERROR(VLOOKUP(TableHandbook[[#This Row],[UDC]],TableBEDSC[],7,FALSE),"")</calculatedColumnFormula>
    </tableColumn>
    <tableColumn id="18" xr3:uid="{00000000-0010-0000-0600-000012000000}" name="MJRU-ARDR1" dataDxfId="935">
      <calculatedColumnFormula>IFERROR(VLOOKUP(TableHandbook[[#This Row],[UDC]],TableMJRUARDR1[],7,FALSE),"")</calculatedColumnFormula>
    </tableColumn>
    <tableColumn id="19" xr3:uid="{00000000-0010-0000-0600-000013000000}" name="MJRU-ARME1" dataDxfId="934">
      <calculatedColumnFormula>IFERROR(VLOOKUP(TableHandbook[[#This Row],[UDC]],TableMJRUARME1[],7,FALSE),"")</calculatedColumnFormula>
    </tableColumn>
    <tableColumn id="20" xr3:uid="{00000000-0010-0000-0600-000014000000}" name="MJRU-ARVA1" dataDxfId="933">
      <calculatedColumnFormula>IFERROR(VLOOKUP(TableHandbook[[#This Row],[UDC]],TableMJRUARVA1[],7,FALSE),"")</calculatedColumnFormula>
    </tableColumn>
    <tableColumn id="21" xr3:uid="{00000000-0010-0000-0600-000015000000}" name="MJRU-ENGL1" dataDxfId="932">
      <calculatedColumnFormula>IFERROR(VLOOKUP(TableHandbook[[#This Row],[UDC]],TableMJRUENGL1[],7,FALSE),"")</calculatedColumnFormula>
    </tableColumn>
    <tableColumn id="23" xr3:uid="{00000000-0010-0000-0600-000017000000}" name="MJRU-HSEC1" dataDxfId="931">
      <calculatedColumnFormula>IFERROR(VLOOKUP(TableHandbook[[#This Row],[UDC]],TableMJRUHSEC1[],7,FALSE),"")</calculatedColumnFormula>
    </tableColumn>
    <tableColumn id="24" xr3:uid="{00000000-0010-0000-0600-000018000000}" name="MJRU-HSGE1" dataDxfId="930">
      <calculatedColumnFormula>IFERROR(VLOOKUP(TableHandbook[[#This Row],[UDC]],TableMJRUHSGE1[],7,FALSE),"")</calculatedColumnFormula>
    </tableColumn>
    <tableColumn id="25" xr3:uid="{00000000-0010-0000-0600-000019000000}" name="MJRU-HSHI1" dataDxfId="929">
      <calculatedColumnFormula>IFERROR(VLOOKUP(TableHandbook[[#This Row],[UDC]],TableMJRUHSHI1[],7,FALSE),"")</calculatedColumnFormula>
    </tableColumn>
    <tableColumn id="26" xr3:uid="{00000000-0010-0000-0600-00001A000000}" name="MJRU-HSPL1" dataDxfId="928">
      <calculatedColumnFormula>IFERROR(VLOOKUP(TableHandbook[[#This Row],[UDC]],TableMJRUHSPL1[],7,FALSE),"")</calculatedColumnFormula>
    </tableColumn>
    <tableColumn id="27" xr3:uid="{00000000-0010-0000-0600-00001B000000}" name="MJRU-MATH1" dataDxfId="927">
      <calculatedColumnFormula>IFERROR(VLOOKUP(TableHandbook[[#This Row],[UDC]],TableMJRUMATH1[],7,FALSE),"")</calculatedColumnFormula>
    </tableColumn>
    <tableColumn id="22" xr3:uid="{00000000-0010-0000-0600-000016000000}" name="MJRU-PHYSE" dataDxfId="926">
      <calculatedColumnFormula>IFERROR(VLOOKUP(TableHandbook[[#This Row],[UDC]],TableMJRUPHYSE[],7,FALSE),"")</calculatedColumnFormula>
    </tableColumn>
    <tableColumn id="28" xr3:uid="{00000000-0010-0000-0600-00001C000000}" name="MJRU-SCBI1" dataDxfId="925">
      <calculatedColumnFormula>IFERROR(VLOOKUP(TableHandbook[[#This Row],[UDC]],TableMJRUSCBI1[],7,FALSE),"")</calculatedColumnFormula>
    </tableColumn>
    <tableColumn id="29" xr3:uid="{00000000-0010-0000-0600-00001D000000}" name="MJRU-SCCH1" dataDxfId="924">
      <calculatedColumnFormula>IFERROR(VLOOKUP(TableHandbook[[#This Row],[UDC]],TableMJRUSCCH1[],7,FALSE),"")</calculatedColumnFormula>
    </tableColumn>
    <tableColumn id="30" xr3:uid="{00000000-0010-0000-0600-00001E000000}" name="MJRU-SCHB1" dataDxfId="923">
      <calculatedColumnFormula>IFERROR(VLOOKUP(TableHandbook[[#This Row],[UDC]],TableMJRUSCHB1[],7,FALSE),"")</calculatedColumnFormula>
    </tableColumn>
    <tableColumn id="31" xr3:uid="{00000000-0010-0000-0600-00001F000000}" name="MJRU-SCPH1" dataDxfId="922">
      <calculatedColumnFormula>IFERROR(VLOOKUP(TableHandbook[[#This Row],[UDC]],TableMJRUSCPH1[],7,FALSE),"")</calculatedColumnFormula>
    </tableColumn>
    <tableColumn id="32" xr3:uid="{00000000-0010-0000-0600-000020000000}" name="MJRU-SCPS1" dataDxfId="921">
      <calculatedColumnFormula>IFERROR(VLOOKUP(TableHandbook[[#This Row],[UDC]],TableMJRUSCPS1[],7,FALSE),"")</calculatedColumnFormula>
    </tableColumn>
    <tableColumn id="35" xr3:uid="{00000000-0010-0000-0600-000023000000}" name="STRU-BIOLB" dataDxfId="920">
      <calculatedColumnFormula>IFERROR(VLOOKUP(TableHandbook[[#This Row],[UDC]],TableSTRUBIOLB[],7,FALSE),"")</calculatedColumnFormula>
    </tableColumn>
    <tableColumn id="36" xr3:uid="{00000000-0010-0000-0600-000024000000}" name="STRU-BSCIM" dataDxfId="919">
      <calculatedColumnFormula>IFERROR(VLOOKUP(TableHandbook[[#This Row],[UDC]],TableSTRUBSCIM[],7,FALSE),"")</calculatedColumnFormula>
    </tableColumn>
    <tableColumn id="37" xr3:uid="{00000000-0010-0000-0600-000025000000}" name="STRU-CHEMB" dataDxfId="918">
      <calculatedColumnFormula>IFERROR(VLOOKUP(TableHandbook[[#This Row],[UDC]],TableSTRUCHEMB[],7,FALSE),"")</calculatedColumnFormula>
    </tableColumn>
    <tableColumn id="33" xr3:uid="{00000000-0010-0000-0600-000021000000}" name="STRU-ECOB1" dataDxfId="917">
      <calculatedColumnFormula>IFERROR(VLOOKUP(TableHandbook[[#This Row],[UDC]],TableSTRUECOB1[],7,FALSE),"")</calculatedColumnFormula>
    </tableColumn>
    <tableColumn id="38" xr3:uid="{00000000-0010-0000-0600-000026000000}" name="STRU-ENGLB" dataDxfId="916">
      <calculatedColumnFormula>IFERROR(VLOOKUP(TableHandbook[[#This Row],[UDC]],TableSTRUENGLB[],7,FALSE),"")</calculatedColumnFormula>
    </tableColumn>
    <tableColumn id="39" xr3:uid="{00000000-0010-0000-0600-000027000000}" name="STRU-ENGLM" dataDxfId="915">
      <calculatedColumnFormula>IFERROR(VLOOKUP(TableHandbook[[#This Row],[UDC]],TableSTRUENGLM[],7,FALSE),"")</calculatedColumnFormula>
    </tableColumn>
    <tableColumn id="40" xr3:uid="{00000000-0010-0000-0600-000028000000}" name="STRU-GEOB1" dataDxfId="914">
      <calculatedColumnFormula>IFERROR(VLOOKUP(TableHandbook[[#This Row],[UDC]],TableSTRUGEOB1[],7,FALSE),"")</calculatedColumnFormula>
    </tableColumn>
    <tableColumn id="41" xr3:uid="{00000000-0010-0000-0600-000029000000}" name="STRU-GEOGM" dataDxfId="913">
      <calculatedColumnFormula>IFERROR(VLOOKUP(TableHandbook[[#This Row],[UDC]],TableSTRUGEOGM[],7,FALSE),"")</calculatedColumnFormula>
    </tableColumn>
    <tableColumn id="42" xr3:uid="{00000000-0010-0000-0600-00002A000000}" name="STRU-HISB1" dataDxfId="912">
      <calculatedColumnFormula>IFERROR(VLOOKUP(TableHandbook[[#This Row],[UDC]],TableSTRUHISB1[],7,FALSE),"")</calculatedColumnFormula>
    </tableColumn>
    <tableColumn id="43" xr3:uid="{00000000-0010-0000-0600-00002B000000}" name="STRU-HISTM" dataDxfId="911">
      <calculatedColumnFormula>IFERROR(VLOOKUP(TableHandbook[[#This Row],[UDC]],TableSTRUHISTM[],7,FALSE),"")</calculatedColumnFormula>
    </tableColumn>
    <tableColumn id="44" xr3:uid="{00000000-0010-0000-0600-00002C000000}" name="STRU-HPEB1" dataDxfId="910">
      <calculatedColumnFormula>IFERROR(VLOOKUP(TableHandbook[[#This Row],[UDC]],TableSTRUHPEB1[],7,FALSE),"")</calculatedColumnFormula>
    </tableColumn>
    <tableColumn id="45" xr3:uid="{00000000-0010-0000-0600-00002D000000}" name="STRU-HUMBB" dataDxfId="909">
      <calculatedColumnFormula>IFERROR(VLOOKUP(TableHandbook[[#This Row],[UDC]],TableSTRUHUMBB[],7,FALSE),"")</calculatedColumnFormula>
    </tableColumn>
    <tableColumn id="46" xr3:uid="{00000000-0010-0000-0600-00002E000000}" name="STRU-MARTM" dataDxfId="908">
      <calculatedColumnFormula>IFERROR(VLOOKUP(TableHandbook[[#This Row],[UDC]],TableSTRUMARTM[],7,FALSE),"")</calculatedColumnFormula>
    </tableColumn>
    <tableColumn id="47" xr3:uid="{00000000-0010-0000-0600-00002F000000}" name="STRU-MATHB" dataDxfId="907">
      <calculatedColumnFormula>IFERROR(VLOOKUP(TableHandbook[[#This Row],[UDC]],TableSTRUMATHB[],7,FALSE),"")</calculatedColumnFormula>
    </tableColumn>
    <tableColumn id="48" xr3:uid="{00000000-0010-0000-0600-000030000000}" name="STRU-MATHM" dataDxfId="906">
      <calculatedColumnFormula>IFERROR(VLOOKUP(TableHandbook[[#This Row],[UDC]],TableSTRUMATHM[],7,FALSE),"")</calculatedColumnFormula>
    </tableColumn>
    <tableColumn id="49" xr3:uid="{00000000-0010-0000-0600-000031000000}" name="STRU-PARTB" dataDxfId="905">
      <calculatedColumnFormula>IFERROR(VLOOKUP(TableHandbook[[#This Row],[UDC]],TableSTRUPARTB[],7,FALSE),"")</calculatedColumnFormula>
    </tableColumn>
    <tableColumn id="50" xr3:uid="{00000000-0010-0000-0600-000032000000}" name="STRU-PARTM" dataDxfId="904">
      <calculatedColumnFormula>IFERROR(VLOOKUP(TableHandbook[[#This Row],[UDC]],TableSTRUPARTM[],7,FALSE),"")</calculatedColumnFormula>
    </tableColumn>
    <tableColumn id="51" xr3:uid="{00000000-0010-0000-0600-000033000000}" name="STRU-POLB1" dataDxfId="903">
      <calculatedColumnFormula>IFERROR(VLOOKUP(TableHandbook[[#This Row],[UDC]],TableSTRUPOLB1[],7,FALSE),"")</calculatedColumnFormula>
    </tableColumn>
    <tableColumn id="52" xr3:uid="{00000000-0010-0000-0600-000034000000}" name="STRU-PSYCB" dataDxfId="902">
      <calculatedColumnFormula>IFERROR(VLOOKUP(TableHandbook[[#This Row],[UDC]],TableSTRUPSYCB[],7,FALSE),"")</calculatedColumnFormula>
    </tableColumn>
    <tableColumn id="53" xr3:uid="{00000000-0010-0000-0600-000035000000}" name="STRU-PSYCM" dataDxfId="901">
      <calculatedColumnFormula>IFERROR(VLOOKUP(TableHandbook[[#This Row],[UDC]],TableSTRUPSYCM[],7,FALSE),"")</calculatedColumnFormula>
    </tableColumn>
    <tableColumn id="54" xr3:uid="{00000000-0010-0000-0600-000036000000}" name="STRU-VARTB" dataDxfId="900">
      <calculatedColumnFormula>IFERROR(VLOOKUP(TableHandbook[[#This Row],[UDC]],TableSTRUVARTB[],7,FALSE),"")</calculatedColumnFormula>
    </tableColumn>
    <tableColumn id="55" xr3:uid="{00000000-0010-0000-0600-000037000000}" name="STRU-VARTM" dataDxfId="899">
      <calculatedColumnFormula>IFERROR(VLOOKUP(TableHandbook[[#This Row],[UDC]],TableSTRUVARTM[],7,FALSE),"")</calculatedColumnFormula>
    </tableColumn>
  </tableColumns>
  <tableStyleInfo name="TableStyleLight11"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BEDUC" displayName="TableBEDUC" ref="A2:O29" totalsRowShown="0" headerRowDxfId="898">
  <autoFilter ref="A2:O29" xr:uid="{00000000-0009-0000-0100-000001000000}"/>
  <sortState xmlns:xlrd2="http://schemas.microsoft.com/office/spreadsheetml/2017/richdata2" ref="P3:AW6">
    <sortCondition ref="V2:V6"/>
  </sortState>
  <tableColumns count="15">
    <tableColumn id="1" xr3:uid="{00000000-0010-0000-0700-000001000000}" name="UDC" dataDxfId="897">
      <calculatedColumnFormula>TableBEDUC[[#This Row],[Study Package Code]]</calculatedColumnFormula>
    </tableColumn>
    <tableColumn id="9" xr3:uid="{00000000-0010-0000-0700-000009000000}" name="Version" dataDxfId="896">
      <calculatedColumnFormula>TableBEDUC[[#This Row],[Ver]]</calculatedColumnFormula>
    </tableColumn>
    <tableColumn id="10" xr3:uid="{00000000-0010-0000-0700-00000A000000}" name="OUA Code"/>
    <tableColumn id="11" xr3:uid="{00000000-0010-0000-0700-00000B000000}" name="Unit Title" dataDxfId="895">
      <calculatedColumnFormula>TableBEDUC[[#This Row],[Structure Line]]</calculatedColumnFormula>
    </tableColumn>
    <tableColumn id="12" xr3:uid="{00000000-0010-0000-0700-00000C000000}" name="CPs" dataDxfId="894">
      <calculatedColumnFormula>TableBEDUC[[#This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893"/>
    <tableColumn id="15" xr3:uid="{00000000-0010-0000-0700-00000F000000}" name="Discont." dataDxfId="89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BEDEC" displayName="TableBEDEC" ref="A32:O89" totalsRowShown="0" headerRowDxfId="891">
  <autoFilter ref="A32:O89" xr:uid="{00000000-0009-0000-0100-000006000000}"/>
  <sortState xmlns:xlrd2="http://schemas.microsoft.com/office/spreadsheetml/2017/richdata2" ref="P11:AW18">
    <sortCondition ref="U10:U18"/>
  </sortState>
  <tableColumns count="15">
    <tableColumn id="1" xr3:uid="{00000000-0010-0000-0800-000001000000}" name="UDC" dataDxfId="890">
      <calculatedColumnFormula>TableBEDEC[[#This Row],[Study Package Code]]</calculatedColumnFormula>
    </tableColumn>
    <tableColumn id="9" xr3:uid="{00000000-0010-0000-0800-000009000000}" name="Version" dataDxfId="889">
      <calculatedColumnFormula>TableBEDEC[[#This Row],[Ver]]</calculatedColumnFormula>
    </tableColumn>
    <tableColumn id="10" xr3:uid="{00000000-0010-0000-0800-00000A000000}" name="OUA Code"/>
    <tableColumn id="11" xr3:uid="{00000000-0010-0000-0800-00000B000000}" name="Unit Title" dataDxfId="888">
      <calculatedColumnFormula>TableBEDEC[[#This Row],[Structure Line]]</calculatedColumnFormula>
    </tableColumn>
    <tableColumn id="12" xr3:uid="{00000000-0010-0000-0800-00000C000000}" name="CPs" dataDxfId="887">
      <calculatedColumnFormula>TableBEDEC[[#This Row],[Credit Points]]</calculatedColumnFormula>
    </tableColumn>
    <tableColumn id="13" xr3:uid="{00000000-0010-0000-0800-00000D000000}" name="No." dataDxfId="886"/>
    <tableColumn id="2" xr3:uid="{00000000-0010-0000-0800-000002000000}" name="Component Type" dataDxfId="885"/>
    <tableColumn id="3" xr3:uid="{00000000-0010-0000-0800-000003000000}" name="Year Level" dataDxfId="884"/>
    <tableColumn id="4" xr3:uid="{00000000-0010-0000-0800-000004000000}" name="Study Period" dataDxfId="883"/>
    <tableColumn id="5" xr3:uid="{00000000-0010-0000-0800-000005000000}" name="Study Package Code" dataDxfId="882"/>
    <tableColumn id="6" xr3:uid="{00000000-0010-0000-0800-000006000000}" name="Ver" dataDxfId="881"/>
    <tableColumn id="7" xr3:uid="{00000000-0010-0000-0800-000007000000}" name="Structure Line" dataDxfId="880"/>
    <tableColumn id="8" xr3:uid="{00000000-0010-0000-0800-000008000000}" name="Credit Points" dataDxfId="879"/>
    <tableColumn id="14" xr3:uid="{00000000-0010-0000-0800-00000E000000}" name="Effective" dataDxfId="878"/>
    <tableColumn id="15" xr3:uid="{00000000-0010-0000-0800-00000F000000}" name="Discont." dataDxfId="87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BEDPR" displayName="TableBEDPR" ref="A92:O125" totalsRowShown="0" headerRowDxfId="876">
  <autoFilter ref="A92:O125" xr:uid="{00000000-0009-0000-0100-000005000000}"/>
  <sortState xmlns:xlrd2="http://schemas.microsoft.com/office/spreadsheetml/2017/richdata2" ref="A112:S119">
    <sortCondition ref="O10:O18"/>
  </sortState>
  <tableColumns count="15">
    <tableColumn id="1" xr3:uid="{00000000-0010-0000-0900-000001000000}" name="UDC" dataDxfId="875">
      <calculatedColumnFormula>TableBEDPR[[#This Row],[Study Package Code]]</calculatedColumnFormula>
    </tableColumn>
    <tableColumn id="9" xr3:uid="{00000000-0010-0000-0900-000009000000}" name="Version" dataDxfId="874">
      <calculatedColumnFormula>TableBEDPR[[#This Row],[Ver]]</calculatedColumnFormula>
    </tableColumn>
    <tableColumn id="10" xr3:uid="{00000000-0010-0000-0900-00000A000000}" name="OUA Code"/>
    <tableColumn id="11" xr3:uid="{00000000-0010-0000-0900-00000B000000}" name="Unit Title" dataDxfId="873">
      <calculatedColumnFormula>TableBEDPR[[#This Row],[Structure Line]]</calculatedColumnFormula>
    </tableColumn>
    <tableColumn id="12" xr3:uid="{00000000-0010-0000-0900-00000C000000}" name="CPs" dataDxfId="872">
      <calculatedColumnFormula>TableBEDPR[[#This Row],[Credit Points]]</calculatedColumnFormula>
    </tableColumn>
    <tableColumn id="13" xr3:uid="{00000000-0010-0000-0900-00000D000000}" name="No." dataDxfId="871"/>
    <tableColumn id="2" xr3:uid="{00000000-0010-0000-0900-000002000000}" name="Component Type" dataDxfId="870"/>
    <tableColumn id="3" xr3:uid="{00000000-0010-0000-0900-000003000000}" name="Year Level" dataDxfId="869"/>
    <tableColumn id="4" xr3:uid="{00000000-0010-0000-0900-000004000000}" name="Study Period" dataDxfId="868"/>
    <tableColumn id="5" xr3:uid="{00000000-0010-0000-0900-000005000000}" name="Study Package Code" dataDxfId="867"/>
    <tableColumn id="6" xr3:uid="{00000000-0010-0000-0900-000006000000}" name="Ver" dataDxfId="866"/>
    <tableColumn id="7" xr3:uid="{00000000-0010-0000-0900-000007000000}" name="Structure Line" dataDxfId="865"/>
    <tableColumn id="8" xr3:uid="{00000000-0010-0000-0900-000008000000}" name="Credit Points" dataDxfId="864"/>
    <tableColumn id="14" xr3:uid="{00000000-0010-0000-0900-00000E000000}" name="Effective" dataDxfId="863"/>
    <tableColumn id="15" xr3:uid="{00000000-0010-0000-0900-00000F000000}" name="Discont." dataDxfId="86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BEDSC" displayName="TableBEDSC" ref="A158:O188" totalsRowShown="0" headerRowDxfId="861">
  <autoFilter ref="A158:O188" xr:uid="{00000000-0009-0000-0100-000007000000}"/>
  <sortState xmlns:xlrd2="http://schemas.microsoft.com/office/spreadsheetml/2017/richdata2" ref="A163:S170">
    <sortCondition ref="O10:O18"/>
  </sortState>
  <tableColumns count="15">
    <tableColumn id="1" xr3:uid="{00000000-0010-0000-0A00-000001000000}" name="UDC" dataDxfId="860">
      <calculatedColumnFormula>TableBEDSC[[#This Row],[Study Package Code]]</calculatedColumnFormula>
    </tableColumn>
    <tableColumn id="9" xr3:uid="{00000000-0010-0000-0A00-000009000000}" name="Version" dataDxfId="859">
      <calculatedColumnFormula>TableBEDSC[[#This Row],[Ver]]</calculatedColumnFormula>
    </tableColumn>
    <tableColumn id="10" xr3:uid="{00000000-0010-0000-0A00-00000A000000}" name="OUA Code"/>
    <tableColumn id="11" xr3:uid="{00000000-0010-0000-0A00-00000B000000}" name="Unit Title" dataDxfId="858">
      <calculatedColumnFormula>TableBEDSC[[#This Row],[Structure Line]]</calculatedColumnFormula>
    </tableColumn>
    <tableColumn id="12" xr3:uid="{00000000-0010-0000-0A00-00000C000000}" name="CPs" dataDxfId="857">
      <calculatedColumnFormula>TableBEDSC[[#This Row],[Credit Points]]</calculatedColumnFormula>
    </tableColumn>
    <tableColumn id="13" xr3:uid="{00000000-0010-0000-0A00-00000D000000}" name="No." dataDxfId="856"/>
    <tableColumn id="2" xr3:uid="{00000000-0010-0000-0A00-000002000000}" name="Component Type" dataDxfId="855"/>
    <tableColumn id="3" xr3:uid="{00000000-0010-0000-0A00-000003000000}" name="Year Level" dataDxfId="854"/>
    <tableColumn id="4" xr3:uid="{00000000-0010-0000-0A00-000004000000}" name="Study Period" dataDxfId="853"/>
    <tableColumn id="5" xr3:uid="{00000000-0010-0000-0A00-000005000000}" name="Study Package Code" dataDxfId="852"/>
    <tableColumn id="6" xr3:uid="{00000000-0010-0000-0A00-000006000000}" name="Ver" dataDxfId="851"/>
    <tableColumn id="7" xr3:uid="{00000000-0010-0000-0A00-000007000000}" name="Structure Line" dataDxfId="850"/>
    <tableColumn id="8" xr3:uid="{00000000-0010-0000-0A00-000008000000}" name="Credit Points" dataDxfId="849"/>
    <tableColumn id="14" xr3:uid="{00000000-0010-0000-0A00-00000E000000}" name="Effective" dataDxfId="848"/>
    <tableColumn id="15" xr3:uid="{00000000-0010-0000-0A00-00000F000000}" name="Discont." dataDxfId="84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MJRUARDR1" displayName="TableMJRUARDR1" ref="A191:O211" totalsRowShown="0" headerRowDxfId="846">
  <autoFilter ref="A191:O211" xr:uid="{00000000-0009-0000-0100-000008000000}"/>
  <sortState xmlns:xlrd2="http://schemas.microsoft.com/office/spreadsheetml/2017/richdata2" ref="A193:S200">
    <sortCondition ref="O10:O18"/>
  </sortState>
  <tableColumns count="15">
    <tableColumn id="1" xr3:uid="{00000000-0010-0000-0B00-000001000000}" name="UDC" dataDxfId="845">
      <calculatedColumnFormula>TableMJRUARDR1[[#This Row],[Study Package Code]]</calculatedColumnFormula>
    </tableColumn>
    <tableColumn id="9" xr3:uid="{00000000-0010-0000-0B00-000009000000}" name="Version" dataDxfId="844">
      <calculatedColumnFormula>TableMJRUARDR1[[#This Row],[Ver]]</calculatedColumnFormula>
    </tableColumn>
    <tableColumn id="10" xr3:uid="{00000000-0010-0000-0B00-00000A000000}" name="OUA Code"/>
    <tableColumn id="11" xr3:uid="{00000000-0010-0000-0B00-00000B000000}" name="Unit Title" dataDxfId="843">
      <calculatedColumnFormula>TableMJRUARDR1[[#This Row],[Structure Line]]</calculatedColumnFormula>
    </tableColumn>
    <tableColumn id="12" xr3:uid="{00000000-0010-0000-0B00-00000C000000}" name="CPs" dataDxfId="842">
      <calculatedColumnFormula>TableMJRUARDR1[[#This Row],[Credit Points]]</calculatedColumnFormula>
    </tableColumn>
    <tableColumn id="13" xr3:uid="{00000000-0010-0000-0B00-00000D000000}" name="No." dataDxfId="841"/>
    <tableColumn id="2" xr3:uid="{00000000-0010-0000-0B00-000002000000}" name="Component Type" dataDxfId="840"/>
    <tableColumn id="3" xr3:uid="{00000000-0010-0000-0B00-000003000000}" name="Year Level" dataDxfId="839"/>
    <tableColumn id="4" xr3:uid="{00000000-0010-0000-0B00-000004000000}" name="Study Period" dataDxfId="838"/>
    <tableColumn id="5" xr3:uid="{00000000-0010-0000-0B00-000005000000}" name="Study Package Code" dataDxfId="837"/>
    <tableColumn id="6" xr3:uid="{00000000-0010-0000-0B00-000006000000}" name="Ver" dataDxfId="836"/>
    <tableColumn id="7" xr3:uid="{00000000-0010-0000-0B00-000007000000}" name="Structure Line" dataDxfId="835"/>
    <tableColumn id="8" xr3:uid="{00000000-0010-0000-0B00-000008000000}" name="Credit Points" dataDxfId="834"/>
    <tableColumn id="14" xr3:uid="{00000000-0010-0000-0B00-00000E000000}" name="Effective" dataDxfId="833"/>
    <tableColumn id="15" xr3:uid="{00000000-0010-0000-0B00-00000F000000}" name="Discont." dataDxfId="83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MJRUARME1" displayName="TableMJRUARME1" ref="A213:O234" totalsRowShown="0" headerRowDxfId="831">
  <autoFilter ref="A213:O234" xr:uid="{00000000-0009-0000-0100-000009000000}"/>
  <sortState xmlns:xlrd2="http://schemas.microsoft.com/office/spreadsheetml/2017/richdata2" ref="A215:S222">
    <sortCondition ref="O10:O18"/>
  </sortState>
  <tableColumns count="15">
    <tableColumn id="1" xr3:uid="{00000000-0010-0000-0C00-000001000000}" name="UDC" dataDxfId="830">
      <calculatedColumnFormula>TableMJRUARME1[[#This Row],[Study Package Code]]</calculatedColumnFormula>
    </tableColumn>
    <tableColumn id="9" xr3:uid="{00000000-0010-0000-0C00-000009000000}" name="Version" dataDxfId="829">
      <calculatedColumnFormula>TableMJRUARME1[[#This Row],[Ver]]</calculatedColumnFormula>
    </tableColumn>
    <tableColumn id="10" xr3:uid="{00000000-0010-0000-0C00-00000A000000}" name="OUA Code"/>
    <tableColumn id="11" xr3:uid="{00000000-0010-0000-0C00-00000B000000}" name="Unit Title" dataDxfId="828">
      <calculatedColumnFormula>TableMJRUARME1[[#This Row],[Structure Line]]</calculatedColumnFormula>
    </tableColumn>
    <tableColumn id="12" xr3:uid="{00000000-0010-0000-0C00-00000C000000}" name="CPs" dataDxfId="827">
      <calculatedColumnFormula>TableMJRUARME1[[#This Row],[Credit Points]]</calculatedColumnFormula>
    </tableColumn>
    <tableColumn id="13" xr3:uid="{00000000-0010-0000-0C00-00000D000000}" name="No." dataDxfId="826"/>
    <tableColumn id="2" xr3:uid="{00000000-0010-0000-0C00-000002000000}" name="Component Type" dataDxfId="825"/>
    <tableColumn id="3" xr3:uid="{00000000-0010-0000-0C00-000003000000}" name="Year Level" dataDxfId="824"/>
    <tableColumn id="4" xr3:uid="{00000000-0010-0000-0C00-000004000000}" name="Study Period" dataDxfId="823"/>
    <tableColumn id="5" xr3:uid="{00000000-0010-0000-0C00-000005000000}" name="Study Package Code" dataDxfId="822"/>
    <tableColumn id="6" xr3:uid="{00000000-0010-0000-0C00-000006000000}" name="Ver" dataDxfId="821"/>
    <tableColumn id="7" xr3:uid="{00000000-0010-0000-0C00-000007000000}" name="Structure Line" dataDxfId="820"/>
    <tableColumn id="8" xr3:uid="{00000000-0010-0000-0C00-000008000000}" name="Credit Points" dataDxfId="819"/>
    <tableColumn id="14" xr3:uid="{00000000-0010-0000-0C00-00000E000000}" name="Effective" dataDxfId="818"/>
    <tableColumn id="15" xr3:uid="{00000000-0010-0000-0C00-00000F000000}" name="Discont." dataDxfId="81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MJRUARVA1" displayName="TableMJRUARVA1" ref="A236:O260" totalsRowShown="0" headerRowDxfId="816">
  <autoFilter ref="A236:O260" xr:uid="{00000000-0009-0000-0100-00000A000000}"/>
  <sortState xmlns:xlrd2="http://schemas.microsoft.com/office/spreadsheetml/2017/richdata2" ref="A237:S244">
    <sortCondition ref="O10:O18"/>
  </sortState>
  <tableColumns count="15">
    <tableColumn id="1" xr3:uid="{00000000-0010-0000-0D00-000001000000}" name="UDC" dataDxfId="815">
      <calculatedColumnFormula>TableMJRUARVA1[[#This Row],[Study Package Code]]</calculatedColumnFormula>
    </tableColumn>
    <tableColumn id="9" xr3:uid="{00000000-0010-0000-0D00-000009000000}" name="Version" dataDxfId="814">
      <calculatedColumnFormula>TableMJRUARVA1[[#This Row],[Ver]]</calculatedColumnFormula>
    </tableColumn>
    <tableColumn id="10" xr3:uid="{00000000-0010-0000-0D00-00000A000000}" name="OUA Code"/>
    <tableColumn id="11" xr3:uid="{00000000-0010-0000-0D00-00000B000000}" name="Unit Title" dataDxfId="813">
      <calculatedColumnFormula>TableMJRUARVA1[[#This Row],[Structure Line]]</calculatedColumnFormula>
    </tableColumn>
    <tableColumn id="12" xr3:uid="{00000000-0010-0000-0D00-00000C000000}" name="CPs" dataDxfId="812">
      <calculatedColumnFormula>TableMJRUARVA1[[#This Row],[Credit Points]]</calculatedColumnFormula>
    </tableColumn>
    <tableColumn id="13" xr3:uid="{00000000-0010-0000-0D00-00000D000000}" name="No." dataDxfId="811"/>
    <tableColumn id="2" xr3:uid="{00000000-0010-0000-0D00-000002000000}" name="Component Type" dataDxfId="810"/>
    <tableColumn id="3" xr3:uid="{00000000-0010-0000-0D00-000003000000}" name="Year Level" dataDxfId="809"/>
    <tableColumn id="4" xr3:uid="{00000000-0010-0000-0D00-000004000000}" name="Study Period" dataDxfId="808"/>
    <tableColumn id="5" xr3:uid="{00000000-0010-0000-0D00-000005000000}" name="Study Package Code" dataDxfId="807"/>
    <tableColumn id="6" xr3:uid="{00000000-0010-0000-0D00-000006000000}" name="Ver" dataDxfId="806"/>
    <tableColumn id="7" xr3:uid="{00000000-0010-0000-0D00-000007000000}" name="Structure Line" dataDxfId="805"/>
    <tableColumn id="8" xr3:uid="{00000000-0010-0000-0D00-000008000000}" name="Credit Points" dataDxfId="804"/>
    <tableColumn id="14" xr3:uid="{00000000-0010-0000-0D00-00000E000000}" name="Effective" dataDxfId="803"/>
    <tableColumn id="15" xr3:uid="{00000000-0010-0000-0D00-00000F000000}" name="Discont." dataDxfId="80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MJRUENGL1" displayName="TableMJRUENGL1" ref="A262:O288" totalsRowShown="0" headerRowDxfId="801">
  <autoFilter ref="A262:O288" xr:uid="{00000000-0009-0000-0100-00000B000000}"/>
  <sortState xmlns:xlrd2="http://schemas.microsoft.com/office/spreadsheetml/2017/richdata2" ref="A259:S266">
    <sortCondition ref="O10:O18"/>
  </sortState>
  <tableColumns count="15">
    <tableColumn id="1" xr3:uid="{00000000-0010-0000-0E00-000001000000}" name="UDC" dataDxfId="800">
      <calculatedColumnFormula>TableMJRUENGL1[[#This Row],[Study Package Code]]</calculatedColumnFormula>
    </tableColumn>
    <tableColumn id="9" xr3:uid="{00000000-0010-0000-0E00-000009000000}" name="Version" dataDxfId="799">
      <calculatedColumnFormula>TableMJRUENGL1[[#This Row],[Ver]]</calculatedColumnFormula>
    </tableColumn>
    <tableColumn id="10" xr3:uid="{00000000-0010-0000-0E00-00000A000000}" name="OUA Code"/>
    <tableColumn id="11" xr3:uid="{00000000-0010-0000-0E00-00000B000000}" name="Unit Title" dataDxfId="798">
      <calculatedColumnFormula>TableMJRUENGL1[[#This Row],[Structure Line]]</calculatedColumnFormula>
    </tableColumn>
    <tableColumn id="12" xr3:uid="{00000000-0010-0000-0E00-00000C000000}" name="CPs" dataDxfId="797">
      <calculatedColumnFormula>TableMJRUENGL1[[#This Row],[Credit Points]]</calculatedColumnFormula>
    </tableColumn>
    <tableColumn id="13" xr3:uid="{00000000-0010-0000-0E00-00000D000000}" name="No." dataDxfId="796"/>
    <tableColumn id="2" xr3:uid="{00000000-0010-0000-0E00-000002000000}" name="Component Type" dataDxfId="795"/>
    <tableColumn id="3" xr3:uid="{00000000-0010-0000-0E00-000003000000}" name="Year Level" dataDxfId="794"/>
    <tableColumn id="4" xr3:uid="{00000000-0010-0000-0E00-000004000000}" name="Study Period" dataDxfId="793"/>
    <tableColumn id="5" xr3:uid="{00000000-0010-0000-0E00-000005000000}" name="Study Package Code" dataDxfId="792"/>
    <tableColumn id="6" xr3:uid="{00000000-0010-0000-0E00-000006000000}" name="Ver" dataDxfId="791"/>
    <tableColumn id="7" xr3:uid="{00000000-0010-0000-0E00-000007000000}" name="Structure Line" dataDxfId="790"/>
    <tableColumn id="8" xr3:uid="{00000000-0010-0000-0E00-000008000000}" name="Credit Points" dataDxfId="789"/>
    <tableColumn id="14" xr3:uid="{00000000-0010-0000-0E00-00000E000000}" name="Effective" dataDxfId="788"/>
    <tableColumn id="15" xr3:uid="{00000000-0010-0000-0E00-00000F000000}" name="Discont." dataDxfId="78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MJRUPHYSE" displayName="TableMJRUPHYSE" ref="A445:O461" totalsRowShown="0" headerRowDxfId="786">
  <autoFilter ref="A445:O461" xr:uid="{00000000-0009-0000-0100-00000C000000}"/>
  <sortState xmlns:xlrd2="http://schemas.microsoft.com/office/spreadsheetml/2017/richdata2" ref="A412:S419">
    <sortCondition ref="O10:O18"/>
  </sortState>
  <tableColumns count="15">
    <tableColumn id="1" xr3:uid="{00000000-0010-0000-0F00-000001000000}" name="UDC" dataDxfId="785">
      <calculatedColumnFormula>TableMJRUPHYSE[[#This Row],[Study Package Code]]</calculatedColumnFormula>
    </tableColumn>
    <tableColumn id="9" xr3:uid="{00000000-0010-0000-0F00-000009000000}" name="Version" dataDxfId="784">
      <calculatedColumnFormula>TableMJRUPHYSE[[#This Row],[Ver]]</calculatedColumnFormula>
    </tableColumn>
    <tableColumn id="10" xr3:uid="{00000000-0010-0000-0F00-00000A000000}" name="OUA Code"/>
    <tableColumn id="11" xr3:uid="{00000000-0010-0000-0F00-00000B000000}" name="Unit Title" dataDxfId="783">
      <calculatedColumnFormula>TableMJRUPHYSE[[#This Row],[Structure Line]]</calculatedColumnFormula>
    </tableColumn>
    <tableColumn id="12" xr3:uid="{00000000-0010-0000-0F00-00000C000000}" name="CPs" dataDxfId="782">
      <calculatedColumnFormula>TableMJRUPHYSE[[#This Row],[Credit Points]]</calculatedColumnFormula>
    </tableColumn>
    <tableColumn id="13" xr3:uid="{00000000-0010-0000-0F00-00000D000000}" name="No." dataDxfId="781"/>
    <tableColumn id="2" xr3:uid="{00000000-0010-0000-0F00-000002000000}" name="Component Type" dataDxfId="780"/>
    <tableColumn id="3" xr3:uid="{00000000-0010-0000-0F00-000003000000}" name="Year Level" dataDxfId="779"/>
    <tableColumn id="4" xr3:uid="{00000000-0010-0000-0F00-000004000000}" name="Study Period" dataDxfId="778"/>
    <tableColumn id="5" xr3:uid="{00000000-0010-0000-0F00-000005000000}" name="Study Package Code" dataDxfId="777"/>
    <tableColumn id="6" xr3:uid="{00000000-0010-0000-0F00-000006000000}" name="Ver" dataDxfId="776"/>
    <tableColumn id="7" xr3:uid="{00000000-0010-0000-0F00-000007000000}" name="Structure Line" dataDxfId="775"/>
    <tableColumn id="8" xr3:uid="{00000000-0010-0000-0F00-000008000000}" name="Credit Points" dataDxfId="774"/>
    <tableColumn id="14" xr3:uid="{00000000-0010-0000-0F00-00000E000000}" name="Effective" dataDxfId="773"/>
    <tableColumn id="15" xr3:uid="{00000000-0010-0000-0F00-00000F000000}" name="Discont." dataDxfId="77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MJRUHSEC1" displayName="TableMJRUHSEC1" ref="A290:O319" totalsRowShown="0" headerRowDxfId="771">
  <autoFilter ref="A290:O319" xr:uid="{00000000-0009-0000-0100-00000E000000}"/>
  <sortState xmlns:xlrd2="http://schemas.microsoft.com/office/spreadsheetml/2017/richdata2" ref="A305:S312">
    <sortCondition ref="O10:O18"/>
  </sortState>
  <tableColumns count="15">
    <tableColumn id="1" xr3:uid="{00000000-0010-0000-1000-000001000000}" name="UDC" dataDxfId="770">
      <calculatedColumnFormula>TableMJRUHSEC1[[#This Row],[Study Package Code]]</calculatedColumnFormula>
    </tableColumn>
    <tableColumn id="9" xr3:uid="{00000000-0010-0000-1000-000009000000}" name="Version" dataDxfId="769">
      <calculatedColumnFormula>TableMJRUHSEC1[[#This Row],[Ver]]</calculatedColumnFormula>
    </tableColumn>
    <tableColumn id="10" xr3:uid="{00000000-0010-0000-1000-00000A000000}" name="OUA Code"/>
    <tableColumn id="11" xr3:uid="{00000000-0010-0000-1000-00000B000000}" name="Unit Title" dataDxfId="768">
      <calculatedColumnFormula>TableMJRUHSEC1[[#This Row],[Structure Line]]</calculatedColumnFormula>
    </tableColumn>
    <tableColumn id="12" xr3:uid="{00000000-0010-0000-1000-00000C000000}" name="CPs" dataDxfId="767">
      <calculatedColumnFormula>TableMJRUHSEC1[[#This Row],[Credit Points]]</calculatedColumnFormula>
    </tableColumn>
    <tableColumn id="13" xr3:uid="{00000000-0010-0000-1000-00000D000000}" name="No." dataDxfId="766"/>
    <tableColumn id="2" xr3:uid="{00000000-0010-0000-1000-000002000000}" name="Component Type" dataDxfId="765"/>
    <tableColumn id="3" xr3:uid="{00000000-0010-0000-1000-000003000000}" name="Year Level" dataDxfId="764"/>
    <tableColumn id="4" xr3:uid="{00000000-0010-0000-1000-000004000000}" name="Study Period" dataDxfId="763"/>
    <tableColumn id="5" xr3:uid="{00000000-0010-0000-1000-000005000000}" name="Study Package Code" dataDxfId="762"/>
    <tableColumn id="6" xr3:uid="{00000000-0010-0000-1000-000006000000}" name="Ver" dataDxfId="761"/>
    <tableColumn id="7" xr3:uid="{00000000-0010-0000-1000-000007000000}" name="Structure Line" dataDxfId="760"/>
    <tableColumn id="8" xr3:uid="{00000000-0010-0000-1000-000008000000}" name="Credit Points" dataDxfId="759"/>
    <tableColumn id="14" xr3:uid="{00000000-0010-0000-1000-00000E000000}" name="Effective" dataDxfId="758"/>
    <tableColumn id="15" xr3:uid="{00000000-0010-0000-1000-00000F000000}" name="Discont." dataDxfId="75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MJRUHSGE1" displayName="TableMJRUHSGE1" ref="A321:O352" totalsRowShown="0" headerRowDxfId="756">
  <autoFilter ref="A321:O352" xr:uid="{00000000-0009-0000-0100-00000F000000}"/>
  <sortState xmlns:xlrd2="http://schemas.microsoft.com/office/spreadsheetml/2017/richdata2" ref="A323:S330">
    <sortCondition ref="O10:O18"/>
  </sortState>
  <tableColumns count="15">
    <tableColumn id="1" xr3:uid="{00000000-0010-0000-1100-000001000000}" name="UDC" dataDxfId="755">
      <calculatedColumnFormula>TableMJRUHSGE1[[#This Row],[Study Package Code]]</calculatedColumnFormula>
    </tableColumn>
    <tableColumn id="9" xr3:uid="{00000000-0010-0000-1100-000009000000}" name="Version" dataDxfId="754">
      <calculatedColumnFormula>TableMJRUHSGE1[[#This Row],[Ver]]</calculatedColumnFormula>
    </tableColumn>
    <tableColumn id="10" xr3:uid="{00000000-0010-0000-1100-00000A000000}" name="OUA Code"/>
    <tableColumn id="11" xr3:uid="{00000000-0010-0000-1100-00000B000000}" name="Unit Title" dataDxfId="753">
      <calculatedColumnFormula>TableMJRUHSGE1[[#This Row],[Structure Line]]</calculatedColumnFormula>
    </tableColumn>
    <tableColumn id="12" xr3:uid="{00000000-0010-0000-1100-00000C000000}" name="CPs" dataDxfId="752">
      <calculatedColumnFormula>TableMJRUHSGE1[[#This Row],[Credit Points]]</calculatedColumnFormula>
    </tableColumn>
    <tableColumn id="13" xr3:uid="{00000000-0010-0000-1100-00000D000000}" name="No." dataDxfId="751"/>
    <tableColumn id="2" xr3:uid="{00000000-0010-0000-1100-000002000000}" name="Component Type" dataDxfId="750"/>
    <tableColumn id="3" xr3:uid="{00000000-0010-0000-1100-000003000000}" name="Year Level" dataDxfId="749"/>
    <tableColumn id="4" xr3:uid="{00000000-0010-0000-1100-000004000000}" name="Study Period" dataDxfId="748"/>
    <tableColumn id="5" xr3:uid="{00000000-0010-0000-1100-000005000000}" name="Study Package Code" dataDxfId="747"/>
    <tableColumn id="6" xr3:uid="{00000000-0010-0000-1100-000006000000}" name="Ver" dataDxfId="746"/>
    <tableColumn id="7" xr3:uid="{00000000-0010-0000-1100-000007000000}" name="Structure Line" dataDxfId="745"/>
    <tableColumn id="8" xr3:uid="{00000000-0010-0000-1100-000008000000}" name="Credit Points" dataDxfId="744"/>
    <tableColumn id="14" xr3:uid="{00000000-0010-0000-1100-00000E000000}" name="Effective" dataDxfId="743"/>
    <tableColumn id="15" xr3:uid="{00000000-0010-0000-1100-00000F000000}" name="Discont." dataDxfId="74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eMJRUHSHI1" displayName="TableMJRUHSHI1" ref="A354:O388" totalsRowShown="0" headerRowDxfId="741">
  <autoFilter ref="A354:O388" xr:uid="{00000000-0009-0000-0100-000010000000}"/>
  <sortState xmlns:xlrd2="http://schemas.microsoft.com/office/spreadsheetml/2017/richdata2" ref="A345:S352">
    <sortCondition ref="O10:O18"/>
  </sortState>
  <tableColumns count="15">
    <tableColumn id="1" xr3:uid="{00000000-0010-0000-1200-000001000000}" name="UDC" dataDxfId="740">
      <calculatedColumnFormula>TableMJRUHSHI1[[#This Row],[Study Package Code]]</calculatedColumnFormula>
    </tableColumn>
    <tableColumn id="9" xr3:uid="{00000000-0010-0000-1200-000009000000}" name="Version" dataDxfId="739">
      <calculatedColumnFormula>TableMJRUHSHI1[[#This Row],[Ver]]</calculatedColumnFormula>
    </tableColumn>
    <tableColumn id="10" xr3:uid="{00000000-0010-0000-1200-00000A000000}" name="OUA Code"/>
    <tableColumn id="11" xr3:uid="{00000000-0010-0000-1200-00000B000000}" name="Unit Title" dataDxfId="738">
      <calculatedColumnFormula>TableMJRUHSHI1[[#This Row],[Structure Line]]</calculatedColumnFormula>
    </tableColumn>
    <tableColumn id="12" xr3:uid="{00000000-0010-0000-1200-00000C000000}" name="CPs" dataDxfId="737">
      <calculatedColumnFormula>TableMJRUHSHI1[[#This Row],[Credit Points]]</calculatedColumnFormula>
    </tableColumn>
    <tableColumn id="13" xr3:uid="{00000000-0010-0000-1200-00000D000000}" name="No." dataDxfId="736"/>
    <tableColumn id="2" xr3:uid="{00000000-0010-0000-1200-000002000000}" name="Component Type" dataDxfId="735"/>
    <tableColumn id="3" xr3:uid="{00000000-0010-0000-1200-000003000000}" name="Year Level" dataDxfId="734"/>
    <tableColumn id="4" xr3:uid="{00000000-0010-0000-1200-000004000000}" name="Study Period" dataDxfId="733"/>
    <tableColumn id="5" xr3:uid="{00000000-0010-0000-1200-000005000000}" name="Study Package Code" dataDxfId="732"/>
    <tableColumn id="6" xr3:uid="{00000000-0010-0000-1200-000006000000}" name="Ver" dataDxfId="731"/>
    <tableColumn id="7" xr3:uid="{00000000-0010-0000-1200-000007000000}" name="Structure Line" dataDxfId="730"/>
    <tableColumn id="8" xr3:uid="{00000000-0010-0000-1200-000008000000}" name="Credit Points" dataDxfId="729"/>
    <tableColumn id="14" xr3:uid="{00000000-0010-0000-1200-00000E000000}" name="Effective" dataDxfId="728"/>
    <tableColumn id="15" xr3:uid="{00000000-0010-0000-1200-00000F000000}" name="Discont." dataDxfId="72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MJRUHSPL1" displayName="TableMJRUHSPL1" ref="A390:O420" totalsRowShown="0" headerRowDxfId="726">
  <autoFilter ref="A390:O420" xr:uid="{00000000-0009-0000-0100-000011000000}"/>
  <sortState xmlns:xlrd2="http://schemas.microsoft.com/office/spreadsheetml/2017/richdata2" ref="A367:S374">
    <sortCondition ref="O10:O18"/>
  </sortState>
  <tableColumns count="15">
    <tableColumn id="1" xr3:uid="{00000000-0010-0000-1300-000001000000}" name="UDC" dataDxfId="725">
      <calculatedColumnFormula>TableMJRUHSPL1[[#This Row],[Study Package Code]]</calculatedColumnFormula>
    </tableColumn>
    <tableColumn id="9" xr3:uid="{00000000-0010-0000-1300-000009000000}" name="Version" dataDxfId="724">
      <calculatedColumnFormula>TableMJRUHSPL1[[#This Row],[Ver]]</calculatedColumnFormula>
    </tableColumn>
    <tableColumn id="10" xr3:uid="{00000000-0010-0000-1300-00000A000000}" name="OUA Code"/>
    <tableColumn id="11" xr3:uid="{00000000-0010-0000-1300-00000B000000}" name="Unit Title" dataDxfId="723">
      <calculatedColumnFormula>TableMJRUHSPL1[[#This Row],[Structure Line]]</calculatedColumnFormula>
    </tableColumn>
    <tableColumn id="12" xr3:uid="{00000000-0010-0000-1300-00000C000000}" name="CPs" dataDxfId="722">
      <calculatedColumnFormula>TableMJRUHSPL1[[#This Row],[Credit Points]]</calculatedColumnFormula>
    </tableColumn>
    <tableColumn id="13" xr3:uid="{00000000-0010-0000-1300-00000D000000}" name="No." dataDxfId="721"/>
    <tableColumn id="2" xr3:uid="{00000000-0010-0000-1300-000002000000}" name="Component Type" dataDxfId="720"/>
    <tableColumn id="3" xr3:uid="{00000000-0010-0000-1300-000003000000}" name="Year Level" dataDxfId="719"/>
    <tableColumn id="4" xr3:uid="{00000000-0010-0000-1300-000004000000}" name="Study Period" dataDxfId="718"/>
    <tableColumn id="5" xr3:uid="{00000000-0010-0000-1300-000005000000}" name="Study Package Code" dataDxfId="717"/>
    <tableColumn id="6" xr3:uid="{00000000-0010-0000-1300-000006000000}" name="Ver" dataDxfId="716"/>
    <tableColumn id="7" xr3:uid="{00000000-0010-0000-1300-000007000000}" name="Structure Line" dataDxfId="715"/>
    <tableColumn id="8" xr3:uid="{00000000-0010-0000-1300-000008000000}" name="Credit Points" dataDxfId="714"/>
    <tableColumn id="14" xr3:uid="{00000000-0010-0000-1300-00000E000000}" name="Effective" dataDxfId="713"/>
    <tableColumn id="15" xr3:uid="{00000000-0010-0000-1300-00000F000000}" name="Discont." dataDxfId="71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TableMJRUMATH1" displayName="TableMJRUMATH1" ref="A422:O443" totalsRowShown="0" headerRowDxfId="711">
  <autoFilter ref="A422:O443" xr:uid="{00000000-0009-0000-0100-000012000000}"/>
  <sortState xmlns:xlrd2="http://schemas.microsoft.com/office/spreadsheetml/2017/richdata2" ref="A389:S396">
    <sortCondition ref="O10:O18"/>
  </sortState>
  <tableColumns count="15">
    <tableColumn id="1" xr3:uid="{00000000-0010-0000-1400-000001000000}" name="UDC" dataDxfId="710">
      <calculatedColumnFormula>TableMJRUMATH1[[#This Row],[Study Package Code]]</calculatedColumnFormula>
    </tableColumn>
    <tableColumn id="9" xr3:uid="{00000000-0010-0000-1400-000009000000}" name="Version" dataDxfId="709">
      <calculatedColumnFormula>TableMJRUMATH1[[#This Row],[Ver]]</calculatedColumnFormula>
    </tableColumn>
    <tableColumn id="10" xr3:uid="{00000000-0010-0000-1400-00000A000000}" name="OUA Code"/>
    <tableColumn id="11" xr3:uid="{00000000-0010-0000-1400-00000B000000}" name="Unit Title" dataDxfId="708">
      <calculatedColumnFormula>TableMJRUMATH1[[#This Row],[Structure Line]]</calculatedColumnFormula>
    </tableColumn>
    <tableColumn id="12" xr3:uid="{00000000-0010-0000-1400-00000C000000}" name="CPs" dataDxfId="707">
      <calculatedColumnFormula>TableMJRUMATH1[[#This Row],[Credit Points]]</calculatedColumnFormula>
    </tableColumn>
    <tableColumn id="13" xr3:uid="{00000000-0010-0000-1400-00000D000000}" name="No." dataDxfId="706"/>
    <tableColumn id="2" xr3:uid="{00000000-0010-0000-1400-000002000000}" name="Component Type" dataDxfId="705"/>
    <tableColumn id="3" xr3:uid="{00000000-0010-0000-1400-000003000000}" name="Year Level" dataDxfId="704"/>
    <tableColumn id="4" xr3:uid="{00000000-0010-0000-1400-000004000000}" name="Study Period" dataDxfId="703"/>
    <tableColumn id="5" xr3:uid="{00000000-0010-0000-1400-000005000000}" name="Study Package Code" dataDxfId="702"/>
    <tableColumn id="6" xr3:uid="{00000000-0010-0000-1400-000006000000}" name="Ver" dataDxfId="701"/>
    <tableColumn id="7" xr3:uid="{00000000-0010-0000-1400-000007000000}" name="Structure Line" dataDxfId="700"/>
    <tableColumn id="8" xr3:uid="{00000000-0010-0000-1400-000008000000}" name="Credit Points" dataDxfId="699"/>
    <tableColumn id="14" xr3:uid="{00000000-0010-0000-1400-00000E000000}" name="Effective" dataDxfId="698"/>
    <tableColumn id="15" xr3:uid="{00000000-0010-0000-1400-00000F000000}" name="Discont." dataDxfId="697"/>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MJRUSCBI1" displayName="TableMJRUSCBI1" ref="A463:O489" totalsRowShown="0" headerRowDxfId="696">
  <autoFilter ref="A463:O489" xr:uid="{00000000-0009-0000-0100-000013000000}"/>
  <sortState xmlns:xlrd2="http://schemas.microsoft.com/office/spreadsheetml/2017/richdata2" ref="A413:S420">
    <sortCondition ref="O10:O18"/>
  </sortState>
  <tableColumns count="15">
    <tableColumn id="1" xr3:uid="{00000000-0010-0000-1500-000001000000}" name="UDC" dataDxfId="695">
      <calculatedColumnFormula>TableMJRUSCBI1[[#This Row],[Study Package Code]]</calculatedColumnFormula>
    </tableColumn>
    <tableColumn id="9" xr3:uid="{00000000-0010-0000-1500-000009000000}" name="Version" dataDxfId="694">
      <calculatedColumnFormula>TableMJRUSCBI1[[#This Row],[Ver]]</calculatedColumnFormula>
    </tableColumn>
    <tableColumn id="10" xr3:uid="{00000000-0010-0000-1500-00000A000000}" name="OUA Code"/>
    <tableColumn id="11" xr3:uid="{00000000-0010-0000-1500-00000B000000}" name="Unit Title" dataDxfId="693">
      <calculatedColumnFormula>TableMJRUSCBI1[[#This Row],[Structure Line]]</calculatedColumnFormula>
    </tableColumn>
    <tableColumn id="12" xr3:uid="{00000000-0010-0000-1500-00000C000000}" name="CPs" dataDxfId="692">
      <calculatedColumnFormula>TableMJRUSCBI1[[#This Row],[Credit Points]]</calculatedColumnFormula>
    </tableColumn>
    <tableColumn id="13" xr3:uid="{00000000-0010-0000-1500-00000D000000}" name="No." dataDxfId="691"/>
    <tableColumn id="2" xr3:uid="{00000000-0010-0000-1500-000002000000}" name="Component Type" dataDxfId="690"/>
    <tableColumn id="3" xr3:uid="{00000000-0010-0000-1500-000003000000}" name="Year Level" dataDxfId="689"/>
    <tableColumn id="4" xr3:uid="{00000000-0010-0000-1500-000004000000}" name="Study Period" dataDxfId="688"/>
    <tableColumn id="5" xr3:uid="{00000000-0010-0000-1500-000005000000}" name="Study Package Code" dataDxfId="687"/>
    <tableColumn id="6" xr3:uid="{00000000-0010-0000-1500-000006000000}" name="Ver" dataDxfId="686"/>
    <tableColumn id="7" xr3:uid="{00000000-0010-0000-1500-000007000000}" name="Structure Line" dataDxfId="685"/>
    <tableColumn id="8" xr3:uid="{00000000-0010-0000-1500-000008000000}" name="Credit Points" dataDxfId="684"/>
    <tableColumn id="14" xr3:uid="{00000000-0010-0000-1500-00000E000000}" name="Effective" dataDxfId="683"/>
    <tableColumn id="15" xr3:uid="{00000000-0010-0000-1500-00000F000000}" name="Discont." dataDxfId="68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6000000}" name="TableMJRUSCCH1" displayName="TableMJRUSCCH1" ref="A491:O518" totalsRowShown="0" headerRowDxfId="681">
  <autoFilter ref="A491:O518" xr:uid="{00000000-0009-0000-0100-000014000000}"/>
  <sortState xmlns:xlrd2="http://schemas.microsoft.com/office/spreadsheetml/2017/richdata2" ref="A436:S443">
    <sortCondition ref="O10:O18"/>
  </sortState>
  <tableColumns count="15">
    <tableColumn id="1" xr3:uid="{00000000-0010-0000-1600-000001000000}" name="UDC" dataDxfId="680">
      <calculatedColumnFormula>TableMJRUSCCH1[[#This Row],[Study Package Code]]</calculatedColumnFormula>
    </tableColumn>
    <tableColumn id="9" xr3:uid="{00000000-0010-0000-1600-000009000000}" name="Version" dataDxfId="679">
      <calculatedColumnFormula>TableMJRUSCCH1[[#This Row],[Ver]]</calculatedColumnFormula>
    </tableColumn>
    <tableColumn id="10" xr3:uid="{00000000-0010-0000-1600-00000A000000}" name="OUA Code"/>
    <tableColumn id="11" xr3:uid="{00000000-0010-0000-1600-00000B000000}" name="Unit Title" dataDxfId="678">
      <calculatedColumnFormula>TableMJRUSCCH1[[#This Row],[Structure Line]]</calculatedColumnFormula>
    </tableColumn>
    <tableColumn id="12" xr3:uid="{00000000-0010-0000-1600-00000C000000}" name="CPs" dataDxfId="677">
      <calculatedColumnFormula>TableMJRUSCCH1[[#This Row],[Credit Points]]</calculatedColumnFormula>
    </tableColumn>
    <tableColumn id="13" xr3:uid="{00000000-0010-0000-1600-00000D000000}" name="No." dataDxfId="676"/>
    <tableColumn id="2" xr3:uid="{00000000-0010-0000-1600-000002000000}" name="Component Type" dataDxfId="675"/>
    <tableColumn id="3" xr3:uid="{00000000-0010-0000-1600-000003000000}" name="Year Level" dataDxfId="674"/>
    <tableColumn id="4" xr3:uid="{00000000-0010-0000-1600-000004000000}" name="Study Period" dataDxfId="673"/>
    <tableColumn id="5" xr3:uid="{00000000-0010-0000-1600-000005000000}" name="Study Package Code" dataDxfId="672"/>
    <tableColumn id="6" xr3:uid="{00000000-0010-0000-1600-000006000000}" name="Ver" dataDxfId="671"/>
    <tableColumn id="7" xr3:uid="{00000000-0010-0000-1600-000007000000}" name="Structure Line" dataDxfId="670"/>
    <tableColumn id="8" xr3:uid="{00000000-0010-0000-1600-000008000000}" name="Credit Points" dataDxfId="669"/>
    <tableColumn id="14" xr3:uid="{00000000-0010-0000-1600-00000E000000}" name="Effective" dataDxfId="668"/>
    <tableColumn id="15" xr3:uid="{00000000-0010-0000-1600-00000F000000}" name="Discont." dataDxfId="667"/>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7000000}" name="TableMJRUSCHB1" displayName="TableMJRUSCHB1" ref="A520:O542" totalsRowShown="0" headerRowDxfId="666">
  <autoFilter ref="A520:O542" xr:uid="{00000000-0009-0000-0100-000015000000}"/>
  <sortState xmlns:xlrd2="http://schemas.microsoft.com/office/spreadsheetml/2017/richdata2" ref="A459:S466">
    <sortCondition ref="O10:O18"/>
  </sortState>
  <tableColumns count="15">
    <tableColumn id="1" xr3:uid="{00000000-0010-0000-1700-000001000000}" name="UDC" dataDxfId="665">
      <calculatedColumnFormula>TableMJRUSCHB1[[#This Row],[Study Package Code]]</calculatedColumnFormula>
    </tableColumn>
    <tableColumn id="9" xr3:uid="{00000000-0010-0000-1700-000009000000}" name="Version" dataDxfId="664">
      <calculatedColumnFormula>TableMJRUSCHB1[[#This Row],[Ver]]</calculatedColumnFormula>
    </tableColumn>
    <tableColumn id="10" xr3:uid="{00000000-0010-0000-1700-00000A000000}" name="OUA Code"/>
    <tableColumn id="11" xr3:uid="{00000000-0010-0000-1700-00000B000000}" name="Unit Title" dataDxfId="663">
      <calculatedColumnFormula>TableMJRUSCHB1[[#This Row],[Structure Line]]</calculatedColumnFormula>
    </tableColumn>
    <tableColumn id="12" xr3:uid="{00000000-0010-0000-1700-00000C000000}" name="CPs" dataDxfId="662">
      <calculatedColumnFormula>TableMJRUSCHB1[[#This Row],[Credit Points]]</calculatedColumnFormula>
    </tableColumn>
    <tableColumn id="13" xr3:uid="{00000000-0010-0000-1700-00000D000000}" name="No." dataDxfId="661"/>
    <tableColumn id="2" xr3:uid="{00000000-0010-0000-1700-000002000000}" name="Component Type" dataDxfId="660"/>
    <tableColumn id="3" xr3:uid="{00000000-0010-0000-1700-000003000000}" name="Year Level" dataDxfId="659"/>
    <tableColumn id="4" xr3:uid="{00000000-0010-0000-1700-000004000000}" name="Study Period" dataDxfId="658"/>
    <tableColumn id="5" xr3:uid="{00000000-0010-0000-1700-000005000000}" name="Study Package Code" dataDxfId="657"/>
    <tableColumn id="6" xr3:uid="{00000000-0010-0000-1700-000006000000}" name="Ver" dataDxfId="656"/>
    <tableColumn id="7" xr3:uid="{00000000-0010-0000-1700-000007000000}" name="Structure Line" dataDxfId="655"/>
    <tableColumn id="8" xr3:uid="{00000000-0010-0000-1700-000008000000}" name="Credit Points" dataDxfId="654"/>
    <tableColumn id="14" xr3:uid="{00000000-0010-0000-1700-00000E000000}" name="Effective" dataDxfId="653"/>
    <tableColumn id="15" xr3:uid="{00000000-0010-0000-1700-00000F000000}" name="Discont." dataDxfId="652"/>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8000000}" name="TableMJRUSCPH1" displayName="TableMJRUSCPH1" ref="A544:O560" totalsRowShown="0" headerRowDxfId="651">
  <autoFilter ref="A544:O560" xr:uid="{00000000-0009-0000-0100-000016000000}"/>
  <sortState xmlns:xlrd2="http://schemas.microsoft.com/office/spreadsheetml/2017/richdata2" ref="A480:S487">
    <sortCondition ref="O10:O18"/>
  </sortState>
  <tableColumns count="15">
    <tableColumn id="1" xr3:uid="{00000000-0010-0000-1800-000001000000}" name="UDC" dataDxfId="650">
      <calculatedColumnFormula>TableMJRUSCPH1[[#This Row],[Study Package Code]]</calculatedColumnFormula>
    </tableColumn>
    <tableColumn id="9" xr3:uid="{00000000-0010-0000-1800-000009000000}" name="Version" dataDxfId="649">
      <calculatedColumnFormula>TableMJRUSCPH1[[#This Row],[Ver]]</calculatedColumnFormula>
    </tableColumn>
    <tableColumn id="10" xr3:uid="{00000000-0010-0000-1800-00000A000000}" name="OUA Code"/>
    <tableColumn id="11" xr3:uid="{00000000-0010-0000-1800-00000B000000}" name="Unit Title" dataDxfId="648">
      <calculatedColumnFormula>TableMJRUSCPH1[[#This Row],[Structure Line]]</calculatedColumnFormula>
    </tableColumn>
    <tableColumn id="12" xr3:uid="{00000000-0010-0000-1800-00000C000000}" name="CPs" dataDxfId="647">
      <calculatedColumnFormula>TableMJRUSCPH1[[#This Row],[Credit Points]]</calculatedColumnFormula>
    </tableColumn>
    <tableColumn id="13" xr3:uid="{00000000-0010-0000-1800-00000D000000}" name="No." dataDxfId="646"/>
    <tableColumn id="2" xr3:uid="{00000000-0010-0000-1800-000002000000}" name="Component Type" dataDxfId="645"/>
    <tableColumn id="3" xr3:uid="{00000000-0010-0000-1800-000003000000}" name="Year Level" dataDxfId="644"/>
    <tableColumn id="4" xr3:uid="{00000000-0010-0000-1800-000004000000}" name="Study Period" dataDxfId="643"/>
    <tableColumn id="5" xr3:uid="{00000000-0010-0000-1800-000005000000}" name="Study Package Code" dataDxfId="642"/>
    <tableColumn id="6" xr3:uid="{00000000-0010-0000-1800-000006000000}" name="Ver" dataDxfId="641"/>
    <tableColumn id="7" xr3:uid="{00000000-0010-0000-1800-000007000000}" name="Structure Line" dataDxfId="640"/>
    <tableColumn id="8" xr3:uid="{00000000-0010-0000-1800-000008000000}" name="Credit Points" dataDxfId="639"/>
    <tableColumn id="14" xr3:uid="{00000000-0010-0000-1800-00000E000000}" name="Effective" dataDxfId="638"/>
    <tableColumn id="15" xr3:uid="{00000000-0010-0000-1800-00000F000000}" name="Discont." dataDxfId="63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9000000}" name="TableMJRUSCPS1" displayName="TableMJRUSCPS1" ref="A562:O584" totalsRowShown="0" headerRowDxfId="636">
  <autoFilter ref="A562:O584" xr:uid="{00000000-0009-0000-0100-000017000000}"/>
  <sortState xmlns:xlrd2="http://schemas.microsoft.com/office/spreadsheetml/2017/richdata2" ref="A503:S510">
    <sortCondition ref="O10:O18"/>
  </sortState>
  <tableColumns count="15">
    <tableColumn id="1" xr3:uid="{00000000-0010-0000-1900-000001000000}" name="UDC" dataDxfId="635">
      <calculatedColumnFormula>TableMJRUSCPS1[[#This Row],[Study Package Code]]</calculatedColumnFormula>
    </tableColumn>
    <tableColumn id="9" xr3:uid="{00000000-0010-0000-1900-000009000000}" name="Version" dataDxfId="634">
      <calculatedColumnFormula>TableMJRUSCPS1[[#This Row],[Ver]]</calculatedColumnFormula>
    </tableColumn>
    <tableColumn id="10" xr3:uid="{00000000-0010-0000-1900-00000A000000}" name="OUA Code"/>
    <tableColumn id="11" xr3:uid="{00000000-0010-0000-1900-00000B000000}" name="Unit Title" dataDxfId="633">
      <calculatedColumnFormula>TableMJRUSCPS1[[#This Row],[Structure Line]]</calculatedColumnFormula>
    </tableColumn>
    <tableColumn id="12" xr3:uid="{00000000-0010-0000-1900-00000C000000}" name="CPs" dataDxfId="632">
      <calculatedColumnFormula>TableMJRUSCPS1[[#This Row],[Credit Points]]</calculatedColumnFormula>
    </tableColumn>
    <tableColumn id="13" xr3:uid="{00000000-0010-0000-1900-00000D000000}" name="No." dataDxfId="631"/>
    <tableColumn id="2" xr3:uid="{00000000-0010-0000-1900-000002000000}" name="Component Type" dataDxfId="630"/>
    <tableColumn id="3" xr3:uid="{00000000-0010-0000-1900-000003000000}" name="Year Level" dataDxfId="629"/>
    <tableColumn id="4" xr3:uid="{00000000-0010-0000-1900-000004000000}" name="Study Period" dataDxfId="628"/>
    <tableColumn id="5" xr3:uid="{00000000-0010-0000-1900-000005000000}" name="Study Package Code" dataDxfId="627"/>
    <tableColumn id="6" xr3:uid="{00000000-0010-0000-1900-000006000000}" name="Ver" dataDxfId="626"/>
    <tableColumn id="7" xr3:uid="{00000000-0010-0000-1900-000007000000}" name="Structure Line" dataDxfId="625"/>
    <tableColumn id="8" xr3:uid="{00000000-0010-0000-1900-000008000000}" name="Credit Points" dataDxfId="624"/>
    <tableColumn id="14" xr3:uid="{00000000-0010-0000-1900-00000E000000}" name="Effective" dataDxfId="623"/>
    <tableColumn id="15" xr3:uid="{00000000-0010-0000-1900-00000F000000}" name="Discont." dataDxfId="622"/>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TRUBIOLB" displayName="TableSTRUBIOLB" ref="A587:O616" totalsRowShown="0" headerRowDxfId="621">
  <autoFilter ref="A587:O616" xr:uid="{00000000-0009-0000-0100-00001A000000}"/>
  <sortState xmlns:xlrd2="http://schemas.microsoft.com/office/spreadsheetml/2017/richdata2" ref="A519:S526">
    <sortCondition ref="O10:O18"/>
  </sortState>
  <tableColumns count="15">
    <tableColumn id="1" xr3:uid="{00000000-0010-0000-1A00-000001000000}" name="UDC" dataDxfId="620">
      <calculatedColumnFormula>TableSTRUBIOLB[[#This Row],[Study Package Code]]</calculatedColumnFormula>
    </tableColumn>
    <tableColumn id="9" xr3:uid="{00000000-0010-0000-1A00-000009000000}" name="Version" dataDxfId="619">
      <calculatedColumnFormula>TableSTRUBIOLB[[#This Row],[Ver]]</calculatedColumnFormula>
    </tableColumn>
    <tableColumn id="10" xr3:uid="{00000000-0010-0000-1A00-00000A000000}" name="OUA Code"/>
    <tableColumn id="11" xr3:uid="{00000000-0010-0000-1A00-00000B000000}" name="Unit Title" dataDxfId="618">
      <calculatedColumnFormula>TableSTRUBIOLB[[#This Row],[Structure Line]]</calculatedColumnFormula>
    </tableColumn>
    <tableColumn id="12" xr3:uid="{00000000-0010-0000-1A00-00000C000000}" name="CPs" dataDxfId="617">
      <calculatedColumnFormula>TableSTRUBIOLB[[#This Row],[Credit Points]]</calculatedColumnFormula>
    </tableColumn>
    <tableColumn id="13" xr3:uid="{00000000-0010-0000-1A00-00000D000000}" name="No." dataDxfId="616"/>
    <tableColumn id="2" xr3:uid="{00000000-0010-0000-1A00-000002000000}" name="Component Type" dataDxfId="615"/>
    <tableColumn id="3" xr3:uid="{00000000-0010-0000-1A00-000003000000}" name="Year Level" dataDxfId="614"/>
    <tableColumn id="4" xr3:uid="{00000000-0010-0000-1A00-000004000000}" name="Study Period" dataDxfId="613"/>
    <tableColumn id="5" xr3:uid="{00000000-0010-0000-1A00-000005000000}" name="Study Package Code" dataDxfId="612"/>
    <tableColumn id="6" xr3:uid="{00000000-0010-0000-1A00-000006000000}" name="Ver" dataDxfId="611"/>
    <tableColumn id="7" xr3:uid="{00000000-0010-0000-1A00-000007000000}" name="Structure Line" dataDxfId="610"/>
    <tableColumn id="8" xr3:uid="{00000000-0010-0000-1A00-000008000000}" name="Credit Points" dataDxfId="609"/>
    <tableColumn id="14" xr3:uid="{00000000-0010-0000-1A00-00000E000000}" name="Effective" dataDxfId="608"/>
    <tableColumn id="15" xr3:uid="{00000000-0010-0000-1A00-00000F000000}" name="Discont." dataDxfId="60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STRUBSCIM" displayName="TableSTRUBSCIM" ref="A618:O633" totalsRowShown="0" headerRowDxfId="606">
  <autoFilter ref="A618:O633" xr:uid="{00000000-0009-0000-0100-00001D000000}"/>
  <sortState xmlns:xlrd2="http://schemas.microsoft.com/office/spreadsheetml/2017/richdata2" ref="A548:S555">
    <sortCondition ref="O10:O18"/>
  </sortState>
  <tableColumns count="15">
    <tableColumn id="1" xr3:uid="{00000000-0010-0000-1B00-000001000000}" name="UDC" dataDxfId="605">
      <calculatedColumnFormula>TableSTRUBSCIM[[#This Row],[Study Package Code]]</calculatedColumnFormula>
    </tableColumn>
    <tableColumn id="9" xr3:uid="{00000000-0010-0000-1B00-000009000000}" name="Version" dataDxfId="604">
      <calculatedColumnFormula>TableSTRUBSCIM[[#This Row],[Ver]]</calculatedColumnFormula>
    </tableColumn>
    <tableColumn id="10" xr3:uid="{00000000-0010-0000-1B00-00000A000000}" name="OUA Code"/>
    <tableColumn id="11" xr3:uid="{00000000-0010-0000-1B00-00000B000000}" name="Unit Title" dataDxfId="603">
      <calculatedColumnFormula>TableSTRUBSCIM[[#This Row],[Structure Line]]</calculatedColumnFormula>
    </tableColumn>
    <tableColumn id="12" xr3:uid="{00000000-0010-0000-1B00-00000C000000}" name="CPs" dataDxfId="602">
      <calculatedColumnFormula>TableSTRUBSCIM[[#This Row],[Credit Points]]</calculatedColumnFormula>
    </tableColumn>
    <tableColumn id="13" xr3:uid="{00000000-0010-0000-1B00-00000D000000}" name="No." dataDxfId="601"/>
    <tableColumn id="2" xr3:uid="{00000000-0010-0000-1B00-000002000000}" name="Component Type" dataDxfId="600"/>
    <tableColumn id="3" xr3:uid="{00000000-0010-0000-1B00-000003000000}" name="Year Level" dataDxfId="599"/>
    <tableColumn id="4" xr3:uid="{00000000-0010-0000-1B00-000004000000}" name="Study Period" dataDxfId="598"/>
    <tableColumn id="5" xr3:uid="{00000000-0010-0000-1B00-000005000000}" name="Study Package Code" dataDxfId="597"/>
    <tableColumn id="6" xr3:uid="{00000000-0010-0000-1B00-000006000000}" name="Ver" dataDxfId="596"/>
    <tableColumn id="7" xr3:uid="{00000000-0010-0000-1B00-000007000000}" name="Structure Line" dataDxfId="595"/>
    <tableColumn id="8" xr3:uid="{00000000-0010-0000-1B00-000008000000}" name="Credit Points" dataDxfId="594"/>
    <tableColumn id="14" xr3:uid="{00000000-0010-0000-1B00-00000E000000}" name="Effective" dataDxfId="593"/>
    <tableColumn id="15" xr3:uid="{00000000-0010-0000-1B00-00000F000000}" name="Discont." dataDxfId="592"/>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STRUCHEMB" displayName="TableSTRUCHEMB" ref="A635:O665" totalsRowShown="0" headerRowDxfId="591">
  <autoFilter ref="A635:O665" xr:uid="{00000000-0009-0000-0100-00001E000000}"/>
  <sortState xmlns:xlrd2="http://schemas.microsoft.com/office/spreadsheetml/2017/richdata2" ref="A577:S584">
    <sortCondition ref="O10:O18"/>
  </sortState>
  <tableColumns count="15">
    <tableColumn id="1" xr3:uid="{00000000-0010-0000-1C00-000001000000}" name="UDC" dataDxfId="590">
      <calculatedColumnFormula>TableSTRUCHEMB[[#This Row],[Study Package Code]]</calculatedColumnFormula>
    </tableColumn>
    <tableColumn id="9" xr3:uid="{00000000-0010-0000-1C00-000009000000}" name="Version" dataDxfId="589">
      <calculatedColumnFormula>TableSTRUCHEMB[[#This Row],[Ver]]</calculatedColumnFormula>
    </tableColumn>
    <tableColumn id="10" xr3:uid="{00000000-0010-0000-1C00-00000A000000}" name="OUA Code"/>
    <tableColumn id="11" xr3:uid="{00000000-0010-0000-1C00-00000B000000}" name="Unit Title" dataDxfId="588">
      <calculatedColumnFormula>TableSTRUCHEMB[[#This Row],[Structure Line]]</calculatedColumnFormula>
    </tableColumn>
    <tableColumn id="12" xr3:uid="{00000000-0010-0000-1C00-00000C000000}" name="CPs" dataDxfId="587">
      <calculatedColumnFormula>TableSTRUCHEMB[[#This Row],[Credit Points]]</calculatedColumnFormula>
    </tableColumn>
    <tableColumn id="13" xr3:uid="{00000000-0010-0000-1C00-00000D000000}" name="No." dataDxfId="586"/>
    <tableColumn id="2" xr3:uid="{00000000-0010-0000-1C00-000002000000}" name="Component Type" dataDxfId="585"/>
    <tableColumn id="3" xr3:uid="{00000000-0010-0000-1C00-000003000000}" name="Year Level" dataDxfId="584"/>
    <tableColumn id="4" xr3:uid="{00000000-0010-0000-1C00-000004000000}" name="Study Period" dataDxfId="583"/>
    <tableColumn id="5" xr3:uid="{00000000-0010-0000-1C00-000005000000}" name="Study Package Code" dataDxfId="582"/>
    <tableColumn id="6" xr3:uid="{00000000-0010-0000-1C00-000006000000}" name="Ver" dataDxfId="581"/>
    <tableColumn id="7" xr3:uid="{00000000-0010-0000-1C00-000007000000}" name="Structure Line" dataDxfId="580"/>
    <tableColumn id="8" xr3:uid="{00000000-0010-0000-1C00-000008000000}" name="Credit Points" dataDxfId="579"/>
    <tableColumn id="14" xr3:uid="{00000000-0010-0000-1C00-00000E000000}" name="Effective" dataDxfId="578"/>
    <tableColumn id="15" xr3:uid="{00000000-0010-0000-1C00-00000F000000}" name="Discont." dataDxfId="577"/>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STRUECOB1" displayName="TableSTRUECOB1" ref="A667:O699" totalsRowShown="0" headerRowDxfId="576">
  <autoFilter ref="A667:O699" xr:uid="{00000000-0009-0000-0100-00001F000000}"/>
  <sortState xmlns:xlrd2="http://schemas.microsoft.com/office/spreadsheetml/2017/richdata2" ref="A587:S594">
    <sortCondition ref="O10:O18"/>
  </sortState>
  <tableColumns count="15">
    <tableColumn id="1" xr3:uid="{00000000-0010-0000-1D00-000001000000}" name="UDC" dataDxfId="575">
      <calculatedColumnFormula>TableSTRUECOB1[[#This Row],[Study Package Code]]</calculatedColumnFormula>
    </tableColumn>
    <tableColumn id="9" xr3:uid="{00000000-0010-0000-1D00-000009000000}" name="Version" dataDxfId="574">
      <calculatedColumnFormula>TableSTRUECOB1[[#This Row],[Ver]]</calculatedColumnFormula>
    </tableColumn>
    <tableColumn id="10" xr3:uid="{00000000-0010-0000-1D00-00000A000000}" name="OUA Code"/>
    <tableColumn id="11" xr3:uid="{00000000-0010-0000-1D00-00000B000000}" name="Unit Title" dataDxfId="573">
      <calculatedColumnFormula>TableSTRUECOB1[[#This Row],[Structure Line]]</calculatedColumnFormula>
    </tableColumn>
    <tableColumn id="12" xr3:uid="{00000000-0010-0000-1D00-00000C000000}" name="CPs" dataDxfId="572">
      <calculatedColumnFormula>TableSTRUECOB1[[#This Row],[Credit Points]]</calculatedColumnFormula>
    </tableColumn>
    <tableColumn id="13" xr3:uid="{00000000-0010-0000-1D00-00000D000000}" name="No." dataDxfId="571"/>
    <tableColumn id="2" xr3:uid="{00000000-0010-0000-1D00-000002000000}" name="Component Type" dataDxfId="570"/>
    <tableColumn id="3" xr3:uid="{00000000-0010-0000-1D00-000003000000}" name="Year Level" dataDxfId="569"/>
    <tableColumn id="4" xr3:uid="{00000000-0010-0000-1D00-000004000000}" name="Study Period" dataDxfId="568"/>
    <tableColumn id="5" xr3:uid="{00000000-0010-0000-1D00-000005000000}" name="Study Package Code" dataDxfId="567"/>
    <tableColumn id="6" xr3:uid="{00000000-0010-0000-1D00-000006000000}" name="Ver" dataDxfId="566"/>
    <tableColumn id="7" xr3:uid="{00000000-0010-0000-1D00-000007000000}" name="Structure Line" dataDxfId="565"/>
    <tableColumn id="8" xr3:uid="{00000000-0010-0000-1D00-000008000000}" name="Credit Points" dataDxfId="564"/>
    <tableColumn id="14" xr3:uid="{00000000-0010-0000-1D00-00000E000000}" name="Effective" dataDxfId="563"/>
    <tableColumn id="15" xr3:uid="{00000000-0010-0000-1D00-00000F000000}" name="Discont." dataDxfId="562"/>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E000000}" name="TableSTRUMARTM" displayName="TableSTRUMARTM" ref="A884:O890" totalsRowShown="0" headerRowDxfId="561">
  <autoFilter ref="A884:O890" xr:uid="{00000000-0009-0000-0100-000019000000}"/>
  <sortState xmlns:xlrd2="http://schemas.microsoft.com/office/spreadsheetml/2017/richdata2" ref="A895:S902">
    <sortCondition ref="O10:O18"/>
  </sortState>
  <tableColumns count="15">
    <tableColumn id="1" xr3:uid="{00000000-0010-0000-1E00-000001000000}" name="UDC" dataDxfId="560">
      <calculatedColumnFormula>TableSTRUMARTM[[#This Row],[Study Package Code]]</calculatedColumnFormula>
    </tableColumn>
    <tableColumn id="9" xr3:uid="{00000000-0010-0000-1E00-000009000000}" name="Version" dataDxfId="559">
      <calculatedColumnFormula>TableSTRUMARTM[[#This Row],[Ver]]</calculatedColumnFormula>
    </tableColumn>
    <tableColumn id="10" xr3:uid="{00000000-0010-0000-1E00-00000A000000}" name="OUA Code"/>
    <tableColumn id="11" xr3:uid="{00000000-0010-0000-1E00-00000B000000}" name="Unit Title" dataDxfId="558">
      <calculatedColumnFormula>TableSTRUMARTM[[#This Row],[Structure Line]]</calculatedColumnFormula>
    </tableColumn>
    <tableColumn id="12" xr3:uid="{00000000-0010-0000-1E00-00000C000000}" name="CPs" dataDxfId="557">
      <calculatedColumnFormula>TableSTRUMARTM[[#This Row],[Credit Points]]</calculatedColumnFormula>
    </tableColumn>
    <tableColumn id="13" xr3:uid="{00000000-0010-0000-1E00-00000D000000}" name="No." dataDxfId="556"/>
    <tableColumn id="2" xr3:uid="{00000000-0010-0000-1E00-000002000000}" name="Component Type" dataDxfId="555"/>
    <tableColumn id="3" xr3:uid="{00000000-0010-0000-1E00-000003000000}" name="Year Level" dataDxfId="554"/>
    <tableColumn id="4" xr3:uid="{00000000-0010-0000-1E00-000004000000}" name="Study Period" dataDxfId="553"/>
    <tableColumn id="5" xr3:uid="{00000000-0010-0000-1E00-000005000000}" name="Study Package Code" dataDxfId="552"/>
    <tableColumn id="6" xr3:uid="{00000000-0010-0000-1E00-000006000000}" name="Ver" dataDxfId="551"/>
    <tableColumn id="7" xr3:uid="{00000000-0010-0000-1E00-000007000000}" name="Structure Line" dataDxfId="550"/>
    <tableColumn id="8" xr3:uid="{00000000-0010-0000-1E00-000008000000}" name="Credit Points" dataDxfId="549"/>
    <tableColumn id="14" xr3:uid="{00000000-0010-0000-1E00-00000E000000}" name="Effective" dataDxfId="548"/>
    <tableColumn id="15" xr3:uid="{00000000-0010-0000-1E00-00000F000000}" name="Discont." dataDxfId="547"/>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STRUHPEB1" displayName="TableSTRUHPEB1" ref="A827:O850" totalsRowShown="0" headerRowDxfId="546">
  <autoFilter ref="A827:O850" xr:uid="{00000000-0009-0000-0100-00001C000000}"/>
  <sortState xmlns:xlrd2="http://schemas.microsoft.com/office/spreadsheetml/2017/richdata2" ref="A868:S875">
    <sortCondition ref="O10:O18"/>
  </sortState>
  <tableColumns count="15">
    <tableColumn id="1" xr3:uid="{00000000-0010-0000-1F00-000001000000}" name="UDC" dataDxfId="545">
      <calculatedColumnFormula>TableSTRUHPEB1[[#This Row],[Study Package Code]]</calculatedColumnFormula>
    </tableColumn>
    <tableColumn id="9" xr3:uid="{00000000-0010-0000-1F00-000009000000}" name="Version" dataDxfId="544">
      <calculatedColumnFormula>TableSTRUHPEB1[[#This Row],[Ver]]</calculatedColumnFormula>
    </tableColumn>
    <tableColumn id="10" xr3:uid="{00000000-0010-0000-1F00-00000A000000}" name="OUA Code"/>
    <tableColumn id="11" xr3:uid="{00000000-0010-0000-1F00-00000B000000}" name="Unit Title" dataDxfId="543">
      <calculatedColumnFormula>TableSTRUHPEB1[[#This Row],[Structure Line]]</calculatedColumnFormula>
    </tableColumn>
    <tableColumn id="12" xr3:uid="{00000000-0010-0000-1F00-00000C000000}" name="CPs" dataDxfId="542">
      <calculatedColumnFormula>TableSTRUHPEB1[[#This Row],[Credit Points]]</calculatedColumnFormula>
    </tableColumn>
    <tableColumn id="13" xr3:uid="{00000000-0010-0000-1F00-00000D000000}" name="No." dataDxfId="541"/>
    <tableColumn id="2" xr3:uid="{00000000-0010-0000-1F00-000002000000}" name="Component Type" dataDxfId="540"/>
    <tableColumn id="3" xr3:uid="{00000000-0010-0000-1F00-000003000000}" name="Year Level" dataDxfId="539"/>
    <tableColumn id="4" xr3:uid="{00000000-0010-0000-1F00-000004000000}" name="Study Period" dataDxfId="538"/>
    <tableColumn id="5" xr3:uid="{00000000-0010-0000-1F00-000005000000}" name="Study Package Code" dataDxfId="537"/>
    <tableColumn id="6" xr3:uid="{00000000-0010-0000-1F00-000006000000}" name="Ver" dataDxfId="536"/>
    <tableColumn id="7" xr3:uid="{00000000-0010-0000-1F00-000007000000}" name="Structure Line" dataDxfId="535"/>
    <tableColumn id="8" xr3:uid="{00000000-0010-0000-1F00-000008000000}" name="Credit Points" dataDxfId="534"/>
    <tableColumn id="14" xr3:uid="{00000000-0010-0000-1F00-00000E000000}" name="Effective" dataDxfId="533"/>
    <tableColumn id="15" xr3:uid="{00000000-0010-0000-1F00-00000F000000}" name="Discont." dataDxfId="532"/>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STRUGEOGM" displayName="TableSTRUGEOGM" ref="A777:O783" totalsRowShown="0" headerRowDxfId="531">
  <autoFilter ref="A777:O783" xr:uid="{00000000-0009-0000-0100-000022000000}"/>
  <sortState xmlns:xlrd2="http://schemas.microsoft.com/office/spreadsheetml/2017/richdata2" ref="A848:S855">
    <sortCondition ref="O10:O18"/>
  </sortState>
  <tableColumns count="15">
    <tableColumn id="1" xr3:uid="{00000000-0010-0000-2000-000001000000}" name="UDC" dataDxfId="530">
      <calculatedColumnFormula>TableSTRUGEOGM[[#This Row],[Study Package Code]]</calculatedColumnFormula>
    </tableColumn>
    <tableColumn id="9" xr3:uid="{00000000-0010-0000-2000-000009000000}" name="Version" dataDxfId="529">
      <calculatedColumnFormula>TableSTRUGEOGM[[#This Row],[Ver]]</calculatedColumnFormula>
    </tableColumn>
    <tableColumn id="10" xr3:uid="{00000000-0010-0000-2000-00000A000000}" name="OUA Code"/>
    <tableColumn id="11" xr3:uid="{00000000-0010-0000-2000-00000B000000}" name="Unit Title" dataDxfId="528">
      <calculatedColumnFormula>TableSTRUGEOGM[[#This Row],[Structure Line]]</calculatedColumnFormula>
    </tableColumn>
    <tableColumn id="12" xr3:uid="{00000000-0010-0000-2000-00000C000000}" name="CPs" dataDxfId="527">
      <calculatedColumnFormula>TableSTRUGEOGM[[#This Row],[Credit Points]]</calculatedColumnFormula>
    </tableColumn>
    <tableColumn id="13" xr3:uid="{00000000-0010-0000-2000-00000D000000}" name="No." dataDxfId="526"/>
    <tableColumn id="2" xr3:uid="{00000000-0010-0000-2000-000002000000}" name="Component Type" dataDxfId="525"/>
    <tableColumn id="3" xr3:uid="{00000000-0010-0000-2000-000003000000}" name="Year Level" dataDxfId="524"/>
    <tableColumn id="4" xr3:uid="{00000000-0010-0000-2000-000004000000}" name="Study Period" dataDxfId="523"/>
    <tableColumn id="5" xr3:uid="{00000000-0010-0000-2000-000005000000}" name="Study Package Code" dataDxfId="522"/>
    <tableColumn id="6" xr3:uid="{00000000-0010-0000-2000-000006000000}" name="Ver" dataDxfId="521"/>
    <tableColumn id="7" xr3:uid="{00000000-0010-0000-2000-000007000000}" name="Structure Line" dataDxfId="520"/>
    <tableColumn id="8" xr3:uid="{00000000-0010-0000-2000-000008000000}" name="Credit Points" dataDxfId="519"/>
    <tableColumn id="14" xr3:uid="{00000000-0010-0000-2000-00000E000000}" name="Effective" dataDxfId="518"/>
    <tableColumn id="15" xr3:uid="{00000000-0010-0000-2000-00000F000000}" name="Discont." dataDxfId="517"/>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STRUENGLB" displayName="TableSTRUENGLB" ref="A701:O731" totalsRowShown="0" headerRowDxfId="516">
  <autoFilter ref="A701:O731" xr:uid="{00000000-0009-0000-0100-000023000000}"/>
  <sortState xmlns:xlrd2="http://schemas.microsoft.com/office/spreadsheetml/2017/richdata2" ref="A770:S777">
    <sortCondition ref="O10:O18"/>
  </sortState>
  <tableColumns count="15">
    <tableColumn id="1" xr3:uid="{00000000-0010-0000-2100-000001000000}" name="UDC" dataDxfId="515">
      <calculatedColumnFormula>TableSTRUENGLB[[#This Row],[Study Package Code]]</calculatedColumnFormula>
    </tableColumn>
    <tableColumn id="9" xr3:uid="{00000000-0010-0000-2100-000009000000}" name="Version" dataDxfId="514">
      <calculatedColumnFormula>TableSTRUENGLB[[#This Row],[Ver]]</calculatedColumnFormula>
    </tableColumn>
    <tableColumn id="10" xr3:uid="{00000000-0010-0000-2100-00000A000000}" name="OUA Code"/>
    <tableColumn id="11" xr3:uid="{00000000-0010-0000-2100-00000B000000}" name="Unit Title" dataDxfId="513">
      <calculatedColumnFormula>TableSTRUENGLB[[#This Row],[Structure Line]]</calculatedColumnFormula>
    </tableColumn>
    <tableColumn id="12" xr3:uid="{00000000-0010-0000-2100-00000C000000}" name="CPs" dataDxfId="512">
      <calculatedColumnFormula>TableSTRUENGLB[[#This Row],[Credit Points]]</calculatedColumnFormula>
    </tableColumn>
    <tableColumn id="13" xr3:uid="{00000000-0010-0000-2100-00000D000000}" name="No." dataDxfId="511"/>
    <tableColumn id="2" xr3:uid="{00000000-0010-0000-2100-000002000000}" name="Component Type" dataDxfId="510"/>
    <tableColumn id="3" xr3:uid="{00000000-0010-0000-2100-000003000000}" name="Year Level" dataDxfId="509"/>
    <tableColumn id="4" xr3:uid="{00000000-0010-0000-2100-000004000000}" name="Study Period" dataDxfId="508"/>
    <tableColumn id="5" xr3:uid="{00000000-0010-0000-2100-000005000000}" name="Study Package Code" dataDxfId="507"/>
    <tableColumn id="6" xr3:uid="{00000000-0010-0000-2100-000006000000}" name="Ver" dataDxfId="506"/>
    <tableColumn id="7" xr3:uid="{00000000-0010-0000-2100-000007000000}" name="Structure Line" dataDxfId="505"/>
    <tableColumn id="8" xr3:uid="{00000000-0010-0000-2100-000008000000}" name="Credit Points" dataDxfId="504"/>
    <tableColumn id="14" xr3:uid="{00000000-0010-0000-2100-00000E000000}" name="Effective" dataDxfId="503"/>
    <tableColumn id="15" xr3:uid="{00000000-0010-0000-2100-00000F000000}" name="Discont." dataDxfId="502"/>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STRUENGLM" displayName="TableSTRUENGLM" ref="A733:O739" totalsRowShown="0" headerRowDxfId="501">
  <autoFilter ref="A733:O739" xr:uid="{00000000-0009-0000-0100-000024000000}"/>
  <sortState xmlns:xlrd2="http://schemas.microsoft.com/office/spreadsheetml/2017/richdata2" ref="A800:S807">
    <sortCondition ref="O10:O18"/>
  </sortState>
  <tableColumns count="15">
    <tableColumn id="1" xr3:uid="{00000000-0010-0000-2200-000001000000}" name="UDC" dataDxfId="500">
      <calculatedColumnFormula>TableSTRUENGLM[[#This Row],[Study Package Code]]</calculatedColumnFormula>
    </tableColumn>
    <tableColumn id="9" xr3:uid="{00000000-0010-0000-2200-000009000000}" name="Version" dataDxfId="499">
      <calculatedColumnFormula>TableSTRUENGLM[[#This Row],[Ver]]</calculatedColumnFormula>
    </tableColumn>
    <tableColumn id="10" xr3:uid="{00000000-0010-0000-2200-00000A000000}" name="OUA Code"/>
    <tableColumn id="11" xr3:uid="{00000000-0010-0000-2200-00000B000000}" name="Unit Title" dataDxfId="498">
      <calculatedColumnFormula>TableSTRUENGLM[[#This Row],[Structure Line]]</calculatedColumnFormula>
    </tableColumn>
    <tableColumn id="12" xr3:uid="{00000000-0010-0000-2200-00000C000000}" name="CPs" dataDxfId="497">
      <calculatedColumnFormula>TableSTRUENGLM[[#This Row],[Credit Points]]</calculatedColumnFormula>
    </tableColumn>
    <tableColumn id="13" xr3:uid="{00000000-0010-0000-2200-00000D000000}" name="No." dataDxfId="496"/>
    <tableColumn id="2" xr3:uid="{00000000-0010-0000-2200-000002000000}" name="Component Type" dataDxfId="495"/>
    <tableColumn id="3" xr3:uid="{00000000-0010-0000-2200-000003000000}" name="Year Level" dataDxfId="494"/>
    <tableColumn id="4" xr3:uid="{00000000-0010-0000-2200-000004000000}" name="Study Period" dataDxfId="493"/>
    <tableColumn id="5" xr3:uid="{00000000-0010-0000-2200-000005000000}" name="Study Package Code" dataDxfId="492"/>
    <tableColumn id="6" xr3:uid="{00000000-0010-0000-2200-000006000000}" name="Ver" dataDxfId="491"/>
    <tableColumn id="7" xr3:uid="{00000000-0010-0000-2200-000007000000}" name="Structure Line" dataDxfId="490"/>
    <tableColumn id="8" xr3:uid="{00000000-0010-0000-2200-000008000000}" name="Credit Points" dataDxfId="489"/>
    <tableColumn id="14" xr3:uid="{00000000-0010-0000-2200-00000E000000}" name="Effective" dataDxfId="488"/>
    <tableColumn id="15" xr3:uid="{00000000-0010-0000-2200-00000F000000}" name="Discont." dataDxfId="487"/>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STRUGEOB1" displayName="TableSTRUGEOB1" ref="A741:O775" totalsRowShown="0" headerRowDxfId="486">
  <autoFilter ref="A741:O775" xr:uid="{00000000-0009-0000-0100-000025000000}"/>
  <sortState xmlns:xlrd2="http://schemas.microsoft.com/office/spreadsheetml/2017/richdata2" ref="A830:S837">
    <sortCondition ref="O10:O18"/>
  </sortState>
  <tableColumns count="15">
    <tableColumn id="1" xr3:uid="{00000000-0010-0000-2300-000001000000}" name="UDC" dataDxfId="485">
      <calculatedColumnFormula>TableSTRUGEOB1[[#This Row],[Study Package Code]]</calculatedColumnFormula>
    </tableColumn>
    <tableColumn id="9" xr3:uid="{00000000-0010-0000-2300-000009000000}" name="Version" dataDxfId="484">
      <calculatedColumnFormula>TableSTRUGEOB1[[#This Row],[Ver]]</calculatedColumnFormula>
    </tableColumn>
    <tableColumn id="10" xr3:uid="{00000000-0010-0000-2300-00000A000000}" name="OUA Code"/>
    <tableColumn id="11" xr3:uid="{00000000-0010-0000-2300-00000B000000}" name="Unit Title" dataDxfId="483">
      <calculatedColumnFormula>TableSTRUGEOB1[[#This Row],[Structure Line]]</calculatedColumnFormula>
    </tableColumn>
    <tableColumn id="12" xr3:uid="{00000000-0010-0000-2300-00000C000000}" name="CPs" dataDxfId="482">
      <calculatedColumnFormula>TableSTRUGEOB1[[#This Row],[Credit Points]]</calculatedColumnFormula>
    </tableColumn>
    <tableColumn id="13" xr3:uid="{00000000-0010-0000-2300-00000D000000}" name="No." dataDxfId="481"/>
    <tableColumn id="2" xr3:uid="{00000000-0010-0000-2300-000002000000}" name="Component Type" dataDxfId="480"/>
    <tableColumn id="3" xr3:uid="{00000000-0010-0000-2300-000003000000}" name="Year Level" dataDxfId="479"/>
    <tableColumn id="4" xr3:uid="{00000000-0010-0000-2300-000004000000}" name="Study Period" dataDxfId="478"/>
    <tableColumn id="5" xr3:uid="{00000000-0010-0000-2300-000005000000}" name="Study Package Code" dataDxfId="477"/>
    <tableColumn id="6" xr3:uid="{00000000-0010-0000-2300-000006000000}" name="Ver" dataDxfId="476"/>
    <tableColumn id="7" xr3:uid="{00000000-0010-0000-2300-000007000000}" name="Structure Line" dataDxfId="475"/>
    <tableColumn id="8" xr3:uid="{00000000-0010-0000-2300-000008000000}" name="Credit Points" dataDxfId="474"/>
    <tableColumn id="14" xr3:uid="{00000000-0010-0000-2300-00000E000000}" name="Effective" dataDxfId="473"/>
    <tableColumn id="15" xr3:uid="{00000000-0010-0000-2300-00000F000000}" name="Discont." dataDxfId="472"/>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STRUHISB1" displayName="TableSTRUHISB1" ref="A785:O817" totalsRowShown="0" headerRowDxfId="471">
  <autoFilter ref="A785:O817" xr:uid="{00000000-0009-0000-0100-000026000000}"/>
  <sortState xmlns:xlrd2="http://schemas.microsoft.com/office/spreadsheetml/2017/richdata2" ref="A838:S845">
    <sortCondition ref="O10:O18"/>
  </sortState>
  <tableColumns count="15">
    <tableColumn id="1" xr3:uid="{00000000-0010-0000-2400-000001000000}" name="UDC" dataDxfId="470">
      <calculatedColumnFormula>TableSTRUHISB1[[#This Row],[Study Package Code]]</calculatedColumnFormula>
    </tableColumn>
    <tableColumn id="9" xr3:uid="{00000000-0010-0000-2400-000009000000}" name="Version" dataDxfId="469">
      <calculatedColumnFormula>TableSTRUHISB1[[#This Row],[Ver]]</calculatedColumnFormula>
    </tableColumn>
    <tableColumn id="10" xr3:uid="{00000000-0010-0000-2400-00000A000000}" name="OUA Code"/>
    <tableColumn id="11" xr3:uid="{00000000-0010-0000-2400-00000B000000}" name="Unit Title" dataDxfId="468">
      <calculatedColumnFormula>TableSTRUHISB1[[#This Row],[Structure Line]]</calculatedColumnFormula>
    </tableColumn>
    <tableColumn id="12" xr3:uid="{00000000-0010-0000-2400-00000C000000}" name="CPs" dataDxfId="467">
      <calculatedColumnFormula>TableSTRUHISB1[[#This Row],[Credit Points]]</calculatedColumnFormula>
    </tableColumn>
    <tableColumn id="13" xr3:uid="{00000000-0010-0000-2400-00000D000000}" name="No." dataDxfId="466"/>
    <tableColumn id="2" xr3:uid="{00000000-0010-0000-2400-000002000000}" name="Component Type" dataDxfId="465"/>
    <tableColumn id="3" xr3:uid="{00000000-0010-0000-2400-000003000000}" name="Year Level" dataDxfId="464"/>
    <tableColumn id="4" xr3:uid="{00000000-0010-0000-2400-000004000000}" name="Study Period" dataDxfId="463"/>
    <tableColumn id="5" xr3:uid="{00000000-0010-0000-2400-000005000000}" name="Study Package Code" dataDxfId="462"/>
    <tableColumn id="6" xr3:uid="{00000000-0010-0000-2400-000006000000}" name="Ver" dataDxfId="461"/>
    <tableColumn id="7" xr3:uid="{00000000-0010-0000-2400-000007000000}" name="Structure Line" dataDxfId="460"/>
    <tableColumn id="8" xr3:uid="{00000000-0010-0000-2400-000008000000}" name="Credit Points" dataDxfId="459"/>
    <tableColumn id="14" xr3:uid="{00000000-0010-0000-2400-00000E000000}" name="Effective" dataDxfId="458"/>
    <tableColumn id="15" xr3:uid="{00000000-0010-0000-2400-00000F000000}" name="Discont." dataDxfId="457"/>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STRUHISTM" displayName="TableSTRUHISTM" ref="A819:O825" totalsRowShown="0" headerRowDxfId="456">
  <autoFilter ref="A819:O825" xr:uid="{00000000-0009-0000-0100-000027000000}"/>
  <sortState xmlns:xlrd2="http://schemas.microsoft.com/office/spreadsheetml/2017/richdata2" ref="A870:S877">
    <sortCondition ref="O10:O18"/>
  </sortState>
  <tableColumns count="15">
    <tableColumn id="1" xr3:uid="{00000000-0010-0000-2500-000001000000}" name="UDC" dataDxfId="455">
      <calculatedColumnFormula>TableSTRUHISTM[[#This Row],[Study Package Code]]</calculatedColumnFormula>
    </tableColumn>
    <tableColumn id="9" xr3:uid="{00000000-0010-0000-2500-000009000000}" name="Version" dataDxfId="454">
      <calculatedColumnFormula>TableSTRUHISTM[[#This Row],[Ver]]</calculatedColumnFormula>
    </tableColumn>
    <tableColumn id="10" xr3:uid="{00000000-0010-0000-2500-00000A000000}" name="OUA Code"/>
    <tableColumn id="11" xr3:uid="{00000000-0010-0000-2500-00000B000000}" name="Unit Title" dataDxfId="453">
      <calculatedColumnFormula>TableSTRUHISTM[[#This Row],[Structure Line]]</calculatedColumnFormula>
    </tableColumn>
    <tableColumn id="12" xr3:uid="{00000000-0010-0000-2500-00000C000000}" name="CPs" dataDxfId="452">
      <calculatedColumnFormula>TableSTRUHISTM[[#This Row],[Credit Points]]</calculatedColumnFormula>
    </tableColumn>
    <tableColumn id="13" xr3:uid="{00000000-0010-0000-2500-00000D000000}" name="No." dataDxfId="451"/>
    <tableColumn id="2" xr3:uid="{00000000-0010-0000-2500-000002000000}" name="Component Type" dataDxfId="450"/>
    <tableColumn id="3" xr3:uid="{00000000-0010-0000-2500-000003000000}" name="Year Level" dataDxfId="449"/>
    <tableColumn id="4" xr3:uid="{00000000-0010-0000-2500-000004000000}" name="Study Period" dataDxfId="448"/>
    <tableColumn id="5" xr3:uid="{00000000-0010-0000-2500-000005000000}" name="Study Package Code" dataDxfId="447"/>
    <tableColumn id="6" xr3:uid="{00000000-0010-0000-2500-000006000000}" name="Ver" dataDxfId="446"/>
    <tableColumn id="7" xr3:uid="{00000000-0010-0000-2500-000007000000}" name="Structure Line" dataDxfId="445"/>
    <tableColumn id="8" xr3:uid="{00000000-0010-0000-2500-000008000000}" name="Credit Points" dataDxfId="444"/>
    <tableColumn id="14" xr3:uid="{00000000-0010-0000-2500-00000E000000}" name="Effective" dataDxfId="443"/>
    <tableColumn id="15" xr3:uid="{00000000-0010-0000-2500-00000F000000}" name="Discont." dataDxfId="442"/>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STRUHUMBB" displayName="TableSTRUHUMBB" ref="A852:O882" totalsRowShown="0" headerRowDxfId="441">
  <autoFilter ref="A852:O882" xr:uid="{00000000-0009-0000-0100-000028000000}"/>
  <sortState xmlns:xlrd2="http://schemas.microsoft.com/office/spreadsheetml/2017/richdata2" ref="A902:S909">
    <sortCondition ref="O10:O18"/>
  </sortState>
  <tableColumns count="15">
    <tableColumn id="1" xr3:uid="{00000000-0010-0000-2600-000001000000}" name="UDC" dataDxfId="440">
      <calculatedColumnFormula>TableSTRUHUMBB[[#This Row],[Study Package Code]]</calculatedColumnFormula>
    </tableColumn>
    <tableColumn id="9" xr3:uid="{00000000-0010-0000-2600-000009000000}" name="Version" dataDxfId="439">
      <calculatedColumnFormula>TableSTRUHUMBB[[#This Row],[Ver]]</calculatedColumnFormula>
    </tableColumn>
    <tableColumn id="10" xr3:uid="{00000000-0010-0000-2600-00000A000000}" name="OUA Code"/>
    <tableColumn id="11" xr3:uid="{00000000-0010-0000-2600-00000B000000}" name="Unit Title" dataDxfId="438">
      <calculatedColumnFormula>TableSTRUHUMBB[[#This Row],[Structure Line]]</calculatedColumnFormula>
    </tableColumn>
    <tableColumn id="12" xr3:uid="{00000000-0010-0000-2600-00000C000000}" name="CPs" dataDxfId="437">
      <calculatedColumnFormula>TableSTRUHUMBB[[#This Row],[Credit Points]]</calculatedColumnFormula>
    </tableColumn>
    <tableColumn id="13" xr3:uid="{00000000-0010-0000-2600-00000D000000}" name="No." dataDxfId="436"/>
    <tableColumn id="2" xr3:uid="{00000000-0010-0000-2600-000002000000}" name="Component Type" dataDxfId="435"/>
    <tableColumn id="3" xr3:uid="{00000000-0010-0000-2600-000003000000}" name="Year Level" dataDxfId="434"/>
    <tableColumn id="4" xr3:uid="{00000000-0010-0000-2600-000004000000}" name="Study Period" dataDxfId="433"/>
    <tableColumn id="5" xr3:uid="{00000000-0010-0000-2600-000005000000}" name="Study Package Code" dataDxfId="432"/>
    <tableColumn id="6" xr3:uid="{00000000-0010-0000-2600-000006000000}" name="Ver" dataDxfId="431"/>
    <tableColumn id="7" xr3:uid="{00000000-0010-0000-2600-000007000000}" name="Structure Line" dataDxfId="430"/>
    <tableColumn id="8" xr3:uid="{00000000-0010-0000-2600-000008000000}" name="Credit Points" dataDxfId="429"/>
    <tableColumn id="14" xr3:uid="{00000000-0010-0000-2600-00000E000000}" name="Effective" dataDxfId="428"/>
    <tableColumn id="15" xr3:uid="{00000000-0010-0000-2600-00000F000000}" name="Discont." dataDxfId="427"/>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STRUMATHB" displayName="TableSTRUMATHB" ref="A892:O919" totalsRowShown="0" headerRowDxfId="426">
  <autoFilter ref="A892:O919" xr:uid="{00000000-0009-0000-0100-000029000000}"/>
  <sortState xmlns:xlrd2="http://schemas.microsoft.com/office/spreadsheetml/2017/richdata2" ref="A912:S919">
    <sortCondition ref="O10:O18"/>
  </sortState>
  <tableColumns count="15">
    <tableColumn id="1" xr3:uid="{00000000-0010-0000-2700-000001000000}" name="UDC" dataDxfId="425">
      <calculatedColumnFormula>TableSTRUMATHB[[#This Row],[Study Package Code]]</calculatedColumnFormula>
    </tableColumn>
    <tableColumn id="9" xr3:uid="{00000000-0010-0000-2700-000009000000}" name="Version" dataDxfId="424">
      <calculatedColumnFormula>TableSTRUMATHB[[#This Row],[Ver]]</calculatedColumnFormula>
    </tableColumn>
    <tableColumn id="10" xr3:uid="{00000000-0010-0000-2700-00000A000000}" name="OUA Code"/>
    <tableColumn id="11" xr3:uid="{00000000-0010-0000-2700-00000B000000}" name="Unit Title" dataDxfId="423">
      <calculatedColumnFormula>TableSTRUMATHB[[#This Row],[Structure Line]]</calculatedColumnFormula>
    </tableColumn>
    <tableColumn id="12" xr3:uid="{00000000-0010-0000-2700-00000C000000}" name="CPs" dataDxfId="422">
      <calculatedColumnFormula>TableSTRUMATHB[[#This Row],[Credit Points]]</calculatedColumnFormula>
    </tableColumn>
    <tableColumn id="13" xr3:uid="{00000000-0010-0000-2700-00000D000000}" name="No." dataDxfId="421"/>
    <tableColumn id="2" xr3:uid="{00000000-0010-0000-2700-000002000000}" name="Component Type" dataDxfId="420"/>
    <tableColumn id="3" xr3:uid="{00000000-0010-0000-2700-000003000000}" name="Year Level" dataDxfId="419"/>
    <tableColumn id="4" xr3:uid="{00000000-0010-0000-2700-000004000000}" name="Study Period" dataDxfId="418"/>
    <tableColumn id="5" xr3:uid="{00000000-0010-0000-2700-000005000000}" name="Study Package Code" dataDxfId="417"/>
    <tableColumn id="6" xr3:uid="{00000000-0010-0000-2700-000006000000}" name="Ver" dataDxfId="416"/>
    <tableColumn id="7" xr3:uid="{00000000-0010-0000-2700-000007000000}" name="Structure Line" dataDxfId="415"/>
    <tableColumn id="8" xr3:uid="{00000000-0010-0000-2700-000008000000}" name="Credit Points" dataDxfId="414"/>
    <tableColumn id="14" xr3:uid="{00000000-0010-0000-2700-00000E000000}" name="Effective" dataDxfId="413"/>
    <tableColumn id="15" xr3:uid="{00000000-0010-0000-2700-00000F000000}" name="Discont." dataDxfId="41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STRUMATHM" displayName="TableSTRUMATHM" ref="A921:O929" totalsRowShown="0" headerRowDxfId="411">
  <autoFilter ref="A921:O929" xr:uid="{00000000-0009-0000-0100-00002A000000}"/>
  <sortState xmlns:xlrd2="http://schemas.microsoft.com/office/spreadsheetml/2017/richdata2" ref="A942:S949">
    <sortCondition ref="O10:O18"/>
  </sortState>
  <tableColumns count="15">
    <tableColumn id="1" xr3:uid="{00000000-0010-0000-2800-000001000000}" name="UDC" dataDxfId="410">
      <calculatedColumnFormula>TableSTRUMATHM[[#This Row],[Study Package Code]]</calculatedColumnFormula>
    </tableColumn>
    <tableColumn id="9" xr3:uid="{00000000-0010-0000-2800-000009000000}" name="Version" dataDxfId="409">
      <calculatedColumnFormula>TableSTRUMATHM[[#This Row],[Ver]]</calculatedColumnFormula>
    </tableColumn>
    <tableColumn id="10" xr3:uid="{00000000-0010-0000-2800-00000A000000}" name="OUA Code"/>
    <tableColumn id="11" xr3:uid="{00000000-0010-0000-2800-00000B000000}" name="Unit Title" dataDxfId="408">
      <calculatedColumnFormula>TableSTRUMATHM[[#This Row],[Structure Line]]</calculatedColumnFormula>
    </tableColumn>
    <tableColumn id="12" xr3:uid="{00000000-0010-0000-2800-00000C000000}" name="CPs" dataDxfId="407">
      <calculatedColumnFormula>TableSTRUMATHM[[#This Row],[Credit Points]]</calculatedColumnFormula>
    </tableColumn>
    <tableColumn id="13" xr3:uid="{00000000-0010-0000-2800-00000D000000}" name="No." dataDxfId="406"/>
    <tableColumn id="2" xr3:uid="{00000000-0010-0000-2800-000002000000}" name="Component Type" dataDxfId="405"/>
    <tableColumn id="3" xr3:uid="{00000000-0010-0000-2800-000003000000}" name="Year Level" dataDxfId="404"/>
    <tableColumn id="4" xr3:uid="{00000000-0010-0000-2800-000004000000}" name="Study Period" dataDxfId="403"/>
    <tableColumn id="5" xr3:uid="{00000000-0010-0000-2800-000005000000}" name="Study Package Code" dataDxfId="402"/>
    <tableColumn id="6" xr3:uid="{00000000-0010-0000-2800-000006000000}" name="Ver" dataDxfId="401"/>
    <tableColumn id="7" xr3:uid="{00000000-0010-0000-2800-000007000000}" name="Structure Line" dataDxfId="400"/>
    <tableColumn id="8" xr3:uid="{00000000-0010-0000-2800-000008000000}" name="Credit Points" dataDxfId="399"/>
    <tableColumn id="14" xr3:uid="{00000000-0010-0000-2800-00000E000000}" name="Effective" dataDxfId="398"/>
    <tableColumn id="15" xr3:uid="{00000000-0010-0000-2800-00000F000000}" name="Discont." dataDxfId="397"/>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STRUPARTB" displayName="TableSTRUPARTB" ref="A931:O961" totalsRowShown="0" headerRowDxfId="396">
  <autoFilter ref="A931:O961" xr:uid="{00000000-0009-0000-0100-00002B000000}"/>
  <sortState xmlns:xlrd2="http://schemas.microsoft.com/office/spreadsheetml/2017/richdata2" ref="A972:S979">
    <sortCondition ref="O10:O18"/>
  </sortState>
  <tableColumns count="15">
    <tableColumn id="1" xr3:uid="{00000000-0010-0000-2900-000001000000}" name="UDC" dataDxfId="395">
      <calculatedColumnFormula>TableSTRUPARTB[[#This Row],[Study Package Code]]</calculatedColumnFormula>
    </tableColumn>
    <tableColumn id="9" xr3:uid="{00000000-0010-0000-2900-000009000000}" name="Version" dataDxfId="394">
      <calculatedColumnFormula>TableSTRUPARTB[[#This Row],[Ver]]</calculatedColumnFormula>
    </tableColumn>
    <tableColumn id="10" xr3:uid="{00000000-0010-0000-2900-00000A000000}" name="OUA Code"/>
    <tableColumn id="11" xr3:uid="{00000000-0010-0000-2900-00000B000000}" name="Unit Title" dataDxfId="393">
      <calculatedColumnFormula>TableSTRUPARTB[[#This Row],[Structure Line]]</calculatedColumnFormula>
    </tableColumn>
    <tableColumn id="12" xr3:uid="{00000000-0010-0000-2900-00000C000000}" name="CPs" dataDxfId="392">
      <calculatedColumnFormula>TableSTRUPARTB[[#This Row],[Credit Points]]</calculatedColumnFormula>
    </tableColumn>
    <tableColumn id="13" xr3:uid="{00000000-0010-0000-2900-00000D000000}" name="No." dataDxfId="391"/>
    <tableColumn id="2" xr3:uid="{00000000-0010-0000-2900-000002000000}" name="Component Type" dataDxfId="390"/>
    <tableColumn id="3" xr3:uid="{00000000-0010-0000-2900-000003000000}" name="Year Level" dataDxfId="389"/>
    <tableColumn id="4" xr3:uid="{00000000-0010-0000-2900-000004000000}" name="Study Period" dataDxfId="388"/>
    <tableColumn id="5" xr3:uid="{00000000-0010-0000-2900-000005000000}" name="Study Package Code" dataDxfId="387"/>
    <tableColumn id="6" xr3:uid="{00000000-0010-0000-2900-000006000000}" name="Ver" dataDxfId="386"/>
    <tableColumn id="7" xr3:uid="{00000000-0010-0000-2900-000007000000}" name="Structure Line" dataDxfId="385"/>
    <tableColumn id="8" xr3:uid="{00000000-0010-0000-2900-000008000000}" name="Credit Points" dataDxfId="384"/>
    <tableColumn id="14" xr3:uid="{00000000-0010-0000-2900-00000E000000}" name="Effective" dataDxfId="383"/>
    <tableColumn id="15" xr3:uid="{00000000-0010-0000-2900-00000F000000}" name="Discont." dataDxfId="382"/>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STRUPARTM" displayName="TableSTRUPARTM" ref="A963:O969" totalsRowShown="0" headerRowDxfId="381">
  <autoFilter ref="A963:O969" xr:uid="{00000000-0009-0000-0100-00002C000000}"/>
  <sortState xmlns:xlrd2="http://schemas.microsoft.com/office/spreadsheetml/2017/richdata2" ref="A980:S987">
    <sortCondition ref="O10:O18"/>
  </sortState>
  <tableColumns count="15">
    <tableColumn id="1" xr3:uid="{00000000-0010-0000-2A00-000001000000}" name="UDC" dataDxfId="380">
      <calculatedColumnFormula>TableSTRUPARTM[[#This Row],[Study Package Code]]</calculatedColumnFormula>
    </tableColumn>
    <tableColumn id="9" xr3:uid="{00000000-0010-0000-2A00-000009000000}" name="Version" dataDxfId="379">
      <calculatedColumnFormula>TableSTRUPARTM[[#This Row],[Ver]]</calculatedColumnFormula>
    </tableColumn>
    <tableColumn id="10" xr3:uid="{00000000-0010-0000-2A00-00000A000000}" name="OUA Code"/>
    <tableColumn id="11" xr3:uid="{00000000-0010-0000-2A00-00000B000000}" name="Unit Title" dataDxfId="378">
      <calculatedColumnFormula>TableSTRUPARTM[[#This Row],[Structure Line]]</calculatedColumnFormula>
    </tableColumn>
    <tableColumn id="12" xr3:uid="{00000000-0010-0000-2A00-00000C000000}" name="CPs" dataDxfId="377">
      <calculatedColumnFormula>TableSTRUPARTM[[#This Row],[Credit Points]]</calculatedColumnFormula>
    </tableColumn>
    <tableColumn id="13" xr3:uid="{00000000-0010-0000-2A00-00000D000000}" name="No." dataDxfId="376"/>
    <tableColumn id="2" xr3:uid="{00000000-0010-0000-2A00-000002000000}" name="Component Type" dataDxfId="375"/>
    <tableColumn id="3" xr3:uid="{00000000-0010-0000-2A00-000003000000}" name="Year Level" dataDxfId="374"/>
    <tableColumn id="4" xr3:uid="{00000000-0010-0000-2A00-000004000000}" name="Study Period" dataDxfId="373"/>
    <tableColumn id="5" xr3:uid="{00000000-0010-0000-2A00-000005000000}" name="Study Package Code" dataDxfId="372"/>
    <tableColumn id="6" xr3:uid="{00000000-0010-0000-2A00-000006000000}" name="Ver" dataDxfId="371"/>
    <tableColumn id="7" xr3:uid="{00000000-0010-0000-2A00-000007000000}" name="Structure Line" dataDxfId="370"/>
    <tableColumn id="8" xr3:uid="{00000000-0010-0000-2A00-000008000000}" name="Credit Points" dataDxfId="369"/>
    <tableColumn id="14" xr3:uid="{00000000-0010-0000-2A00-00000E000000}" name="Effective" dataDxfId="368"/>
    <tableColumn id="15" xr3:uid="{00000000-0010-0000-2A00-00000F000000}" name="Discont." dataDxfId="367"/>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STRUPOLB1" displayName="TableSTRUPOLB1" ref="A971:O1001" totalsRowShown="0" headerRowDxfId="366">
  <autoFilter ref="A971:O1001" xr:uid="{00000000-0009-0000-0100-00002D000000}"/>
  <sortState xmlns:xlrd2="http://schemas.microsoft.com/office/spreadsheetml/2017/richdata2" ref="A1010:S1017">
    <sortCondition ref="O10:O18"/>
  </sortState>
  <tableColumns count="15">
    <tableColumn id="1" xr3:uid="{00000000-0010-0000-2B00-000001000000}" name="UDC" dataDxfId="365">
      <calculatedColumnFormula>TableSTRUPOLB1[[#This Row],[Study Package Code]]</calculatedColumnFormula>
    </tableColumn>
    <tableColumn id="9" xr3:uid="{00000000-0010-0000-2B00-000009000000}" name="Version" dataDxfId="364">
      <calculatedColumnFormula>TableSTRUPOLB1[[#This Row],[Ver]]</calculatedColumnFormula>
    </tableColumn>
    <tableColumn id="10" xr3:uid="{00000000-0010-0000-2B00-00000A000000}" name="OUA Code"/>
    <tableColumn id="11" xr3:uid="{00000000-0010-0000-2B00-00000B000000}" name="Unit Title" dataDxfId="363">
      <calculatedColumnFormula>TableSTRUPOLB1[[#This Row],[Structure Line]]</calculatedColumnFormula>
    </tableColumn>
    <tableColumn id="12" xr3:uid="{00000000-0010-0000-2B00-00000C000000}" name="CPs" dataDxfId="362">
      <calculatedColumnFormula>TableSTRUPOLB1[[#This Row],[Credit Points]]</calculatedColumnFormula>
    </tableColumn>
    <tableColumn id="13" xr3:uid="{00000000-0010-0000-2B00-00000D000000}" name="No." dataDxfId="361"/>
    <tableColumn id="2" xr3:uid="{00000000-0010-0000-2B00-000002000000}" name="Component Type" dataDxfId="360"/>
    <tableColumn id="3" xr3:uid="{00000000-0010-0000-2B00-000003000000}" name="Year Level" dataDxfId="359"/>
    <tableColumn id="4" xr3:uid="{00000000-0010-0000-2B00-000004000000}" name="Study Period" dataDxfId="358"/>
    <tableColumn id="5" xr3:uid="{00000000-0010-0000-2B00-000005000000}" name="Study Package Code" dataDxfId="357"/>
    <tableColumn id="6" xr3:uid="{00000000-0010-0000-2B00-000006000000}" name="Ver" dataDxfId="356"/>
    <tableColumn id="7" xr3:uid="{00000000-0010-0000-2B00-000007000000}" name="Structure Line" dataDxfId="355"/>
    <tableColumn id="8" xr3:uid="{00000000-0010-0000-2B00-000008000000}" name="Credit Points" dataDxfId="354"/>
    <tableColumn id="14" xr3:uid="{00000000-0010-0000-2B00-00000E000000}" name="Effective" dataDxfId="353"/>
    <tableColumn id="15" xr3:uid="{00000000-0010-0000-2B00-00000F000000}" name="Discont." dataDxfId="352"/>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STRUPSYCB" displayName="TableSTRUPSYCB" ref="A1003:O1033" totalsRowShown="0" headerRowDxfId="351">
  <autoFilter ref="A1003:O1033" xr:uid="{00000000-0009-0000-0100-00002F000000}"/>
  <sortState xmlns:xlrd2="http://schemas.microsoft.com/office/spreadsheetml/2017/richdata2" ref="A1048:S1055">
    <sortCondition ref="O10:O18"/>
  </sortState>
  <tableColumns count="15">
    <tableColumn id="1" xr3:uid="{00000000-0010-0000-2C00-000001000000}" name="UDC" dataDxfId="350">
      <calculatedColumnFormula>TableSTRUPSYCB[[#This Row],[Study Package Code]]</calculatedColumnFormula>
    </tableColumn>
    <tableColumn id="9" xr3:uid="{00000000-0010-0000-2C00-000009000000}" name="Version" dataDxfId="349">
      <calculatedColumnFormula>TableSTRUPSYCB[[#This Row],[Ver]]</calculatedColumnFormula>
    </tableColumn>
    <tableColumn id="10" xr3:uid="{00000000-0010-0000-2C00-00000A000000}" name="OUA Code"/>
    <tableColumn id="11" xr3:uid="{00000000-0010-0000-2C00-00000B000000}" name="Unit Title" dataDxfId="348">
      <calculatedColumnFormula>TableSTRUPSYCB[[#This Row],[Structure Line]]</calculatedColumnFormula>
    </tableColumn>
    <tableColumn id="12" xr3:uid="{00000000-0010-0000-2C00-00000C000000}" name="CPs" dataDxfId="347">
      <calculatedColumnFormula>TableSTRUPSYCB[[#This Row],[Credit Points]]</calculatedColumnFormula>
    </tableColumn>
    <tableColumn id="13" xr3:uid="{00000000-0010-0000-2C00-00000D000000}" name="No." dataDxfId="346"/>
    <tableColumn id="2" xr3:uid="{00000000-0010-0000-2C00-000002000000}" name="Component Type" dataDxfId="345"/>
    <tableColumn id="3" xr3:uid="{00000000-0010-0000-2C00-000003000000}" name="Year Level" dataDxfId="344"/>
    <tableColumn id="4" xr3:uid="{00000000-0010-0000-2C00-000004000000}" name="Study Period" dataDxfId="343"/>
    <tableColumn id="5" xr3:uid="{00000000-0010-0000-2C00-000005000000}" name="Study Package Code" dataDxfId="342"/>
    <tableColumn id="6" xr3:uid="{00000000-0010-0000-2C00-000006000000}" name="Ver" dataDxfId="341"/>
    <tableColumn id="7" xr3:uid="{00000000-0010-0000-2C00-000007000000}" name="Structure Line" dataDxfId="340"/>
    <tableColumn id="8" xr3:uid="{00000000-0010-0000-2C00-000008000000}" name="Credit Points" dataDxfId="339"/>
    <tableColumn id="14" xr3:uid="{00000000-0010-0000-2C00-00000E000000}" name="Effective" dataDxfId="338"/>
    <tableColumn id="15" xr3:uid="{00000000-0010-0000-2C00-00000F000000}" name="Discont." dataDxfId="337"/>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STRUPSYCM" displayName="TableSTRUPSYCM" ref="A1035:O1043" totalsRowShown="0" headerRowDxfId="336">
  <autoFilter ref="A1035:O1043" xr:uid="{00000000-0009-0000-0100-000030000000}"/>
  <sortState xmlns:xlrd2="http://schemas.microsoft.com/office/spreadsheetml/2017/richdata2" ref="A1056:S1063">
    <sortCondition ref="O10:O18"/>
  </sortState>
  <tableColumns count="15">
    <tableColumn id="1" xr3:uid="{00000000-0010-0000-2D00-000001000000}" name="UDC" dataDxfId="335">
      <calculatedColumnFormula>TableSTRUPSYCM[[#This Row],[Study Package Code]]</calculatedColumnFormula>
    </tableColumn>
    <tableColumn id="9" xr3:uid="{00000000-0010-0000-2D00-000009000000}" name="Version" dataDxfId="334">
      <calculatedColumnFormula>TableSTRUPSYCM[[#This Row],[Ver]]</calculatedColumnFormula>
    </tableColumn>
    <tableColumn id="10" xr3:uid="{00000000-0010-0000-2D00-00000A000000}" name="OUA Code"/>
    <tableColumn id="11" xr3:uid="{00000000-0010-0000-2D00-00000B000000}" name="Unit Title" dataDxfId="333">
      <calculatedColumnFormula>TableSTRUPSYCM[[#This Row],[Structure Line]]</calculatedColumnFormula>
    </tableColumn>
    <tableColumn id="12" xr3:uid="{00000000-0010-0000-2D00-00000C000000}" name="CPs" dataDxfId="332">
      <calculatedColumnFormula>TableSTRUPSYCM[[#This Row],[Credit Points]]</calculatedColumnFormula>
    </tableColumn>
    <tableColumn id="13" xr3:uid="{00000000-0010-0000-2D00-00000D000000}" name="No." dataDxfId="331"/>
    <tableColumn id="2" xr3:uid="{00000000-0010-0000-2D00-000002000000}" name="Component Type" dataDxfId="330"/>
    <tableColumn id="3" xr3:uid="{00000000-0010-0000-2D00-000003000000}" name="Year Level" dataDxfId="329"/>
    <tableColumn id="4" xr3:uid="{00000000-0010-0000-2D00-000004000000}" name="Study Period" dataDxfId="328"/>
    <tableColumn id="5" xr3:uid="{00000000-0010-0000-2D00-000005000000}" name="Study Package Code" dataDxfId="327"/>
    <tableColumn id="6" xr3:uid="{00000000-0010-0000-2D00-000006000000}" name="Ver" dataDxfId="326"/>
    <tableColumn id="7" xr3:uid="{00000000-0010-0000-2D00-000007000000}" name="Structure Line" dataDxfId="325"/>
    <tableColumn id="8" xr3:uid="{00000000-0010-0000-2D00-000008000000}" name="Credit Points" dataDxfId="324"/>
    <tableColumn id="14" xr3:uid="{00000000-0010-0000-2D00-00000E000000}" name="Effective" dataDxfId="323"/>
    <tableColumn id="15" xr3:uid="{00000000-0010-0000-2D00-00000F000000}" name="Discont." dataDxfId="322"/>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TableSTRUVARTB" displayName="TableSTRUVARTB" ref="A1045:O1075" totalsRowShown="0" headerRowDxfId="321">
  <autoFilter ref="A1045:O1075" xr:uid="{00000000-0009-0000-0100-000032000000}"/>
  <sortState xmlns:xlrd2="http://schemas.microsoft.com/office/spreadsheetml/2017/richdata2" ref="A1096:S1103">
    <sortCondition ref="O10:O18"/>
  </sortState>
  <tableColumns count="15">
    <tableColumn id="1" xr3:uid="{00000000-0010-0000-2E00-000001000000}" name="UDC" dataDxfId="320">
      <calculatedColumnFormula>TableSTRUVARTB[[#This Row],[Study Package Code]]</calculatedColumnFormula>
    </tableColumn>
    <tableColumn id="9" xr3:uid="{00000000-0010-0000-2E00-000009000000}" name="Version" dataDxfId="319">
      <calculatedColumnFormula>TableSTRUVARTB[[#This Row],[Ver]]</calculatedColumnFormula>
    </tableColumn>
    <tableColumn id="10" xr3:uid="{00000000-0010-0000-2E00-00000A000000}" name="OUA Code"/>
    <tableColumn id="11" xr3:uid="{00000000-0010-0000-2E00-00000B000000}" name="Unit Title" dataDxfId="318">
      <calculatedColumnFormula>TableSTRUVARTB[[#This Row],[Structure Line]]</calculatedColumnFormula>
    </tableColumn>
    <tableColumn id="12" xr3:uid="{00000000-0010-0000-2E00-00000C000000}" name="CPs" dataDxfId="317">
      <calculatedColumnFormula>TableSTRUVARTB[[#This Row],[Credit Points]]</calculatedColumnFormula>
    </tableColumn>
    <tableColumn id="13" xr3:uid="{00000000-0010-0000-2E00-00000D000000}" name="No." dataDxfId="316"/>
    <tableColumn id="2" xr3:uid="{00000000-0010-0000-2E00-000002000000}" name="Component Type" dataDxfId="315"/>
    <tableColumn id="3" xr3:uid="{00000000-0010-0000-2E00-000003000000}" name="Year Level" dataDxfId="314"/>
    <tableColumn id="4" xr3:uid="{00000000-0010-0000-2E00-000004000000}" name="Study Period" dataDxfId="313"/>
    <tableColumn id="5" xr3:uid="{00000000-0010-0000-2E00-000005000000}" name="Study Package Code" dataDxfId="312"/>
    <tableColumn id="6" xr3:uid="{00000000-0010-0000-2E00-000006000000}" name="Ver" dataDxfId="311"/>
    <tableColumn id="7" xr3:uid="{00000000-0010-0000-2E00-000007000000}" name="Structure Line" dataDxfId="310"/>
    <tableColumn id="8" xr3:uid="{00000000-0010-0000-2E00-000008000000}" name="Credit Points" dataDxfId="309"/>
    <tableColumn id="14" xr3:uid="{00000000-0010-0000-2E00-00000E000000}" name="Effective" dataDxfId="308"/>
    <tableColumn id="15" xr3:uid="{00000000-0010-0000-2E00-00000F000000}" name="Discont." dataDxfId="307"/>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F000000}" name="TableSTRUVARTM" displayName="TableSTRUVARTM" ref="A1077:O1083" totalsRowShown="0" headerRowDxfId="306">
  <autoFilter ref="A1077:O1083" xr:uid="{00000000-0009-0000-0100-000033000000}"/>
  <sortState xmlns:xlrd2="http://schemas.microsoft.com/office/spreadsheetml/2017/richdata2" ref="A1106:S1113">
    <sortCondition ref="O10:O18"/>
  </sortState>
  <tableColumns count="15">
    <tableColumn id="1" xr3:uid="{00000000-0010-0000-2F00-000001000000}" name="UDC" dataDxfId="305">
      <calculatedColumnFormula>TableSTRUVARTM[[#This Row],[Study Package Code]]</calculatedColumnFormula>
    </tableColumn>
    <tableColumn id="9" xr3:uid="{00000000-0010-0000-2F00-000009000000}" name="Version" dataDxfId="304">
      <calculatedColumnFormula>TableSTRUVARTM[[#This Row],[Ver]]</calculatedColumnFormula>
    </tableColumn>
    <tableColumn id="10" xr3:uid="{00000000-0010-0000-2F00-00000A000000}" name="OUA Code"/>
    <tableColumn id="11" xr3:uid="{00000000-0010-0000-2F00-00000B000000}" name="Unit Title" dataDxfId="303">
      <calculatedColumnFormula>TableSTRUVARTM[[#This Row],[Structure Line]]</calculatedColumnFormula>
    </tableColumn>
    <tableColumn id="12" xr3:uid="{00000000-0010-0000-2F00-00000C000000}" name="CPs" dataDxfId="302">
      <calculatedColumnFormula>TableSTRUVARTM[[#This Row],[Credit Points]]</calculatedColumnFormula>
    </tableColumn>
    <tableColumn id="13" xr3:uid="{00000000-0010-0000-2F00-00000D000000}" name="No." dataDxfId="301"/>
    <tableColumn id="2" xr3:uid="{00000000-0010-0000-2F00-000002000000}" name="Component Type" dataDxfId="300"/>
    <tableColumn id="3" xr3:uid="{00000000-0010-0000-2F00-000003000000}" name="Year Level" dataDxfId="299"/>
    <tableColumn id="4" xr3:uid="{00000000-0010-0000-2F00-000004000000}" name="Study Period" dataDxfId="298"/>
    <tableColumn id="5" xr3:uid="{00000000-0010-0000-2F00-000005000000}" name="Study Package Code" dataDxfId="297"/>
    <tableColumn id="6" xr3:uid="{00000000-0010-0000-2F00-000006000000}" name="Ver" dataDxfId="296"/>
    <tableColumn id="7" xr3:uid="{00000000-0010-0000-2F00-000007000000}" name="Structure Line" dataDxfId="295"/>
    <tableColumn id="8" xr3:uid="{00000000-0010-0000-2F00-000008000000}" name="Credit Points" dataDxfId="294"/>
    <tableColumn id="14" xr3:uid="{00000000-0010-0000-2F00-00000E000000}" name="Effective" dataDxfId="293"/>
    <tableColumn id="15" xr3:uid="{00000000-0010-0000-2F00-00000F000000}" name="Discont." dataDxfId="292"/>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0000000}" name="Table535657" displayName="Table535657" ref="R491:S518" totalsRowShown="0">
  <autoFilter ref="R491:S518" xr:uid="{00000000-0009-0000-0100-000038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1000000}" name="Table535658" displayName="Table535658" ref="R520:S542" totalsRowShown="0">
  <autoFilter ref="R520:S542" xr:uid="{00000000-0009-0000-0100-000039000000}"/>
  <tableColumns count="2">
    <tableColumn id="1" xr3:uid="{00000000-0010-0000-3100-000001000000}" name="Column1"/>
    <tableColumn id="2" xr3:uid="{00000000-0010-0000-3100-000002000000}" name="Column2"/>
  </tableColumns>
  <tableStyleInfo name="TableStyleLight4"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2000000}" name="Table53565759" displayName="Table53565759" ref="R544:S560" totalsRowShown="0">
  <autoFilter ref="R544:S560" xr:uid="{00000000-0009-0000-0100-00003A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3000000}" name="Table5356575960" displayName="Table5356575960" ref="R562:S584" totalsRowShown="0">
  <autoFilter ref="R562:S584" xr:uid="{00000000-0009-0000-0100-00003B000000}"/>
  <tableColumns count="2">
    <tableColumn id="1" xr3:uid="{00000000-0010-0000-3300-000001000000}" name="Column1"/>
    <tableColumn id="2" xr3:uid="{00000000-0010-0000-3300-000002000000}" name="Column2"/>
  </tableColumns>
  <tableStyleInfo name="TableStyleLight4"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4000000}" name="Table535657596061" displayName="Table535657596061" ref="R587:S616" totalsRowShown="0">
  <autoFilter ref="R587:S616" xr:uid="{00000000-0009-0000-0100-00003C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5000000}" name="Table53565759606163" displayName="Table53565759606163" ref="R618:S633" totalsRowShown="0">
  <autoFilter ref="R618:S633" xr:uid="{00000000-0009-0000-0100-00003E000000}"/>
  <tableColumns count="2">
    <tableColumn id="1" xr3:uid="{00000000-0010-0000-3500-000001000000}" name="Column1"/>
    <tableColumn id="2" xr3:uid="{00000000-0010-0000-3500-000002000000}" name="Column2"/>
  </tableColumns>
  <tableStyleInfo name="TableStyleLight4"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6000000}" name="Table5356575960616364" displayName="Table5356575960616364" ref="R635:S665" totalsRowShown="0">
  <autoFilter ref="R635:S665" xr:uid="{00000000-0009-0000-0100-00003F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7000000}" name="Table5356575960616365" displayName="Table5356575960616365" ref="R667:S699" totalsRowShown="0">
  <autoFilter ref="R667:S699" xr:uid="{00000000-0009-0000-0100-000040000000}"/>
  <tableColumns count="2">
    <tableColumn id="1" xr3:uid="{00000000-0010-0000-3700-000001000000}" name="Column1"/>
    <tableColumn id="2" xr3:uid="{00000000-0010-0000-3700-000002000000}" name="Column2"/>
  </tableColumns>
  <tableStyleInfo name="TableStyleLight4"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8000000}" name="Table5356575960616368" displayName="Table5356575960616368" ref="R884:S890" totalsRowShown="0">
  <autoFilter ref="R884:S890" xr:uid="{00000000-0009-0000-0100-000043000000}"/>
  <tableColumns count="2">
    <tableColumn id="1" xr3:uid="{00000000-0010-0000-3800-000001000000}" name="Column1"/>
    <tableColumn id="2" xr3:uid="{00000000-0010-0000-3800-000002000000}" name="Column2"/>
  </tableColumns>
  <tableStyleInfo name="TableStyleLight4"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9000000}" name="Table5356575960616369" displayName="Table5356575960616369" ref="R827:S850" totalsRowShown="0">
  <autoFilter ref="R827:S850" xr:uid="{00000000-0009-0000-0100-000044000000}"/>
  <tableColumns count="2">
    <tableColumn id="1" xr3:uid="{00000000-0010-0000-3900-000001000000}" name="Column1"/>
    <tableColumn id="2" xr3:uid="{00000000-0010-0000-3900-000002000000}" name="Column2"/>
  </tableColumns>
  <tableStyleInfo name="TableStyleLight4"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A000000}" name="Table5356575960616370" displayName="Table5356575960616370" ref="R777:S783" totalsRowShown="0">
  <autoFilter ref="R777:S783" xr:uid="{00000000-0009-0000-0100-000045000000}"/>
  <tableColumns count="2">
    <tableColumn id="1" xr3:uid="{00000000-0010-0000-3A00-000001000000}" name="Column1"/>
    <tableColumn id="2" xr3:uid="{00000000-0010-0000-3A00-000002000000}" name="Column2"/>
  </tableColumns>
  <tableStyleInfo name="TableStyleLight4"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B000000}" name="Table5356575960616371" displayName="Table5356575960616371" ref="R701:S731" totalsRowShown="0">
  <autoFilter ref="R701:S731" xr:uid="{00000000-0009-0000-0100-000046000000}"/>
  <tableColumns count="2">
    <tableColumn id="1" xr3:uid="{00000000-0010-0000-3B00-000001000000}" name="Column1"/>
    <tableColumn id="2" xr3:uid="{00000000-0010-0000-3B00-000002000000}" name="Column2"/>
  </tableColumns>
  <tableStyleInfo name="TableStyleLight4"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C000000}" name="Table5356575960616372" displayName="Table5356575960616372" ref="R733:S739" totalsRowShown="0">
  <autoFilter ref="R733:S739" xr:uid="{00000000-0009-0000-0100-000047000000}"/>
  <tableColumns count="2">
    <tableColumn id="1" xr3:uid="{00000000-0010-0000-3C00-000001000000}" name="Column1"/>
    <tableColumn id="2" xr3:uid="{00000000-0010-0000-3C00-000002000000}" name="Column2"/>
  </tableColumns>
  <tableStyleInfo name="TableStyleLight4"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D000000}" name="Table535657596061637173" displayName="Table535657596061637173" ref="R741:S775" totalsRowShown="0">
  <autoFilter ref="R741:S775" xr:uid="{00000000-0009-0000-0100-000048000000}"/>
  <tableColumns count="2">
    <tableColumn id="1" xr3:uid="{00000000-0010-0000-3D00-000001000000}" name="Column1"/>
    <tableColumn id="2" xr3:uid="{00000000-0010-0000-3D00-000002000000}" name="Column2"/>
  </tableColumns>
  <tableStyleInfo name="TableStyleLight4"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E000000}" name="Table53565759606163717374" displayName="Table53565759606163717374" ref="R785:S817" totalsRowShown="0">
  <autoFilter ref="R785:S817" xr:uid="{00000000-0009-0000-0100-000049000000}"/>
  <tableColumns count="2">
    <tableColumn id="1" xr3:uid="{00000000-0010-0000-3E00-000001000000}" name="Column1"/>
    <tableColumn id="2" xr3:uid="{00000000-0010-0000-3E00-000002000000}" name="Column2"/>
  </tableColumns>
  <tableStyleInfo name="TableStyleLight4"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F000000}" name="Table53565759606163717375" displayName="Table53565759606163717375" ref="R819:S825" totalsRowShown="0">
  <autoFilter ref="R819:S825" xr:uid="{00000000-0009-0000-0100-00004A000000}"/>
  <tableColumns count="2">
    <tableColumn id="1" xr3:uid="{00000000-0010-0000-3F00-000001000000}" name="Column1"/>
    <tableColumn id="2" xr3:uid="{00000000-0010-0000-3F00-000002000000}" name="Column2"/>
  </tableColumns>
  <tableStyleInfo name="TableStyleLight4"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0000000}" name="Table53565759606163717376" displayName="Table53565759606163717376" ref="R852:S882" totalsRowShown="0">
  <autoFilter ref="R852:S882" xr:uid="{00000000-0009-0000-0100-00004B000000}"/>
  <tableColumns count="2">
    <tableColumn id="1" xr3:uid="{00000000-0010-0000-4000-000001000000}" name="Column1"/>
    <tableColumn id="2" xr3:uid="{00000000-0010-0000-4000-000002000000}" name="Column2"/>
  </tableColumns>
  <tableStyleInfo name="TableStyleLight4"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1000000}" name="Table53565759606163717377" displayName="Table53565759606163717377" ref="R892:S919" totalsRowShown="0">
  <autoFilter ref="R892:S919" xr:uid="{00000000-0009-0000-0100-00004C000000}"/>
  <tableColumns count="2">
    <tableColumn id="1" xr3:uid="{00000000-0010-0000-4100-000001000000}" name="Column1"/>
    <tableColumn id="2" xr3:uid="{00000000-0010-0000-4100-000002000000}" name="Column2"/>
  </tableColumns>
  <tableStyleInfo name="TableStyleLight4"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2000000}" name="Table53565759606163717378" displayName="Table53565759606163717378" ref="R921:S929" totalsRowShown="0">
  <autoFilter ref="R921:S929" xr:uid="{00000000-0009-0000-0100-00004D000000}"/>
  <tableColumns count="2">
    <tableColumn id="1" xr3:uid="{00000000-0010-0000-4200-000001000000}" name="Column1"/>
    <tableColumn id="2" xr3:uid="{00000000-0010-0000-4200-000002000000}" name="Column2"/>
  </tableColumns>
  <tableStyleInfo name="TableStyleLight4"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3000000}" name="Table5356575960616371737779" displayName="Table5356575960616371737779" ref="R931:S961" totalsRowShown="0">
  <autoFilter ref="R931:S961" xr:uid="{00000000-0009-0000-0100-00004E000000}"/>
  <tableColumns count="2">
    <tableColumn id="1" xr3:uid="{00000000-0010-0000-4300-000001000000}" name="Column1"/>
    <tableColumn id="2" xr3:uid="{00000000-0010-0000-4300-000002000000}" name="Column2"/>
  </tableColumns>
  <tableStyleInfo name="TableStyleLight4"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4000000}" name="Table5356575960616371737780" displayName="Table5356575960616371737780" ref="R963:S969" totalsRowShown="0">
  <autoFilter ref="R963:S969" xr:uid="{00000000-0009-0000-0100-00004F000000}"/>
  <tableColumns count="2">
    <tableColumn id="1" xr3:uid="{00000000-0010-0000-4400-000001000000}" name="Column1"/>
    <tableColumn id="2" xr3:uid="{00000000-0010-0000-4400-000002000000}" name="Column2"/>
  </tableColumns>
  <tableStyleInfo name="TableStyleLight4"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5000000}" name="Table535657596061637173777981" displayName="Table535657596061637173777981" ref="R971:S1001" totalsRowShown="0">
  <autoFilter ref="R971:S1001" xr:uid="{00000000-0009-0000-0100-000050000000}"/>
  <tableColumns count="2">
    <tableColumn id="1" xr3:uid="{00000000-0010-0000-4500-000001000000}" name="Column1"/>
    <tableColumn id="2" xr3:uid="{00000000-0010-0000-4500-000002000000}" name="Column2"/>
  </tableColumns>
  <tableStyleInfo name="TableStyleLight4"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6000000}" name="Table535657596061637173778084" displayName="Table535657596061637173778084" ref="R1003:S1033" totalsRowShown="0">
  <autoFilter ref="R1003:S1033" xr:uid="{00000000-0009-0000-0100-000053000000}"/>
  <tableColumns count="2">
    <tableColumn id="1" xr3:uid="{00000000-0010-0000-4600-000001000000}" name="Column1"/>
    <tableColumn id="2" xr3:uid="{00000000-0010-0000-4600-000002000000}" name="Column2"/>
  </tableColumns>
  <tableStyleInfo name="TableStyleLight4"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7000000}" name="Table535657596061637173778085" displayName="Table535657596061637173778085" ref="R1035:S1043" totalsRowShown="0">
  <autoFilter ref="R1035:S1043" xr:uid="{00000000-0009-0000-0100-000054000000}"/>
  <tableColumns count="2">
    <tableColumn id="1" xr3:uid="{00000000-0010-0000-4700-000001000000}" name="Column1"/>
    <tableColumn id="2" xr3:uid="{00000000-0010-0000-4700-000002000000}" name="Column2"/>
  </tableColumns>
  <tableStyleInfo name="TableStyleLight4"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8000000}" name="Table535657596061637173778087" displayName="Table535657596061637173778087" ref="R1045:S1075" totalsRowShown="0">
  <autoFilter ref="R1045:S1075" xr:uid="{00000000-0009-0000-0100-000056000000}"/>
  <tableColumns count="2">
    <tableColumn id="1" xr3:uid="{00000000-0010-0000-4800-000001000000}" name="Column1"/>
    <tableColumn id="2" xr3:uid="{00000000-0010-0000-4800-000002000000}" name="Column2"/>
  </tableColumns>
  <tableStyleInfo name="TableStyleLight4"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9000000}" name="Table535657596061637173778088" displayName="Table535657596061637173778088" ref="R1077:S1083" totalsRowShown="0">
  <autoFilter ref="R1077:S1083" xr:uid="{00000000-0009-0000-0100-000057000000}"/>
  <tableColumns count="2">
    <tableColumn id="1" xr3:uid="{00000000-0010-0000-4900-000001000000}" name="Column1"/>
    <tableColumn id="2" xr3:uid="{00000000-0010-0000-4900-000002000000}" name="Column2"/>
  </tableColumns>
  <tableStyleInfo name="TableStyleLight4"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A000000}" name="Table53565754" displayName="Table53565754" ref="R2:S29" totalsRowShown="0">
  <autoFilter ref="R2:S29" xr:uid="{00000000-0009-0000-0100-000035000000}"/>
  <tableColumns count="2">
    <tableColumn id="1" xr3:uid="{00000000-0010-0000-4A00-000001000000}" name="Column1"/>
    <tableColumn id="2" xr3:uid="{00000000-0010-0000-4A00-000002000000}" name="Column2"/>
  </tableColumns>
  <tableStyleInfo name="TableStyleLight4"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B000000}" name="Table5356575455" displayName="Table5356575455" ref="R32:S89" totalsRowShown="0">
  <autoFilter ref="R32:S89" xr:uid="{00000000-0009-0000-0100-000036000000}"/>
  <tableColumns count="2">
    <tableColumn id="1" xr3:uid="{00000000-0010-0000-4B00-000001000000}" name="Column1"/>
    <tableColumn id="2" xr3:uid="{00000000-0010-0000-4B00-000002000000}" name="Column2"/>
  </tableColumns>
  <tableStyleInfo name="TableStyleLight4"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C000000}" name="Table5356575456" displayName="Table5356575456" ref="R92:S125" totalsRowShown="0">
  <autoFilter ref="R92:S125" xr:uid="{00000000-0009-0000-0100-000037000000}"/>
  <tableColumns count="2">
    <tableColumn id="1" xr3:uid="{00000000-0010-0000-4C00-000001000000}" name="Column1"/>
    <tableColumn id="2" xr3:uid="{00000000-0010-0000-4C00-000002000000}" name="Column2"/>
  </tableColumns>
  <tableStyleInfo name="TableStyleLight4"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D000000}" name="Table53565762" displayName="Table53565762" ref="R158:S188" totalsRowShown="0">
  <autoFilter ref="R158:S188" xr:uid="{00000000-0009-0000-0100-00003D000000}"/>
  <tableColumns count="2">
    <tableColumn id="1" xr3:uid="{00000000-0010-0000-4D00-000001000000}" name="Column1"/>
    <tableColumn id="2" xr3:uid="{00000000-0010-0000-4D00-000002000000}" name="Column2"/>
  </tableColumns>
  <tableStyleInfo name="TableStyleLight4"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Table53565782" displayName="Table53565782" ref="R191:S211" totalsRowShown="0">
  <autoFilter ref="R191:S211" xr:uid="{00000000-0009-0000-0100-000051000000}"/>
  <tableColumns count="2">
    <tableColumn id="1" xr3:uid="{00000000-0010-0000-4E00-000001000000}" name="Column1"/>
    <tableColumn id="2" xr3:uid="{00000000-0010-0000-4E00-000002000000}" name="Column2"/>
  </tableColumns>
  <tableStyleInfo name="TableStyleLight4"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F000000}" name="Table5356578289" displayName="Table5356578289" ref="R213:S234" totalsRowShown="0">
  <autoFilter ref="R213:S234" xr:uid="{00000000-0009-0000-0100-000058000000}"/>
  <tableColumns count="2">
    <tableColumn id="1" xr3:uid="{00000000-0010-0000-4F00-000001000000}" name="Column1"/>
    <tableColumn id="2" xr3:uid="{00000000-0010-0000-4F00-000002000000}" name="Column2"/>
  </tableColumns>
  <tableStyleInfo name="TableStyleLight4"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0000000}" name="Table535657828990" displayName="Table535657828990" ref="R236:S260" totalsRowShown="0">
  <autoFilter ref="R236:S260" xr:uid="{00000000-0009-0000-0100-000059000000}"/>
  <tableColumns count="2">
    <tableColumn id="1" xr3:uid="{00000000-0010-0000-5000-000001000000}" name="Column1"/>
    <tableColumn id="2" xr3:uid="{00000000-0010-0000-5000-000002000000}" name="Column2"/>
  </tableColumns>
  <tableStyleInfo name="TableStyleLight4"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1000000}" name="Table535657828991" displayName="Table535657828991" ref="R262:S288" totalsRowShown="0">
  <autoFilter ref="R262:S288" xr:uid="{00000000-0009-0000-0100-00005A000000}"/>
  <tableColumns count="2">
    <tableColumn id="1" xr3:uid="{00000000-0010-0000-5100-000001000000}" name="Column1"/>
    <tableColumn id="2" xr3:uid="{00000000-0010-0000-5100-000002000000}" name="Column2"/>
  </tableColumns>
  <tableStyleInfo name="TableStyleLight4"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2000000}" name="Table535657828992" displayName="Table535657828992" ref="R445:S461" totalsRowShown="0">
  <autoFilter ref="R445:S461" xr:uid="{00000000-0009-0000-0100-00005B000000}"/>
  <tableColumns count="2">
    <tableColumn id="1" xr3:uid="{00000000-0010-0000-5200-000001000000}" name="Column1"/>
    <tableColumn id="2" xr3:uid="{00000000-0010-0000-5200-000002000000}" name="Column2"/>
  </tableColumns>
  <tableStyleInfo name="TableStyleLight4"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3000000}" name="Table53565782899293" displayName="Table53565782899293" ref="R290:S319" totalsRowShown="0">
  <autoFilter ref="R290:S319" xr:uid="{00000000-0009-0000-0100-00005C000000}"/>
  <tableColumns count="2">
    <tableColumn id="1" xr3:uid="{00000000-0010-0000-5300-000001000000}" name="Column1"/>
    <tableColumn id="2" xr3:uid="{00000000-0010-0000-5300-000002000000}" name="Column2"/>
  </tableColumns>
  <tableStyleInfo name="TableStyleLight4"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4000000}" name="Table53565782899294" displayName="Table53565782899294" ref="R321:S352" totalsRowShown="0">
  <autoFilter ref="R321:S352" xr:uid="{00000000-0009-0000-0100-00005D000000}"/>
  <tableColumns count="2">
    <tableColumn id="1" xr3:uid="{00000000-0010-0000-5400-000001000000}" name="Column1"/>
    <tableColumn id="2" xr3:uid="{00000000-0010-0000-5400-000002000000}" name="Column2"/>
  </tableColumns>
  <tableStyleInfo name="TableStyleLight4"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5000000}" name="Table53565782899295" displayName="Table53565782899295" ref="R354:S388" totalsRowShown="0">
  <autoFilter ref="R354:S388" xr:uid="{00000000-0009-0000-0100-00005E000000}"/>
  <tableColumns count="2">
    <tableColumn id="1" xr3:uid="{00000000-0010-0000-5500-000001000000}" name="Column1"/>
    <tableColumn id="2" xr3:uid="{00000000-0010-0000-5500-000002000000}" name="Column2"/>
  </tableColumns>
  <tableStyleInfo name="TableStyleLight4"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6000000}" name="Table53565782899296" displayName="Table53565782899296" ref="R390:S420" totalsRowShown="0">
  <autoFilter ref="R390:S420" xr:uid="{00000000-0009-0000-0100-00005F000000}"/>
  <tableColumns count="2">
    <tableColumn id="1" xr3:uid="{00000000-0010-0000-5600-000001000000}" name="Column1"/>
    <tableColumn id="2" xr3:uid="{00000000-0010-0000-5600-000002000000}" name="Column2"/>
  </tableColumns>
  <tableStyleInfo name="TableStyleLight4"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7000000}" name="Table53565782899297" displayName="Table53565782899297" ref="R422:S443" totalsRowShown="0">
  <autoFilter ref="R422:S443" xr:uid="{00000000-0009-0000-0100-000060000000}"/>
  <tableColumns count="2">
    <tableColumn id="1" xr3:uid="{00000000-0010-0000-5700-000001000000}" name="Column1"/>
    <tableColumn id="2" xr3:uid="{00000000-0010-0000-5700-000002000000}" name="Column2"/>
  </tableColumns>
  <tableStyleInfo name="TableStyleLight4"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8000000}" name="Table53565782899298" displayName="Table53565782899298" ref="R463:S489" totalsRowShown="0">
  <autoFilter ref="R463:S489" xr:uid="{00000000-0009-0000-0100-000061000000}"/>
  <tableColumns count="2">
    <tableColumn id="1" xr3:uid="{00000000-0010-0000-5800-000001000000}" name="Column1"/>
    <tableColumn id="2" xr3:uid="{00000000-0010-0000-5800-000002000000}" name="Column2"/>
  </tableColumns>
  <tableStyleInfo name="TableStyleLight4"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9000000}" name="TableSTRUCATHL" displayName="TableSTRUCATHL" ref="A127:O130" totalsRowShown="0" headerRowDxfId="291">
  <autoFilter ref="A127:O130" xr:uid="{00000000-0009-0000-0100-000062000000}"/>
  <sortState xmlns:xlrd2="http://schemas.microsoft.com/office/spreadsheetml/2017/richdata2" ref="A151:S158">
    <sortCondition ref="O10:O18"/>
  </sortState>
  <tableColumns count="15">
    <tableColumn id="1" xr3:uid="{00000000-0010-0000-5900-000001000000}" name="UDC" dataDxfId="290">
      <calculatedColumnFormula>TableSTRUCATHL[[#This Row],[Study Package Code]]</calculatedColumnFormula>
    </tableColumn>
    <tableColumn id="9" xr3:uid="{00000000-0010-0000-5900-000009000000}" name="Version" dataDxfId="289">
      <calculatedColumnFormula>TableSTRUCATHL[[#This Row],[Ver]]</calculatedColumnFormula>
    </tableColumn>
    <tableColumn id="10" xr3:uid="{00000000-0010-0000-5900-00000A000000}" name="OUA Code"/>
    <tableColumn id="11" xr3:uid="{00000000-0010-0000-5900-00000B000000}" name="Unit Title" dataDxfId="288">
      <calculatedColumnFormula>TableSTRUCATHL[[#This Row],[Structure Line]]</calculatedColumnFormula>
    </tableColumn>
    <tableColumn id="12" xr3:uid="{00000000-0010-0000-5900-00000C000000}" name="CPs" dataDxfId="287">
      <calculatedColumnFormula>TableSTRUCATHL[[#This Row],[Credit Points]]</calculatedColumnFormula>
    </tableColumn>
    <tableColumn id="13" xr3:uid="{00000000-0010-0000-5900-00000D000000}" name="No." dataDxfId="286"/>
    <tableColumn id="2" xr3:uid="{00000000-0010-0000-5900-000002000000}" name="Component Type" dataDxfId="285"/>
    <tableColumn id="3" xr3:uid="{00000000-0010-0000-5900-000003000000}" name="Year Level" dataDxfId="284"/>
    <tableColumn id="4" xr3:uid="{00000000-0010-0000-5900-000004000000}" name="Study Period" dataDxfId="283"/>
    <tableColumn id="5" xr3:uid="{00000000-0010-0000-5900-000005000000}" name="Study Package Code" dataDxfId="282"/>
    <tableColumn id="6" xr3:uid="{00000000-0010-0000-5900-000006000000}" name="Ver" dataDxfId="281"/>
    <tableColumn id="7" xr3:uid="{00000000-0010-0000-5900-000007000000}" name="Structure Line" dataDxfId="280"/>
    <tableColumn id="8" xr3:uid="{00000000-0010-0000-5900-000008000000}" name="Credit Points" dataDxfId="279"/>
    <tableColumn id="14" xr3:uid="{00000000-0010-0000-5900-00000E000000}" name="Effective" dataDxfId="278"/>
    <tableColumn id="15" xr3:uid="{00000000-0010-0000-5900-00000F000000}" name="Discont." dataDxfId="277"/>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5A000000}" name="Table53565759606163100" displayName="Table53565759606163100" ref="R127:S130" totalsRowShown="0">
  <autoFilter ref="R127:S130" xr:uid="{00000000-0009-0000-0100-000063000000}"/>
  <tableColumns count="2">
    <tableColumn id="1" xr3:uid="{00000000-0010-0000-5A00-000001000000}" name="Column1"/>
    <tableColumn id="2" xr3:uid="{00000000-0010-0000-5A00-000002000000}" name="Column2"/>
  </tableColumns>
  <tableStyleInfo name="TableStyleLight4"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5B000000}" name="TableSTRUENGLL" displayName="TableSTRUENGLL" ref="A132:O135" totalsRowShown="0" headerRowDxfId="276">
  <autoFilter ref="A132:O135" xr:uid="{00000000-0009-0000-0100-000064000000}"/>
  <sortState xmlns:xlrd2="http://schemas.microsoft.com/office/spreadsheetml/2017/richdata2" ref="A156:S163">
    <sortCondition ref="O10:O18"/>
  </sortState>
  <tableColumns count="15">
    <tableColumn id="1" xr3:uid="{00000000-0010-0000-5B00-000001000000}" name="UDC" dataDxfId="275">
      <calculatedColumnFormula>TableSTRUENGLL[[#This Row],[Study Package Code]]</calculatedColumnFormula>
    </tableColumn>
    <tableColumn id="9" xr3:uid="{00000000-0010-0000-5B00-000009000000}" name="Version" dataDxfId="274">
      <calculatedColumnFormula>TableSTRUENGLL[[#This Row],[Ver]]</calculatedColumnFormula>
    </tableColumn>
    <tableColumn id="10" xr3:uid="{00000000-0010-0000-5B00-00000A000000}" name="OUA Code"/>
    <tableColumn id="11" xr3:uid="{00000000-0010-0000-5B00-00000B000000}" name="Unit Title" dataDxfId="273">
      <calculatedColumnFormula>TableSTRUENGLL[[#This Row],[Structure Line]]</calculatedColumnFormula>
    </tableColumn>
    <tableColumn id="12" xr3:uid="{00000000-0010-0000-5B00-00000C000000}" name="CPs" dataDxfId="272">
      <calculatedColumnFormula>TableSTRUENGLL[[#This Row],[Credit Points]]</calculatedColumnFormula>
    </tableColumn>
    <tableColumn id="13" xr3:uid="{00000000-0010-0000-5B00-00000D000000}" name="No." dataDxfId="271"/>
    <tableColumn id="2" xr3:uid="{00000000-0010-0000-5B00-000002000000}" name="Component Type" dataDxfId="270"/>
    <tableColumn id="3" xr3:uid="{00000000-0010-0000-5B00-000003000000}" name="Year Level" dataDxfId="269"/>
    <tableColumn id="4" xr3:uid="{00000000-0010-0000-5B00-000004000000}" name="Study Period" dataDxfId="268"/>
    <tableColumn id="5" xr3:uid="{00000000-0010-0000-5B00-000005000000}" name="Study Package Code" dataDxfId="267"/>
    <tableColumn id="6" xr3:uid="{00000000-0010-0000-5B00-000006000000}" name="Ver" dataDxfId="266"/>
    <tableColumn id="7" xr3:uid="{00000000-0010-0000-5B00-000007000000}" name="Structure Line" dataDxfId="265"/>
    <tableColumn id="8" xr3:uid="{00000000-0010-0000-5B00-000008000000}" name="Credit Points" dataDxfId="264"/>
    <tableColumn id="14" xr3:uid="{00000000-0010-0000-5B00-00000E000000}" name="Effective" dataDxfId="263"/>
    <tableColumn id="15" xr3:uid="{00000000-0010-0000-5B00-00000F000000}" name="Discont." dataDxfId="262"/>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5C000000}" name="Table53565759606163100102" displayName="Table53565759606163100102" ref="R132:S135" totalsRowShown="0">
  <autoFilter ref="R132:S135" xr:uid="{00000000-0009-0000-0100-000065000000}"/>
  <tableColumns count="2">
    <tableColumn id="1" xr3:uid="{00000000-0010-0000-5C00-000001000000}" name="Column1"/>
    <tableColumn id="2" xr3:uid="{00000000-0010-0000-5C00-000002000000}" name="Column2"/>
  </tableColumns>
  <tableStyleInfo name="TableStyleLight4"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5D000000}" name="TableSTRUHLTPE" displayName="TableSTRUHLTPE" ref="A137:O140" totalsRowShown="0" headerRowDxfId="261">
  <autoFilter ref="A137:O140" xr:uid="{00000000-0009-0000-0100-000068000000}"/>
  <sortState xmlns:xlrd2="http://schemas.microsoft.com/office/spreadsheetml/2017/richdata2" ref="A161:S168">
    <sortCondition ref="O10:O18"/>
  </sortState>
  <tableColumns count="15">
    <tableColumn id="1" xr3:uid="{00000000-0010-0000-5D00-000001000000}" name="UDC" dataDxfId="260">
      <calculatedColumnFormula>TableSTRUHLTPE[[#This Row],[Study Package Code]]</calculatedColumnFormula>
    </tableColumn>
    <tableColumn id="9" xr3:uid="{00000000-0010-0000-5D00-000009000000}" name="Version" dataDxfId="259">
      <calculatedColumnFormula>TableSTRUHLTPE[[#This Row],[Ver]]</calculatedColumnFormula>
    </tableColumn>
    <tableColumn id="10" xr3:uid="{00000000-0010-0000-5D00-00000A000000}" name="OUA Code"/>
    <tableColumn id="11" xr3:uid="{00000000-0010-0000-5D00-00000B000000}" name="Unit Title" dataDxfId="258">
      <calculatedColumnFormula>TableSTRUHLTPE[[#This Row],[Structure Line]]</calculatedColumnFormula>
    </tableColumn>
    <tableColumn id="12" xr3:uid="{00000000-0010-0000-5D00-00000C000000}" name="CPs" dataDxfId="257">
      <calculatedColumnFormula>TableSTRUHLTPE[[#This Row],[Credit Points]]</calculatedColumnFormula>
    </tableColumn>
    <tableColumn id="13" xr3:uid="{00000000-0010-0000-5D00-00000D000000}" name="No." dataDxfId="256"/>
    <tableColumn id="2" xr3:uid="{00000000-0010-0000-5D00-000002000000}" name="Component Type" dataDxfId="255"/>
    <tableColumn id="3" xr3:uid="{00000000-0010-0000-5D00-000003000000}" name="Year Level" dataDxfId="254"/>
    <tableColumn id="4" xr3:uid="{00000000-0010-0000-5D00-000004000000}" name="Study Period" dataDxfId="253"/>
    <tableColumn id="5" xr3:uid="{00000000-0010-0000-5D00-000005000000}" name="Study Package Code" dataDxfId="252"/>
    <tableColumn id="6" xr3:uid="{00000000-0010-0000-5D00-000006000000}" name="Ver" dataDxfId="251"/>
    <tableColumn id="7" xr3:uid="{00000000-0010-0000-5D00-000007000000}" name="Structure Line" dataDxfId="250"/>
    <tableColumn id="8" xr3:uid="{00000000-0010-0000-5D00-000008000000}" name="Credit Points" dataDxfId="249"/>
    <tableColumn id="14" xr3:uid="{00000000-0010-0000-5D00-00000E000000}" name="Effective" dataDxfId="248"/>
    <tableColumn id="15" xr3:uid="{00000000-0010-0000-5D00-00000F000000}" name="Discont." dataDxfId="247"/>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5E000000}" name="Table53565759606163100102106" displayName="Table53565759606163100102106" ref="R137:S140" totalsRowShown="0">
  <autoFilter ref="R137:S140" xr:uid="{00000000-0009-0000-0100-000069000000}"/>
  <tableColumns count="2">
    <tableColumn id="1" xr3:uid="{00000000-0010-0000-5E00-000001000000}" name="Column1"/>
    <tableColumn id="2" xr3:uid="{00000000-0010-0000-5E00-000002000000}" name="Column2"/>
  </tableColumns>
  <tableStyleInfo name="TableStyleLight4"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5F000000}" name="TableSTRUISTEM" displayName="TableSTRUISTEM" ref="A142:O145" totalsRowShown="0" headerRowDxfId="246">
  <autoFilter ref="A142:O145" xr:uid="{00000000-0009-0000-0100-00006A000000}"/>
  <sortState xmlns:xlrd2="http://schemas.microsoft.com/office/spreadsheetml/2017/richdata2" ref="A166:S173">
    <sortCondition ref="O10:O18"/>
  </sortState>
  <tableColumns count="15">
    <tableColumn id="1" xr3:uid="{00000000-0010-0000-5F00-000001000000}" name="UDC" dataDxfId="245">
      <calculatedColumnFormula>TableSTRUISTEM[[#This Row],[Study Package Code]]</calculatedColumnFormula>
    </tableColumn>
    <tableColumn id="9" xr3:uid="{00000000-0010-0000-5F00-000009000000}" name="Version" dataDxfId="244">
      <calculatedColumnFormula>TableSTRUISTEM[[#This Row],[Ver]]</calculatedColumnFormula>
    </tableColumn>
    <tableColumn id="10" xr3:uid="{00000000-0010-0000-5F00-00000A000000}" name="OUA Code"/>
    <tableColumn id="11" xr3:uid="{00000000-0010-0000-5F00-00000B000000}" name="Unit Title" dataDxfId="243">
      <calculatedColumnFormula>TableSTRUISTEM[[#This Row],[Structure Line]]</calculatedColumnFormula>
    </tableColumn>
    <tableColumn id="12" xr3:uid="{00000000-0010-0000-5F00-00000C000000}" name="CPs" dataDxfId="242">
      <calculatedColumnFormula>TableSTRUISTEM[[#This Row],[Credit Points]]</calculatedColumnFormula>
    </tableColumn>
    <tableColumn id="13" xr3:uid="{00000000-0010-0000-5F00-00000D000000}" name="No." dataDxfId="241"/>
    <tableColumn id="2" xr3:uid="{00000000-0010-0000-5F00-000002000000}" name="Component Type" dataDxfId="240"/>
    <tableColumn id="3" xr3:uid="{00000000-0010-0000-5F00-000003000000}" name="Year Level" dataDxfId="239"/>
    <tableColumn id="4" xr3:uid="{00000000-0010-0000-5F00-000004000000}" name="Study Period" dataDxfId="238"/>
    <tableColumn id="5" xr3:uid="{00000000-0010-0000-5F00-000005000000}" name="Study Package Code" dataDxfId="237"/>
    <tableColumn id="6" xr3:uid="{00000000-0010-0000-5F00-000006000000}" name="Ver" dataDxfId="236"/>
    <tableColumn id="7" xr3:uid="{00000000-0010-0000-5F00-000007000000}" name="Structure Line" dataDxfId="235"/>
    <tableColumn id="8" xr3:uid="{00000000-0010-0000-5F00-000008000000}" name="Credit Points" dataDxfId="234"/>
    <tableColumn id="14" xr3:uid="{00000000-0010-0000-5F00-00000E000000}" name="Effective" dataDxfId="233"/>
    <tableColumn id="15" xr3:uid="{00000000-0010-0000-5F00-00000F000000}" name="Discont." dataDxfId="232"/>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0000000}" name="Table53565759606163100102106108" displayName="Table53565759606163100102106108" ref="R142:S145" totalsRowShown="0">
  <autoFilter ref="R142:S145" xr:uid="{00000000-0009-0000-0100-00006B000000}"/>
  <tableColumns count="2">
    <tableColumn id="1" xr3:uid="{00000000-0010-0000-6000-000001000000}" name="Column1"/>
    <tableColumn id="2" xr3:uid="{00000000-0010-0000-6000-000002000000}" name="Column2"/>
  </tableColumns>
  <tableStyleInfo name="TableStyleLight4"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1000000}" name="TableSTRULITNU" displayName="TableSTRULITNU" ref="A147:O150" totalsRowShown="0" headerRowDxfId="231">
  <autoFilter ref="A147:O150" xr:uid="{00000000-0009-0000-0100-00006C000000}"/>
  <sortState xmlns:xlrd2="http://schemas.microsoft.com/office/spreadsheetml/2017/richdata2" ref="A171:S178">
    <sortCondition ref="O10:O18"/>
  </sortState>
  <tableColumns count="15">
    <tableColumn id="1" xr3:uid="{00000000-0010-0000-6100-000001000000}" name="UDC" dataDxfId="230">
      <calculatedColumnFormula>TableSTRULITNU[[#This Row],[Study Package Code]]</calculatedColumnFormula>
    </tableColumn>
    <tableColumn id="9" xr3:uid="{00000000-0010-0000-6100-000009000000}" name="Version" dataDxfId="229">
      <calculatedColumnFormula>TableSTRULITNU[[#This Row],[Ver]]</calculatedColumnFormula>
    </tableColumn>
    <tableColumn id="10" xr3:uid="{00000000-0010-0000-6100-00000A000000}" name="OUA Code"/>
    <tableColumn id="11" xr3:uid="{00000000-0010-0000-6100-00000B000000}" name="Unit Title" dataDxfId="228">
      <calculatedColumnFormula>TableSTRULITNU[[#This Row],[Structure Line]]</calculatedColumnFormula>
    </tableColumn>
    <tableColumn id="12" xr3:uid="{00000000-0010-0000-6100-00000C000000}" name="CPs" dataDxfId="227">
      <calculatedColumnFormula>TableSTRULITNU[[#This Row],[Credit Points]]</calculatedColumnFormula>
    </tableColumn>
    <tableColumn id="13" xr3:uid="{00000000-0010-0000-6100-00000D000000}" name="No." dataDxfId="226"/>
    <tableColumn id="2" xr3:uid="{00000000-0010-0000-6100-000002000000}" name="Component Type" dataDxfId="225"/>
    <tableColumn id="3" xr3:uid="{00000000-0010-0000-6100-000003000000}" name="Year Level" dataDxfId="224"/>
    <tableColumn id="4" xr3:uid="{00000000-0010-0000-6100-000004000000}" name="Study Period" dataDxfId="223"/>
    <tableColumn id="5" xr3:uid="{00000000-0010-0000-6100-000005000000}" name="Study Package Code" dataDxfId="222"/>
    <tableColumn id="6" xr3:uid="{00000000-0010-0000-6100-000006000000}" name="Ver" dataDxfId="221"/>
    <tableColumn id="7" xr3:uid="{00000000-0010-0000-6100-000007000000}" name="Structure Line" dataDxfId="220"/>
    <tableColumn id="8" xr3:uid="{00000000-0010-0000-6100-000008000000}" name="Credit Points" dataDxfId="219"/>
    <tableColumn id="14" xr3:uid="{00000000-0010-0000-6100-00000E000000}" name="Effective" dataDxfId="218"/>
    <tableColumn id="15" xr3:uid="{00000000-0010-0000-6100-00000F000000}" name="Discont." dataDxfId="217"/>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2000000}" name="Table53565759606163100102106108110" displayName="Table53565759606163100102106108110" ref="R147:S150" totalsRowShown="0">
  <autoFilter ref="R147:S150" xr:uid="{00000000-0009-0000-0100-00006D000000}"/>
  <tableColumns count="2">
    <tableColumn id="1" xr3:uid="{00000000-0010-0000-6200-000001000000}" name="Column1"/>
    <tableColumn id="2" xr3:uid="{00000000-0010-0000-6200-000002000000}" name="Column2"/>
  </tableColumns>
  <tableStyleInfo name="TableStyleLight4"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3000000}" name="TableSTRUTECHS" displayName="TableSTRUTECHS" ref="A152:O155" totalsRowShown="0" headerRowDxfId="216">
  <autoFilter ref="A152:O155" xr:uid="{00000000-0009-0000-0100-00006E000000}"/>
  <sortState xmlns:xlrd2="http://schemas.microsoft.com/office/spreadsheetml/2017/richdata2" ref="A176:S183">
    <sortCondition ref="O10:O18"/>
  </sortState>
  <tableColumns count="15">
    <tableColumn id="1" xr3:uid="{00000000-0010-0000-6300-000001000000}" name="UDC" dataDxfId="215">
      <calculatedColumnFormula>TableSTRUTECHS[[#This Row],[Study Package Code]]</calculatedColumnFormula>
    </tableColumn>
    <tableColumn id="9" xr3:uid="{00000000-0010-0000-6300-000009000000}" name="Version" dataDxfId="214">
      <calculatedColumnFormula>TableSTRUTECHS[[#This Row],[Ver]]</calculatedColumnFormula>
    </tableColumn>
    <tableColumn id="10" xr3:uid="{00000000-0010-0000-6300-00000A000000}" name="OUA Code"/>
    <tableColumn id="11" xr3:uid="{00000000-0010-0000-6300-00000B000000}" name="Unit Title" dataDxfId="213">
      <calculatedColumnFormula>TableSTRUTECHS[[#This Row],[Structure Line]]</calculatedColumnFormula>
    </tableColumn>
    <tableColumn id="12" xr3:uid="{00000000-0010-0000-6300-00000C000000}" name="CPs" dataDxfId="212">
      <calculatedColumnFormula>TableSTRUTECHS[[#This Row],[Credit Points]]</calculatedColumnFormula>
    </tableColumn>
    <tableColumn id="13" xr3:uid="{00000000-0010-0000-6300-00000D000000}" name="No." dataDxfId="211"/>
    <tableColumn id="2" xr3:uid="{00000000-0010-0000-6300-000002000000}" name="Component Type" dataDxfId="210"/>
    <tableColumn id="3" xr3:uid="{00000000-0010-0000-6300-000003000000}" name="Year Level" dataDxfId="209"/>
    <tableColumn id="4" xr3:uid="{00000000-0010-0000-6300-000004000000}" name="Study Period" dataDxfId="208"/>
    <tableColumn id="5" xr3:uid="{00000000-0010-0000-6300-000005000000}" name="Study Package Code" dataDxfId="207"/>
    <tableColumn id="6" xr3:uid="{00000000-0010-0000-6300-000006000000}" name="Ver" dataDxfId="206"/>
    <tableColumn id="7" xr3:uid="{00000000-0010-0000-6300-000007000000}" name="Structure Line" dataDxfId="205"/>
    <tableColumn id="8" xr3:uid="{00000000-0010-0000-6300-000008000000}" name="Credit Points" dataDxfId="204"/>
    <tableColumn id="14" xr3:uid="{00000000-0010-0000-6300-00000E000000}" name="Effective" dataDxfId="203"/>
    <tableColumn id="15" xr3:uid="{00000000-0010-0000-6300-00000F000000}" name="Discont." dataDxfId="202"/>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4000000}" name="Table53565759606163100102106108110112" displayName="Table53565759606163100102106108110112" ref="R152:S155" totalsRowShown="0">
  <autoFilter ref="R152:S155" xr:uid="{00000000-0009-0000-0100-00006F000000}"/>
  <tableColumns count="2">
    <tableColumn id="1" xr3:uid="{00000000-0010-0000-6400-000001000000}" name="Column1"/>
    <tableColumn id="2" xr3:uid="{00000000-0010-0000-6400-000002000000}" name="Column2"/>
  </tableColumns>
  <tableStyleInfo name="TableStyleLight4"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5000000}" name="TableAvailabilities" displayName="TableAvailabilities" ref="A2:J249" totalsRowShown="0">
  <autoFilter ref="A2:J249" xr:uid="{00000000-0009-0000-0100-00000D000000}"/>
  <tableColumns count="10">
    <tableColumn id="1" xr3:uid="{00000000-0010-0000-6500-000001000000}" name="Row Labels"/>
    <tableColumn id="2" xr3:uid="{00000000-0010-0000-6500-000002000000}" name="Sem1 Internal" dataDxfId="201"/>
    <tableColumn id="3" xr3:uid="{00000000-0010-0000-6500-000003000000}" name="Sem1 Online BEN" dataDxfId="200"/>
    <tableColumn id="4" xr3:uid="{00000000-0010-0000-6500-000004000000}" name="Sem1 Online KAL" dataDxfId="199"/>
    <tableColumn id="5" xr3:uid="{00000000-0010-0000-6500-000005000000}" name="Sem2 Internal" dataDxfId="198"/>
    <tableColumn id="6" xr3:uid="{00000000-0010-0000-6500-000006000000}" name="Sem2 Online BEN" dataDxfId="197"/>
    <tableColumn id="7" xr3:uid="{00000000-0010-0000-6500-000007000000}" name="Sem2 Online KAL" dataDxfId="196"/>
    <tableColumn id="8" xr3:uid="{00000000-0010-0000-6500-000008000000}" name="SSP2 Internal" dataDxfId="195"/>
    <tableColumn id="9" xr3:uid="{00000000-0010-0000-6500-000009000000}" name="SSP2 Online BEN" dataDxfId="194"/>
    <tableColumn id="10" xr3:uid="{00000000-0010-0000-6500-00000A000000}" name="SSP2 Online KAL" dataDxfId="193"/>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table" Target="../tables/table31.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16" Type="http://schemas.openxmlformats.org/officeDocument/2006/relationships/table" Target="../tables/table21.xml"/><Relationship Id="rId11" Type="http://schemas.openxmlformats.org/officeDocument/2006/relationships/table" Target="../tables/table16.xml"/><Relationship Id="rId32" Type="http://schemas.openxmlformats.org/officeDocument/2006/relationships/table" Target="../tables/table37.xml"/><Relationship Id="rId37" Type="http://schemas.openxmlformats.org/officeDocument/2006/relationships/table" Target="../tables/table42.xml"/><Relationship Id="rId53" Type="http://schemas.openxmlformats.org/officeDocument/2006/relationships/table" Target="../tables/table58.xml"/><Relationship Id="rId58" Type="http://schemas.openxmlformats.org/officeDocument/2006/relationships/table" Target="../tables/table63.xml"/><Relationship Id="rId74" Type="http://schemas.openxmlformats.org/officeDocument/2006/relationships/table" Target="../tables/table79.xml"/><Relationship Id="rId79" Type="http://schemas.openxmlformats.org/officeDocument/2006/relationships/table" Target="../tables/table84.xml"/><Relationship Id="rId5" Type="http://schemas.openxmlformats.org/officeDocument/2006/relationships/table" Target="../tables/table10.xml"/><Relationship Id="rId90" Type="http://schemas.openxmlformats.org/officeDocument/2006/relationships/table" Target="../tables/table95.xml"/><Relationship Id="rId95" Type="http://schemas.openxmlformats.org/officeDocument/2006/relationships/table" Target="../tables/table100.xml"/><Relationship Id="rId22" Type="http://schemas.openxmlformats.org/officeDocument/2006/relationships/table" Target="../tables/table27.xml"/><Relationship Id="rId27" Type="http://schemas.openxmlformats.org/officeDocument/2006/relationships/table" Target="../tables/table32.xml"/><Relationship Id="rId43" Type="http://schemas.openxmlformats.org/officeDocument/2006/relationships/table" Target="../tables/table48.xml"/><Relationship Id="rId48" Type="http://schemas.openxmlformats.org/officeDocument/2006/relationships/table" Target="../tables/table53.xml"/><Relationship Id="rId64" Type="http://schemas.openxmlformats.org/officeDocument/2006/relationships/table" Target="../tables/table69.xml"/><Relationship Id="rId69" Type="http://schemas.openxmlformats.org/officeDocument/2006/relationships/table" Target="../tables/table74.xml"/><Relationship Id="rId80" Type="http://schemas.openxmlformats.org/officeDocument/2006/relationships/table" Target="../tables/table85.xml"/><Relationship Id="rId85" Type="http://schemas.openxmlformats.org/officeDocument/2006/relationships/table" Target="../tables/table90.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 Type="http://schemas.openxmlformats.org/officeDocument/2006/relationships/printerSettings" Target="../printerSettings/printerSettings9.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comments" Target="../comments1.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vmlDrawing" Target="../drawings/vmlDrawing1.vml"/><Relationship Id="rId29" Type="http://schemas.openxmlformats.org/officeDocument/2006/relationships/table" Target="../tables/table34.xml"/><Relationship Id="rId24" Type="http://schemas.openxmlformats.org/officeDocument/2006/relationships/table" Target="../tables/table29.xml"/><Relationship Id="rId40" Type="http://schemas.openxmlformats.org/officeDocument/2006/relationships/table" Target="../tables/table45.xml"/><Relationship Id="rId45" Type="http://schemas.openxmlformats.org/officeDocument/2006/relationships/table" Target="../tables/table50.xml"/><Relationship Id="rId66" Type="http://schemas.openxmlformats.org/officeDocument/2006/relationships/table" Target="../tables/table71.xml"/><Relationship Id="rId87" Type="http://schemas.openxmlformats.org/officeDocument/2006/relationships/table" Target="../tables/table92.xml"/><Relationship Id="rId61" Type="http://schemas.openxmlformats.org/officeDocument/2006/relationships/table" Target="../tables/table66.xml"/><Relationship Id="rId82" Type="http://schemas.openxmlformats.org/officeDocument/2006/relationships/table" Target="../tables/table87.xml"/><Relationship Id="rId19" Type="http://schemas.openxmlformats.org/officeDocument/2006/relationships/table" Target="../tables/table24.xml"/><Relationship Id="rId14" Type="http://schemas.openxmlformats.org/officeDocument/2006/relationships/table" Target="../tables/table19.xml"/><Relationship Id="rId30" Type="http://schemas.openxmlformats.org/officeDocument/2006/relationships/table" Target="../tables/table35.xml"/><Relationship Id="rId35" Type="http://schemas.openxmlformats.org/officeDocument/2006/relationships/table" Target="../tables/table40.xml"/><Relationship Id="rId56" Type="http://schemas.openxmlformats.org/officeDocument/2006/relationships/table" Target="../tables/table61.xml"/><Relationship Id="rId77" Type="http://schemas.openxmlformats.org/officeDocument/2006/relationships/table" Target="../tables/table82.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93" Type="http://schemas.openxmlformats.org/officeDocument/2006/relationships/table" Target="../tables/table9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Y46"/>
  <sheetViews>
    <sheetView showGridLines="0" topLeftCell="A3" zoomScaleNormal="100" workbookViewId="0">
      <selection activeCell="L15" sqref="L15"/>
    </sheetView>
  </sheetViews>
  <sheetFormatPr defaultColWidth="9" defaultRowHeight="15" x14ac:dyDescent="0.25"/>
  <cols>
    <col min="1" max="1" width="10" style="22" customWidth="1"/>
    <col min="2" max="2" width="3.25" style="22" customWidth="1"/>
    <col min="3" max="3" width="5.875" style="22" customWidth="1"/>
    <col min="4" max="4" width="41.5" style="21" bestFit="1" customWidth="1"/>
    <col min="5" max="5" width="7" style="21" customWidth="1"/>
    <col min="6" max="6" width="26.5" style="21" customWidth="1"/>
    <col min="7" max="7" width="5.625" style="21" customWidth="1"/>
    <col min="8" max="13" width="4.375" style="21" customWidth="1"/>
    <col min="14" max="14" width="18.625" style="21" customWidth="1"/>
    <col min="15" max="15" width="2.5" style="21" hidden="1" customWidth="1"/>
    <col min="16" max="16384" width="9" style="21"/>
  </cols>
  <sheetData>
    <row r="1" spans="1:25" hidden="1" x14ac:dyDescent="0.25">
      <c r="A1" s="101" t="s">
        <v>0</v>
      </c>
      <c r="B1" s="101" t="s">
        <v>1</v>
      </c>
      <c r="C1" s="101" t="s">
        <v>2</v>
      </c>
      <c r="D1" s="102" t="s">
        <v>3</v>
      </c>
      <c r="E1" s="102"/>
      <c r="F1" s="102" t="s">
        <v>4</v>
      </c>
      <c r="G1" s="102" t="s">
        <v>5</v>
      </c>
      <c r="H1" s="102" t="s">
        <v>6</v>
      </c>
      <c r="I1" s="102"/>
      <c r="J1" s="102"/>
      <c r="K1" s="102"/>
      <c r="L1" s="102"/>
      <c r="M1" s="102"/>
      <c r="N1" s="102" t="s">
        <v>7</v>
      </c>
    </row>
    <row r="2" spans="1:25" hidden="1" x14ac:dyDescent="0.25">
      <c r="A2" s="100"/>
      <c r="B2" s="100">
        <v>2</v>
      </c>
      <c r="C2" s="100">
        <v>3</v>
      </c>
      <c r="D2" s="100">
        <v>4</v>
      </c>
      <c r="E2" s="100"/>
      <c r="F2" s="100">
        <v>6</v>
      </c>
      <c r="G2" s="100">
        <v>5</v>
      </c>
      <c r="H2" s="100">
        <v>7</v>
      </c>
      <c r="I2" s="100">
        <v>8</v>
      </c>
      <c r="J2" s="100">
        <v>9</v>
      </c>
      <c r="K2" s="100">
        <v>10</v>
      </c>
      <c r="L2" s="100">
        <v>11</v>
      </c>
      <c r="M2" s="100">
        <v>12</v>
      </c>
      <c r="N2" s="100"/>
    </row>
    <row r="3" spans="1:25" ht="39.950000000000003" customHeight="1" x14ac:dyDescent="0.25">
      <c r="A3" s="442" t="s">
        <v>8</v>
      </c>
      <c r="B3" s="442"/>
      <c r="C3" s="442"/>
      <c r="D3" s="442"/>
      <c r="E3" s="168"/>
      <c r="F3" s="168"/>
      <c r="G3" s="168"/>
      <c r="H3" s="168"/>
      <c r="I3" s="168"/>
      <c r="J3" s="168"/>
      <c r="K3" s="168"/>
      <c r="L3" s="168"/>
      <c r="M3" s="168"/>
      <c r="N3" s="168"/>
    </row>
    <row r="4" spans="1:25" ht="26.25" x14ac:dyDescent="0.25">
      <c r="A4" s="234"/>
      <c r="B4" s="235"/>
      <c r="C4" s="235"/>
      <c r="D4" s="236"/>
      <c r="E4" s="237" t="s">
        <v>9</v>
      </c>
      <c r="F4" s="235"/>
      <c r="G4" s="238"/>
      <c r="H4" s="238"/>
      <c r="I4" s="238"/>
      <c r="J4" s="238"/>
      <c r="K4" s="238"/>
      <c r="L4" s="238"/>
      <c r="M4" s="238"/>
      <c r="N4" s="238"/>
      <c r="Q4"/>
      <c r="R4"/>
      <c r="S4"/>
      <c r="T4"/>
    </row>
    <row r="5" spans="1:25" ht="20.100000000000001" customHeight="1" x14ac:dyDescent="0.25">
      <c r="B5" s="23"/>
      <c r="C5" s="86" t="s">
        <v>10</v>
      </c>
      <c r="D5" s="249" t="s">
        <v>11</v>
      </c>
      <c r="E5" s="24"/>
      <c r="F5" s="86" t="s">
        <v>12</v>
      </c>
      <c r="G5" s="24" t="str">
        <f>IFERROR(CONCATENATE(VLOOKUP(D5,TableCourses[],2,FALSE)," ",VLOOKUP(D5,TableCourses[],3,FALSE)),"")</f>
        <v>B-EDUC v.4</v>
      </c>
      <c r="H5" s="24"/>
      <c r="I5" s="24"/>
      <c r="J5" s="24"/>
      <c r="K5" s="24"/>
      <c r="L5" s="24"/>
      <c r="M5" s="24"/>
      <c r="N5" s="239" t="e">
        <f>CONCATENATE(VLOOKUP(D5,TableCourses[],2,FALSE),VLOOKUP(D6,TableStudyPeriods[],2,FALSE))</f>
        <v>#N/A</v>
      </c>
    </row>
    <row r="6" spans="1:25" ht="20.100000000000001" customHeight="1" x14ac:dyDescent="0.25">
      <c r="A6" s="25"/>
      <c r="B6" s="26"/>
      <c r="C6" s="86" t="s">
        <v>13</v>
      </c>
      <c r="D6" s="24" t="s">
        <v>136</v>
      </c>
      <c r="E6" s="27"/>
      <c r="F6" s="86" t="s">
        <v>15</v>
      </c>
      <c r="G6" s="24" t="str">
        <f>IFERROR(VLOOKUP($D$5,TableCourses[],7,FALSE),"")</f>
        <v xml:space="preserve">600 credit points required </v>
      </c>
      <c r="H6" s="77"/>
      <c r="I6" s="77"/>
      <c r="J6" s="77"/>
      <c r="K6" s="77"/>
      <c r="L6" s="77"/>
      <c r="M6" s="77"/>
      <c r="N6" s="233"/>
      <c r="O6" s="28"/>
      <c r="P6" s="28"/>
      <c r="Q6" s="28"/>
      <c r="R6" s="28"/>
      <c r="S6" s="28"/>
      <c r="T6" s="28"/>
      <c r="U6" s="28"/>
      <c r="V6" s="28"/>
      <c r="W6" s="28"/>
      <c r="X6" s="28"/>
      <c r="Y6" s="28"/>
    </row>
    <row r="7" spans="1:25" s="31" customFormat="1" ht="14.1" customHeight="1" x14ac:dyDescent="0.25">
      <c r="A7" s="105"/>
      <c r="B7" s="105"/>
      <c r="C7" s="105"/>
      <c r="D7" s="106"/>
      <c r="E7" s="107"/>
      <c r="F7" s="105"/>
      <c r="G7" s="105"/>
      <c r="H7" s="167" t="s">
        <v>16</v>
      </c>
      <c r="I7" s="108"/>
      <c r="J7" s="108"/>
      <c r="K7" s="108"/>
      <c r="L7" s="108"/>
      <c r="M7" s="109"/>
      <c r="N7" s="110"/>
      <c r="O7" s="29"/>
      <c r="P7" s="29"/>
      <c r="Q7" s="29"/>
      <c r="R7" s="30"/>
      <c r="S7" s="30"/>
      <c r="T7" s="30"/>
      <c r="U7" s="30"/>
      <c r="V7" s="30"/>
      <c r="W7" s="30"/>
      <c r="X7" s="30"/>
      <c r="Y7" s="30"/>
    </row>
    <row r="8" spans="1:25" s="31" customFormat="1" ht="21" x14ac:dyDescent="0.25">
      <c r="A8" s="105" t="s">
        <v>17</v>
      </c>
      <c r="B8" s="105"/>
      <c r="C8" s="105"/>
      <c r="D8" s="106" t="s">
        <v>3</v>
      </c>
      <c r="E8" s="111" t="s">
        <v>18</v>
      </c>
      <c r="F8" s="105" t="s">
        <v>19</v>
      </c>
      <c r="G8" s="105" t="s">
        <v>20</v>
      </c>
      <c r="H8" s="113" t="s">
        <v>21</v>
      </c>
      <c r="I8" s="111" t="s">
        <v>22</v>
      </c>
      <c r="J8" s="227" t="s">
        <v>23</v>
      </c>
      <c r="K8" s="111" t="s">
        <v>24</v>
      </c>
      <c r="L8" s="111" t="s">
        <v>25</v>
      </c>
      <c r="M8" s="114" t="s">
        <v>26</v>
      </c>
      <c r="N8" s="112" t="s">
        <v>27</v>
      </c>
      <c r="O8" s="29"/>
      <c r="P8" s="29"/>
      <c r="Q8" s="29"/>
      <c r="R8" s="30"/>
      <c r="S8" s="30"/>
      <c r="T8" s="30"/>
      <c r="U8" s="30"/>
      <c r="V8" s="30"/>
      <c r="W8" s="30"/>
      <c r="X8" s="30"/>
      <c r="Y8" s="30"/>
    </row>
    <row r="9" spans="1:25" s="34" customFormat="1" ht="20.100000000000001" customHeight="1" x14ac:dyDescent="0.15">
      <c r="A9" s="67" t="str">
        <f>IFERROR(IF(HLOOKUP($N$5,RangeUnitsets,O9,FALSE)=0,"",HLOOKUP($N$5,RangeUnitsets,O9,FALSE)),"")</f>
        <v/>
      </c>
      <c r="B9" s="63" t="str">
        <f>IFERROR(IF(VLOOKUP($A9,TableHandbook[],B$2,FALSE)=0,"",VLOOKUP($A9,TableHandbook[],B$2,FALSE)),"")</f>
        <v/>
      </c>
      <c r="C9" s="63" t="str">
        <f>IFERROR(IF(VLOOKUP($A9,TableHandbook[],C$2,FALSE)=0,"",VLOOKUP($A9,TableHandbook[],C$2,FALSE)),"")</f>
        <v/>
      </c>
      <c r="D9" s="68" t="str">
        <f>IFERROR(IF(VLOOKUP($A9,TableHandbook[],D$2,FALSE)=0,"",VLOOKUP($A9,TableHandbook[],D$2,FALSE)),"")</f>
        <v/>
      </c>
      <c r="E9" s="63" t="str">
        <f>IF(OR(A9="",A9="--"),"",VLOOKUP($D$6,TableStudyPeriods[],2,FALSE))</f>
        <v/>
      </c>
      <c r="F9" s="62" t="str">
        <f>IFERROR(IF(VLOOKUP($A9,TableHandbook[],F$2,FALSE)=0,"",VLOOKUP($A9,TableHandbook[],F$2,FALSE)),"")</f>
        <v/>
      </c>
      <c r="G9" s="63" t="str">
        <f>IFERROR(IF(VLOOKUP($A9,TableHandbook[],G$2,FALSE)=0,"",VLOOKUP($A9,TableHandbook[],G$2,FALSE)),"")</f>
        <v/>
      </c>
      <c r="H9" s="71" t="str">
        <f>IFERROR(VLOOKUP($A9,TableHandbook[],H$2,FALSE),"")</f>
        <v/>
      </c>
      <c r="I9" s="63" t="str">
        <f>IFERROR(VLOOKUP($A9,TableHandbook[],I$2,FALSE),"")</f>
        <v/>
      </c>
      <c r="J9" s="228" t="str">
        <f>IFERROR(VLOOKUP($A9,TableHandbook[],J$2,FALSE),"")</f>
        <v/>
      </c>
      <c r="K9" s="63" t="str">
        <f>IFERROR(VLOOKUP($A9,TableHandbook[],K$2,FALSE),"")</f>
        <v/>
      </c>
      <c r="L9" s="63" t="str">
        <f>IFERROR(VLOOKUP($A9,TableHandbook[],L$2,FALSE),"")</f>
        <v/>
      </c>
      <c r="M9" s="72" t="str">
        <f>IFERROR(VLOOKUP($A9,TableHandbook[],M$2,FALSE),"")</f>
        <v/>
      </c>
      <c r="N9" s="69"/>
      <c r="O9" s="76">
        <v>2</v>
      </c>
      <c r="P9" s="32"/>
      <c r="Q9" s="32"/>
      <c r="R9" s="33"/>
      <c r="S9" s="33"/>
      <c r="T9" s="33"/>
      <c r="U9" s="33"/>
      <c r="V9" s="33"/>
      <c r="W9" s="33"/>
      <c r="X9" s="33"/>
      <c r="Y9" s="33"/>
    </row>
    <row r="10" spans="1:25" s="34" customFormat="1" ht="20.100000000000001" customHeight="1" x14ac:dyDescent="0.15">
      <c r="A10" s="67" t="str">
        <f>IFERROR(IF(HLOOKUP($N$5,RangeUnitsets,O10,FALSE)=0,"",HLOOKUP($N$5,RangeUnitsets,O10,FALSE)),"")</f>
        <v/>
      </c>
      <c r="B10" s="63" t="str">
        <f>IFERROR(IF(VLOOKUP($A10,TableHandbook[],B$2,FALSE)=0,"",VLOOKUP($A10,TableHandbook[],B$2,FALSE)),"")</f>
        <v/>
      </c>
      <c r="C10" s="63" t="str">
        <f>IFERROR(IF(VLOOKUP($A10,TableHandbook[],C$2,FALSE)=0,"",VLOOKUP($A10,TableHandbook[],C$2,FALSE)),"")</f>
        <v/>
      </c>
      <c r="D10" s="68" t="str">
        <f>IFERROR(IF(VLOOKUP($A10,TableHandbook[],D$2,FALSE)=0,"",VLOOKUP($A10,TableHandbook[],D$2,FALSE)),"")</f>
        <v/>
      </c>
      <c r="E10" s="63" t="str">
        <f>IF(A10="","",E9)</f>
        <v/>
      </c>
      <c r="F10" s="62" t="str">
        <f>IFERROR(IF(VLOOKUP($A10,TableHandbook[],F$2,FALSE)=0,"",VLOOKUP($A10,TableHandbook[],F$2,FALSE)),"")</f>
        <v/>
      </c>
      <c r="G10" s="63" t="str">
        <f>IFERROR(IF(VLOOKUP($A10,TableHandbook[],G$2,FALSE)=0,"",VLOOKUP($A10,TableHandbook[],G$2,FALSE)),"")</f>
        <v/>
      </c>
      <c r="H10" s="71" t="str">
        <f>IFERROR(VLOOKUP($A10,TableHandbook[],H$2,FALSE),"")</f>
        <v/>
      </c>
      <c r="I10" s="63" t="str">
        <f>IFERROR(VLOOKUP($A10,TableHandbook[],I$2,FALSE),"")</f>
        <v/>
      </c>
      <c r="J10" s="228" t="str">
        <f>IFERROR(VLOOKUP($A10,TableHandbook[],J$2,FALSE),"")</f>
        <v/>
      </c>
      <c r="K10" s="63" t="str">
        <f>IFERROR(VLOOKUP($A10,TableHandbook[],K$2,FALSE),"")</f>
        <v/>
      </c>
      <c r="L10" s="63" t="str">
        <f>IFERROR(VLOOKUP($A10,TableHandbook[],L$2,FALSE),"")</f>
        <v/>
      </c>
      <c r="M10" s="72" t="str">
        <f>IFERROR(VLOOKUP($A10,TableHandbook[],M$2,FALSE),"")</f>
        <v/>
      </c>
      <c r="N10" s="69"/>
      <c r="O10" s="76">
        <v>3</v>
      </c>
      <c r="P10" s="32"/>
      <c r="Q10" s="32"/>
      <c r="R10" s="33"/>
      <c r="S10" s="33"/>
      <c r="T10" s="33"/>
      <c r="U10" s="33"/>
      <c r="V10" s="33"/>
      <c r="W10" s="33"/>
      <c r="X10" s="33"/>
      <c r="Y10" s="33"/>
    </row>
    <row r="11" spans="1:25" s="34" customFormat="1" ht="20.100000000000001" customHeight="1" x14ac:dyDescent="0.15">
      <c r="A11" s="164" t="str">
        <f>IFERROR(IF(HLOOKUP($N$5,RangeUnitsets,O11,FALSE)=0,"",HLOOKUP($N$5,RangeUnitsets,O11,FALSE)),"")</f>
        <v/>
      </c>
      <c r="B11" s="63" t="str">
        <f>IFERROR(IF(VLOOKUP($A11,TableHandbook[],B$2,FALSE)=0,"",VLOOKUP($A11,TableHandbook[],B$2,FALSE)),"")</f>
        <v/>
      </c>
      <c r="C11" s="63" t="str">
        <f>IFERROR(IF(VLOOKUP($A11,TableHandbook[],C$2,FALSE)=0,"",VLOOKUP($A11,TableHandbook[],C$2,FALSE)),"")</f>
        <v/>
      </c>
      <c r="D11" s="68" t="str">
        <f>IFERROR(IF(VLOOKUP($A11,TableHandbook[],D$2,FALSE)=0,"",VLOOKUP($A11,TableHandbook[],D$2,FALSE)),"")</f>
        <v/>
      </c>
      <c r="E11" s="63" t="str">
        <f>IF(A11="","",E10)</f>
        <v/>
      </c>
      <c r="F11" s="62" t="str">
        <f>IFERROR(IF(VLOOKUP($A11,TableHandbook[],F$2,FALSE)=0,"",VLOOKUP($A11,TableHandbook[],F$2,FALSE)),"")</f>
        <v/>
      </c>
      <c r="G11" s="63" t="str">
        <f>IFERROR(IF(VLOOKUP($A11,TableHandbook[],G$2,FALSE)=0,"",VLOOKUP($A11,TableHandbook[],G$2,FALSE)),"")</f>
        <v/>
      </c>
      <c r="H11" s="71" t="str">
        <f>IFERROR(VLOOKUP($A11,TableHandbook[],H$2,FALSE),"")</f>
        <v/>
      </c>
      <c r="I11" s="63" t="str">
        <f>IFERROR(VLOOKUP($A11,TableHandbook[],I$2,FALSE),"")</f>
        <v/>
      </c>
      <c r="J11" s="228" t="str">
        <f>IFERROR(VLOOKUP($A11,TableHandbook[],J$2,FALSE),"")</f>
        <v/>
      </c>
      <c r="K11" s="63" t="str">
        <f>IFERROR(VLOOKUP($A11,TableHandbook[],K$2,FALSE),"")</f>
        <v/>
      </c>
      <c r="L11" s="63" t="str">
        <f>IFERROR(VLOOKUP($A11,TableHandbook[],L$2,FALSE),"")</f>
        <v/>
      </c>
      <c r="M11" s="72" t="str">
        <f>IFERROR(VLOOKUP($A11,TableHandbook[],M$2,FALSE),"")</f>
        <v/>
      </c>
      <c r="N11" s="70"/>
      <c r="O11" s="76">
        <v>4</v>
      </c>
      <c r="P11" s="32"/>
      <c r="Q11" s="32"/>
      <c r="R11" s="33"/>
      <c r="S11" s="33"/>
      <c r="T11" s="33"/>
      <c r="U11" s="33"/>
      <c r="V11" s="33"/>
      <c r="W11" s="33"/>
      <c r="X11" s="33"/>
      <c r="Y11" s="33"/>
    </row>
    <row r="12" spans="1:25" s="34" customFormat="1" ht="20.100000000000001" customHeight="1" x14ac:dyDescent="0.15">
      <c r="A12" s="67" t="str">
        <f>IFERROR(IF(HLOOKUP($N$5,RangeUnitsets,O12,FALSE)=0,"",HLOOKUP($N$5,RangeUnitsets,O12,FALSE)),"")</f>
        <v/>
      </c>
      <c r="B12" s="63" t="str">
        <f>IFERROR(IF(VLOOKUP($A12,TableHandbook[],B$2,FALSE)=0,"",VLOOKUP($A12,TableHandbook[],B$2,FALSE)),"")</f>
        <v/>
      </c>
      <c r="C12" s="63" t="str">
        <f>IFERROR(IF(VLOOKUP($A12,TableHandbook[],C$2,FALSE)=0,"",VLOOKUP($A12,TableHandbook[],C$2,FALSE)),"")</f>
        <v/>
      </c>
      <c r="D12" s="68"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1" t="str">
        <f>IFERROR(VLOOKUP($A12,TableHandbook[],H$2,FALSE),"")</f>
        <v/>
      </c>
      <c r="I12" s="63" t="str">
        <f>IFERROR(VLOOKUP($A12,TableHandbook[],I$2,FALSE),"")</f>
        <v/>
      </c>
      <c r="J12" s="228" t="str">
        <f>IFERROR(VLOOKUP($A12,TableHandbook[],J$2,FALSE),"")</f>
        <v/>
      </c>
      <c r="K12" s="63" t="str">
        <f>IFERROR(VLOOKUP($A12,TableHandbook[],K$2,FALSE),"")</f>
        <v/>
      </c>
      <c r="L12" s="63" t="str">
        <f>IFERROR(VLOOKUP($A12,TableHandbook[],L$2,FALSE),"")</f>
        <v/>
      </c>
      <c r="M12" s="72" t="str">
        <f>IFERROR(VLOOKUP($A12,TableHandbook[],M$2,FALSE),"")</f>
        <v/>
      </c>
      <c r="N12" s="69"/>
      <c r="O12" s="76">
        <v>5</v>
      </c>
      <c r="P12" s="32"/>
      <c r="Q12" s="32"/>
      <c r="R12" s="33"/>
      <c r="S12" s="33"/>
      <c r="T12" s="33"/>
      <c r="U12" s="33"/>
      <c r="V12" s="33"/>
      <c r="W12" s="33"/>
      <c r="X12" s="33"/>
      <c r="Y12" s="33"/>
    </row>
    <row r="13" spans="1:25" s="34" customFormat="1" ht="5.0999999999999996" customHeight="1" x14ac:dyDescent="0.15">
      <c r="A13" s="241"/>
      <c r="B13" s="242"/>
      <c r="C13" s="242"/>
      <c r="D13" s="243"/>
      <c r="E13" s="242"/>
      <c r="F13" s="244"/>
      <c r="G13" s="242"/>
      <c r="H13" s="245"/>
      <c r="I13" s="242"/>
      <c r="J13" s="246"/>
      <c r="K13" s="242"/>
      <c r="L13" s="242"/>
      <c r="M13" s="247"/>
      <c r="N13" s="248"/>
      <c r="O13" s="35"/>
      <c r="P13" s="32"/>
      <c r="Q13" s="32"/>
      <c r="R13" s="32"/>
      <c r="S13" s="33"/>
      <c r="T13" s="33"/>
      <c r="U13" s="33"/>
      <c r="V13" s="33"/>
      <c r="W13" s="33"/>
      <c r="X13" s="33"/>
      <c r="Y13" s="33"/>
    </row>
    <row r="14" spans="1:25" s="34" customFormat="1" ht="20.100000000000001" customHeight="1" x14ac:dyDescent="0.15">
      <c r="A14" s="67" t="str">
        <f>IFERROR(IF(HLOOKUP($N$5,RangeUnitsets,O14,FALSE)=0,"",HLOOKUP($N$5,RangeUnitsets,O14,FALSE)),"")</f>
        <v/>
      </c>
      <c r="B14" s="65" t="str">
        <f>IFERROR(IF(VLOOKUP($A14,TableHandbook[],B$2,FALSE)=0,"",VLOOKUP($A14,TableHandbook[],B$2,FALSE)),"")</f>
        <v/>
      </c>
      <c r="C14" s="65" t="str">
        <f>IFERROR(IF(VLOOKUP($A14,TableHandbook[],C$2,FALSE)=0,"",VLOOKUP($A14,TableHandbook[],C$2,FALSE)),"")</f>
        <v/>
      </c>
      <c r="D14" s="68" t="str">
        <f>IFERROR(IF(VLOOKUP($A14,TableHandbook[],D$2,FALSE)=0,"",VLOOKUP($A14,TableHandbook[],D$2,FALSE)),"")</f>
        <v/>
      </c>
      <c r="E14" s="63" t="str">
        <f>IF(OR(A14="",A14="--"),"",VLOOKUP($D$6,TableStudyPeriods[],3,FALSE))</f>
        <v/>
      </c>
      <c r="F14" s="62" t="str">
        <f>IFERROR(IF(VLOOKUP($A14,TableHandbook[],F$2,FALSE)=0,"",VLOOKUP($A14,TableHandbook[],F$2,FALSE)),"")</f>
        <v/>
      </c>
      <c r="G14" s="65" t="str">
        <f>IFERROR(IF(VLOOKUP($A14,TableHandbook[],G$2,FALSE)=0,"",VLOOKUP($A14,TableHandbook[],G$2,FALSE)),"")</f>
        <v/>
      </c>
      <c r="H14" s="73" t="str">
        <f>IFERROR(VLOOKUP($A14,TableHandbook[],H$2,FALSE),"")</f>
        <v/>
      </c>
      <c r="I14" s="65" t="str">
        <f>IFERROR(VLOOKUP($A14,TableHandbook[],I$2,FALSE),"")</f>
        <v/>
      </c>
      <c r="J14" s="229" t="str">
        <f>IFERROR(VLOOKUP($A14,TableHandbook[],J$2,FALSE),"")</f>
        <v/>
      </c>
      <c r="K14" s="65" t="str">
        <f>IFERROR(VLOOKUP($A14,TableHandbook[],K$2,FALSE),"")</f>
        <v/>
      </c>
      <c r="L14" s="65" t="str">
        <f>IFERROR(VLOOKUP($A14,TableHandbook[],L$2,FALSE),"")</f>
        <v/>
      </c>
      <c r="M14" s="74" t="str">
        <f>IFERROR(VLOOKUP($A14,TableHandbook[],M$2,FALSE),"")</f>
        <v/>
      </c>
      <c r="N14" s="70"/>
      <c r="O14" s="76">
        <v>6</v>
      </c>
      <c r="P14" s="32"/>
      <c r="Q14" s="32"/>
      <c r="R14" s="33"/>
      <c r="S14" s="33"/>
      <c r="T14" s="33"/>
      <c r="U14" s="33"/>
      <c r="V14" s="33"/>
      <c r="W14" s="33"/>
      <c r="X14" s="33"/>
      <c r="Y14" s="33"/>
    </row>
    <row r="15" spans="1:25" s="38" customFormat="1" ht="20.100000000000001" customHeight="1" x14ac:dyDescent="0.15">
      <c r="A15" s="67" t="str">
        <f>IFERROR(IF(HLOOKUP($N$5,RangeUnitsets,O15,FALSE)=0,"",HLOOKUP($N$5,RangeUnitsets,O15,FALSE)),"")</f>
        <v/>
      </c>
      <c r="B15" s="65" t="str">
        <f>IFERROR(IF(VLOOKUP($A15,TableHandbook[],B$2,FALSE)=0,"",VLOOKUP($A15,TableHandbook[],B$2,FALSE)),"")</f>
        <v/>
      </c>
      <c r="C15" s="65" t="str">
        <f>IFERROR(IF(VLOOKUP($A15,TableHandbook[],C$2,FALSE)=0,"",VLOOKUP($A15,TableHandbook[],C$2,FALSE)),"")</f>
        <v/>
      </c>
      <c r="D15" s="68" t="str">
        <f>IFERROR(IF(VLOOKUP($A15,TableHandbook[],D$2,FALSE)=0,"",VLOOKUP($A15,TableHandbook[],D$2,FALSE)),"")</f>
        <v/>
      </c>
      <c r="E15" s="63" t="str">
        <f>IF(A15="","",E14)</f>
        <v/>
      </c>
      <c r="F15" s="62" t="str">
        <f>IFERROR(IF(VLOOKUP($A15,TableHandbook[],F$2,FALSE)=0,"",VLOOKUP($A15,TableHandbook[],F$2,FALSE)),"")</f>
        <v/>
      </c>
      <c r="G15" s="65" t="str">
        <f>IFERROR(IF(VLOOKUP($A15,TableHandbook[],G$2,FALSE)=0,"",VLOOKUP($A15,TableHandbook[],G$2,FALSE)),"")</f>
        <v/>
      </c>
      <c r="H15" s="73" t="str">
        <f>IFERROR(VLOOKUP($A15,TableHandbook[],H$2,FALSE),"")</f>
        <v/>
      </c>
      <c r="I15" s="65" t="str">
        <f>IFERROR(VLOOKUP($A15,TableHandbook[],I$2,FALSE),"")</f>
        <v/>
      </c>
      <c r="J15" s="229" t="str">
        <f>IFERROR(VLOOKUP($A15,TableHandbook[],J$2,FALSE),"")</f>
        <v/>
      </c>
      <c r="K15" s="65" t="str">
        <f>IFERROR(VLOOKUP($A15,TableHandbook[],K$2,FALSE),"")</f>
        <v/>
      </c>
      <c r="L15" s="65" t="str">
        <f>IFERROR(VLOOKUP($A15,TableHandbook[],L$2,FALSE),"")</f>
        <v/>
      </c>
      <c r="M15" s="74" t="str">
        <f>IFERROR(VLOOKUP($A15,TableHandbook[],M$2,FALSE),"")</f>
        <v/>
      </c>
      <c r="N15" s="70"/>
      <c r="O15" s="76">
        <v>7</v>
      </c>
      <c r="P15" s="36"/>
      <c r="Q15" s="36"/>
      <c r="R15" s="37"/>
      <c r="S15" s="37"/>
      <c r="T15" s="37"/>
      <c r="U15" s="37"/>
      <c r="V15" s="37"/>
      <c r="W15" s="37"/>
      <c r="X15" s="37"/>
      <c r="Y15" s="37"/>
    </row>
    <row r="16" spans="1:25" s="38" customFormat="1" ht="20.100000000000001" customHeight="1" x14ac:dyDescent="0.15">
      <c r="A16" s="67" t="str">
        <f>IFERROR(IF(HLOOKUP($N$5,RangeUnitsets,O16,FALSE)=0,"",HLOOKUP($N$5,RangeUnitsets,O16,FALSE)),"")</f>
        <v/>
      </c>
      <c r="B16" s="65" t="str">
        <f>IFERROR(IF(VLOOKUP($A16,TableHandbook[],B$2,FALSE)=0,"",VLOOKUP($A16,TableHandbook[],B$2,FALSE)),"")</f>
        <v/>
      </c>
      <c r="C16" s="65" t="str">
        <f>IFERROR(IF(VLOOKUP($A16,TableHandbook[],C$2,FALSE)=0,"",VLOOKUP($A16,TableHandbook[],C$2,FALSE)),"")</f>
        <v/>
      </c>
      <c r="D16" s="68" t="str">
        <f>IFERROR(IF(VLOOKUP($A16,TableHandbook[],D$2,FALSE)=0,"",VLOOKUP($A16,TableHandbook[],D$2,FALSE)),"")</f>
        <v/>
      </c>
      <c r="E16" s="63" t="str">
        <f>IF(A16="","",E15)</f>
        <v/>
      </c>
      <c r="F16" s="62" t="str">
        <f>IFERROR(IF(VLOOKUP($A16,TableHandbook[],F$2,FALSE)=0,"",VLOOKUP($A16,TableHandbook[],F$2,FALSE)),"")</f>
        <v/>
      </c>
      <c r="G16" s="65" t="str">
        <f>IFERROR(IF(VLOOKUP($A16,TableHandbook[],G$2,FALSE)=0,"",VLOOKUP($A16,TableHandbook[],G$2,FALSE)),"")</f>
        <v/>
      </c>
      <c r="H16" s="73" t="str">
        <f>IFERROR(VLOOKUP($A16,TableHandbook[],H$2,FALSE),"")</f>
        <v/>
      </c>
      <c r="I16" s="65" t="str">
        <f>IFERROR(VLOOKUP($A16,TableHandbook[],I$2,FALSE),"")</f>
        <v/>
      </c>
      <c r="J16" s="229" t="str">
        <f>IFERROR(VLOOKUP($A16,TableHandbook[],J$2,FALSE),"")</f>
        <v/>
      </c>
      <c r="K16" s="65" t="str">
        <f>IFERROR(VLOOKUP($A16,TableHandbook[],K$2,FALSE),"")</f>
        <v/>
      </c>
      <c r="L16" s="65" t="str">
        <f>IFERROR(VLOOKUP($A16,TableHandbook[],L$2,FALSE),"")</f>
        <v/>
      </c>
      <c r="M16" s="74" t="str">
        <f>IFERROR(VLOOKUP($A16,TableHandbook[],M$2,FALSE),"")</f>
        <v/>
      </c>
      <c r="N16" s="70"/>
      <c r="O16" s="76">
        <v>8</v>
      </c>
      <c r="P16" s="36"/>
      <c r="Q16" s="36"/>
      <c r="R16" s="37"/>
      <c r="S16" s="37"/>
      <c r="T16" s="37"/>
      <c r="U16" s="37"/>
      <c r="V16" s="37"/>
      <c r="W16" s="37"/>
      <c r="X16" s="37"/>
      <c r="Y16" s="37"/>
    </row>
    <row r="17" spans="1:25" s="38" customFormat="1" ht="20.100000000000001" customHeight="1" x14ac:dyDescent="0.15">
      <c r="A17" s="67" t="str">
        <f>IFERROR(IF(HLOOKUP($N$5,RangeUnitsets,O17,FALSE)=0,"",HLOOKUP($N$5,RangeUnitsets,O17,FALSE)),"")</f>
        <v/>
      </c>
      <c r="B17" s="65" t="str">
        <f>IFERROR(IF(VLOOKUP($A17,TableHandbook[],B$2,FALSE)=0,"",VLOOKUP($A17,TableHandbook[],B$2,FALSE)),"")</f>
        <v/>
      </c>
      <c r="C17" s="65" t="str">
        <f>IFERROR(IF(VLOOKUP($A17,TableHandbook[],C$2,FALSE)=0,"",VLOOKUP($A17,TableHandbook[],C$2,FALSE)),"")</f>
        <v/>
      </c>
      <c r="D17" s="120" t="str">
        <f>IFERROR(IF(VLOOKUP($A17,TableHandbook[],D$2,FALSE)=0,"",VLOOKUP($A17,TableHandbook[],D$2,FALSE)),"")</f>
        <v/>
      </c>
      <c r="E17" s="65" t="str">
        <f>IF(A17="","",E16)</f>
        <v/>
      </c>
      <c r="F17" s="62" t="str">
        <f>IFERROR(IF(VLOOKUP($A17,TableHandbook[],F$2,FALSE)=0,"",VLOOKUP($A17,TableHandbook[],F$2,FALSE)),"")</f>
        <v/>
      </c>
      <c r="G17" s="65" t="str">
        <f>IFERROR(IF(VLOOKUP($A17,TableHandbook[],G$2,FALSE)=0,"",VLOOKUP($A17,TableHandbook[],G$2,FALSE)),"")</f>
        <v/>
      </c>
      <c r="H17" s="73" t="str">
        <f>IFERROR(VLOOKUP($A17,TableHandbook[],H$2,FALSE),"")</f>
        <v/>
      </c>
      <c r="I17" s="65" t="str">
        <f>IFERROR(VLOOKUP($A17,TableHandbook[],I$2,FALSE),"")</f>
        <v/>
      </c>
      <c r="J17" s="229" t="str">
        <f>IFERROR(VLOOKUP($A17,TableHandbook[],J$2,FALSE),"")</f>
        <v/>
      </c>
      <c r="K17" s="65" t="str">
        <f>IFERROR(VLOOKUP($A17,TableHandbook[],K$2,FALSE),"")</f>
        <v/>
      </c>
      <c r="L17" s="65" t="str">
        <f>IFERROR(VLOOKUP($A17,TableHandbook[],L$2,FALSE),"")</f>
        <v/>
      </c>
      <c r="M17" s="74" t="str">
        <f>IFERROR(VLOOKUP($A17,TableHandbook[],M$2,FALSE),"")</f>
        <v/>
      </c>
      <c r="N17" s="372"/>
      <c r="O17" s="76">
        <v>9</v>
      </c>
      <c r="P17" s="36"/>
      <c r="Q17" s="36"/>
      <c r="R17" s="37"/>
      <c r="S17" s="37"/>
      <c r="T17" s="37"/>
      <c r="U17" s="37"/>
      <c r="V17" s="37"/>
      <c r="W17" s="37"/>
      <c r="X17" s="37"/>
      <c r="Y17" s="37"/>
    </row>
    <row r="18" spans="1:25" s="31" customFormat="1" ht="21" x14ac:dyDescent="0.25">
      <c r="A18" s="105" t="s">
        <v>28</v>
      </c>
      <c r="B18" s="105"/>
      <c r="C18" s="105"/>
      <c r="D18" s="121" t="s">
        <v>3</v>
      </c>
      <c r="E18" s="111" t="s">
        <v>18</v>
      </c>
      <c r="F18" s="105" t="s">
        <v>19</v>
      </c>
      <c r="G18" s="105" t="s">
        <v>20</v>
      </c>
      <c r="H18" s="113" t="str">
        <f>H$8</f>
        <v>Sem1 BEN</v>
      </c>
      <c r="I18" s="111" t="str">
        <f t="shared" ref="I18:N18" si="0">I$8</f>
        <v>Sem1 FO</v>
      </c>
      <c r="J18" s="227" t="str">
        <f t="shared" si="0"/>
        <v>Sem1 KAL</v>
      </c>
      <c r="K18" s="111" t="str">
        <f t="shared" si="0"/>
        <v>Sem2 BEN</v>
      </c>
      <c r="L18" s="111" t="str">
        <f t="shared" si="0"/>
        <v>Sem2 FO</v>
      </c>
      <c r="M18" s="114" t="str">
        <f t="shared" si="0"/>
        <v>Sem2 KAL</v>
      </c>
      <c r="N18" s="112" t="str">
        <f t="shared" si="0"/>
        <v>Notes / Progress</v>
      </c>
      <c r="O18" s="29"/>
      <c r="P18" s="29"/>
      <c r="Q18" s="29"/>
      <c r="R18" s="30"/>
      <c r="S18" s="30"/>
      <c r="T18" s="30"/>
      <c r="U18" s="30"/>
      <c r="V18" s="30"/>
      <c r="W18" s="30"/>
      <c r="X18" s="30"/>
      <c r="Y18" s="30"/>
    </row>
    <row r="19" spans="1:25" s="34" customFormat="1" ht="20.100000000000001" customHeight="1" x14ac:dyDescent="0.15">
      <c r="A19" s="164" t="str">
        <f>IFERROR(IF(HLOOKUP($N$5,RangeUnitsets,O19,FALSE)=0,"",HLOOKUP($N$5,RangeUnitsets,O19,FALSE)),"")</f>
        <v/>
      </c>
      <c r="B19" s="65" t="str">
        <f>IFERROR(IF(VLOOKUP($A19,TableHandbook[],B$2,FALSE)=0,"",VLOOKUP($A19,TableHandbook[],B$2,FALSE)),"")</f>
        <v/>
      </c>
      <c r="C19" s="65" t="str">
        <f>IFERROR(IF(VLOOKUP($A19,TableHandbook[],C$2,FALSE)=0,"",VLOOKUP($A19,TableHandbook[],C$2,FALSE)),"")</f>
        <v/>
      </c>
      <c r="D19" s="66" t="str">
        <f>IFERROR(IF(VLOOKUP($A19,TableHandbook[],D$2,FALSE)=0,"",VLOOKUP($A19,TableHandbook[],D$2,FALSE)),"")</f>
        <v/>
      </c>
      <c r="E19" s="65" t="str">
        <f>IF(OR(A19="",A19="--"),"",VLOOKUP($D$6,TableStudyPeriods[],2,FALSE))</f>
        <v/>
      </c>
      <c r="F19" s="62" t="str">
        <f>IFERROR(IF(VLOOKUP($A19,TableHandbook[],F$2,FALSE)=0,"",VLOOKUP($A19,TableHandbook[],F$2,FALSE)),"")</f>
        <v/>
      </c>
      <c r="G19" s="63" t="str">
        <f>IFERROR(IF(VLOOKUP($A19,TableHandbook[],G$2,FALSE)=0,"",VLOOKUP($A19,TableHandbook[],G$2,FALSE)),"")</f>
        <v/>
      </c>
      <c r="H19" s="71" t="str">
        <f>IFERROR(VLOOKUP($A19,TableHandbook[],H$2,FALSE),"")</f>
        <v/>
      </c>
      <c r="I19" s="63" t="str">
        <f>IFERROR(VLOOKUP($A19,TableHandbook[],I$2,FALSE),"")</f>
        <v/>
      </c>
      <c r="J19" s="228" t="str">
        <f>IFERROR(VLOOKUP($A19,TableHandbook[],J$2,FALSE),"")</f>
        <v/>
      </c>
      <c r="K19" s="63" t="str">
        <f>IFERROR(VLOOKUP($A19,TableHandbook[],K$2,FALSE),"")</f>
        <v/>
      </c>
      <c r="L19" s="63" t="str">
        <f>IFERROR(VLOOKUP($A19,TableHandbook[],L$2,FALSE),"")</f>
        <v/>
      </c>
      <c r="M19" s="72" t="str">
        <f>IFERROR(VLOOKUP($A19,TableHandbook[],M$2,FALSE),"")</f>
        <v/>
      </c>
      <c r="N19" s="69"/>
      <c r="O19" s="76">
        <v>10</v>
      </c>
      <c r="P19" s="32"/>
      <c r="Q19" s="32"/>
      <c r="R19" s="33"/>
      <c r="S19" s="33"/>
      <c r="T19" s="33"/>
      <c r="U19" s="33"/>
      <c r="V19" s="33"/>
      <c r="W19" s="33"/>
      <c r="X19" s="33"/>
      <c r="Y19" s="33"/>
    </row>
    <row r="20" spans="1:25" s="34" customFormat="1" ht="19.5" customHeight="1" x14ac:dyDescent="0.15">
      <c r="A20" s="67" t="str">
        <f>IFERROR(IF(HLOOKUP($N$5,RangeUnitsets,O20,FALSE)=0,"",HLOOKUP($N$5,RangeUnitsets,O20,FALSE)),"")</f>
        <v/>
      </c>
      <c r="B20" s="65" t="str">
        <f>IFERROR(IF(VLOOKUP($A20,TableHandbook[],B$2,FALSE)=0,"",VLOOKUP($A20,TableHandbook[],B$2,FALSE)),"")</f>
        <v/>
      </c>
      <c r="C20" s="65" t="str">
        <f>IFERROR(IF(VLOOKUP($A20,TableHandbook[],C$2,FALSE)=0,"",VLOOKUP($A20,TableHandbook[],C$2,FALSE)),"")</f>
        <v/>
      </c>
      <c r="D20" s="120" t="str">
        <f>IFERROR(IF(VLOOKUP($A20,TableHandbook[],D$2,FALSE)=0,"",VLOOKUP($A20,TableHandbook[],D$2,FALSE)),"")</f>
        <v/>
      </c>
      <c r="E20" s="65" t="str">
        <f>IF(A20="","",E19)</f>
        <v/>
      </c>
      <c r="F20" s="62" t="str">
        <f>IFERROR(IF(VLOOKUP($A20,TableHandbook[],F$2,FALSE)=0,"",VLOOKUP($A20,TableHandbook[],F$2,FALSE)),"")</f>
        <v/>
      </c>
      <c r="G20" s="63" t="str">
        <f>IFERROR(IF(VLOOKUP($A20,TableHandbook[],G$2,FALSE)=0,"",VLOOKUP($A20,TableHandbook[],G$2,FALSE)),"")</f>
        <v/>
      </c>
      <c r="H20" s="71" t="str">
        <f>IFERROR(VLOOKUP($A20,TableHandbook[],H$2,FALSE),"")</f>
        <v/>
      </c>
      <c r="I20" s="63" t="str">
        <f>IFERROR(VLOOKUP($A20,TableHandbook[],I$2,FALSE),"")</f>
        <v/>
      </c>
      <c r="J20" s="228" t="str">
        <f>IFERROR(VLOOKUP($A20,TableHandbook[],J$2,FALSE),"")</f>
        <v/>
      </c>
      <c r="K20" s="63" t="str">
        <f>IFERROR(VLOOKUP($A20,TableHandbook[],K$2,FALSE),"")</f>
        <v/>
      </c>
      <c r="L20" s="63" t="str">
        <f>IFERROR(VLOOKUP($A20,TableHandbook[],L$2,FALSE),"")</f>
        <v/>
      </c>
      <c r="M20" s="72" t="str">
        <f>IFERROR(VLOOKUP($A20,TableHandbook[],M$2,FALSE),"")</f>
        <v/>
      </c>
      <c r="N20" s="69"/>
      <c r="O20" s="76">
        <v>11</v>
      </c>
      <c r="P20" s="32"/>
      <c r="Q20" s="32"/>
      <c r="R20" s="33"/>
      <c r="S20" s="33"/>
      <c r="T20" s="33"/>
      <c r="U20" s="33"/>
      <c r="V20" s="33"/>
      <c r="W20" s="33"/>
      <c r="X20" s="33"/>
      <c r="Y20" s="33"/>
    </row>
    <row r="21" spans="1:25" s="34" customFormat="1" ht="20.100000000000001" customHeight="1" x14ac:dyDescent="0.15">
      <c r="A21" s="67" t="str">
        <f>IFERROR(IF(HLOOKUP($N$5,RangeUnitsets,O21,FALSE)=0,"",HLOOKUP($N$5,RangeUnitsets,O21,FALSE)),"")</f>
        <v/>
      </c>
      <c r="B21" s="65" t="str">
        <f>IFERROR(IF(VLOOKUP($A21,TableHandbook[],B$2,FALSE)=0,"",VLOOKUP($A21,TableHandbook[],B$2,FALSE)),"")</f>
        <v/>
      </c>
      <c r="C21" s="65" t="str">
        <f>IFERROR(IF(VLOOKUP($A21,TableHandbook[],C$2,FALSE)=0,"",VLOOKUP($A21,TableHandbook[],C$2,FALSE)),"")</f>
        <v/>
      </c>
      <c r="D21" s="120" t="str">
        <f>IFERROR(IF(VLOOKUP($A21,TableHandbook[],D$2,FALSE)=0,"",VLOOKUP($A21,TableHandbook[],D$2,FALSE)),"")</f>
        <v/>
      </c>
      <c r="E21" s="65" t="str">
        <f>IF(A21="","",E20)</f>
        <v/>
      </c>
      <c r="F21" s="62" t="str">
        <f>IFERROR(IF(VLOOKUP($A21,TableHandbook[],F$2,FALSE)=0,"",VLOOKUP($A21,TableHandbook[],F$2,FALSE)),"")</f>
        <v/>
      </c>
      <c r="G21" s="63" t="str">
        <f>IFERROR(IF(VLOOKUP($A21,TableHandbook[],G$2,FALSE)=0,"",VLOOKUP($A21,TableHandbook[],G$2,FALSE)),"")</f>
        <v/>
      </c>
      <c r="H21" s="71" t="str">
        <f>IFERROR(VLOOKUP($A21,TableHandbook[],H$2,FALSE),"")</f>
        <v/>
      </c>
      <c r="I21" s="63" t="str">
        <f>IFERROR(VLOOKUP($A21,TableHandbook[],I$2,FALSE),"")</f>
        <v/>
      </c>
      <c r="J21" s="228" t="str">
        <f>IFERROR(VLOOKUP($A21,TableHandbook[],J$2,FALSE),"")</f>
        <v/>
      </c>
      <c r="K21" s="63" t="str">
        <f>IFERROR(VLOOKUP($A21,TableHandbook[],K$2,FALSE),"")</f>
        <v/>
      </c>
      <c r="L21" s="63" t="str">
        <f>IFERROR(VLOOKUP($A21,TableHandbook[],L$2,FALSE),"")</f>
        <v/>
      </c>
      <c r="M21" s="72" t="str">
        <f>IFERROR(VLOOKUP($A21,TableHandbook[],M$2,FALSE),"")</f>
        <v/>
      </c>
      <c r="N21" s="69"/>
      <c r="O21" s="76">
        <v>12</v>
      </c>
      <c r="P21" s="32"/>
      <c r="Q21" s="32"/>
      <c r="R21" s="33"/>
      <c r="S21" s="33"/>
      <c r="T21" s="33"/>
      <c r="U21" s="33"/>
      <c r="V21" s="33"/>
      <c r="W21" s="33"/>
      <c r="X21" s="33"/>
      <c r="Y21" s="33"/>
    </row>
    <row r="22" spans="1:25" s="34" customFormat="1" ht="20.100000000000001" customHeight="1" x14ac:dyDescent="0.15">
      <c r="A22" s="67" t="str">
        <f>IFERROR(IF(HLOOKUP($N$5,RangeUnitsets,O22,FALSE)=0,"",HLOOKUP($N$5,RangeUnitsets,O22,FALSE)),"")</f>
        <v/>
      </c>
      <c r="B22" s="65" t="str">
        <f>IFERROR(IF(VLOOKUP($A22,TableHandbook[],B$2,FALSE)=0,"",VLOOKUP($A22,TableHandbook[],B$2,FALSE)),"")</f>
        <v/>
      </c>
      <c r="C22" s="65" t="str">
        <f>IFERROR(IF(VLOOKUP($A22,TableHandbook[],C$2,FALSE)=0,"",VLOOKUP($A22,TableHandbook[],C$2,FALSE)),"")</f>
        <v/>
      </c>
      <c r="D22" s="120" t="str">
        <f>IFERROR(IF(VLOOKUP($A22,TableHandbook[],D$2,FALSE)=0,"",VLOOKUP($A22,TableHandbook[],D$2,FALSE)),"")</f>
        <v/>
      </c>
      <c r="E22" s="65" t="str">
        <f>IF(A22="","",E21)</f>
        <v/>
      </c>
      <c r="F22" s="62" t="str">
        <f>IFERROR(IF(VLOOKUP($A22,TableHandbook[],F$2,FALSE)=0,"",VLOOKUP($A22,TableHandbook[],F$2,FALSE)),"")</f>
        <v/>
      </c>
      <c r="G22" s="63" t="str">
        <f>IFERROR(IF(VLOOKUP($A22,TableHandbook[],G$2,FALSE)=0,"",VLOOKUP($A22,TableHandbook[],G$2,FALSE)),"")</f>
        <v/>
      </c>
      <c r="H22" s="71" t="str">
        <f>IFERROR(VLOOKUP($A22,TableHandbook[],H$2,FALSE),"")</f>
        <v/>
      </c>
      <c r="I22" s="63" t="str">
        <f>IFERROR(VLOOKUP($A22,TableHandbook[],I$2,FALSE),"")</f>
        <v/>
      </c>
      <c r="J22" s="228" t="str">
        <f>IFERROR(VLOOKUP($A22,TableHandbook[],J$2,FALSE),"")</f>
        <v/>
      </c>
      <c r="K22" s="63" t="str">
        <f>IFERROR(VLOOKUP($A22,TableHandbook[],K$2,FALSE),"")</f>
        <v/>
      </c>
      <c r="L22" s="63" t="str">
        <f>IFERROR(VLOOKUP($A22,TableHandbook[],L$2,FALSE),"")</f>
        <v/>
      </c>
      <c r="M22" s="72" t="str">
        <f>IFERROR(VLOOKUP($A22,TableHandbook[],M$2,FALSE),"")</f>
        <v/>
      </c>
      <c r="N22" s="69"/>
      <c r="O22" s="76">
        <v>13</v>
      </c>
      <c r="P22" s="32"/>
      <c r="Q22" s="32"/>
      <c r="R22" s="33"/>
      <c r="S22" s="33"/>
      <c r="T22" s="33"/>
      <c r="U22" s="33"/>
      <c r="V22" s="33"/>
      <c r="W22" s="33"/>
      <c r="X22" s="33"/>
      <c r="Y22" s="33"/>
    </row>
    <row r="23" spans="1:25" s="34" customFormat="1" ht="5.0999999999999996" customHeight="1" x14ac:dyDescent="0.15">
      <c r="A23" s="241"/>
      <c r="B23" s="242"/>
      <c r="C23" s="242"/>
      <c r="D23" s="243"/>
      <c r="E23" s="242"/>
      <c r="F23" s="244"/>
      <c r="G23" s="242"/>
      <c r="H23" s="245"/>
      <c r="I23" s="242"/>
      <c r="J23" s="246"/>
      <c r="K23" s="242"/>
      <c r="L23" s="242"/>
      <c r="M23" s="247"/>
      <c r="N23" s="248"/>
      <c r="O23" s="35"/>
      <c r="P23" s="32"/>
      <c r="Q23" s="32"/>
      <c r="R23" s="32"/>
      <c r="S23" s="33"/>
      <c r="T23" s="33"/>
      <c r="U23" s="33"/>
      <c r="V23" s="33"/>
      <c r="W23" s="33"/>
      <c r="X23" s="33"/>
      <c r="Y23" s="33"/>
    </row>
    <row r="24" spans="1:25" s="34" customFormat="1" ht="20.100000000000001" customHeight="1" x14ac:dyDescent="0.15">
      <c r="A24" s="67" t="str">
        <f>IFERROR(IF(HLOOKUP($N$5,RangeUnitsets,O24,FALSE)=0,"",HLOOKUP($N$5,RangeUnitsets,O24,FALSE)),"")</f>
        <v/>
      </c>
      <c r="B24" s="65" t="str">
        <f>IFERROR(IF(VLOOKUP($A24,TableHandbook[],B$2,FALSE)=0,"",VLOOKUP($A24,TableHandbook[],B$2,FALSE)),"")</f>
        <v/>
      </c>
      <c r="C24" s="65" t="str">
        <f>IFERROR(IF(VLOOKUP($A24,TableHandbook[],C$2,FALSE)=0,"",VLOOKUP($A24,TableHandbook[],C$2,FALSE)),"")</f>
        <v/>
      </c>
      <c r="D24" s="120" t="str">
        <f>IFERROR(IF(VLOOKUP($A24,TableHandbook[],D$2,FALSE)=0,"",VLOOKUP($A24,TableHandbook[],D$2,FALSE)),"")</f>
        <v/>
      </c>
      <c r="E24" s="65" t="str">
        <f>IF(OR(A24="",A24="--"),"",VLOOKUP($D$6,TableStudyPeriods[],3,FALSE))</f>
        <v/>
      </c>
      <c r="F24" s="62" t="str">
        <f>IFERROR(IF(VLOOKUP($A24,TableHandbook[],F$2,FALSE)=0,"",VLOOKUP($A24,TableHandbook[],F$2,FALSE)),"")</f>
        <v/>
      </c>
      <c r="G24" s="63" t="str">
        <f>IFERROR(IF(VLOOKUP($A24,TableHandbook[],G$2,FALSE)=0,"",VLOOKUP($A24,TableHandbook[],G$2,FALSE)),"")</f>
        <v/>
      </c>
      <c r="H24" s="71" t="str">
        <f>IFERROR(VLOOKUP($A24,TableHandbook[],H$2,FALSE),"")</f>
        <v/>
      </c>
      <c r="I24" s="63" t="str">
        <f>IFERROR(VLOOKUP($A24,TableHandbook[],I$2,FALSE),"")</f>
        <v/>
      </c>
      <c r="J24" s="228" t="str">
        <f>IFERROR(VLOOKUP($A24,TableHandbook[],J$2,FALSE),"")</f>
        <v/>
      </c>
      <c r="K24" s="63" t="str">
        <f>IFERROR(VLOOKUP($A24,TableHandbook[],K$2,FALSE),"")</f>
        <v/>
      </c>
      <c r="L24" s="63" t="str">
        <f>IFERROR(VLOOKUP($A24,TableHandbook[],L$2,FALSE),"")</f>
        <v/>
      </c>
      <c r="M24" s="72" t="str">
        <f>IFERROR(VLOOKUP($A24,TableHandbook[],M$2,FALSE),"")</f>
        <v/>
      </c>
      <c r="N24" s="69"/>
      <c r="O24" s="76">
        <v>14</v>
      </c>
      <c r="P24" s="32"/>
      <c r="Q24" s="32"/>
      <c r="R24" s="33"/>
      <c r="S24" s="33"/>
      <c r="T24" s="33"/>
      <c r="U24" s="33"/>
      <c r="V24" s="33"/>
      <c r="W24" s="33"/>
      <c r="X24" s="33"/>
      <c r="Y24" s="33"/>
    </row>
    <row r="25" spans="1:25" s="34" customFormat="1" ht="20.100000000000001" customHeight="1" x14ac:dyDescent="0.15">
      <c r="A25" s="67" t="str">
        <f>IFERROR(IF(HLOOKUP($N$5,RangeUnitsets,O25,FALSE)=0,"",HLOOKUP($N$5,RangeUnitsets,O25,FALSE)),"")</f>
        <v/>
      </c>
      <c r="B25" s="65" t="str">
        <f>IFERROR(IF(VLOOKUP($A25,TableHandbook[],B$2,FALSE)=0,"",VLOOKUP($A25,TableHandbook[],B$2,FALSE)),"")</f>
        <v/>
      </c>
      <c r="C25" s="65" t="str">
        <f>IFERROR(IF(VLOOKUP($A25,TableHandbook[],C$2,FALSE)=0,"",VLOOKUP($A25,TableHandbook[],C$2,FALSE)),"")</f>
        <v/>
      </c>
      <c r="D25" s="120" t="str">
        <f>IFERROR(IF(VLOOKUP($A25,TableHandbook[],D$2,FALSE)=0,"",VLOOKUP($A25,TableHandbook[],D$2,FALSE)),"")</f>
        <v/>
      </c>
      <c r="E25" s="65" t="str">
        <f>IF(A25="","",E24)</f>
        <v/>
      </c>
      <c r="F25" s="62" t="str">
        <f>IFERROR(IF(VLOOKUP($A25,TableHandbook[],F$2,FALSE)=0,"",VLOOKUP($A25,TableHandbook[],F$2,FALSE)),"")</f>
        <v/>
      </c>
      <c r="G25" s="63" t="str">
        <f>IFERROR(IF(VLOOKUP($A25,TableHandbook[],G$2,FALSE)=0,"",VLOOKUP($A25,TableHandbook[],G$2,FALSE)),"")</f>
        <v/>
      </c>
      <c r="H25" s="71" t="str">
        <f>IFERROR(VLOOKUP($A25,TableHandbook[],H$2,FALSE),"")</f>
        <v/>
      </c>
      <c r="I25" s="63" t="str">
        <f>IFERROR(VLOOKUP($A25,TableHandbook[],I$2,FALSE),"")</f>
        <v/>
      </c>
      <c r="J25" s="228" t="str">
        <f>IFERROR(VLOOKUP($A25,TableHandbook[],J$2,FALSE),"")</f>
        <v/>
      </c>
      <c r="K25" s="63" t="str">
        <f>IFERROR(VLOOKUP($A25,TableHandbook[],K$2,FALSE),"")</f>
        <v/>
      </c>
      <c r="L25" s="63" t="str">
        <f>IFERROR(VLOOKUP($A25,TableHandbook[],L$2,FALSE),"")</f>
        <v/>
      </c>
      <c r="M25" s="72" t="str">
        <f>IFERROR(VLOOKUP($A25,TableHandbook[],M$2,FALSE),"")</f>
        <v/>
      </c>
      <c r="N25" s="69"/>
      <c r="O25" s="76">
        <v>15</v>
      </c>
      <c r="P25" s="32"/>
      <c r="Q25" s="32"/>
      <c r="R25" s="33"/>
      <c r="S25" s="33"/>
      <c r="T25" s="33"/>
      <c r="U25" s="33"/>
      <c r="V25" s="33"/>
      <c r="W25" s="33"/>
      <c r="X25" s="33"/>
      <c r="Y25" s="33"/>
    </row>
    <row r="26" spans="1:25" s="38" customFormat="1" ht="20.100000000000001" customHeight="1" x14ac:dyDescent="0.15">
      <c r="A26" s="67" t="str">
        <f>IFERROR(IF(HLOOKUP($N$5,RangeUnitsets,O26,FALSE)=0,"",HLOOKUP($N$5,RangeUnitsets,O26,FALSE)),"")</f>
        <v/>
      </c>
      <c r="B26" s="65" t="str">
        <f>IFERROR(IF(VLOOKUP($A26,TableHandbook[],B$2,FALSE)=0,"",VLOOKUP($A26,TableHandbook[],B$2,FALSE)),"")</f>
        <v/>
      </c>
      <c r="C26" s="65" t="str">
        <f>IFERROR(IF(VLOOKUP($A26,TableHandbook[],C$2,FALSE)=0,"",VLOOKUP($A26,TableHandbook[],C$2,FALSE)),"")</f>
        <v/>
      </c>
      <c r="D26" s="120" t="str">
        <f>IFERROR(IF(VLOOKUP($A26,TableHandbook[],D$2,FALSE)=0,"",VLOOKUP($A26,TableHandbook[],D$2,FALSE)),"")</f>
        <v/>
      </c>
      <c r="E26" s="65" t="str">
        <f>IF(A26="","",E25)</f>
        <v/>
      </c>
      <c r="F26" s="62" t="str">
        <f>IFERROR(IF(VLOOKUP($A26,TableHandbook[],F$2,FALSE)=0,"",VLOOKUP($A26,TableHandbook[],F$2,FALSE)),"")</f>
        <v/>
      </c>
      <c r="G26" s="63" t="str">
        <f>IFERROR(IF(VLOOKUP($A26,TableHandbook[],G$2,FALSE)=0,"",VLOOKUP($A26,TableHandbook[],G$2,FALSE)),"")</f>
        <v/>
      </c>
      <c r="H26" s="71" t="str">
        <f>IFERROR(VLOOKUP($A26,TableHandbook[],H$2,FALSE),"")</f>
        <v/>
      </c>
      <c r="I26" s="63" t="str">
        <f>IFERROR(VLOOKUP($A26,TableHandbook[],I$2,FALSE),"")</f>
        <v/>
      </c>
      <c r="J26" s="228" t="str">
        <f>IFERROR(VLOOKUP($A26,TableHandbook[],J$2,FALSE),"")</f>
        <v/>
      </c>
      <c r="K26" s="63" t="str">
        <f>IFERROR(VLOOKUP($A26,TableHandbook[],K$2,FALSE),"")</f>
        <v/>
      </c>
      <c r="L26" s="63" t="str">
        <f>IFERROR(VLOOKUP($A26,TableHandbook[],L$2,FALSE),"")</f>
        <v/>
      </c>
      <c r="M26" s="72" t="str">
        <f>IFERROR(VLOOKUP($A26,TableHandbook[],M$2,FALSE),"")</f>
        <v/>
      </c>
      <c r="N26" s="69"/>
      <c r="O26" s="76">
        <v>16</v>
      </c>
      <c r="P26" s="36"/>
      <c r="Q26" s="36"/>
      <c r="R26" s="37"/>
      <c r="S26" s="37"/>
      <c r="T26" s="37"/>
      <c r="U26" s="37"/>
      <c r="V26" s="37"/>
      <c r="W26" s="37"/>
      <c r="X26" s="37"/>
      <c r="Y26" s="37"/>
    </row>
    <row r="27" spans="1:25" s="38" customFormat="1" ht="20.100000000000001" customHeight="1" x14ac:dyDescent="0.15">
      <c r="A27" s="67" t="str">
        <f>IFERROR(IF(HLOOKUP($N$5,RangeUnitsets,O27,FALSE)=0,"",HLOOKUP($N$5,RangeUnitsets,O27,FALSE)),"")</f>
        <v/>
      </c>
      <c r="B27" s="65" t="str">
        <f>IFERROR(IF(VLOOKUP($A27,TableHandbook[],B$2,FALSE)=0,"",VLOOKUP($A27,TableHandbook[],B$2,FALSE)),"")</f>
        <v/>
      </c>
      <c r="C27" s="65" t="str">
        <f>IFERROR(IF(VLOOKUP($A27,TableHandbook[],C$2,FALSE)=0,"",VLOOKUP($A27,TableHandbook[],C$2,FALSE)),"")</f>
        <v/>
      </c>
      <c r="D27" s="120" t="str">
        <f>IFERROR(IF(VLOOKUP($A27,TableHandbook[],D$2,FALSE)=0,"",VLOOKUP($A27,TableHandbook[],D$2,FALSE)),"")</f>
        <v/>
      </c>
      <c r="E27" s="63" t="str">
        <f>IF(A27="","",E26)</f>
        <v/>
      </c>
      <c r="F27" s="62" t="str">
        <f>IFERROR(IF(VLOOKUP($A27,TableHandbook[],F$2,FALSE)=0,"",VLOOKUP($A27,TableHandbook[],F$2,FALSE)),"")</f>
        <v/>
      </c>
      <c r="G27" s="63" t="str">
        <f>IFERROR(IF(VLOOKUP($A27,TableHandbook[],G$2,FALSE)=0,"",VLOOKUP($A27,TableHandbook[],G$2,FALSE)),"")</f>
        <v/>
      </c>
      <c r="H27" s="71" t="str">
        <f>IFERROR(VLOOKUP($A27,TableHandbook[],H$2,FALSE),"")</f>
        <v/>
      </c>
      <c r="I27" s="63" t="str">
        <f>IFERROR(VLOOKUP($A27,TableHandbook[],I$2,FALSE),"")</f>
        <v/>
      </c>
      <c r="J27" s="228" t="str">
        <f>IFERROR(VLOOKUP($A27,TableHandbook[],J$2,FALSE),"")</f>
        <v/>
      </c>
      <c r="K27" s="63" t="str">
        <f>IFERROR(VLOOKUP($A27,TableHandbook[],K$2,FALSE),"")</f>
        <v/>
      </c>
      <c r="L27" s="63" t="str">
        <f>IFERROR(VLOOKUP($A27,TableHandbook[],L$2,FALSE),"")</f>
        <v/>
      </c>
      <c r="M27" s="72" t="str">
        <f>IFERROR(VLOOKUP($A27,TableHandbook[],M$2,FALSE),"")</f>
        <v/>
      </c>
      <c r="N27" s="69"/>
      <c r="O27" s="76">
        <v>17</v>
      </c>
      <c r="P27" s="36"/>
      <c r="Q27" s="36"/>
      <c r="R27" s="37"/>
      <c r="S27" s="37"/>
      <c r="T27" s="37"/>
      <c r="U27" s="37"/>
      <c r="V27" s="37"/>
      <c r="W27" s="37"/>
      <c r="X27" s="37"/>
      <c r="Y27" s="37"/>
    </row>
    <row r="28" spans="1:25" s="31" customFormat="1" ht="21" x14ac:dyDescent="0.25">
      <c r="A28" s="105" t="s">
        <v>29</v>
      </c>
      <c r="B28" s="105"/>
      <c r="C28" s="105"/>
      <c r="D28" s="121" t="s">
        <v>3</v>
      </c>
      <c r="E28" s="111" t="s">
        <v>18</v>
      </c>
      <c r="F28" s="105" t="s">
        <v>19</v>
      </c>
      <c r="G28" s="105" t="s">
        <v>20</v>
      </c>
      <c r="H28" s="113" t="str">
        <f>H$8</f>
        <v>Sem1 BEN</v>
      </c>
      <c r="I28" s="111" t="str">
        <f t="shared" ref="I28:N28" si="1">I$8</f>
        <v>Sem1 FO</v>
      </c>
      <c r="J28" s="227" t="str">
        <f t="shared" si="1"/>
        <v>Sem1 KAL</v>
      </c>
      <c r="K28" s="111" t="str">
        <f t="shared" si="1"/>
        <v>Sem2 BEN</v>
      </c>
      <c r="L28" s="111" t="str">
        <f t="shared" si="1"/>
        <v>Sem2 FO</v>
      </c>
      <c r="M28" s="114" t="str">
        <f t="shared" si="1"/>
        <v>Sem2 KAL</v>
      </c>
      <c r="N28" s="112" t="str">
        <f t="shared" si="1"/>
        <v>Notes / Progress</v>
      </c>
      <c r="O28" s="29"/>
      <c r="P28" s="29"/>
      <c r="Q28" s="29"/>
      <c r="R28" s="30"/>
      <c r="S28" s="30"/>
      <c r="T28" s="30"/>
      <c r="U28" s="30"/>
      <c r="V28" s="30"/>
      <c r="W28" s="30"/>
      <c r="X28" s="30"/>
      <c r="Y28" s="30"/>
    </row>
    <row r="29" spans="1:25" s="34" customFormat="1" ht="20.100000000000001" customHeight="1" x14ac:dyDescent="0.15">
      <c r="A29" s="67" t="str">
        <f>IFERROR(IF(HLOOKUP($N$5,RangeUnitsets,O29,FALSE)=0,"",HLOOKUP($N$5,RangeUnitsets,O29,FALSE)),"")</f>
        <v/>
      </c>
      <c r="B29" s="65" t="str">
        <f>IFERROR(IF(VLOOKUP($A29,TableHandbook[],B$2,FALSE)=0,"",VLOOKUP($A29,TableHandbook[],B$2,FALSE)),"")</f>
        <v/>
      </c>
      <c r="C29" s="65" t="str">
        <f>IFERROR(IF(VLOOKUP($A29,TableHandbook[],C$2,FALSE)=0,"",VLOOKUP($A29,TableHandbook[],C$2,FALSE)),"")</f>
        <v/>
      </c>
      <c r="D29" s="66" t="str">
        <f>IFERROR(IF(VLOOKUP($A29,TableHandbook[],D$2,FALSE)=0,"",VLOOKUP($A29,TableHandbook[],D$2,FALSE)),"")</f>
        <v/>
      </c>
      <c r="E29" s="65" t="str">
        <f>IF(OR(A29="",A29="--"),"",VLOOKUP($D$6,TableStudyPeriods[],2,FALSE))</f>
        <v/>
      </c>
      <c r="F29" s="62" t="str">
        <f>IFERROR(IF(VLOOKUP($A29,TableHandbook[],F$2,FALSE)=0,"",VLOOKUP($A29,TableHandbook[],F$2,FALSE)),"")</f>
        <v/>
      </c>
      <c r="G29" s="63" t="str">
        <f>IFERROR(IF(VLOOKUP($A29,TableHandbook[],G$2,FALSE)=0,"",VLOOKUP($A29,TableHandbook[],G$2,FALSE)),"")</f>
        <v/>
      </c>
      <c r="H29" s="71" t="str">
        <f>IFERROR(VLOOKUP($A29,TableHandbook[],H$2,FALSE),"")</f>
        <v/>
      </c>
      <c r="I29" s="63" t="str">
        <f>IFERROR(VLOOKUP($A29,TableHandbook[],I$2,FALSE),"")</f>
        <v/>
      </c>
      <c r="J29" s="228" t="str">
        <f>IFERROR(VLOOKUP($A29,TableHandbook[],J$2,FALSE),"")</f>
        <v/>
      </c>
      <c r="K29" s="63" t="str">
        <f>IFERROR(VLOOKUP($A29,TableHandbook[],K$2,FALSE),"")</f>
        <v/>
      </c>
      <c r="L29" s="63" t="str">
        <f>IFERROR(VLOOKUP($A29,TableHandbook[],L$2,FALSE),"")</f>
        <v/>
      </c>
      <c r="M29" s="72" t="str">
        <f>IFERROR(VLOOKUP($A29,TableHandbook[],M$2,FALSE),"")</f>
        <v/>
      </c>
      <c r="N29" s="69"/>
      <c r="O29" s="76">
        <v>18</v>
      </c>
      <c r="P29" s="32"/>
      <c r="Q29" s="32"/>
      <c r="R29" s="33"/>
      <c r="S29" s="33"/>
      <c r="T29" s="33"/>
      <c r="U29" s="33"/>
      <c r="V29" s="33"/>
      <c r="W29" s="33"/>
      <c r="X29" s="33"/>
      <c r="Y29" s="33"/>
    </row>
    <row r="30" spans="1:25" s="34" customFormat="1" ht="19.5" customHeight="1" x14ac:dyDescent="0.15">
      <c r="A30" s="67" t="str">
        <f>IFERROR(IF(HLOOKUP($N$5,RangeUnitsets,O30,FALSE)=0,"",HLOOKUP($N$5,RangeUnitsets,O30,FALSE)),"")</f>
        <v/>
      </c>
      <c r="B30" s="65" t="str">
        <f>IFERROR(IF(VLOOKUP($A30,TableHandbook[],B$2,FALSE)=0,"",VLOOKUP($A30,TableHandbook[],B$2,FALSE)),"")</f>
        <v/>
      </c>
      <c r="C30" s="65" t="str">
        <f>IFERROR(IF(VLOOKUP($A30,TableHandbook[],C$2,FALSE)=0,"",VLOOKUP($A30,TableHandbook[],C$2,FALSE)),"")</f>
        <v/>
      </c>
      <c r="D30" s="120" t="str">
        <f>IFERROR(IF(VLOOKUP($A30,TableHandbook[],D$2,FALSE)=0,"",VLOOKUP($A30,TableHandbook[],D$2,FALSE)),"")</f>
        <v/>
      </c>
      <c r="E30" s="65" t="str">
        <f>IF(A30="","",E29)</f>
        <v/>
      </c>
      <c r="F30" s="62" t="str">
        <f>IFERROR(IF(VLOOKUP($A30,TableHandbook[],F$2,FALSE)=0,"",VLOOKUP($A30,TableHandbook[],F$2,FALSE)),"")</f>
        <v/>
      </c>
      <c r="G30" s="63" t="str">
        <f>IFERROR(IF(VLOOKUP($A30,TableHandbook[],G$2,FALSE)=0,"",VLOOKUP($A30,TableHandbook[],G$2,FALSE)),"")</f>
        <v/>
      </c>
      <c r="H30" s="71" t="str">
        <f>IFERROR(VLOOKUP($A30,TableHandbook[],H$2,FALSE),"")</f>
        <v/>
      </c>
      <c r="I30" s="63" t="str">
        <f>IFERROR(VLOOKUP($A30,TableHandbook[],I$2,FALSE),"")</f>
        <v/>
      </c>
      <c r="J30" s="228" t="str">
        <f>IFERROR(VLOOKUP($A30,TableHandbook[],J$2,FALSE),"")</f>
        <v/>
      </c>
      <c r="K30" s="63" t="str">
        <f>IFERROR(VLOOKUP($A30,TableHandbook[],K$2,FALSE),"")</f>
        <v/>
      </c>
      <c r="L30" s="63" t="str">
        <f>IFERROR(VLOOKUP($A30,TableHandbook[],L$2,FALSE),"")</f>
        <v/>
      </c>
      <c r="M30" s="72" t="str">
        <f>IFERROR(VLOOKUP($A30,TableHandbook[],M$2,FALSE),"")</f>
        <v/>
      </c>
      <c r="N30" s="69"/>
      <c r="O30" s="76">
        <v>19</v>
      </c>
      <c r="P30" s="32"/>
      <c r="Q30" s="32"/>
      <c r="R30" s="33"/>
      <c r="S30" s="33"/>
      <c r="T30" s="33"/>
      <c r="U30" s="33"/>
      <c r="V30" s="33"/>
      <c r="W30" s="33"/>
      <c r="X30" s="33"/>
      <c r="Y30" s="33"/>
    </row>
    <row r="31" spans="1:25" s="34" customFormat="1" ht="20.100000000000001" customHeight="1" x14ac:dyDescent="0.15">
      <c r="A31" s="67" t="str">
        <f>IFERROR(IF(HLOOKUP($N$5,RangeUnitsets,O31,FALSE)=0,"",HLOOKUP($N$5,RangeUnitsets,O31,FALSE)),"")</f>
        <v/>
      </c>
      <c r="B31" s="65" t="str">
        <f>IFERROR(IF(VLOOKUP($A31,TableHandbook[],B$2,FALSE)=0,"",VLOOKUP($A31,TableHandbook[],B$2,FALSE)),"")</f>
        <v/>
      </c>
      <c r="C31" s="65" t="str">
        <f>IFERROR(IF(VLOOKUP($A31,TableHandbook[],C$2,FALSE)=0,"",VLOOKUP($A31,TableHandbook[],C$2,FALSE)),"")</f>
        <v/>
      </c>
      <c r="D31" s="120" t="str">
        <f>IFERROR(IF(VLOOKUP($A31,TableHandbook[],D$2,FALSE)=0,"",VLOOKUP($A31,TableHandbook[],D$2,FALSE)),"")</f>
        <v/>
      </c>
      <c r="E31" s="65" t="str">
        <f>IF(A31="","",E30)</f>
        <v/>
      </c>
      <c r="F31" s="62" t="str">
        <f>IFERROR(IF(VLOOKUP($A31,TableHandbook[],F$2,FALSE)=0,"",VLOOKUP($A31,TableHandbook[],F$2,FALSE)),"")</f>
        <v/>
      </c>
      <c r="G31" s="63" t="str">
        <f>IFERROR(IF(VLOOKUP($A31,TableHandbook[],G$2,FALSE)=0,"",VLOOKUP($A31,TableHandbook[],G$2,FALSE)),"")</f>
        <v/>
      </c>
      <c r="H31" s="71" t="str">
        <f>IFERROR(VLOOKUP($A31,TableHandbook[],H$2,FALSE),"")</f>
        <v/>
      </c>
      <c r="I31" s="63" t="str">
        <f>IFERROR(VLOOKUP($A31,TableHandbook[],I$2,FALSE),"")</f>
        <v/>
      </c>
      <c r="J31" s="228" t="str">
        <f>IFERROR(VLOOKUP($A31,TableHandbook[],J$2,FALSE),"")</f>
        <v/>
      </c>
      <c r="K31" s="63" t="str">
        <f>IFERROR(VLOOKUP($A31,TableHandbook[],K$2,FALSE),"")</f>
        <v/>
      </c>
      <c r="L31" s="63" t="str">
        <f>IFERROR(VLOOKUP($A31,TableHandbook[],L$2,FALSE),"")</f>
        <v/>
      </c>
      <c r="M31" s="72" t="str">
        <f>IFERROR(VLOOKUP($A31,TableHandbook[],M$2,FALSE),"")</f>
        <v/>
      </c>
      <c r="N31" s="69"/>
      <c r="O31" s="76">
        <v>20</v>
      </c>
      <c r="P31" s="32"/>
      <c r="Q31" s="32"/>
      <c r="R31" s="33"/>
      <c r="S31" s="33"/>
      <c r="T31" s="33"/>
      <c r="U31" s="33"/>
      <c r="V31" s="33"/>
      <c r="W31" s="33"/>
      <c r="X31" s="33"/>
      <c r="Y31" s="33"/>
    </row>
    <row r="32" spans="1:25" s="34" customFormat="1" ht="20.100000000000001" customHeight="1" x14ac:dyDescent="0.15">
      <c r="A32" s="67" t="str">
        <f>IFERROR(IF(HLOOKUP($N$5,RangeUnitsets,O32,FALSE)=0,"",HLOOKUP($N$5,RangeUnitsets,O32,FALSE)),"")</f>
        <v/>
      </c>
      <c r="B32" s="65" t="str">
        <f>IFERROR(IF(VLOOKUP($A32,TableHandbook[],B$2,FALSE)=0,"",VLOOKUP($A32,TableHandbook[],B$2,FALSE)),"")</f>
        <v/>
      </c>
      <c r="C32" s="65" t="str">
        <f>IFERROR(IF(VLOOKUP($A32,TableHandbook[],C$2,FALSE)=0,"",VLOOKUP($A32,TableHandbook[],C$2,FALSE)),"")</f>
        <v/>
      </c>
      <c r="D32" s="120" t="str">
        <f>IFERROR(IF(VLOOKUP($A32,TableHandbook[],D$2,FALSE)=0,"",VLOOKUP($A32,TableHandbook[],D$2,FALSE)),"")</f>
        <v/>
      </c>
      <c r="E32" s="65" t="str">
        <f>IF(A32="","",E31)</f>
        <v/>
      </c>
      <c r="F32" s="62" t="str">
        <f>IFERROR(IF(VLOOKUP($A32,TableHandbook[],F$2,FALSE)=0,"",VLOOKUP($A32,TableHandbook[],F$2,FALSE)),"")</f>
        <v/>
      </c>
      <c r="G32" s="63" t="str">
        <f>IFERROR(IF(VLOOKUP($A32,TableHandbook[],G$2,FALSE)=0,"",VLOOKUP($A32,TableHandbook[],G$2,FALSE)),"")</f>
        <v/>
      </c>
      <c r="H32" s="71" t="str">
        <f>IFERROR(VLOOKUP($A32,TableHandbook[],H$2,FALSE),"")</f>
        <v/>
      </c>
      <c r="I32" s="63" t="str">
        <f>IFERROR(VLOOKUP($A32,TableHandbook[],I$2,FALSE),"")</f>
        <v/>
      </c>
      <c r="J32" s="228" t="str">
        <f>IFERROR(VLOOKUP($A32,TableHandbook[],J$2,FALSE),"")</f>
        <v/>
      </c>
      <c r="K32" s="63" t="str">
        <f>IFERROR(VLOOKUP($A32,TableHandbook[],K$2,FALSE),"")</f>
        <v/>
      </c>
      <c r="L32" s="63" t="str">
        <f>IFERROR(VLOOKUP($A32,TableHandbook[],L$2,FALSE),"")</f>
        <v/>
      </c>
      <c r="M32" s="72" t="str">
        <f>IFERROR(VLOOKUP($A32,TableHandbook[],M$2,FALSE),"")</f>
        <v/>
      </c>
      <c r="N32" s="69"/>
      <c r="O32" s="76">
        <v>21</v>
      </c>
      <c r="P32" s="32"/>
      <c r="Q32" s="32"/>
      <c r="R32" s="33"/>
      <c r="S32" s="33"/>
      <c r="T32" s="33"/>
      <c r="U32" s="33"/>
      <c r="V32" s="33"/>
      <c r="W32" s="33"/>
      <c r="X32" s="33"/>
      <c r="Y32" s="33"/>
    </row>
    <row r="33" spans="1:25" s="34" customFormat="1" ht="5.0999999999999996" customHeight="1" x14ac:dyDescent="0.15">
      <c r="A33" s="241"/>
      <c r="B33" s="242"/>
      <c r="C33" s="242"/>
      <c r="D33" s="243"/>
      <c r="E33" s="242"/>
      <c r="F33" s="244"/>
      <c r="G33" s="242"/>
      <c r="H33" s="245"/>
      <c r="I33" s="242"/>
      <c r="J33" s="246"/>
      <c r="K33" s="242"/>
      <c r="L33" s="242"/>
      <c r="M33" s="247"/>
      <c r="N33" s="248"/>
      <c r="O33" s="35"/>
      <c r="P33" s="32"/>
      <c r="Q33" s="32"/>
      <c r="R33" s="32"/>
      <c r="S33" s="33"/>
      <c r="T33" s="33"/>
      <c r="U33" s="33"/>
      <c r="V33" s="33"/>
      <c r="W33" s="33"/>
      <c r="X33" s="33"/>
      <c r="Y33" s="33"/>
    </row>
    <row r="34" spans="1:25" s="34" customFormat="1" ht="20.100000000000001" customHeight="1" x14ac:dyDescent="0.15">
      <c r="A34" s="164" t="str">
        <f>IFERROR(IF(HLOOKUP($N$5,RangeUnitsets,O34,FALSE)=0,"",HLOOKUP($N$5,RangeUnitsets,O34,FALSE)),"")</f>
        <v/>
      </c>
      <c r="B34" s="65" t="str">
        <f>IFERROR(IF(VLOOKUP($A34,TableHandbook[],B$2,FALSE)=0,"",VLOOKUP($A34,TableHandbook[],B$2,FALSE)),"")</f>
        <v/>
      </c>
      <c r="C34" s="65" t="str">
        <f>IFERROR(IF(VLOOKUP($A34,TableHandbook[],C$2,FALSE)=0,"",VLOOKUP($A34,TableHandbook[],C$2,FALSE)),"")</f>
        <v/>
      </c>
      <c r="D34" s="120" t="str">
        <f>IFERROR(IF(VLOOKUP($A34,TableHandbook[],D$2,FALSE)=0,"",VLOOKUP($A34,TableHandbook[],D$2,FALSE)),"")</f>
        <v/>
      </c>
      <c r="E34" s="65" t="str">
        <f>IF(OR(A34="",A34="--"),"",VLOOKUP($D$6,TableStudyPeriods[],3,FALSE))</f>
        <v/>
      </c>
      <c r="F34" s="62" t="str">
        <f>IFERROR(IF(VLOOKUP($A34,TableHandbook[],F$2,FALSE)=0,"",VLOOKUP($A34,TableHandbook[],F$2,FALSE)),"")</f>
        <v/>
      </c>
      <c r="G34" s="63" t="str">
        <f>IFERROR(IF(VLOOKUP($A34,TableHandbook[],G$2,FALSE)=0,"",VLOOKUP($A34,TableHandbook[],G$2,FALSE)),"")</f>
        <v/>
      </c>
      <c r="H34" s="71" t="str">
        <f>IFERROR(VLOOKUP($A34,TableHandbook[],H$2,FALSE),"")</f>
        <v/>
      </c>
      <c r="I34" s="63" t="str">
        <f>IFERROR(VLOOKUP($A34,TableHandbook[],I$2,FALSE),"")</f>
        <v/>
      </c>
      <c r="J34" s="228" t="str">
        <f>IFERROR(VLOOKUP($A34,TableHandbook[],J$2,FALSE),"")</f>
        <v/>
      </c>
      <c r="K34" s="63" t="str">
        <f>IFERROR(VLOOKUP($A34,TableHandbook[],K$2,FALSE),"")</f>
        <v/>
      </c>
      <c r="L34" s="63" t="str">
        <f>IFERROR(VLOOKUP($A34,TableHandbook[],L$2,FALSE),"")</f>
        <v/>
      </c>
      <c r="M34" s="72" t="str">
        <f>IFERROR(VLOOKUP($A34,TableHandbook[],M$2,FALSE),"")</f>
        <v/>
      </c>
      <c r="N34" s="69"/>
      <c r="O34" s="76">
        <v>22</v>
      </c>
      <c r="P34" s="32"/>
      <c r="Q34" s="32"/>
      <c r="R34" s="33"/>
      <c r="S34" s="33"/>
      <c r="T34" s="33"/>
      <c r="U34" s="33"/>
      <c r="V34" s="33"/>
      <c r="W34" s="33"/>
      <c r="X34" s="33"/>
      <c r="Y34" s="33"/>
    </row>
    <row r="35" spans="1:25" s="34" customFormat="1" ht="20.100000000000001" customHeight="1" x14ac:dyDescent="0.15">
      <c r="A35" s="67" t="str">
        <f>IFERROR(IF(HLOOKUP($N$5,RangeUnitsets,O35,FALSE)=0,"",HLOOKUP($N$5,RangeUnitsets,O35,FALSE)),"")</f>
        <v/>
      </c>
      <c r="B35" s="65" t="str">
        <f>IFERROR(IF(VLOOKUP($A35,TableHandbook[],B$2,FALSE)=0,"",VLOOKUP($A35,TableHandbook[],B$2,FALSE)),"")</f>
        <v/>
      </c>
      <c r="C35" s="65" t="str">
        <f>IFERROR(IF(VLOOKUP($A35,TableHandbook[],C$2,FALSE)=0,"",VLOOKUP($A35,TableHandbook[],C$2,FALSE)),"")</f>
        <v/>
      </c>
      <c r="D35" s="120" t="str">
        <f>IFERROR(IF(VLOOKUP($A35,TableHandbook[],D$2,FALSE)=0,"",VLOOKUP($A35,TableHandbook[],D$2,FALSE)),"")</f>
        <v/>
      </c>
      <c r="E35" s="65" t="str">
        <f>IF(A35="","",E34)</f>
        <v/>
      </c>
      <c r="F35" s="62" t="str">
        <f>IFERROR(IF(VLOOKUP($A35,TableHandbook[],F$2,FALSE)=0,"",VLOOKUP($A35,TableHandbook[],F$2,FALSE)),"")</f>
        <v/>
      </c>
      <c r="G35" s="63" t="str">
        <f>IFERROR(IF(VLOOKUP($A35,TableHandbook[],G$2,FALSE)=0,"",VLOOKUP($A35,TableHandbook[],G$2,FALSE)),"")</f>
        <v/>
      </c>
      <c r="H35" s="71" t="str">
        <f>IFERROR(VLOOKUP($A35,TableHandbook[],H$2,FALSE),"")</f>
        <v/>
      </c>
      <c r="I35" s="63" t="str">
        <f>IFERROR(VLOOKUP($A35,TableHandbook[],I$2,FALSE),"")</f>
        <v/>
      </c>
      <c r="J35" s="228" t="str">
        <f>IFERROR(VLOOKUP($A35,TableHandbook[],J$2,FALSE),"")</f>
        <v/>
      </c>
      <c r="K35" s="63" t="str">
        <f>IFERROR(VLOOKUP($A35,TableHandbook[],K$2,FALSE),"")</f>
        <v/>
      </c>
      <c r="L35" s="63" t="str">
        <f>IFERROR(VLOOKUP($A35,TableHandbook[],L$2,FALSE),"")</f>
        <v/>
      </c>
      <c r="M35" s="72" t="str">
        <f>IFERROR(VLOOKUP($A35,TableHandbook[],M$2,FALSE),"")</f>
        <v/>
      </c>
      <c r="N35" s="69"/>
      <c r="O35" s="76">
        <v>23</v>
      </c>
      <c r="P35" s="32"/>
      <c r="Q35" s="32"/>
      <c r="R35" s="33"/>
      <c r="S35" s="33"/>
      <c r="T35" s="33"/>
      <c r="U35" s="33"/>
      <c r="V35" s="33"/>
      <c r="W35" s="33"/>
      <c r="X35" s="33"/>
      <c r="Y35" s="33"/>
    </row>
    <row r="36" spans="1:25" s="38" customFormat="1" ht="20.100000000000001" customHeight="1" x14ac:dyDescent="0.15">
      <c r="A36" s="67" t="str">
        <f>IFERROR(IF(HLOOKUP($N$5,RangeUnitsets,O36,FALSE)=0,"",HLOOKUP($N$5,RangeUnitsets,O36,FALSE)),"")</f>
        <v/>
      </c>
      <c r="B36" s="65" t="str">
        <f>IFERROR(IF(VLOOKUP($A36,TableHandbook[],B$2,FALSE)=0,"",VLOOKUP($A36,TableHandbook[],B$2,FALSE)),"")</f>
        <v/>
      </c>
      <c r="C36" s="65" t="str">
        <f>IFERROR(IF(VLOOKUP($A36,TableHandbook[],C$2,FALSE)=0,"",VLOOKUP($A36,TableHandbook[],C$2,FALSE)),"")</f>
        <v/>
      </c>
      <c r="D36" s="120" t="str">
        <f>IFERROR(IF(VLOOKUP($A36,TableHandbook[],D$2,FALSE)=0,"",VLOOKUP($A36,TableHandbook[],D$2,FALSE)),"")</f>
        <v/>
      </c>
      <c r="E36" s="65" t="str">
        <f>IF(A36="","",E35)</f>
        <v/>
      </c>
      <c r="F36" s="62" t="str">
        <f>IFERROR(IF(VLOOKUP($A36,TableHandbook[],F$2,FALSE)=0,"",VLOOKUP($A36,TableHandbook[],F$2,FALSE)),"")</f>
        <v/>
      </c>
      <c r="G36" s="63" t="str">
        <f>IFERROR(IF(VLOOKUP($A36,TableHandbook[],G$2,FALSE)=0,"",VLOOKUP($A36,TableHandbook[],G$2,FALSE)),"")</f>
        <v/>
      </c>
      <c r="H36" s="71" t="str">
        <f>IFERROR(VLOOKUP($A36,TableHandbook[],H$2,FALSE),"")</f>
        <v/>
      </c>
      <c r="I36" s="63" t="str">
        <f>IFERROR(VLOOKUP($A36,TableHandbook[],I$2,FALSE),"")</f>
        <v/>
      </c>
      <c r="J36" s="228" t="str">
        <f>IFERROR(VLOOKUP($A36,TableHandbook[],J$2,FALSE),"")</f>
        <v/>
      </c>
      <c r="K36" s="63" t="str">
        <f>IFERROR(VLOOKUP($A36,TableHandbook[],K$2,FALSE),"")</f>
        <v/>
      </c>
      <c r="L36" s="63" t="str">
        <f>IFERROR(VLOOKUP($A36,TableHandbook[],L$2,FALSE),"")</f>
        <v/>
      </c>
      <c r="M36" s="72" t="str">
        <f>IFERROR(VLOOKUP($A36,TableHandbook[],M$2,FALSE),"")</f>
        <v/>
      </c>
      <c r="N36" s="69"/>
      <c r="O36" s="76">
        <v>24</v>
      </c>
      <c r="P36" s="36"/>
      <c r="Q36" s="36"/>
      <c r="R36" s="37"/>
      <c r="S36" s="37"/>
      <c r="T36" s="37"/>
      <c r="U36" s="37"/>
      <c r="V36" s="37"/>
      <c r="W36" s="37"/>
      <c r="X36" s="37"/>
      <c r="Y36" s="37"/>
    </row>
    <row r="37" spans="1:25" s="38" customFormat="1" ht="20.100000000000001" customHeight="1" x14ac:dyDescent="0.15">
      <c r="A37" s="67" t="str">
        <f>IFERROR(IF(HLOOKUP($N$5,RangeUnitsets,O37,FALSE)=0,"",HLOOKUP($N$5,RangeUnitsets,O37,FALSE)),"")</f>
        <v/>
      </c>
      <c r="B37" s="65" t="str">
        <f>IFERROR(IF(VLOOKUP($A37,TableHandbook[],B$2,FALSE)=0,"",VLOOKUP($A37,TableHandbook[],B$2,FALSE)),"")</f>
        <v/>
      </c>
      <c r="C37" s="65" t="str">
        <f>IFERROR(IF(VLOOKUP($A37,TableHandbook[],C$2,FALSE)=0,"",VLOOKUP($A37,TableHandbook[],C$2,FALSE)),"")</f>
        <v/>
      </c>
      <c r="D37" s="120" t="str">
        <f>IFERROR(IF(VLOOKUP($A37,TableHandbook[],D$2,FALSE)=0,"",VLOOKUP($A37,TableHandbook[],D$2,FALSE)),"")</f>
        <v/>
      </c>
      <c r="E37" s="63" t="str">
        <f>IF(A37="","",E36)</f>
        <v/>
      </c>
      <c r="F37" s="62" t="str">
        <f>IFERROR(IF(VLOOKUP($A37,TableHandbook[],F$2,FALSE)=0,"",VLOOKUP($A37,TableHandbook[],F$2,FALSE)),"")</f>
        <v/>
      </c>
      <c r="G37" s="63" t="str">
        <f>IFERROR(IF(VLOOKUP($A37,TableHandbook[],G$2,FALSE)=0,"",VLOOKUP($A37,TableHandbook[],G$2,FALSE)),"")</f>
        <v/>
      </c>
      <c r="H37" s="71" t="str">
        <f>IFERROR(VLOOKUP($A37,TableHandbook[],H$2,FALSE),"")</f>
        <v/>
      </c>
      <c r="I37" s="63" t="str">
        <f>IFERROR(VLOOKUP($A37,TableHandbook[],I$2,FALSE),"")</f>
        <v/>
      </c>
      <c r="J37" s="228" t="str">
        <f>IFERROR(VLOOKUP($A37,TableHandbook[],J$2,FALSE),"")</f>
        <v/>
      </c>
      <c r="K37" s="63" t="str">
        <f>IFERROR(VLOOKUP($A37,TableHandbook[],K$2,FALSE),"")</f>
        <v/>
      </c>
      <c r="L37" s="63" t="str">
        <f>IFERROR(VLOOKUP($A37,TableHandbook[],L$2,FALSE),"")</f>
        <v/>
      </c>
      <c r="M37" s="72" t="str">
        <f>IFERROR(VLOOKUP($A37,TableHandbook[],M$2,FALSE),"")</f>
        <v/>
      </c>
      <c r="N37" s="69"/>
      <c r="O37" s="76">
        <v>25</v>
      </c>
      <c r="P37" s="36"/>
      <c r="Q37" s="36"/>
      <c r="R37" s="37"/>
      <c r="S37" s="37"/>
      <c r="T37" s="37"/>
      <c r="U37" s="37"/>
      <c r="V37" s="37"/>
      <c r="W37" s="37"/>
      <c r="X37" s="37"/>
      <c r="Y37" s="37"/>
    </row>
    <row r="38" spans="1:25" s="46" customFormat="1" ht="13.9" customHeight="1" x14ac:dyDescent="0.2">
      <c r="A38" s="47"/>
      <c r="B38" s="47"/>
      <c r="C38" s="47"/>
      <c r="D38" s="48"/>
      <c r="E38" s="48"/>
      <c r="F38" s="287"/>
      <c r="G38" s="43"/>
      <c r="H38" s="43"/>
      <c r="I38" s="43"/>
      <c r="J38" s="43"/>
      <c r="K38" s="43"/>
      <c r="L38" s="43"/>
      <c r="M38" s="43"/>
      <c r="N38" s="257"/>
      <c r="O38" s="44"/>
      <c r="P38" s="44"/>
      <c r="Q38" s="44"/>
      <c r="R38" s="45"/>
      <c r="S38" s="45"/>
      <c r="T38" s="45"/>
      <c r="U38" s="45"/>
      <c r="V38" s="45"/>
      <c r="W38" s="45"/>
      <c r="X38" s="45"/>
      <c r="Y38" s="45"/>
    </row>
    <row r="39" spans="1:25" ht="16.5" x14ac:dyDescent="0.25">
      <c r="A39" s="169" t="s">
        <v>30</v>
      </c>
      <c r="B39" s="170"/>
      <c r="C39" s="170"/>
      <c r="D39" s="171"/>
      <c r="E39" s="172"/>
      <c r="F39" s="288"/>
      <c r="G39" s="172"/>
      <c r="H39" s="173" t="str">
        <f>H7</f>
        <v>2025 Availabilities</v>
      </c>
      <c r="I39" s="174"/>
      <c r="J39" s="174"/>
      <c r="K39" s="174"/>
      <c r="L39" s="169"/>
      <c r="M39" s="169"/>
      <c r="N39" s="371" t="str">
        <f>VLOOKUP(D5,TableCourses[],2,FALSE)</f>
        <v>B-EDUC</v>
      </c>
      <c r="O39" s="28"/>
      <c r="P39" s="28"/>
      <c r="Q39" s="28"/>
      <c r="R39" s="28"/>
      <c r="S39" s="28"/>
      <c r="T39" s="28"/>
      <c r="U39" s="28"/>
      <c r="V39" s="28"/>
      <c r="W39" s="28"/>
      <c r="X39" s="28"/>
      <c r="Y39" s="28"/>
    </row>
    <row r="40" spans="1:25" s="50" customFormat="1" ht="21" x14ac:dyDescent="0.25">
      <c r="A40" s="175"/>
      <c r="B40" s="175"/>
      <c r="C40" s="175"/>
      <c r="D40" s="176" t="s">
        <v>3</v>
      </c>
      <c r="E40" s="175"/>
      <c r="F40" s="175" t="s">
        <v>19</v>
      </c>
      <c r="G40" s="175" t="s">
        <v>20</v>
      </c>
      <c r="H40" s="230" t="str">
        <f>H$8</f>
        <v>Sem1 BEN</v>
      </c>
      <c r="I40" s="177" t="str">
        <f t="shared" ref="I40:N40" si="2">I$8</f>
        <v>Sem1 FO</v>
      </c>
      <c r="J40" s="231" t="str">
        <f t="shared" si="2"/>
        <v>Sem1 KAL</v>
      </c>
      <c r="K40" s="177" t="str">
        <f t="shared" si="2"/>
        <v>Sem2 BEN</v>
      </c>
      <c r="L40" s="177" t="str">
        <f t="shared" si="2"/>
        <v>Sem2 FO</v>
      </c>
      <c r="M40" s="177" t="str">
        <f t="shared" si="2"/>
        <v>Sem2 KAL</v>
      </c>
      <c r="N40" s="240" t="str">
        <f t="shared" si="2"/>
        <v>Notes / Progress</v>
      </c>
      <c r="O40" s="49"/>
      <c r="P40" s="49"/>
      <c r="Q40" s="49"/>
      <c r="R40" s="49"/>
      <c r="S40" s="49"/>
      <c r="T40" s="49"/>
      <c r="U40" s="49"/>
      <c r="V40" s="49"/>
      <c r="W40" s="49"/>
      <c r="X40" s="49"/>
      <c r="Y40" s="49"/>
    </row>
    <row r="41" spans="1:25" x14ac:dyDescent="0.25">
      <c r="A41" s="51" t="str">
        <f t="shared" ref="A41:A43" si="3">IFERROR(IF(HLOOKUP($N$39,RangeOptions,$O41,FALSE)=0,"",HLOOKUP($N$39,RangeOptions,$O41,FALSE)),"")</f>
        <v>AC-BEDUC</v>
      </c>
      <c r="B41" s="52" t="str">
        <f>IFERROR(IF(VLOOKUP($A41,TableHandbook[],2,FALSE)=0,"",VLOOKUP($A41,TableHandbook[],2,FALSE)),"")</f>
        <v/>
      </c>
      <c r="C41" s="53" t="str">
        <f>IFERROR(IF(VLOOKUP($A41,TableHandbook[],3,FALSE)=0,"",VLOOKUP($A41,TableHandbook[],3,FALSE)),"")</f>
        <v/>
      </c>
      <c r="D41" s="54" t="str">
        <f>IFERROR(IF(VLOOKUP($A41,TableHandbook[],4,FALSE)=0,"",VLOOKUP($A41,TableHandbook[],4,FALSE)),"")</f>
        <v>Study either EDPR3004 or EDSC3007 (see below)</v>
      </c>
      <c r="E41" s="54"/>
      <c r="F41" s="250" t="str">
        <f>IFERROR(IF(VLOOKUP($A41,TableHandbook[],6,FALSE)=0,"",VLOOKUP($A41,TableHandbook[],6,FALSE)),"")</f>
        <v>See below</v>
      </c>
      <c r="G41" s="55">
        <f>IFERROR(IF(VLOOKUP($A41,TableHandbook[],5,FALSE)=0,"",VLOOKUP($A41,TableHandbook[],5,FALSE)),"")</f>
        <v>25</v>
      </c>
      <c r="H41" s="71" t="str">
        <f>IFERROR(VLOOKUP($A41,TableHandbook[],H$2,FALSE),"")</f>
        <v/>
      </c>
      <c r="I41" s="63" t="str">
        <f>IFERROR(VLOOKUP($A41,TableHandbook[],I$2,FALSE),"")</f>
        <v/>
      </c>
      <c r="J41" s="228" t="str">
        <f>IFERROR(VLOOKUP($A41,TableHandbook[],J$2,FALSE),"")</f>
        <v/>
      </c>
      <c r="K41" s="63" t="str">
        <f>IFERROR(VLOOKUP($A41,TableHandbook[],K$2,FALSE),"")</f>
        <v/>
      </c>
      <c r="L41" s="63" t="str">
        <f>IFERROR(VLOOKUP($A41,TableHandbook[],L$2,FALSE),"")</f>
        <v/>
      </c>
      <c r="M41" s="72" t="str">
        <f>IFERROR(VLOOKUP($A41,TableHandbook[],M$2,FALSE),"")</f>
        <v/>
      </c>
      <c r="N41" s="64"/>
      <c r="O41" s="76">
        <v>2</v>
      </c>
      <c r="P41" s="28"/>
      <c r="Q41" s="28"/>
      <c r="R41" s="28"/>
      <c r="S41" s="28"/>
      <c r="T41" s="28"/>
      <c r="U41" s="28"/>
      <c r="V41" s="28"/>
      <c r="W41" s="28"/>
      <c r="X41" s="28"/>
      <c r="Y41" s="28"/>
    </row>
    <row r="42" spans="1:25" x14ac:dyDescent="0.25">
      <c r="A42" s="51" t="str">
        <f t="shared" si="3"/>
        <v>EDPR3004</v>
      </c>
      <c r="B42" s="52">
        <f>IFERROR(IF(VLOOKUP($A42,TableHandbook[],2,FALSE)=0,"",VLOOKUP($A42,TableHandbook[],2,FALSE)),"")</f>
        <v>1</v>
      </c>
      <c r="C42" s="53" t="str">
        <f>IFERROR(IF(VLOOKUP($A42,TableHandbook[],3,FALSE)=0,"",VLOOKUP($A42,TableHandbook[],3,FALSE)),"")</f>
        <v/>
      </c>
      <c r="D42" s="53" t="str">
        <f>IFERROR(IF(VLOOKUP($A42,TableHandbook[],4,FALSE)=0,"",VLOOKUP($A42,TableHandbook[],4,FALSE)),"")</f>
        <v>Cultural Contexts in Primary Education</v>
      </c>
      <c r="E42" s="54"/>
      <c r="F42" s="250" t="str">
        <f>IFERROR(IF(VLOOKUP($A42,TableHandbook[],6,FALSE)=0,"",VLOOKUP($A42,TableHandbook[],6,FALSE)),"")</f>
        <v>300CP + EDUC1025</v>
      </c>
      <c r="G42" s="55">
        <f>IFERROR(IF(VLOOKUP($A42,TableHandbook[],5,FALSE)=0,"",VLOOKUP($A42,TableHandbook[],5,FALSE)),"")</f>
        <v>25</v>
      </c>
      <c r="H42" s="71" t="str">
        <f>IFERROR(VLOOKUP($A42,TableHandbook[],H$2,FALSE),"")</f>
        <v>Y</v>
      </c>
      <c r="I42" s="63" t="str">
        <f>IFERROR(VLOOKUP($A42,TableHandbook[],I$2,FALSE),"")</f>
        <v>Y</v>
      </c>
      <c r="J42" s="228" t="str">
        <f>IFERROR(VLOOKUP($A42,TableHandbook[],J$2,FALSE),"")</f>
        <v>Y</v>
      </c>
      <c r="K42" s="63" t="str">
        <f>IFERROR(VLOOKUP($A42,TableHandbook[],K$2,FALSE),"")</f>
        <v/>
      </c>
      <c r="L42" s="63" t="str">
        <f>IFERROR(VLOOKUP($A42,TableHandbook[],L$2,FALSE),"")</f>
        <v/>
      </c>
      <c r="M42" s="72" t="str">
        <f>IFERROR(VLOOKUP($A42,TableHandbook[],M$2,FALSE),"")</f>
        <v/>
      </c>
      <c r="N42" s="64"/>
      <c r="O42" s="76">
        <v>3</v>
      </c>
      <c r="P42" s="28"/>
      <c r="Q42" s="28"/>
      <c r="R42" s="28"/>
      <c r="S42" s="28"/>
      <c r="T42" s="28"/>
      <c r="U42" s="28"/>
      <c r="V42" s="28"/>
      <c r="W42" s="28"/>
      <c r="X42" s="28"/>
      <c r="Y42" s="28"/>
    </row>
    <row r="43" spans="1:25" x14ac:dyDescent="0.25">
      <c r="A43" s="51" t="str">
        <f t="shared" si="3"/>
        <v>EDSC3007</v>
      </c>
      <c r="B43" s="52">
        <f>IFERROR(IF(VLOOKUP($A43,TableHandbook[],2,FALSE)=0,"",VLOOKUP($A43,TableHandbook[],2,FALSE)),"")</f>
        <v>1</v>
      </c>
      <c r="C43" s="53" t="str">
        <f>IFERROR(IF(VLOOKUP($A43,TableHandbook[],3,FALSE)=0,"",VLOOKUP($A43,TableHandbook[],3,FALSE)),"")</f>
        <v/>
      </c>
      <c r="D43" s="53" t="str">
        <f>IFERROR(IF(VLOOKUP($A43,TableHandbook[],4,FALSE)=0,"",VLOOKUP($A43,TableHandbook[],4,FALSE)),"")</f>
        <v>Curriculum and Culture in Secondary Schools</v>
      </c>
      <c r="E43" s="54"/>
      <c r="F43" s="250" t="str">
        <f>IFERROR(IF(VLOOKUP($A43,TableHandbook[],6,FALSE)=0,"",VLOOKUP($A43,TableHandbook[],6,FALSE)),"")</f>
        <v>300CP</v>
      </c>
      <c r="G43" s="55">
        <f>IFERROR(IF(VLOOKUP($A43,TableHandbook[],5,FALSE)=0,"",VLOOKUP($A43,TableHandbook[],5,FALSE)),"")</f>
        <v>25</v>
      </c>
      <c r="H43" s="71" t="str">
        <f>IFERROR(VLOOKUP($A43,TableHandbook[],H$2,FALSE),"")</f>
        <v>Y</v>
      </c>
      <c r="I43" s="63" t="str">
        <f>IFERROR(VLOOKUP($A43,TableHandbook[],I$2,FALSE),"")</f>
        <v>Y</v>
      </c>
      <c r="J43" s="228" t="str">
        <f>IFERROR(VLOOKUP($A43,TableHandbook[],J$2,FALSE),"")</f>
        <v/>
      </c>
      <c r="K43" s="63" t="str">
        <f>IFERROR(VLOOKUP($A43,TableHandbook[],K$2,FALSE),"")</f>
        <v/>
      </c>
      <c r="L43" s="63" t="str">
        <f>IFERROR(VLOOKUP($A43,TableHandbook[],L$2,FALSE),"")</f>
        <v/>
      </c>
      <c r="M43" s="72" t="str">
        <f>IFERROR(VLOOKUP($A43,TableHandbook[],M$2,FALSE),"")</f>
        <v/>
      </c>
      <c r="N43" s="64"/>
      <c r="O43" s="76">
        <v>4</v>
      </c>
      <c r="P43" s="28"/>
      <c r="Q43" s="28"/>
      <c r="R43" s="28"/>
      <c r="S43" s="28"/>
      <c r="T43" s="28"/>
      <c r="U43" s="28"/>
      <c r="V43" s="28"/>
      <c r="W43" s="28"/>
      <c r="X43" s="28"/>
      <c r="Y43" s="28"/>
    </row>
    <row r="44" spans="1:25" s="28" customFormat="1" ht="32.25" customHeight="1" x14ac:dyDescent="0.25">
      <c r="A44" s="443" t="s">
        <v>31</v>
      </c>
      <c r="B44" s="443"/>
      <c r="C44" s="443"/>
      <c r="D44" s="443"/>
      <c r="E44" s="443"/>
      <c r="F44" s="443"/>
      <c r="G44" s="443"/>
      <c r="H44" s="443"/>
      <c r="I44" s="443"/>
      <c r="J44" s="443"/>
      <c r="K44" s="443"/>
      <c r="L44" s="443"/>
      <c r="M44" s="443"/>
      <c r="N44" s="443"/>
    </row>
    <row r="45" spans="1:25" s="41" customFormat="1" ht="24.95" customHeight="1" x14ac:dyDescent="0.3">
      <c r="A45" s="88" t="s">
        <v>32</v>
      </c>
      <c r="B45" s="88"/>
      <c r="C45" s="88"/>
      <c r="D45" s="89"/>
      <c r="E45" s="89"/>
      <c r="F45" s="89"/>
      <c r="G45" s="89"/>
      <c r="H45" s="89"/>
      <c r="I45" s="89"/>
      <c r="J45" s="89"/>
      <c r="K45" s="89"/>
      <c r="L45" s="89"/>
      <c r="M45" s="89"/>
      <c r="N45" s="89"/>
      <c r="O45" s="39"/>
      <c r="P45" s="39"/>
      <c r="Q45" s="39"/>
      <c r="R45" s="40"/>
      <c r="S45" s="40"/>
      <c r="T45" s="40"/>
      <c r="U45" s="40"/>
      <c r="V45" s="40"/>
      <c r="W45" s="40"/>
      <c r="X45" s="40"/>
      <c r="Y45" s="40"/>
    </row>
    <row r="46" spans="1:25" s="28" customFormat="1" ht="15" customHeight="1" x14ac:dyDescent="0.25">
      <c r="A46" s="42" t="s">
        <v>33</v>
      </c>
      <c r="B46" s="42"/>
      <c r="C46" s="42"/>
      <c r="D46" s="42"/>
      <c r="E46" s="56"/>
      <c r="F46" s="43"/>
      <c r="G46" s="57"/>
      <c r="H46" s="57"/>
      <c r="I46" s="57"/>
      <c r="J46" s="57"/>
      <c r="K46" s="57"/>
      <c r="L46" s="57"/>
      <c r="M46" s="57"/>
      <c r="N46" s="57" t="s">
        <v>34</v>
      </c>
    </row>
  </sheetData>
  <sheetProtection formatCells="0"/>
  <mergeCells count="2">
    <mergeCell ref="A3:D3"/>
    <mergeCell ref="A44:N44"/>
  </mergeCells>
  <conditionalFormatting sqref="A41:N43">
    <cfRule type="expression" dxfId="192" priority="4">
      <formula>LEFT($D41,5)="Study"</formula>
    </cfRule>
  </conditionalFormatting>
  <conditionalFormatting sqref="D5:D6">
    <cfRule type="containsText" dxfId="191" priority="5" operator="containsText" text="Choose">
      <formula>NOT(ISERROR(SEARCH("Choose",D5)))</formula>
    </cfRule>
  </conditionalFormatting>
  <conditionalFormatting sqref="H9:M37">
    <cfRule type="expression" dxfId="190" priority="1">
      <formula>$E9=LEFT(H$8,4)</formula>
    </cfRule>
  </conditionalFormatting>
  <dataValidations count="1">
    <dataValidation type="list" allowBlank="1" showInputMessage="1" showErrorMessage="1" sqref="N23 N13 N33" xr:uid="{00000000-0002-0000-0000-000000000000}"/>
  </dataValidations>
  <hyperlinks>
    <hyperlink ref="A45:N4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37" max="10" man="1"/>
  </rowBreaks>
  <ignoredErrors>
    <ignoredError sqref="E9:E37"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Unitsets!$A$23:$A$25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Y81"/>
  <sheetViews>
    <sheetView showGridLines="0" topLeftCell="A3" zoomScaleNormal="100" workbookViewId="0">
      <selection activeCell="L15" sqref="L15"/>
    </sheetView>
  </sheetViews>
  <sheetFormatPr defaultColWidth="9" defaultRowHeight="15" x14ac:dyDescent="0.25"/>
  <cols>
    <col min="1" max="1" width="11.375" style="22" customWidth="1"/>
    <col min="2" max="2" width="3.25" style="22" customWidth="1"/>
    <col min="3" max="3" width="5.875" style="22" customWidth="1"/>
    <col min="4" max="4" width="51.375" style="21" customWidth="1"/>
    <col min="5" max="5" width="5.5" style="21" customWidth="1"/>
    <col min="6" max="6" width="22.625" style="21" customWidth="1"/>
    <col min="7" max="7" width="5.625" style="21" customWidth="1"/>
    <col min="8" max="13" width="4.375" style="21" customWidth="1"/>
    <col min="14" max="14" width="18.625" style="21" customWidth="1"/>
    <col min="15" max="15" width="2.5" style="21" hidden="1" customWidth="1"/>
    <col min="16" max="16384" width="9" style="21"/>
  </cols>
  <sheetData>
    <row r="1" spans="1:25" hidden="1" x14ac:dyDescent="0.25">
      <c r="A1" s="101" t="s">
        <v>0</v>
      </c>
      <c r="B1" s="101" t="s">
        <v>1</v>
      </c>
      <c r="C1" s="101" t="s">
        <v>2</v>
      </c>
      <c r="D1" s="102" t="s">
        <v>3</v>
      </c>
      <c r="E1" s="102"/>
      <c r="F1" s="102" t="s">
        <v>4</v>
      </c>
      <c r="G1" s="102" t="s">
        <v>5</v>
      </c>
      <c r="H1" s="102" t="s">
        <v>6</v>
      </c>
      <c r="I1" s="102"/>
      <c r="J1" s="102"/>
      <c r="K1" s="102"/>
      <c r="L1" s="102"/>
      <c r="M1" s="102"/>
      <c r="N1" s="102" t="s">
        <v>7</v>
      </c>
    </row>
    <row r="2" spans="1:25" hidden="1" x14ac:dyDescent="0.25">
      <c r="A2" s="100"/>
      <c r="B2" s="100">
        <v>2</v>
      </c>
      <c r="C2" s="100">
        <v>3</v>
      </c>
      <c r="D2" s="100">
        <v>4</v>
      </c>
      <c r="E2" s="100"/>
      <c r="F2" s="100">
        <v>6</v>
      </c>
      <c r="G2" s="100">
        <v>5</v>
      </c>
      <c r="H2" s="100">
        <v>7</v>
      </c>
      <c r="I2" s="100">
        <v>8</v>
      </c>
      <c r="J2" s="100">
        <v>9</v>
      </c>
      <c r="K2" s="100">
        <v>10</v>
      </c>
      <c r="L2" s="100">
        <v>11</v>
      </c>
      <c r="M2" s="100">
        <v>12</v>
      </c>
      <c r="N2" s="100"/>
    </row>
    <row r="3" spans="1:25" ht="39.950000000000003" customHeight="1" x14ac:dyDescent="0.25">
      <c r="A3" s="442" t="s">
        <v>8</v>
      </c>
      <c r="B3" s="442"/>
      <c r="C3" s="442"/>
      <c r="D3" s="442"/>
      <c r="E3" s="168"/>
      <c r="F3" s="168"/>
      <c r="G3" s="168"/>
      <c r="H3" s="168"/>
      <c r="I3" s="168"/>
      <c r="J3" s="168"/>
      <c r="K3" s="168"/>
      <c r="L3" s="168"/>
      <c r="M3" s="168"/>
      <c r="N3" s="168"/>
    </row>
    <row r="4" spans="1:25" ht="26.25" x14ac:dyDescent="0.25">
      <c r="A4" s="234"/>
      <c r="B4" s="235"/>
      <c r="C4" s="235"/>
      <c r="D4" s="236"/>
      <c r="E4" s="237" t="s">
        <v>9</v>
      </c>
      <c r="F4" s="235"/>
      <c r="G4" s="238"/>
      <c r="H4" s="238"/>
      <c r="I4" s="238"/>
      <c r="J4" s="238"/>
      <c r="K4" s="238"/>
      <c r="L4" s="238"/>
      <c r="M4" s="238"/>
      <c r="N4" s="238"/>
    </row>
    <row r="5" spans="1:25" ht="20.100000000000001" customHeight="1" x14ac:dyDescent="0.25">
      <c r="B5" s="23"/>
      <c r="C5" s="86" t="s">
        <v>10</v>
      </c>
      <c r="D5" s="160" t="s">
        <v>35</v>
      </c>
      <c r="E5" s="24"/>
      <c r="F5" s="86" t="s">
        <v>12</v>
      </c>
      <c r="G5" s="24" t="str">
        <f>IFERROR(CONCATENATE(VLOOKUP(D5,TableCourses[],2,FALSE)," ",VLOOKUP(D5,TableCourses[],3,FALSE)),"")</f>
        <v>B-EDEC v.3</v>
      </c>
      <c r="H5" s="24"/>
      <c r="I5" s="24"/>
      <c r="J5" s="24"/>
      <c r="K5" s="24"/>
      <c r="L5" s="24"/>
      <c r="M5" s="24"/>
      <c r="N5" s="251" t="e">
        <f>CONCATENATE(VLOOKUP(D5,TableCourses[],2,FALSE),VLOOKUP(D6,TableStudyPeriods[],2,FALSE))</f>
        <v>#N/A</v>
      </c>
    </row>
    <row r="6" spans="1:25" ht="20.100000000000001" customHeight="1" x14ac:dyDescent="0.25">
      <c r="A6" s="25"/>
      <c r="B6" s="26"/>
      <c r="C6" s="86" t="s">
        <v>13</v>
      </c>
      <c r="D6" s="190" t="s">
        <v>136</v>
      </c>
      <c r="E6" s="27"/>
      <c r="F6" s="86" t="s">
        <v>15</v>
      </c>
      <c r="G6" s="24" t="str">
        <f>IFERROR(VLOOKUP($D$5,TableCourses[],7,FALSE),"")</f>
        <v xml:space="preserve">800 credit points required </v>
      </c>
      <c r="H6" s="182"/>
      <c r="I6" s="182"/>
      <c r="J6" s="182"/>
      <c r="K6" s="182"/>
      <c r="L6" s="182"/>
      <c r="M6" s="182"/>
      <c r="N6" s="217"/>
      <c r="X6" s="28"/>
      <c r="Y6" s="28"/>
    </row>
    <row r="7" spans="1:25" s="31" customFormat="1" ht="14.1" customHeight="1" x14ac:dyDescent="0.25">
      <c r="A7" s="105"/>
      <c r="B7" s="105"/>
      <c r="C7" s="105"/>
      <c r="D7" s="106"/>
      <c r="E7" s="107"/>
      <c r="F7" s="105"/>
      <c r="G7" s="105"/>
      <c r="H7" s="167" t="s">
        <v>16</v>
      </c>
      <c r="I7" s="108"/>
      <c r="J7" s="108"/>
      <c r="K7" s="108"/>
      <c r="L7" s="108"/>
      <c r="M7" s="109"/>
      <c r="N7" s="107"/>
      <c r="O7" s="183"/>
      <c r="P7" s="183"/>
      <c r="Q7" s="183"/>
      <c r="X7" s="30"/>
      <c r="Y7" s="30"/>
    </row>
    <row r="8" spans="1:25" s="31" customFormat="1" ht="21" x14ac:dyDescent="0.25">
      <c r="A8" s="105" t="s">
        <v>17</v>
      </c>
      <c r="B8" s="105"/>
      <c r="C8" s="105"/>
      <c r="D8" s="252" t="s">
        <v>3</v>
      </c>
      <c r="E8" s="111" t="s">
        <v>18</v>
      </c>
      <c r="F8" s="105" t="s">
        <v>19</v>
      </c>
      <c r="G8" s="105" t="s">
        <v>20</v>
      </c>
      <c r="H8" s="113" t="s">
        <v>21</v>
      </c>
      <c r="I8" s="111" t="s">
        <v>22</v>
      </c>
      <c r="J8" s="227" t="s">
        <v>23</v>
      </c>
      <c r="K8" s="111" t="s">
        <v>24</v>
      </c>
      <c r="L8" s="111" t="s">
        <v>25</v>
      </c>
      <c r="M8" s="114" t="s">
        <v>26</v>
      </c>
      <c r="N8" s="105" t="s">
        <v>27</v>
      </c>
      <c r="O8" s="183"/>
      <c r="P8" s="183"/>
      <c r="Q8" s="183"/>
      <c r="X8" s="30"/>
      <c r="Y8" s="30"/>
    </row>
    <row r="9" spans="1:25" s="34" customFormat="1" ht="19.5" customHeight="1" x14ac:dyDescent="0.15">
      <c r="A9" s="67" t="str">
        <f>IFERROR(IF(HLOOKUP($N$5,RangeUnitsets,O9,FALSE)=0,"",HLOOKUP($N$5,RangeUnitsets,O9,FALSE)),"")</f>
        <v/>
      </c>
      <c r="B9" s="63" t="str">
        <f>IFERROR(IF(VLOOKUP($A9,TableHandbook[],B$2,FALSE)=0,"",VLOOKUP($A9,TableHandbook[],B$2,FALSE)),"")</f>
        <v/>
      </c>
      <c r="C9" s="63" t="str">
        <f>IFERROR(IF(VLOOKUP($A9,TableHandbook[],C$2,FALSE)=0,"",VLOOKUP($A9,TableHandbook[],C$2,FALSE)),"")</f>
        <v/>
      </c>
      <c r="D9" s="253" t="str">
        <f>IFERROR(IF(VLOOKUP($A9,TableHandbook[],D$2,FALSE)=0,"",VLOOKUP($A9,TableHandbook[],D$2,FALSE)),"")</f>
        <v/>
      </c>
      <c r="E9" s="63" t="str">
        <f>IF(OR(A9="",A9="--"),"",VLOOKUP($D$6,TableStudyPeriods[],2,FALSE))</f>
        <v/>
      </c>
      <c r="F9" s="62" t="str">
        <f>IFERROR(IF(VLOOKUP($A9,TableHandbook[],F$2,FALSE)=0,"",VLOOKUP($A9,TableHandbook[],F$2,FALSE)),"")</f>
        <v/>
      </c>
      <c r="G9" s="63" t="str">
        <f>IFERROR(IF(VLOOKUP($A9,TableHandbook[],G$2,FALSE)=0,"",VLOOKUP($A9,TableHandbook[],G$2,FALSE)),"")</f>
        <v/>
      </c>
      <c r="H9" s="71" t="str">
        <f>IFERROR(VLOOKUP($A9,TableHandbook[],H$2,FALSE),"")</f>
        <v/>
      </c>
      <c r="I9" s="63" t="str">
        <f>IFERROR(VLOOKUP($A9,TableHandbook[],I$2,FALSE),"")</f>
        <v/>
      </c>
      <c r="J9" s="228" t="str">
        <f>IFERROR(VLOOKUP($A9,TableHandbook[],J$2,FALSE),"")</f>
        <v/>
      </c>
      <c r="K9" s="63" t="str">
        <f>IFERROR(VLOOKUP($A9,TableHandbook[],K$2,FALSE),"")</f>
        <v/>
      </c>
      <c r="L9" s="63" t="str">
        <f>IFERROR(VLOOKUP($A9,TableHandbook[],L$2,FALSE),"")</f>
        <v/>
      </c>
      <c r="M9" s="72" t="str">
        <f>IFERROR(VLOOKUP($A9,TableHandbook[],M$2,FALSE),"")</f>
        <v/>
      </c>
      <c r="N9" s="69"/>
      <c r="O9" s="184">
        <v>2</v>
      </c>
      <c r="P9" s="185"/>
      <c r="Q9" s="185"/>
      <c r="X9" s="33"/>
      <c r="Y9" s="33"/>
    </row>
    <row r="10" spans="1:25" s="34" customFormat="1" ht="19.5" customHeight="1" x14ac:dyDescent="0.15">
      <c r="A10" s="67" t="str">
        <f>IFERROR(IF(HLOOKUP($N$5,RangeUnitsets,O10,FALSE)=0,"",HLOOKUP($N$5,RangeUnitsets,O10,FALSE)),"")</f>
        <v/>
      </c>
      <c r="B10" s="63" t="str">
        <f>IFERROR(IF(VLOOKUP($A10,TableHandbook[],B$2,FALSE)=0,"",VLOOKUP($A10,TableHandbook[],B$2,FALSE)),"")</f>
        <v/>
      </c>
      <c r="C10" s="63" t="str">
        <f>IFERROR(IF(VLOOKUP($A10,TableHandbook[],C$2,FALSE)=0,"",VLOOKUP($A10,TableHandbook[],C$2,FALSE)),"")</f>
        <v/>
      </c>
      <c r="D10" s="253" t="str">
        <f>IFERROR(IF(VLOOKUP($A10,TableHandbook[],D$2,FALSE)=0,"",VLOOKUP($A10,TableHandbook[],D$2,FALSE)),"")</f>
        <v/>
      </c>
      <c r="E10" s="63" t="str">
        <f>IF(A10="","",E9)</f>
        <v/>
      </c>
      <c r="F10" s="62" t="str">
        <f>IFERROR(IF(VLOOKUP($A10,TableHandbook[],F$2,FALSE)=0,"",VLOOKUP($A10,TableHandbook[],F$2,FALSE)),"")</f>
        <v/>
      </c>
      <c r="G10" s="63" t="str">
        <f>IFERROR(IF(VLOOKUP($A10,TableHandbook[],G$2,FALSE)=0,"",VLOOKUP($A10,TableHandbook[],G$2,FALSE)),"")</f>
        <v/>
      </c>
      <c r="H10" s="71" t="str">
        <f>IFERROR(VLOOKUP($A10,TableHandbook[],H$2,FALSE),"")</f>
        <v/>
      </c>
      <c r="I10" s="63" t="str">
        <f>IFERROR(VLOOKUP($A10,TableHandbook[],I$2,FALSE),"")</f>
        <v/>
      </c>
      <c r="J10" s="228" t="str">
        <f>IFERROR(VLOOKUP($A10,TableHandbook[],J$2,FALSE),"")</f>
        <v/>
      </c>
      <c r="K10" s="63" t="str">
        <f>IFERROR(VLOOKUP($A10,TableHandbook[],K$2,FALSE),"")</f>
        <v/>
      </c>
      <c r="L10" s="63" t="str">
        <f>IFERROR(VLOOKUP($A10,TableHandbook[],L$2,FALSE),"")</f>
        <v/>
      </c>
      <c r="M10" s="72" t="str">
        <f>IFERROR(VLOOKUP($A10,TableHandbook[],M$2,FALSE),"")</f>
        <v/>
      </c>
      <c r="N10" s="69"/>
      <c r="O10" s="184">
        <v>3</v>
      </c>
      <c r="P10" s="185"/>
      <c r="Q10" s="185"/>
      <c r="X10" s="33"/>
      <c r="Y10" s="33"/>
    </row>
    <row r="11" spans="1:25" s="34" customFormat="1" ht="19.5" customHeight="1" x14ac:dyDescent="0.15">
      <c r="A11" s="164" t="str">
        <f>IFERROR(IF(HLOOKUP($N$5,RangeUnitsets,O11,FALSE)=0,"",HLOOKUP($N$5,RangeUnitsets,O11,FALSE)),"")</f>
        <v/>
      </c>
      <c r="B11" s="63" t="str">
        <f>IFERROR(IF(VLOOKUP($A11,TableHandbook[],B$2,FALSE)=0,"",VLOOKUP($A11,TableHandbook[],B$2,FALSE)),"")</f>
        <v/>
      </c>
      <c r="C11" s="63" t="str">
        <f>IFERROR(IF(VLOOKUP($A11,TableHandbook[],C$2,FALSE)=0,"",VLOOKUP($A11,TableHandbook[],C$2,FALSE)),"")</f>
        <v/>
      </c>
      <c r="D11" s="253" t="str">
        <f>IFERROR(IF(VLOOKUP($A11,TableHandbook[],D$2,FALSE)=0,"",VLOOKUP($A11,TableHandbook[],D$2,FALSE)),"")</f>
        <v/>
      </c>
      <c r="E11" s="63" t="str">
        <f>IF(A11="","",E10)</f>
        <v/>
      </c>
      <c r="F11" s="62" t="str">
        <f>IFERROR(IF(VLOOKUP($A11,TableHandbook[],F$2,FALSE)=0,"",VLOOKUP($A11,TableHandbook[],F$2,FALSE)),"")</f>
        <v/>
      </c>
      <c r="G11" s="63" t="str">
        <f>IFERROR(IF(VLOOKUP($A11,TableHandbook[],G$2,FALSE)=0,"",VLOOKUP($A11,TableHandbook[],G$2,FALSE)),"")</f>
        <v/>
      </c>
      <c r="H11" s="71" t="str">
        <f>IFERROR(VLOOKUP($A11,TableHandbook[],H$2,FALSE),"")</f>
        <v/>
      </c>
      <c r="I11" s="63" t="str">
        <f>IFERROR(VLOOKUP($A11,TableHandbook[],I$2,FALSE),"")</f>
        <v/>
      </c>
      <c r="J11" s="228" t="str">
        <f>IFERROR(VLOOKUP($A11,TableHandbook[],J$2,FALSE),"")</f>
        <v/>
      </c>
      <c r="K11" s="63" t="str">
        <f>IFERROR(VLOOKUP($A11,TableHandbook[],K$2,FALSE),"")</f>
        <v/>
      </c>
      <c r="L11" s="63" t="str">
        <f>IFERROR(VLOOKUP($A11,TableHandbook[],L$2,FALSE),"")</f>
        <v/>
      </c>
      <c r="M11" s="72" t="str">
        <f>IFERROR(VLOOKUP($A11,TableHandbook[],M$2,FALSE),"")</f>
        <v/>
      </c>
      <c r="N11" s="70"/>
      <c r="O11" s="184">
        <v>4</v>
      </c>
      <c r="P11" s="185"/>
      <c r="Q11" s="185"/>
      <c r="X11" s="33"/>
      <c r="Y11" s="33"/>
    </row>
    <row r="12" spans="1:25" s="34" customFormat="1" ht="19.5" customHeight="1" x14ac:dyDescent="0.15">
      <c r="A12" s="67" t="str">
        <f>IFERROR(IF(HLOOKUP($N$5,RangeUnitsets,O12,FALSE)=0,"",HLOOKUP($N$5,RangeUnitsets,O12,FALSE)),"")</f>
        <v/>
      </c>
      <c r="B12" s="63" t="str">
        <f>IFERROR(IF(VLOOKUP($A12,TableHandbook[],B$2,FALSE)=0,"",VLOOKUP($A12,TableHandbook[],B$2,FALSE)),"")</f>
        <v/>
      </c>
      <c r="C12" s="63" t="str">
        <f>IFERROR(IF(VLOOKUP($A12,TableHandbook[],C$2,FALSE)=0,"",VLOOKUP($A12,TableHandbook[],C$2,FALSE)),"")</f>
        <v/>
      </c>
      <c r="D12" s="253"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1" t="str">
        <f>IFERROR(VLOOKUP($A12,TableHandbook[],H$2,FALSE),"")</f>
        <v/>
      </c>
      <c r="I12" s="63" t="str">
        <f>IFERROR(VLOOKUP($A12,TableHandbook[],I$2,FALSE),"")</f>
        <v/>
      </c>
      <c r="J12" s="228" t="str">
        <f>IFERROR(VLOOKUP($A12,TableHandbook[],J$2,FALSE),"")</f>
        <v/>
      </c>
      <c r="K12" s="63" t="str">
        <f>IFERROR(VLOOKUP($A12,TableHandbook[],K$2,FALSE),"")</f>
        <v/>
      </c>
      <c r="L12" s="63" t="str">
        <f>IFERROR(VLOOKUP($A12,TableHandbook[],L$2,FALSE),"")</f>
        <v/>
      </c>
      <c r="M12" s="72" t="str">
        <f>IFERROR(VLOOKUP($A12,TableHandbook[],M$2,FALSE),"")</f>
        <v/>
      </c>
      <c r="N12" s="69"/>
      <c r="O12" s="184">
        <v>5</v>
      </c>
      <c r="P12" s="185"/>
      <c r="Q12" s="185"/>
      <c r="X12" s="33"/>
      <c r="Y12" s="33"/>
    </row>
    <row r="13" spans="1:25" s="34" customFormat="1" ht="5.0999999999999996" customHeight="1" x14ac:dyDescent="0.15">
      <c r="A13" s="241"/>
      <c r="B13" s="242"/>
      <c r="C13" s="242"/>
      <c r="D13" s="256"/>
      <c r="E13" s="242"/>
      <c r="F13" s="244"/>
      <c r="G13" s="242"/>
      <c r="H13" s="245"/>
      <c r="I13" s="242"/>
      <c r="J13" s="246"/>
      <c r="K13" s="242"/>
      <c r="L13" s="242"/>
      <c r="M13" s="247"/>
      <c r="N13" s="247"/>
      <c r="O13" s="186"/>
      <c r="P13" s="185"/>
      <c r="Q13" s="185"/>
      <c r="R13" s="185"/>
      <c r="X13" s="33"/>
      <c r="Y13" s="33"/>
    </row>
    <row r="14" spans="1:25" s="34" customFormat="1" ht="19.5" customHeight="1" x14ac:dyDescent="0.15">
      <c r="A14" s="67" t="str">
        <f>IFERROR(IF(HLOOKUP($N$5,RangeUnitsets,O14,FALSE)=0,"",HLOOKUP($N$5,RangeUnitsets,O14,FALSE)),"")</f>
        <v/>
      </c>
      <c r="B14" s="65" t="str">
        <f>IFERROR(IF(VLOOKUP($A14,TableHandbook[],B$2,FALSE)=0,"",VLOOKUP($A14,TableHandbook[],B$2,FALSE)),"")</f>
        <v/>
      </c>
      <c r="C14" s="65" t="str">
        <f>IFERROR(IF(VLOOKUP($A14,TableHandbook[],C$2,FALSE)=0,"",VLOOKUP($A14,TableHandbook[],C$2,FALSE)),"")</f>
        <v/>
      </c>
      <c r="D14" s="253" t="str">
        <f>IFERROR(IF(VLOOKUP($A14,TableHandbook[],D$2,FALSE)=0,"",VLOOKUP($A14,TableHandbook[],D$2,FALSE)),"")</f>
        <v/>
      </c>
      <c r="E14" s="63" t="str">
        <f>IF(OR(A14="",A14="--"),"",VLOOKUP($D$6,TableStudyPeriods[],3,FALSE))</f>
        <v/>
      </c>
      <c r="F14" s="62" t="str">
        <f>IFERROR(IF(VLOOKUP($A14,TableHandbook[],F$2,FALSE)=0,"",VLOOKUP($A14,TableHandbook[],F$2,FALSE)),"")</f>
        <v/>
      </c>
      <c r="G14" s="65" t="str">
        <f>IFERROR(IF(VLOOKUP($A14,TableHandbook[],G$2,FALSE)=0,"",VLOOKUP($A14,TableHandbook[],G$2,FALSE)),"")</f>
        <v/>
      </c>
      <c r="H14" s="73" t="str">
        <f>IFERROR(VLOOKUP($A14,TableHandbook[],H$2,FALSE),"")</f>
        <v/>
      </c>
      <c r="I14" s="65" t="str">
        <f>IFERROR(VLOOKUP($A14,TableHandbook[],I$2,FALSE),"")</f>
        <v/>
      </c>
      <c r="J14" s="229" t="str">
        <f>IFERROR(VLOOKUP($A14,TableHandbook[],J$2,FALSE),"")</f>
        <v/>
      </c>
      <c r="K14" s="65" t="str">
        <f>IFERROR(VLOOKUP($A14,TableHandbook[],K$2,FALSE),"")</f>
        <v/>
      </c>
      <c r="L14" s="65" t="str">
        <f>IFERROR(VLOOKUP($A14,TableHandbook[],L$2,FALSE),"")</f>
        <v/>
      </c>
      <c r="M14" s="74" t="str">
        <f>IFERROR(VLOOKUP($A14,TableHandbook[],M$2,FALSE),"")</f>
        <v/>
      </c>
      <c r="N14" s="70"/>
      <c r="O14" s="184">
        <v>6</v>
      </c>
      <c r="P14" s="185"/>
      <c r="Q14" s="185"/>
      <c r="X14" s="33"/>
      <c r="Y14" s="33"/>
    </row>
    <row r="15" spans="1:25" s="38" customFormat="1" ht="19.5" customHeight="1" x14ac:dyDescent="0.15">
      <c r="A15" s="67" t="str">
        <f>IFERROR(IF(HLOOKUP($N$5,RangeUnitsets,O15,FALSE)=0,"",HLOOKUP($N$5,RangeUnitsets,O15,FALSE)),"")</f>
        <v/>
      </c>
      <c r="B15" s="65" t="str">
        <f>IFERROR(IF(VLOOKUP($A15,TableHandbook[],B$2,FALSE)=0,"",VLOOKUP($A15,TableHandbook[],B$2,FALSE)),"")</f>
        <v/>
      </c>
      <c r="C15" s="65" t="str">
        <f>IFERROR(IF(VLOOKUP($A15,TableHandbook[],C$2,FALSE)=0,"",VLOOKUP($A15,TableHandbook[],C$2,FALSE)),"")</f>
        <v/>
      </c>
      <c r="D15" s="253" t="str">
        <f>IFERROR(IF(VLOOKUP($A15,TableHandbook[],D$2,FALSE)=0,"",VLOOKUP($A15,TableHandbook[],D$2,FALSE)),"")</f>
        <v/>
      </c>
      <c r="E15" s="63" t="str">
        <f>IF(A15="","",E14)</f>
        <v/>
      </c>
      <c r="F15" s="62" t="str">
        <f>IFERROR(IF(VLOOKUP($A15,TableHandbook[],F$2,FALSE)=0,"",VLOOKUP($A15,TableHandbook[],F$2,FALSE)),"")</f>
        <v/>
      </c>
      <c r="G15" s="65" t="str">
        <f>IFERROR(IF(VLOOKUP($A15,TableHandbook[],G$2,FALSE)=0,"",VLOOKUP($A15,TableHandbook[],G$2,FALSE)),"")</f>
        <v/>
      </c>
      <c r="H15" s="73" t="str">
        <f>IFERROR(VLOOKUP($A15,TableHandbook[],H$2,FALSE),"")</f>
        <v/>
      </c>
      <c r="I15" s="65" t="str">
        <f>IFERROR(VLOOKUP($A15,TableHandbook[],I$2,FALSE),"")</f>
        <v/>
      </c>
      <c r="J15" s="229" t="str">
        <f>IFERROR(VLOOKUP($A15,TableHandbook[],J$2,FALSE),"")</f>
        <v/>
      </c>
      <c r="K15" s="65" t="str">
        <f>IFERROR(VLOOKUP($A15,TableHandbook[],K$2,FALSE),"")</f>
        <v/>
      </c>
      <c r="L15" s="65" t="str">
        <f>IFERROR(VLOOKUP($A15,TableHandbook[],L$2,FALSE),"")</f>
        <v/>
      </c>
      <c r="M15" s="74" t="str">
        <f>IFERROR(VLOOKUP($A15,TableHandbook[],M$2,FALSE),"")</f>
        <v/>
      </c>
      <c r="N15" s="70"/>
      <c r="O15" s="184">
        <v>7</v>
      </c>
      <c r="P15" s="187"/>
      <c r="Q15" s="187"/>
      <c r="X15" s="37"/>
      <c r="Y15" s="37"/>
    </row>
    <row r="16" spans="1:25" s="38" customFormat="1" ht="19.5" customHeight="1" x14ac:dyDescent="0.15">
      <c r="A16" s="67" t="str">
        <f>IFERROR(IF(HLOOKUP($N$5,RangeUnitsets,O16,FALSE)=0,"",HLOOKUP($N$5,RangeUnitsets,O16,FALSE)),"")</f>
        <v/>
      </c>
      <c r="B16" s="65" t="str">
        <f>IFERROR(IF(VLOOKUP($A16,TableHandbook[],B$2,FALSE)=0,"",VLOOKUP($A16,TableHandbook[],B$2,FALSE)),"")</f>
        <v/>
      </c>
      <c r="C16" s="65" t="str">
        <f>IFERROR(IF(VLOOKUP($A16,TableHandbook[],C$2,FALSE)=0,"",VLOOKUP($A16,TableHandbook[],C$2,FALSE)),"")</f>
        <v/>
      </c>
      <c r="D16" s="253" t="str">
        <f>IFERROR(IF(VLOOKUP($A16,TableHandbook[],D$2,FALSE)=0,"",VLOOKUP($A16,TableHandbook[],D$2,FALSE)),"")</f>
        <v/>
      </c>
      <c r="E16" s="63" t="str">
        <f>IF(A16="","",E15)</f>
        <v/>
      </c>
      <c r="F16" s="62" t="str">
        <f>IFERROR(IF(VLOOKUP($A16,TableHandbook[],F$2,FALSE)=0,"",VLOOKUP($A16,TableHandbook[],F$2,FALSE)),"")</f>
        <v/>
      </c>
      <c r="G16" s="65" t="str">
        <f>IFERROR(IF(VLOOKUP($A16,TableHandbook[],G$2,FALSE)=0,"",VLOOKUP($A16,TableHandbook[],G$2,FALSE)),"")</f>
        <v/>
      </c>
      <c r="H16" s="73" t="str">
        <f>IFERROR(VLOOKUP($A16,TableHandbook[],H$2,FALSE),"")</f>
        <v/>
      </c>
      <c r="I16" s="65" t="str">
        <f>IFERROR(VLOOKUP($A16,TableHandbook[],I$2,FALSE),"")</f>
        <v/>
      </c>
      <c r="J16" s="229" t="str">
        <f>IFERROR(VLOOKUP($A16,TableHandbook[],J$2,FALSE),"")</f>
        <v/>
      </c>
      <c r="K16" s="65" t="str">
        <f>IFERROR(VLOOKUP($A16,TableHandbook[],K$2,FALSE),"")</f>
        <v/>
      </c>
      <c r="L16" s="65" t="str">
        <f>IFERROR(VLOOKUP($A16,TableHandbook[],L$2,FALSE),"")</f>
        <v/>
      </c>
      <c r="M16" s="74" t="str">
        <f>IFERROR(VLOOKUP($A16,TableHandbook[],M$2,FALSE),"")</f>
        <v/>
      </c>
      <c r="N16" s="70"/>
      <c r="O16" s="184">
        <v>8</v>
      </c>
      <c r="P16" s="187"/>
      <c r="Q16" s="187"/>
      <c r="X16" s="37"/>
      <c r="Y16" s="37"/>
    </row>
    <row r="17" spans="1:25" s="38" customFormat="1" ht="19.5" customHeight="1" x14ac:dyDescent="0.15">
      <c r="A17" s="67" t="str">
        <f>IFERROR(IF(HLOOKUP($N$5,RangeUnitsets,O17,FALSE)=0,"",HLOOKUP($N$5,RangeUnitsets,O17,FALSE)),"")</f>
        <v/>
      </c>
      <c r="B17" s="65" t="str">
        <f>IFERROR(IF(VLOOKUP($A17,TableHandbook[],B$2,FALSE)=0,"",VLOOKUP($A17,TableHandbook[],B$2,FALSE)),"")</f>
        <v/>
      </c>
      <c r="C17" s="65" t="str">
        <f>IFERROR(IF(VLOOKUP($A17,TableHandbook[],C$2,FALSE)=0,"",VLOOKUP($A17,TableHandbook[],C$2,FALSE)),"")</f>
        <v/>
      </c>
      <c r="D17" s="254" t="str">
        <f>IFERROR(IF(VLOOKUP($A17,TableHandbook[],D$2,FALSE)=0,"",VLOOKUP($A17,TableHandbook[],D$2,FALSE)),"")</f>
        <v/>
      </c>
      <c r="E17" s="65" t="str">
        <f>IF(A17="","",E16)</f>
        <v/>
      </c>
      <c r="F17" s="62" t="str">
        <f>IFERROR(IF(VLOOKUP($A17,TableHandbook[],F$2,FALSE)=0,"",VLOOKUP($A17,TableHandbook[],F$2,FALSE)),"")</f>
        <v/>
      </c>
      <c r="G17" s="65" t="str">
        <f>IFERROR(IF(VLOOKUP($A17,TableHandbook[],G$2,FALSE)=0,"",VLOOKUP($A17,TableHandbook[],G$2,FALSE)),"")</f>
        <v/>
      </c>
      <c r="H17" s="73" t="str">
        <f>IFERROR(VLOOKUP($A17,TableHandbook[],H$2,FALSE),"")</f>
        <v/>
      </c>
      <c r="I17" s="65" t="str">
        <f>IFERROR(VLOOKUP($A17,TableHandbook[],I$2,FALSE),"")</f>
        <v/>
      </c>
      <c r="J17" s="229" t="str">
        <f>IFERROR(VLOOKUP($A17,TableHandbook[],J$2,FALSE),"")</f>
        <v/>
      </c>
      <c r="K17" s="65" t="str">
        <f>IFERROR(VLOOKUP($A17,TableHandbook[],K$2,FALSE),"")</f>
        <v/>
      </c>
      <c r="L17" s="65" t="str">
        <f>IFERROR(VLOOKUP($A17,TableHandbook[],L$2,FALSE),"")</f>
        <v/>
      </c>
      <c r="M17" s="74" t="str">
        <f>IFERROR(VLOOKUP($A17,TableHandbook[],M$2,FALSE),"")</f>
        <v/>
      </c>
      <c r="N17" s="70"/>
      <c r="O17" s="184">
        <v>9</v>
      </c>
      <c r="P17" s="187"/>
      <c r="Q17" s="187"/>
      <c r="X17" s="37"/>
      <c r="Y17" s="37"/>
    </row>
    <row r="18" spans="1:25" s="31" customFormat="1" ht="21" x14ac:dyDescent="0.25">
      <c r="A18" s="105" t="s">
        <v>28</v>
      </c>
      <c r="B18" s="105"/>
      <c r="C18" s="105"/>
      <c r="D18" s="252" t="s">
        <v>3</v>
      </c>
      <c r="E18" s="111" t="s">
        <v>18</v>
      </c>
      <c r="F18" s="105" t="s">
        <v>19</v>
      </c>
      <c r="G18" s="105" t="s">
        <v>20</v>
      </c>
      <c r="H18" s="113" t="str">
        <f>H$8</f>
        <v>Sem1 BEN</v>
      </c>
      <c r="I18" s="111" t="str">
        <f t="shared" ref="I18:N18" si="0">I$8</f>
        <v>Sem1 FO</v>
      </c>
      <c r="J18" s="227" t="str">
        <f t="shared" si="0"/>
        <v>Sem1 KAL</v>
      </c>
      <c r="K18" s="111" t="str">
        <f t="shared" si="0"/>
        <v>Sem2 BEN</v>
      </c>
      <c r="L18" s="111" t="str">
        <f t="shared" si="0"/>
        <v>Sem2 FO</v>
      </c>
      <c r="M18" s="114" t="str">
        <f t="shared" si="0"/>
        <v>Sem2 KAL</v>
      </c>
      <c r="N18" s="105" t="str">
        <f t="shared" si="0"/>
        <v>Notes / Progress</v>
      </c>
      <c r="O18" s="183"/>
      <c r="P18" s="183"/>
      <c r="Q18" s="183"/>
      <c r="X18" s="30"/>
      <c r="Y18" s="30"/>
    </row>
    <row r="19" spans="1:25" s="34" customFormat="1" ht="19.5" customHeight="1" x14ac:dyDescent="0.15">
      <c r="A19" s="164" t="str">
        <f>IFERROR(IF(HLOOKUP($N$5,RangeUnitsets,O19,FALSE)=0,"",HLOOKUP($N$5,RangeUnitsets,O19,FALSE)),"")</f>
        <v/>
      </c>
      <c r="B19" s="65" t="str">
        <f>IFERROR(IF(VLOOKUP($A19,TableHandbook[],B$2,FALSE)=0,"",VLOOKUP($A19,TableHandbook[],B$2,FALSE)),"")</f>
        <v/>
      </c>
      <c r="C19" s="65" t="str">
        <f>IFERROR(IF(VLOOKUP($A19,TableHandbook[],C$2,FALSE)=0,"",VLOOKUP($A19,TableHandbook[],C$2,FALSE)),"")</f>
        <v/>
      </c>
      <c r="D19" s="255" t="str">
        <f>IFERROR(IF(VLOOKUP($A19,TableHandbook[],D$2,FALSE)=0,"",VLOOKUP($A19,TableHandbook[],D$2,FALSE)),"")</f>
        <v/>
      </c>
      <c r="E19" s="65" t="str">
        <f>IF(OR(A19="",A19="--"),"",VLOOKUP($D$6,TableStudyPeriods[],2,FALSE))</f>
        <v/>
      </c>
      <c r="F19" s="62" t="str">
        <f>IFERROR(IF(VLOOKUP($A19,TableHandbook[],F$2,FALSE)=0,"",VLOOKUP($A19,TableHandbook[],F$2,FALSE)),"")</f>
        <v/>
      </c>
      <c r="G19" s="63" t="str">
        <f>IFERROR(IF(VLOOKUP($A19,TableHandbook[],G$2,FALSE)=0,"",VLOOKUP($A19,TableHandbook[],G$2,FALSE)),"")</f>
        <v/>
      </c>
      <c r="H19" s="71" t="str">
        <f>IFERROR(VLOOKUP($A19,TableHandbook[],H$2,FALSE),"")</f>
        <v/>
      </c>
      <c r="I19" s="63" t="str">
        <f>IFERROR(VLOOKUP($A19,TableHandbook[],I$2,FALSE),"")</f>
        <v/>
      </c>
      <c r="J19" s="228" t="str">
        <f>IFERROR(VLOOKUP($A19,TableHandbook[],J$2,FALSE),"")</f>
        <v/>
      </c>
      <c r="K19" s="63" t="str">
        <f>IFERROR(VLOOKUP($A19,TableHandbook[],K$2,FALSE),"")</f>
        <v/>
      </c>
      <c r="L19" s="63" t="str">
        <f>IFERROR(VLOOKUP($A19,TableHandbook[],L$2,FALSE),"")</f>
        <v/>
      </c>
      <c r="M19" s="72" t="str">
        <f>IFERROR(VLOOKUP($A19,TableHandbook[],M$2,FALSE),"")</f>
        <v/>
      </c>
      <c r="N19" s="69"/>
      <c r="O19" s="184">
        <v>10</v>
      </c>
      <c r="P19" s="185"/>
      <c r="Q19" s="185"/>
      <c r="X19" s="33"/>
      <c r="Y19" s="33"/>
    </row>
    <row r="20" spans="1:25" s="34" customFormat="1" ht="19.5" customHeight="1" x14ac:dyDescent="0.15">
      <c r="A20" s="67" t="str">
        <f>IFERROR(IF(HLOOKUP($N$5,RangeUnitsets,O20,FALSE)=0,"",HLOOKUP($N$5,RangeUnitsets,O20,FALSE)),"")</f>
        <v/>
      </c>
      <c r="B20" s="65" t="str">
        <f>IFERROR(IF(VLOOKUP($A20,TableHandbook[],B$2,FALSE)=0,"",VLOOKUP($A20,TableHandbook[],B$2,FALSE)),"")</f>
        <v/>
      </c>
      <c r="C20" s="65" t="str">
        <f>IFERROR(IF(VLOOKUP($A20,TableHandbook[],C$2,FALSE)=0,"",VLOOKUP($A20,TableHandbook[],C$2,FALSE)),"")</f>
        <v/>
      </c>
      <c r="D20" s="254" t="str">
        <f>IFERROR(IF(VLOOKUP($A20,TableHandbook[],D$2,FALSE)=0,"",VLOOKUP($A20,TableHandbook[],D$2,FALSE)),"")</f>
        <v/>
      </c>
      <c r="E20" s="65" t="str">
        <f>IF(A20="","",E19)</f>
        <v/>
      </c>
      <c r="F20" s="62" t="str">
        <f>IFERROR(IF(VLOOKUP($A20,TableHandbook[],F$2,FALSE)=0,"",VLOOKUP($A20,TableHandbook[],F$2,FALSE)),"")</f>
        <v/>
      </c>
      <c r="G20" s="63" t="str">
        <f>IFERROR(IF(VLOOKUP($A20,TableHandbook[],G$2,FALSE)=0,"",VLOOKUP($A20,TableHandbook[],G$2,FALSE)),"")</f>
        <v/>
      </c>
      <c r="H20" s="71" t="str">
        <f>IFERROR(VLOOKUP($A20,TableHandbook[],H$2,FALSE),"")</f>
        <v/>
      </c>
      <c r="I20" s="63" t="str">
        <f>IFERROR(VLOOKUP($A20,TableHandbook[],I$2,FALSE),"")</f>
        <v/>
      </c>
      <c r="J20" s="228" t="str">
        <f>IFERROR(VLOOKUP($A20,TableHandbook[],J$2,FALSE),"")</f>
        <v/>
      </c>
      <c r="K20" s="63" t="str">
        <f>IFERROR(VLOOKUP($A20,TableHandbook[],K$2,FALSE),"")</f>
        <v/>
      </c>
      <c r="L20" s="63" t="str">
        <f>IFERROR(VLOOKUP($A20,TableHandbook[],L$2,FALSE),"")</f>
        <v/>
      </c>
      <c r="M20" s="72" t="str">
        <f>IFERROR(VLOOKUP($A20,TableHandbook[],M$2,FALSE),"")</f>
        <v/>
      </c>
      <c r="N20" s="69"/>
      <c r="O20" s="184">
        <v>11</v>
      </c>
      <c r="P20" s="185"/>
      <c r="Q20" s="185"/>
      <c r="X20" s="33"/>
      <c r="Y20" s="33"/>
    </row>
    <row r="21" spans="1:25" s="34" customFormat="1" ht="19.5" customHeight="1" x14ac:dyDescent="0.15">
      <c r="A21" s="67" t="str">
        <f>IFERROR(IF(HLOOKUP($N$5,RangeUnitsets,O21,FALSE)=0,"",HLOOKUP($N$5,RangeUnitsets,O21,FALSE)),"")</f>
        <v/>
      </c>
      <c r="B21" s="65" t="str">
        <f>IFERROR(IF(VLOOKUP($A21,TableHandbook[],B$2,FALSE)=0,"",VLOOKUP($A21,TableHandbook[],B$2,FALSE)),"")</f>
        <v/>
      </c>
      <c r="C21" s="65" t="str">
        <f>IFERROR(IF(VLOOKUP($A21,TableHandbook[],C$2,FALSE)=0,"",VLOOKUP($A21,TableHandbook[],C$2,FALSE)),"")</f>
        <v/>
      </c>
      <c r="D21" s="254" t="str">
        <f>IFERROR(IF(VLOOKUP($A21,TableHandbook[],D$2,FALSE)=0,"",VLOOKUP($A21,TableHandbook[],D$2,FALSE)),"")</f>
        <v/>
      </c>
      <c r="E21" s="65" t="str">
        <f>IF(A21="","",E20)</f>
        <v/>
      </c>
      <c r="F21" s="62" t="str">
        <f>IFERROR(IF(VLOOKUP($A21,TableHandbook[],F$2,FALSE)=0,"",VLOOKUP($A21,TableHandbook[],F$2,FALSE)),"")</f>
        <v/>
      </c>
      <c r="G21" s="63" t="str">
        <f>IFERROR(IF(VLOOKUP($A21,TableHandbook[],G$2,FALSE)=0,"",VLOOKUP($A21,TableHandbook[],G$2,FALSE)),"")</f>
        <v/>
      </c>
      <c r="H21" s="71" t="str">
        <f>IFERROR(VLOOKUP($A21,TableHandbook[],H$2,FALSE),"")</f>
        <v/>
      </c>
      <c r="I21" s="63" t="str">
        <f>IFERROR(VLOOKUP($A21,TableHandbook[],I$2,FALSE),"")</f>
        <v/>
      </c>
      <c r="J21" s="228" t="str">
        <f>IFERROR(VLOOKUP($A21,TableHandbook[],J$2,FALSE),"")</f>
        <v/>
      </c>
      <c r="K21" s="63" t="str">
        <f>IFERROR(VLOOKUP($A21,TableHandbook[],K$2,FALSE),"")</f>
        <v/>
      </c>
      <c r="L21" s="63" t="str">
        <f>IFERROR(VLOOKUP($A21,TableHandbook[],L$2,FALSE),"")</f>
        <v/>
      </c>
      <c r="M21" s="72" t="str">
        <f>IFERROR(VLOOKUP($A21,TableHandbook[],M$2,FALSE),"")</f>
        <v/>
      </c>
      <c r="N21" s="69"/>
      <c r="O21" s="184">
        <v>12</v>
      </c>
      <c r="P21" s="185"/>
      <c r="Q21" s="185"/>
      <c r="X21" s="33"/>
      <c r="Y21" s="33"/>
    </row>
    <row r="22" spans="1:25" s="34" customFormat="1" ht="19.5" customHeight="1" x14ac:dyDescent="0.15">
      <c r="A22" s="67" t="str">
        <f>IFERROR(IF(HLOOKUP($N$5,RangeUnitsets,O22,FALSE)=0,"",HLOOKUP($N$5,RangeUnitsets,O22,FALSE)),"")</f>
        <v/>
      </c>
      <c r="B22" s="65" t="str">
        <f>IFERROR(IF(VLOOKUP($A22,TableHandbook[],B$2,FALSE)=0,"",VLOOKUP($A22,TableHandbook[],B$2,FALSE)),"")</f>
        <v/>
      </c>
      <c r="C22" s="65" t="str">
        <f>IFERROR(IF(VLOOKUP($A22,TableHandbook[],C$2,FALSE)=0,"",VLOOKUP($A22,TableHandbook[],C$2,FALSE)),"")</f>
        <v/>
      </c>
      <c r="D22" s="254" t="str">
        <f>IFERROR(IF(VLOOKUP($A22,TableHandbook[],D$2,FALSE)=0,"",VLOOKUP($A22,TableHandbook[],D$2,FALSE)),"")</f>
        <v/>
      </c>
      <c r="E22" s="65" t="str">
        <f>IF(A22="","",E21)</f>
        <v/>
      </c>
      <c r="F22" s="62" t="str">
        <f>IFERROR(IF(VLOOKUP($A22,TableHandbook[],F$2,FALSE)=0,"",VLOOKUP($A22,TableHandbook[],F$2,FALSE)),"")</f>
        <v/>
      </c>
      <c r="G22" s="63" t="str">
        <f>IFERROR(IF(VLOOKUP($A22,TableHandbook[],G$2,FALSE)=0,"",VLOOKUP($A22,TableHandbook[],G$2,FALSE)),"")</f>
        <v/>
      </c>
      <c r="H22" s="71" t="str">
        <f>IFERROR(VLOOKUP($A22,TableHandbook[],H$2,FALSE),"")</f>
        <v/>
      </c>
      <c r="I22" s="63" t="str">
        <f>IFERROR(VLOOKUP($A22,TableHandbook[],I$2,FALSE),"")</f>
        <v/>
      </c>
      <c r="J22" s="228" t="str">
        <f>IFERROR(VLOOKUP($A22,TableHandbook[],J$2,FALSE),"")</f>
        <v/>
      </c>
      <c r="K22" s="63" t="str">
        <f>IFERROR(VLOOKUP($A22,TableHandbook[],K$2,FALSE),"")</f>
        <v/>
      </c>
      <c r="L22" s="63" t="str">
        <f>IFERROR(VLOOKUP($A22,TableHandbook[],L$2,FALSE),"")</f>
        <v/>
      </c>
      <c r="M22" s="72" t="str">
        <f>IFERROR(VLOOKUP($A22,TableHandbook[],M$2,FALSE),"")</f>
        <v/>
      </c>
      <c r="N22" s="69"/>
      <c r="O22" s="184">
        <v>13</v>
      </c>
      <c r="P22" s="185"/>
      <c r="Q22" s="185"/>
      <c r="X22" s="33"/>
      <c r="Y22" s="33"/>
    </row>
    <row r="23" spans="1:25" s="34" customFormat="1" ht="5.0999999999999996" customHeight="1" x14ac:dyDescent="0.15">
      <c r="A23" s="241"/>
      <c r="B23" s="242"/>
      <c r="C23" s="242"/>
      <c r="D23" s="256"/>
      <c r="E23" s="242"/>
      <c r="F23" s="244"/>
      <c r="G23" s="242"/>
      <c r="H23" s="245"/>
      <c r="I23" s="242"/>
      <c r="J23" s="246"/>
      <c r="K23" s="242"/>
      <c r="L23" s="242"/>
      <c r="M23" s="247"/>
      <c r="N23" s="247"/>
      <c r="O23" s="186"/>
      <c r="P23" s="185"/>
      <c r="Q23" s="185"/>
      <c r="R23" s="185"/>
      <c r="X23" s="33"/>
      <c r="Y23" s="33"/>
    </row>
    <row r="24" spans="1:25" s="34" customFormat="1" ht="19.5" customHeight="1" x14ac:dyDescent="0.15">
      <c r="A24" s="67" t="str">
        <f>IFERROR(IF(HLOOKUP($N$5,RangeUnitsets,O24,FALSE)=0,"",HLOOKUP($N$5,RangeUnitsets,O24,FALSE)),"")</f>
        <v/>
      </c>
      <c r="B24" s="65" t="str">
        <f>IFERROR(IF(VLOOKUP($A24,TableHandbook[],B$2,FALSE)=0,"",VLOOKUP($A24,TableHandbook[],B$2,FALSE)),"")</f>
        <v/>
      </c>
      <c r="C24" s="65" t="str">
        <f>IFERROR(IF(VLOOKUP($A24,TableHandbook[],C$2,FALSE)=0,"",VLOOKUP($A24,TableHandbook[],C$2,FALSE)),"")</f>
        <v/>
      </c>
      <c r="D24" s="254" t="str">
        <f>IFERROR(IF(VLOOKUP($A24,TableHandbook[],D$2,FALSE)=0,"",VLOOKUP($A24,TableHandbook[],D$2,FALSE)),"")</f>
        <v/>
      </c>
      <c r="E24" s="65" t="str">
        <f>IF(OR(A24="",A24="--"),"",VLOOKUP($D$6,TableStudyPeriods[],3,FALSE))</f>
        <v/>
      </c>
      <c r="F24" s="62" t="str">
        <f>IFERROR(IF(VLOOKUP($A24,TableHandbook[],F$2,FALSE)=0,"",VLOOKUP($A24,TableHandbook[],F$2,FALSE)),"")</f>
        <v/>
      </c>
      <c r="G24" s="63" t="str">
        <f>IFERROR(IF(VLOOKUP($A24,TableHandbook[],G$2,FALSE)=0,"",VLOOKUP($A24,TableHandbook[],G$2,FALSE)),"")</f>
        <v/>
      </c>
      <c r="H24" s="71" t="str">
        <f>IFERROR(VLOOKUP($A24,TableHandbook[],H$2,FALSE),"")</f>
        <v/>
      </c>
      <c r="I24" s="63" t="str">
        <f>IFERROR(VLOOKUP($A24,TableHandbook[],I$2,FALSE),"")</f>
        <v/>
      </c>
      <c r="J24" s="228" t="str">
        <f>IFERROR(VLOOKUP($A24,TableHandbook[],J$2,FALSE),"")</f>
        <v/>
      </c>
      <c r="K24" s="63" t="str">
        <f>IFERROR(VLOOKUP($A24,TableHandbook[],K$2,FALSE),"")</f>
        <v/>
      </c>
      <c r="L24" s="63" t="str">
        <f>IFERROR(VLOOKUP($A24,TableHandbook[],L$2,FALSE),"")</f>
        <v/>
      </c>
      <c r="M24" s="72" t="str">
        <f>IFERROR(VLOOKUP($A24,TableHandbook[],M$2,FALSE),"")</f>
        <v/>
      </c>
      <c r="N24" s="69"/>
      <c r="O24" s="184">
        <v>14</v>
      </c>
      <c r="P24" s="185"/>
      <c r="Q24" s="185"/>
      <c r="X24" s="33"/>
      <c r="Y24" s="33"/>
    </row>
    <row r="25" spans="1:25" s="34" customFormat="1" ht="19.5" customHeight="1" x14ac:dyDescent="0.15">
      <c r="A25" s="67" t="str">
        <f>IFERROR(IF(HLOOKUP($N$5,RangeUnitsets,O25,FALSE)=0,"",HLOOKUP($N$5,RangeUnitsets,O25,FALSE)),"")</f>
        <v/>
      </c>
      <c r="B25" s="65" t="str">
        <f>IFERROR(IF(VLOOKUP($A25,TableHandbook[],B$2,FALSE)=0,"",VLOOKUP($A25,TableHandbook[],B$2,FALSE)),"")</f>
        <v/>
      </c>
      <c r="C25" s="65" t="str">
        <f>IFERROR(IF(VLOOKUP($A25,TableHandbook[],C$2,FALSE)=0,"",VLOOKUP($A25,TableHandbook[],C$2,FALSE)),"")</f>
        <v/>
      </c>
      <c r="D25" s="254" t="str">
        <f>IFERROR(IF(VLOOKUP($A25,TableHandbook[],D$2,FALSE)=0,"",VLOOKUP($A25,TableHandbook[],D$2,FALSE)),"")</f>
        <v/>
      </c>
      <c r="E25" s="65" t="str">
        <f>IF(A25="","",E24)</f>
        <v/>
      </c>
      <c r="F25" s="62" t="str">
        <f>IFERROR(IF(VLOOKUP($A25,TableHandbook[],F$2,FALSE)=0,"",VLOOKUP($A25,TableHandbook[],F$2,FALSE)),"")</f>
        <v/>
      </c>
      <c r="G25" s="63" t="str">
        <f>IFERROR(IF(VLOOKUP($A25,TableHandbook[],G$2,FALSE)=0,"",VLOOKUP($A25,TableHandbook[],G$2,FALSE)),"")</f>
        <v/>
      </c>
      <c r="H25" s="71" t="str">
        <f>IFERROR(VLOOKUP($A25,TableHandbook[],H$2,FALSE),"")</f>
        <v/>
      </c>
      <c r="I25" s="63" t="str">
        <f>IFERROR(VLOOKUP($A25,TableHandbook[],I$2,FALSE),"")</f>
        <v/>
      </c>
      <c r="J25" s="228" t="str">
        <f>IFERROR(VLOOKUP($A25,TableHandbook[],J$2,FALSE),"")</f>
        <v/>
      </c>
      <c r="K25" s="63" t="str">
        <f>IFERROR(VLOOKUP($A25,TableHandbook[],K$2,FALSE),"")</f>
        <v/>
      </c>
      <c r="L25" s="63" t="str">
        <f>IFERROR(VLOOKUP($A25,TableHandbook[],L$2,FALSE),"")</f>
        <v/>
      </c>
      <c r="M25" s="72" t="str">
        <f>IFERROR(VLOOKUP($A25,TableHandbook[],M$2,FALSE),"")</f>
        <v/>
      </c>
      <c r="N25" s="69"/>
      <c r="O25" s="184">
        <v>15</v>
      </c>
      <c r="P25" s="185"/>
      <c r="Q25" s="185"/>
      <c r="X25" s="33"/>
      <c r="Y25" s="33"/>
    </row>
    <row r="26" spans="1:25" s="38" customFormat="1" ht="19.5" customHeight="1" x14ac:dyDescent="0.15">
      <c r="A26" s="67" t="str">
        <f>IFERROR(IF(HLOOKUP($N$5,RangeUnitsets,O26,FALSE)=0,"",HLOOKUP($N$5,RangeUnitsets,O26,FALSE)),"")</f>
        <v/>
      </c>
      <c r="B26" s="65" t="str">
        <f>IFERROR(IF(VLOOKUP($A26,TableHandbook[],B$2,FALSE)=0,"",VLOOKUP($A26,TableHandbook[],B$2,FALSE)),"")</f>
        <v/>
      </c>
      <c r="C26" s="65" t="str">
        <f>IFERROR(IF(VLOOKUP($A26,TableHandbook[],C$2,FALSE)=0,"",VLOOKUP($A26,TableHandbook[],C$2,FALSE)),"")</f>
        <v/>
      </c>
      <c r="D26" s="254" t="str">
        <f>IFERROR(IF(VLOOKUP($A26,TableHandbook[],D$2,FALSE)=0,"",VLOOKUP($A26,TableHandbook[],D$2,FALSE)),"")</f>
        <v/>
      </c>
      <c r="E26" s="65" t="str">
        <f>IF(A26="","",E25)</f>
        <v/>
      </c>
      <c r="F26" s="62" t="str">
        <f>IFERROR(IF(VLOOKUP($A26,TableHandbook[],F$2,FALSE)=0,"",VLOOKUP($A26,TableHandbook[],F$2,FALSE)),"")</f>
        <v/>
      </c>
      <c r="G26" s="63" t="str">
        <f>IFERROR(IF(VLOOKUP($A26,TableHandbook[],G$2,FALSE)=0,"",VLOOKUP($A26,TableHandbook[],G$2,FALSE)),"")</f>
        <v/>
      </c>
      <c r="H26" s="71" t="str">
        <f>IFERROR(VLOOKUP($A26,TableHandbook[],H$2,FALSE),"")</f>
        <v/>
      </c>
      <c r="I26" s="63" t="str">
        <f>IFERROR(VLOOKUP($A26,TableHandbook[],I$2,FALSE),"")</f>
        <v/>
      </c>
      <c r="J26" s="228" t="str">
        <f>IFERROR(VLOOKUP($A26,TableHandbook[],J$2,FALSE),"")</f>
        <v/>
      </c>
      <c r="K26" s="63" t="str">
        <f>IFERROR(VLOOKUP($A26,TableHandbook[],K$2,FALSE),"")</f>
        <v/>
      </c>
      <c r="L26" s="63" t="str">
        <f>IFERROR(VLOOKUP($A26,TableHandbook[],L$2,FALSE),"")</f>
        <v/>
      </c>
      <c r="M26" s="72" t="str">
        <f>IFERROR(VLOOKUP($A26,TableHandbook[],M$2,FALSE),"")</f>
        <v/>
      </c>
      <c r="N26" s="69"/>
      <c r="O26" s="184">
        <v>16</v>
      </c>
      <c r="P26" s="187"/>
      <c r="Q26" s="187"/>
      <c r="X26" s="37"/>
      <c r="Y26" s="37"/>
    </row>
    <row r="27" spans="1:25" s="38" customFormat="1" ht="19.5" customHeight="1" x14ac:dyDescent="0.15">
      <c r="A27" s="67" t="str">
        <f>IFERROR(IF(HLOOKUP($N$5,RangeUnitsets,O27,FALSE)=0,"",HLOOKUP($N$5,RangeUnitsets,O27,FALSE)),"")</f>
        <v/>
      </c>
      <c r="B27" s="65" t="str">
        <f>IFERROR(IF(VLOOKUP($A27,TableHandbook[],B$2,FALSE)=0,"",VLOOKUP($A27,TableHandbook[],B$2,FALSE)),"")</f>
        <v/>
      </c>
      <c r="C27" s="65" t="str">
        <f>IFERROR(IF(VLOOKUP($A27,TableHandbook[],C$2,FALSE)=0,"",VLOOKUP($A27,TableHandbook[],C$2,FALSE)),"")</f>
        <v/>
      </c>
      <c r="D27" s="254" t="str">
        <f>IFERROR(IF(VLOOKUP($A27,TableHandbook[],D$2,FALSE)=0,"",VLOOKUP($A27,TableHandbook[],D$2,FALSE)),"")</f>
        <v/>
      </c>
      <c r="E27" s="63" t="str">
        <f>IF(A27="","",E26)</f>
        <v/>
      </c>
      <c r="F27" s="62" t="str">
        <f>IFERROR(IF(VLOOKUP($A27,TableHandbook[],F$2,FALSE)=0,"",VLOOKUP($A27,TableHandbook[],F$2,FALSE)),"")</f>
        <v/>
      </c>
      <c r="G27" s="63" t="str">
        <f>IFERROR(IF(VLOOKUP($A27,TableHandbook[],G$2,FALSE)=0,"",VLOOKUP($A27,TableHandbook[],G$2,FALSE)),"")</f>
        <v/>
      </c>
      <c r="H27" s="71" t="str">
        <f>IFERROR(VLOOKUP($A27,TableHandbook[],H$2,FALSE),"")</f>
        <v/>
      </c>
      <c r="I27" s="63" t="str">
        <f>IFERROR(VLOOKUP($A27,TableHandbook[],I$2,FALSE),"")</f>
        <v/>
      </c>
      <c r="J27" s="228" t="str">
        <f>IFERROR(VLOOKUP($A27,TableHandbook[],J$2,FALSE),"")</f>
        <v/>
      </c>
      <c r="K27" s="63" t="str">
        <f>IFERROR(VLOOKUP($A27,TableHandbook[],K$2,FALSE),"")</f>
        <v/>
      </c>
      <c r="L27" s="63" t="str">
        <f>IFERROR(VLOOKUP($A27,TableHandbook[],L$2,FALSE),"")</f>
        <v/>
      </c>
      <c r="M27" s="72" t="str">
        <f>IFERROR(VLOOKUP($A27,TableHandbook[],M$2,FALSE),"")</f>
        <v/>
      </c>
      <c r="N27" s="69"/>
      <c r="O27" s="184">
        <v>17</v>
      </c>
      <c r="P27" s="187"/>
      <c r="Q27" s="187"/>
      <c r="X27" s="37"/>
      <c r="Y27" s="37"/>
    </row>
    <row r="28" spans="1:25" s="31" customFormat="1" ht="21" x14ac:dyDescent="0.25">
      <c r="A28" s="105" t="s">
        <v>29</v>
      </c>
      <c r="B28" s="105"/>
      <c r="C28" s="105"/>
      <c r="D28" s="252" t="s">
        <v>3</v>
      </c>
      <c r="E28" s="111" t="s">
        <v>18</v>
      </c>
      <c r="F28" s="105" t="s">
        <v>19</v>
      </c>
      <c r="G28" s="105" t="s">
        <v>20</v>
      </c>
      <c r="H28" s="113" t="str">
        <f>H$8</f>
        <v>Sem1 BEN</v>
      </c>
      <c r="I28" s="111" t="str">
        <f t="shared" ref="I28:N28" si="1">I$8</f>
        <v>Sem1 FO</v>
      </c>
      <c r="J28" s="227" t="str">
        <f t="shared" si="1"/>
        <v>Sem1 KAL</v>
      </c>
      <c r="K28" s="111" t="str">
        <f t="shared" si="1"/>
        <v>Sem2 BEN</v>
      </c>
      <c r="L28" s="111" t="str">
        <f t="shared" si="1"/>
        <v>Sem2 FO</v>
      </c>
      <c r="M28" s="114" t="str">
        <f t="shared" si="1"/>
        <v>Sem2 KAL</v>
      </c>
      <c r="N28" s="105" t="str">
        <f t="shared" si="1"/>
        <v>Notes / Progress</v>
      </c>
      <c r="O28" s="183"/>
      <c r="P28" s="183"/>
      <c r="Q28" s="183"/>
      <c r="X28" s="30"/>
      <c r="Y28" s="30"/>
    </row>
    <row r="29" spans="1:25" s="34" customFormat="1" ht="19.5" customHeight="1" x14ac:dyDescent="0.15">
      <c r="A29" s="67" t="str">
        <f>IFERROR(IF(HLOOKUP($N$5,RangeUnitsets,O29,FALSE)=0,"",HLOOKUP($N$5,RangeUnitsets,O29,FALSE)),"")</f>
        <v/>
      </c>
      <c r="B29" s="65" t="str">
        <f>IFERROR(IF(VLOOKUP($A29,TableHandbook[],B$2,FALSE)=0,"",VLOOKUP($A29,TableHandbook[],B$2,FALSE)),"")</f>
        <v/>
      </c>
      <c r="C29" s="65" t="str">
        <f>IFERROR(IF(VLOOKUP($A29,TableHandbook[],C$2,FALSE)=0,"",VLOOKUP($A29,TableHandbook[],C$2,FALSE)),"")</f>
        <v/>
      </c>
      <c r="D29" s="255" t="str">
        <f>IFERROR(IF(VLOOKUP($A29,TableHandbook[],D$2,FALSE)=0,"",VLOOKUP($A29,TableHandbook[],D$2,FALSE)),"")</f>
        <v/>
      </c>
      <c r="E29" s="65" t="str">
        <f>IF(OR(A29="",A29="--"),"",VLOOKUP($D$6,TableStudyPeriods[],2,FALSE))</f>
        <v/>
      </c>
      <c r="F29" s="62" t="str">
        <f>IFERROR(IF(VLOOKUP($A29,TableHandbook[],F$2,FALSE)=0,"",VLOOKUP($A29,TableHandbook[],F$2,FALSE)),"")</f>
        <v/>
      </c>
      <c r="G29" s="63" t="str">
        <f>IFERROR(IF(VLOOKUP($A29,TableHandbook[],G$2,FALSE)=0,"",VLOOKUP($A29,TableHandbook[],G$2,FALSE)),"")</f>
        <v/>
      </c>
      <c r="H29" s="71" t="str">
        <f>IFERROR(VLOOKUP($A29,TableHandbook[],H$2,FALSE),"")</f>
        <v/>
      </c>
      <c r="I29" s="63" t="str">
        <f>IFERROR(VLOOKUP($A29,TableHandbook[],I$2,FALSE),"")</f>
        <v/>
      </c>
      <c r="J29" s="228" t="str">
        <f>IFERROR(VLOOKUP($A29,TableHandbook[],J$2,FALSE),"")</f>
        <v/>
      </c>
      <c r="K29" s="63" t="str">
        <f>IFERROR(VLOOKUP($A29,TableHandbook[],K$2,FALSE),"")</f>
        <v/>
      </c>
      <c r="L29" s="63" t="str">
        <f>IFERROR(VLOOKUP($A29,TableHandbook[],L$2,FALSE),"")</f>
        <v/>
      </c>
      <c r="M29" s="72" t="str">
        <f>IFERROR(VLOOKUP($A29,TableHandbook[],M$2,FALSE),"")</f>
        <v/>
      </c>
      <c r="N29" s="69"/>
      <c r="O29" s="184">
        <v>18</v>
      </c>
      <c r="P29" s="185"/>
      <c r="Q29" s="185"/>
      <c r="X29" s="33"/>
      <c r="Y29" s="33"/>
    </row>
    <row r="30" spans="1:25" s="34" customFormat="1" ht="19.5" customHeight="1" x14ac:dyDescent="0.15">
      <c r="A30" s="67" t="str">
        <f>IFERROR(IF(HLOOKUP($N$5,RangeUnitsets,O30,FALSE)=0,"",HLOOKUP($N$5,RangeUnitsets,O30,FALSE)),"")</f>
        <v/>
      </c>
      <c r="B30" s="65" t="str">
        <f>IFERROR(IF(VLOOKUP($A30,TableHandbook[],B$2,FALSE)=0,"",VLOOKUP($A30,TableHandbook[],B$2,FALSE)),"")</f>
        <v/>
      </c>
      <c r="C30" s="65" t="str">
        <f>IFERROR(IF(VLOOKUP($A30,TableHandbook[],C$2,FALSE)=0,"",VLOOKUP($A30,TableHandbook[],C$2,FALSE)),"")</f>
        <v/>
      </c>
      <c r="D30" s="254" t="str">
        <f>IFERROR(IF(VLOOKUP($A30,TableHandbook[],D$2,FALSE)=0,"",VLOOKUP($A30,TableHandbook[],D$2,FALSE)),"")</f>
        <v/>
      </c>
      <c r="E30" s="65" t="str">
        <f>IF(A30="","",E29)</f>
        <v/>
      </c>
      <c r="F30" s="62" t="str">
        <f>IFERROR(IF(VLOOKUP($A30,TableHandbook[],F$2,FALSE)=0,"",VLOOKUP($A30,TableHandbook[],F$2,FALSE)),"")</f>
        <v/>
      </c>
      <c r="G30" s="63" t="str">
        <f>IFERROR(IF(VLOOKUP($A30,TableHandbook[],G$2,FALSE)=0,"",VLOOKUP($A30,TableHandbook[],G$2,FALSE)),"")</f>
        <v/>
      </c>
      <c r="H30" s="71" t="str">
        <f>IFERROR(VLOOKUP($A30,TableHandbook[],H$2,FALSE),"")</f>
        <v/>
      </c>
      <c r="I30" s="63" t="str">
        <f>IFERROR(VLOOKUP($A30,TableHandbook[],I$2,FALSE),"")</f>
        <v/>
      </c>
      <c r="J30" s="228" t="str">
        <f>IFERROR(VLOOKUP($A30,TableHandbook[],J$2,FALSE),"")</f>
        <v/>
      </c>
      <c r="K30" s="63" t="str">
        <f>IFERROR(VLOOKUP($A30,TableHandbook[],K$2,FALSE),"")</f>
        <v/>
      </c>
      <c r="L30" s="63" t="str">
        <f>IFERROR(VLOOKUP($A30,TableHandbook[],L$2,FALSE),"")</f>
        <v/>
      </c>
      <c r="M30" s="72" t="str">
        <f>IFERROR(VLOOKUP($A30,TableHandbook[],M$2,FALSE),"")</f>
        <v/>
      </c>
      <c r="N30" s="69"/>
      <c r="O30" s="184">
        <v>19</v>
      </c>
      <c r="P30" s="185"/>
      <c r="Q30" s="185"/>
      <c r="X30" s="33"/>
      <c r="Y30" s="33"/>
    </row>
    <row r="31" spans="1:25" s="34" customFormat="1" ht="19.5" customHeight="1" x14ac:dyDescent="0.15">
      <c r="A31" s="67" t="str">
        <f>IFERROR(IF(HLOOKUP($N$5,RangeUnitsets,O31,FALSE)=0,"",HLOOKUP($N$5,RangeUnitsets,O31,FALSE)),"")</f>
        <v/>
      </c>
      <c r="B31" s="65" t="str">
        <f>IFERROR(IF(VLOOKUP($A31,TableHandbook[],B$2,FALSE)=0,"",VLOOKUP($A31,TableHandbook[],B$2,FALSE)),"")</f>
        <v/>
      </c>
      <c r="C31" s="65" t="str">
        <f>IFERROR(IF(VLOOKUP($A31,TableHandbook[],C$2,FALSE)=0,"",VLOOKUP($A31,TableHandbook[],C$2,FALSE)),"")</f>
        <v/>
      </c>
      <c r="D31" s="254" t="str">
        <f>IFERROR(IF(VLOOKUP($A31,TableHandbook[],D$2,FALSE)=0,"",VLOOKUP($A31,TableHandbook[],D$2,FALSE)),"")</f>
        <v/>
      </c>
      <c r="E31" s="65" t="str">
        <f>IF(A31="","",E30)</f>
        <v/>
      </c>
      <c r="F31" s="62" t="str">
        <f>IFERROR(IF(VLOOKUP($A31,TableHandbook[],F$2,FALSE)=0,"",VLOOKUP($A31,TableHandbook[],F$2,FALSE)),"")</f>
        <v/>
      </c>
      <c r="G31" s="63" t="str">
        <f>IFERROR(IF(VLOOKUP($A31,TableHandbook[],G$2,FALSE)=0,"",VLOOKUP($A31,TableHandbook[],G$2,FALSE)),"")</f>
        <v/>
      </c>
      <c r="H31" s="71" t="str">
        <f>IFERROR(VLOOKUP($A31,TableHandbook[],H$2,FALSE),"")</f>
        <v/>
      </c>
      <c r="I31" s="63" t="str">
        <f>IFERROR(VLOOKUP($A31,TableHandbook[],I$2,FALSE),"")</f>
        <v/>
      </c>
      <c r="J31" s="228" t="str">
        <f>IFERROR(VLOOKUP($A31,TableHandbook[],J$2,FALSE),"")</f>
        <v/>
      </c>
      <c r="K31" s="63" t="str">
        <f>IFERROR(VLOOKUP($A31,TableHandbook[],K$2,FALSE),"")</f>
        <v/>
      </c>
      <c r="L31" s="63" t="str">
        <f>IFERROR(VLOOKUP($A31,TableHandbook[],L$2,FALSE),"")</f>
        <v/>
      </c>
      <c r="M31" s="72" t="str">
        <f>IFERROR(VLOOKUP($A31,TableHandbook[],M$2,FALSE),"")</f>
        <v/>
      </c>
      <c r="N31" s="69"/>
      <c r="O31" s="184">
        <v>20</v>
      </c>
      <c r="P31" s="185"/>
      <c r="Q31" s="185"/>
      <c r="X31" s="33"/>
      <c r="Y31" s="33"/>
    </row>
    <row r="32" spans="1:25" s="34" customFormat="1" ht="19.5" customHeight="1" x14ac:dyDescent="0.15">
      <c r="A32" s="67" t="str">
        <f>IFERROR(IF(HLOOKUP($N$5,RangeUnitsets,O32,FALSE)=0,"",HLOOKUP($N$5,RangeUnitsets,O32,FALSE)),"")</f>
        <v/>
      </c>
      <c r="B32" s="65" t="str">
        <f>IFERROR(IF(VLOOKUP($A32,TableHandbook[],B$2,FALSE)=0,"",VLOOKUP($A32,TableHandbook[],B$2,FALSE)),"")</f>
        <v/>
      </c>
      <c r="C32" s="65" t="str">
        <f>IFERROR(IF(VLOOKUP($A32,TableHandbook[],C$2,FALSE)=0,"",VLOOKUP($A32,TableHandbook[],C$2,FALSE)),"")</f>
        <v/>
      </c>
      <c r="D32" s="254" t="str">
        <f>IFERROR(IF(VLOOKUP($A32,TableHandbook[],D$2,FALSE)=0,"",VLOOKUP($A32,TableHandbook[],D$2,FALSE)),"")</f>
        <v/>
      </c>
      <c r="E32" s="65" t="str">
        <f>IF(A32="","",E31)</f>
        <v/>
      </c>
      <c r="F32" s="62" t="str">
        <f>IFERROR(IF(VLOOKUP($A32,TableHandbook[],F$2,FALSE)=0,"",VLOOKUP($A32,TableHandbook[],F$2,FALSE)),"")</f>
        <v/>
      </c>
      <c r="G32" s="63" t="str">
        <f>IFERROR(IF(VLOOKUP($A32,TableHandbook[],G$2,FALSE)=0,"",VLOOKUP($A32,TableHandbook[],G$2,FALSE)),"")</f>
        <v/>
      </c>
      <c r="H32" s="71" t="str">
        <f>IFERROR(VLOOKUP($A32,TableHandbook[],H$2,FALSE),"")</f>
        <v/>
      </c>
      <c r="I32" s="63" t="str">
        <f>IFERROR(VLOOKUP($A32,TableHandbook[],I$2,FALSE),"")</f>
        <v/>
      </c>
      <c r="J32" s="228" t="str">
        <f>IFERROR(VLOOKUP($A32,TableHandbook[],J$2,FALSE),"")</f>
        <v/>
      </c>
      <c r="K32" s="63" t="str">
        <f>IFERROR(VLOOKUP($A32,TableHandbook[],K$2,FALSE),"")</f>
        <v/>
      </c>
      <c r="L32" s="63" t="str">
        <f>IFERROR(VLOOKUP($A32,TableHandbook[],L$2,FALSE),"")</f>
        <v/>
      </c>
      <c r="M32" s="72" t="str">
        <f>IFERROR(VLOOKUP($A32,TableHandbook[],M$2,FALSE),"")</f>
        <v/>
      </c>
      <c r="N32" s="69"/>
      <c r="O32" s="184">
        <v>21</v>
      </c>
      <c r="P32" s="185"/>
      <c r="Q32" s="185"/>
      <c r="X32" s="33"/>
      <c r="Y32" s="33"/>
    </row>
    <row r="33" spans="1:25" s="34" customFormat="1" ht="5.0999999999999996" customHeight="1" x14ac:dyDescent="0.15">
      <c r="A33" s="241"/>
      <c r="B33" s="242"/>
      <c r="C33" s="242"/>
      <c r="D33" s="256"/>
      <c r="E33" s="242"/>
      <c r="F33" s="244"/>
      <c r="G33" s="242"/>
      <c r="H33" s="245"/>
      <c r="I33" s="242"/>
      <c r="J33" s="246"/>
      <c r="K33" s="242"/>
      <c r="L33" s="242"/>
      <c r="M33" s="247"/>
      <c r="N33" s="247"/>
      <c r="O33" s="186"/>
      <c r="P33" s="185"/>
      <c r="Q33" s="185"/>
      <c r="R33" s="185"/>
      <c r="X33" s="33"/>
      <c r="Y33" s="33"/>
    </row>
    <row r="34" spans="1:25" s="34" customFormat="1" ht="19.5" customHeight="1" x14ac:dyDescent="0.15">
      <c r="A34" s="164" t="str">
        <f>IFERROR(IF(HLOOKUP($N$5,RangeUnitsets,O34,FALSE)=0,"",HLOOKUP($N$5,RangeUnitsets,O34,FALSE)),"")</f>
        <v/>
      </c>
      <c r="B34" s="65" t="str">
        <f>IFERROR(IF(VLOOKUP($A34,TableHandbook[],B$2,FALSE)=0,"",VLOOKUP($A34,TableHandbook[],B$2,FALSE)),"")</f>
        <v/>
      </c>
      <c r="C34" s="65" t="str">
        <f>IFERROR(IF(VLOOKUP($A34,TableHandbook[],C$2,FALSE)=0,"",VLOOKUP($A34,TableHandbook[],C$2,FALSE)),"")</f>
        <v/>
      </c>
      <c r="D34" s="254" t="str">
        <f>IFERROR(IF(VLOOKUP($A34,TableHandbook[],D$2,FALSE)=0,"",VLOOKUP($A34,TableHandbook[],D$2,FALSE)),"")</f>
        <v/>
      </c>
      <c r="E34" s="65" t="str">
        <f>IF(OR(A34="",A34="--"),"",VLOOKUP($D$6,TableStudyPeriods[],3,FALSE))</f>
        <v/>
      </c>
      <c r="F34" s="62" t="str">
        <f>IFERROR(IF(VLOOKUP($A34,TableHandbook[],F$2,FALSE)=0,"",VLOOKUP($A34,TableHandbook[],F$2,FALSE)),"")</f>
        <v/>
      </c>
      <c r="G34" s="63" t="str">
        <f>IFERROR(IF(VLOOKUP($A34,TableHandbook[],G$2,FALSE)=0,"",VLOOKUP($A34,TableHandbook[],G$2,FALSE)),"")</f>
        <v/>
      </c>
      <c r="H34" s="71" t="str">
        <f>IFERROR(VLOOKUP($A34,TableHandbook[],H$2,FALSE),"")</f>
        <v/>
      </c>
      <c r="I34" s="63" t="str">
        <f>IFERROR(VLOOKUP($A34,TableHandbook[],I$2,FALSE),"")</f>
        <v/>
      </c>
      <c r="J34" s="228" t="str">
        <f>IFERROR(VLOOKUP($A34,TableHandbook[],J$2,FALSE),"")</f>
        <v/>
      </c>
      <c r="K34" s="63" t="str">
        <f>IFERROR(VLOOKUP($A34,TableHandbook[],K$2,FALSE),"")</f>
        <v/>
      </c>
      <c r="L34" s="63" t="str">
        <f>IFERROR(VLOOKUP($A34,TableHandbook[],L$2,FALSE),"")</f>
        <v/>
      </c>
      <c r="M34" s="72" t="str">
        <f>IFERROR(VLOOKUP($A34,TableHandbook[],M$2,FALSE),"")</f>
        <v/>
      </c>
      <c r="N34" s="69"/>
      <c r="O34" s="184">
        <v>22</v>
      </c>
      <c r="P34" s="185"/>
      <c r="Q34" s="185"/>
      <c r="X34" s="33"/>
      <c r="Y34" s="33"/>
    </row>
    <row r="35" spans="1:25" s="34" customFormat="1" ht="19.5" customHeight="1" x14ac:dyDescent="0.15">
      <c r="A35" s="67" t="str">
        <f>IFERROR(IF(HLOOKUP($N$5,RangeUnitsets,O35,FALSE)=0,"",HLOOKUP($N$5,RangeUnitsets,O35,FALSE)),"")</f>
        <v/>
      </c>
      <c r="B35" s="65" t="str">
        <f>IFERROR(IF(VLOOKUP($A35,TableHandbook[],B$2,FALSE)=0,"",VLOOKUP($A35,TableHandbook[],B$2,FALSE)),"")</f>
        <v/>
      </c>
      <c r="C35" s="65" t="str">
        <f>IFERROR(IF(VLOOKUP($A35,TableHandbook[],C$2,FALSE)=0,"",VLOOKUP($A35,TableHandbook[],C$2,FALSE)),"")</f>
        <v/>
      </c>
      <c r="D35" s="254" t="str">
        <f>IFERROR(IF(VLOOKUP($A35,TableHandbook[],D$2,FALSE)=0,"",VLOOKUP($A35,TableHandbook[],D$2,FALSE)),"")</f>
        <v/>
      </c>
      <c r="E35" s="65" t="str">
        <f>IF(A35="","",E34)</f>
        <v/>
      </c>
      <c r="F35" s="62" t="str">
        <f>IFERROR(IF(VLOOKUP($A35,TableHandbook[],F$2,FALSE)=0,"",VLOOKUP($A35,TableHandbook[],F$2,FALSE)),"")</f>
        <v/>
      </c>
      <c r="G35" s="63" t="str">
        <f>IFERROR(IF(VLOOKUP($A35,TableHandbook[],G$2,FALSE)=0,"",VLOOKUP($A35,TableHandbook[],G$2,FALSE)),"")</f>
        <v/>
      </c>
      <c r="H35" s="71" t="str">
        <f>IFERROR(VLOOKUP($A35,TableHandbook[],H$2,FALSE),"")</f>
        <v/>
      </c>
      <c r="I35" s="63" t="str">
        <f>IFERROR(VLOOKUP($A35,TableHandbook[],I$2,FALSE),"")</f>
        <v/>
      </c>
      <c r="J35" s="228" t="str">
        <f>IFERROR(VLOOKUP($A35,TableHandbook[],J$2,FALSE),"")</f>
        <v/>
      </c>
      <c r="K35" s="63" t="str">
        <f>IFERROR(VLOOKUP($A35,TableHandbook[],K$2,FALSE),"")</f>
        <v/>
      </c>
      <c r="L35" s="63" t="str">
        <f>IFERROR(VLOOKUP($A35,TableHandbook[],L$2,FALSE),"")</f>
        <v/>
      </c>
      <c r="M35" s="72" t="str">
        <f>IFERROR(VLOOKUP($A35,TableHandbook[],M$2,FALSE),"")</f>
        <v/>
      </c>
      <c r="N35" s="69"/>
      <c r="O35" s="184">
        <v>23</v>
      </c>
      <c r="P35" s="185"/>
      <c r="Q35" s="185"/>
      <c r="X35" s="33"/>
      <c r="Y35" s="33"/>
    </row>
    <row r="36" spans="1:25" s="38" customFormat="1" ht="19.5" customHeight="1" x14ac:dyDescent="0.15">
      <c r="A36" s="67" t="str">
        <f>IFERROR(IF(HLOOKUP($N$5,RangeUnitsets,O36,FALSE)=0,"",HLOOKUP($N$5,RangeUnitsets,O36,FALSE)),"")</f>
        <v/>
      </c>
      <c r="B36" s="65" t="str">
        <f>IFERROR(IF(VLOOKUP($A36,TableHandbook[],B$2,FALSE)=0,"",VLOOKUP($A36,TableHandbook[],B$2,FALSE)),"")</f>
        <v/>
      </c>
      <c r="C36" s="65" t="str">
        <f>IFERROR(IF(VLOOKUP($A36,TableHandbook[],C$2,FALSE)=0,"",VLOOKUP($A36,TableHandbook[],C$2,FALSE)),"")</f>
        <v/>
      </c>
      <c r="D36" s="254" t="str">
        <f>IFERROR(IF(VLOOKUP($A36,TableHandbook[],D$2,FALSE)=0,"",VLOOKUP($A36,TableHandbook[],D$2,FALSE)),"")</f>
        <v/>
      </c>
      <c r="E36" s="65" t="str">
        <f>IF(A36="","",E35)</f>
        <v/>
      </c>
      <c r="F36" s="62" t="str">
        <f>IFERROR(IF(VLOOKUP($A36,TableHandbook[],F$2,FALSE)=0,"",VLOOKUP($A36,TableHandbook[],F$2,FALSE)),"")</f>
        <v/>
      </c>
      <c r="G36" s="63" t="str">
        <f>IFERROR(IF(VLOOKUP($A36,TableHandbook[],G$2,FALSE)=0,"",VLOOKUP($A36,TableHandbook[],G$2,FALSE)),"")</f>
        <v/>
      </c>
      <c r="H36" s="71" t="str">
        <f>IFERROR(VLOOKUP($A36,TableHandbook[],H$2,FALSE),"")</f>
        <v/>
      </c>
      <c r="I36" s="63" t="str">
        <f>IFERROR(VLOOKUP($A36,TableHandbook[],I$2,FALSE),"")</f>
        <v/>
      </c>
      <c r="J36" s="228" t="str">
        <f>IFERROR(VLOOKUP($A36,TableHandbook[],J$2,FALSE),"")</f>
        <v/>
      </c>
      <c r="K36" s="63" t="str">
        <f>IFERROR(VLOOKUP($A36,TableHandbook[],K$2,FALSE),"")</f>
        <v/>
      </c>
      <c r="L36" s="63" t="str">
        <f>IFERROR(VLOOKUP($A36,TableHandbook[],L$2,FALSE),"")</f>
        <v/>
      </c>
      <c r="M36" s="72" t="str">
        <f>IFERROR(VLOOKUP($A36,TableHandbook[],M$2,FALSE),"")</f>
        <v/>
      </c>
      <c r="N36" s="69"/>
      <c r="O36" s="184">
        <v>24</v>
      </c>
      <c r="P36" s="187"/>
      <c r="Q36" s="187"/>
      <c r="X36" s="37"/>
      <c r="Y36" s="37"/>
    </row>
    <row r="37" spans="1:25" s="38" customFormat="1" ht="19.5" customHeight="1" x14ac:dyDescent="0.15">
      <c r="A37" s="67" t="str">
        <f>IFERROR(IF(HLOOKUP($N$5,RangeUnitsets,O37,FALSE)=0,"",HLOOKUP($N$5,RangeUnitsets,O37,FALSE)),"")</f>
        <v/>
      </c>
      <c r="B37" s="65" t="str">
        <f>IFERROR(IF(VLOOKUP($A37,TableHandbook[],B$2,FALSE)=0,"",VLOOKUP($A37,TableHandbook[],B$2,FALSE)),"")</f>
        <v/>
      </c>
      <c r="C37" s="65" t="str">
        <f>IFERROR(IF(VLOOKUP($A37,TableHandbook[],C$2,FALSE)=0,"",VLOOKUP($A37,TableHandbook[],C$2,FALSE)),"")</f>
        <v/>
      </c>
      <c r="D37" s="254" t="str">
        <f>IFERROR(IF(VLOOKUP($A37,TableHandbook[],D$2,FALSE)=0,"",VLOOKUP($A37,TableHandbook[],D$2,FALSE)),"")</f>
        <v/>
      </c>
      <c r="E37" s="63" t="str">
        <f>IF(A37="","",E36)</f>
        <v/>
      </c>
      <c r="F37" s="62" t="str">
        <f>IFERROR(IF(VLOOKUP($A37,TableHandbook[],F$2,FALSE)=0,"",VLOOKUP($A37,TableHandbook[],F$2,FALSE)),"")</f>
        <v/>
      </c>
      <c r="G37" s="63" t="str">
        <f>IFERROR(IF(VLOOKUP($A37,TableHandbook[],G$2,FALSE)=0,"",VLOOKUP($A37,TableHandbook[],G$2,FALSE)),"")</f>
        <v/>
      </c>
      <c r="H37" s="71" t="str">
        <f>IFERROR(VLOOKUP($A37,TableHandbook[],H$2,FALSE),"")</f>
        <v/>
      </c>
      <c r="I37" s="63" t="str">
        <f>IFERROR(VLOOKUP($A37,TableHandbook[],I$2,FALSE),"")</f>
        <v/>
      </c>
      <c r="J37" s="228" t="str">
        <f>IFERROR(VLOOKUP($A37,TableHandbook[],J$2,FALSE),"")</f>
        <v/>
      </c>
      <c r="K37" s="63" t="str">
        <f>IFERROR(VLOOKUP($A37,TableHandbook[],K$2,FALSE),"")</f>
        <v/>
      </c>
      <c r="L37" s="63" t="str">
        <f>IFERROR(VLOOKUP($A37,TableHandbook[],L$2,FALSE),"")</f>
        <v/>
      </c>
      <c r="M37" s="72" t="str">
        <f>IFERROR(VLOOKUP($A37,TableHandbook[],M$2,FALSE),"")</f>
        <v/>
      </c>
      <c r="N37" s="69"/>
      <c r="O37" s="184">
        <v>25</v>
      </c>
      <c r="P37" s="187"/>
      <c r="Q37" s="187"/>
      <c r="X37" s="37"/>
      <c r="Y37" s="37"/>
    </row>
    <row r="38" spans="1:25" s="31" customFormat="1" ht="21" x14ac:dyDescent="0.25">
      <c r="A38" s="105" t="s">
        <v>36</v>
      </c>
      <c r="B38" s="105"/>
      <c r="C38" s="105"/>
      <c r="D38" s="252" t="s">
        <v>3</v>
      </c>
      <c r="E38" s="111" t="s">
        <v>18</v>
      </c>
      <c r="F38" s="105" t="s">
        <v>19</v>
      </c>
      <c r="G38" s="105" t="s">
        <v>20</v>
      </c>
      <c r="H38" s="113" t="str">
        <f>H$8</f>
        <v>Sem1 BEN</v>
      </c>
      <c r="I38" s="111" t="str">
        <f t="shared" ref="I38:N38" si="2">I$8</f>
        <v>Sem1 FO</v>
      </c>
      <c r="J38" s="227" t="str">
        <f t="shared" si="2"/>
        <v>Sem1 KAL</v>
      </c>
      <c r="K38" s="111" t="str">
        <f t="shared" si="2"/>
        <v>Sem2 BEN</v>
      </c>
      <c r="L38" s="111" t="str">
        <f t="shared" si="2"/>
        <v>Sem2 FO</v>
      </c>
      <c r="M38" s="114" t="str">
        <f t="shared" si="2"/>
        <v>Sem2 KAL</v>
      </c>
      <c r="N38" s="105" t="str">
        <f t="shared" si="2"/>
        <v>Notes / Progress</v>
      </c>
      <c r="O38" s="183"/>
      <c r="P38" s="183"/>
      <c r="Q38" s="183"/>
      <c r="X38" s="30"/>
      <c r="Y38" s="30"/>
    </row>
    <row r="39" spans="1:25" s="34" customFormat="1" ht="19.5" customHeight="1" x14ac:dyDescent="0.15">
      <c r="A39" s="67" t="str">
        <f>IFERROR(IF(HLOOKUP($N$5,RangeUnitsets,O39,FALSE)=0,"",HLOOKUP($N$5,RangeUnitsets,O39,FALSE)),"")</f>
        <v/>
      </c>
      <c r="B39" s="65" t="str">
        <f>IFERROR(IF(VLOOKUP($A39,TableHandbook[],B$2,FALSE)=0,"",VLOOKUP($A39,TableHandbook[],B$2,FALSE)),"")</f>
        <v/>
      </c>
      <c r="C39" s="65" t="str">
        <f>IFERROR(IF(VLOOKUP($A39,TableHandbook[],C$2,FALSE)=0,"",VLOOKUP($A39,TableHandbook[],C$2,FALSE)),"")</f>
        <v/>
      </c>
      <c r="D39" s="255" t="str">
        <f>IFERROR(IF(VLOOKUP($A39,TableHandbook[],D$2,FALSE)=0,"",VLOOKUP($A39,TableHandbook[],D$2,FALSE)),"")</f>
        <v/>
      </c>
      <c r="E39" s="65" t="str">
        <f>IF(OR(A39="",A39="--"),"",VLOOKUP($D$6,TableStudyPeriods[],2,FALSE))</f>
        <v/>
      </c>
      <c r="F39" s="62" t="str">
        <f>IFERROR(IF(VLOOKUP($A39,TableHandbook[],F$2,FALSE)=0,"",VLOOKUP($A39,TableHandbook[],F$2,FALSE)),"")</f>
        <v/>
      </c>
      <c r="G39" s="63" t="str">
        <f>IFERROR(IF(VLOOKUP($A39,TableHandbook[],G$2,FALSE)=0,"",VLOOKUP($A39,TableHandbook[],G$2,FALSE)),"")</f>
        <v/>
      </c>
      <c r="H39" s="71" t="str">
        <f>IFERROR(VLOOKUP($A39,TableHandbook[],H$2,FALSE),"")</f>
        <v/>
      </c>
      <c r="I39" s="63" t="str">
        <f>IFERROR(VLOOKUP($A39,TableHandbook[],I$2,FALSE),"")</f>
        <v/>
      </c>
      <c r="J39" s="228" t="str">
        <f>IFERROR(VLOOKUP($A39,TableHandbook[],J$2,FALSE),"")</f>
        <v/>
      </c>
      <c r="K39" s="63" t="str">
        <f>IFERROR(VLOOKUP($A39,TableHandbook[],K$2,FALSE),"")</f>
        <v/>
      </c>
      <c r="L39" s="63" t="str">
        <f>IFERROR(VLOOKUP($A39,TableHandbook[],L$2,FALSE),"")</f>
        <v/>
      </c>
      <c r="M39" s="72" t="str">
        <f>IFERROR(VLOOKUP($A39,TableHandbook[],M$2,FALSE),"")</f>
        <v/>
      </c>
      <c r="N39" s="69"/>
      <c r="O39" s="184">
        <v>26</v>
      </c>
      <c r="P39" s="185"/>
      <c r="Q39" s="185"/>
      <c r="X39" s="33"/>
      <c r="Y39" s="33"/>
    </row>
    <row r="40" spans="1:25" s="34" customFormat="1" ht="19.5" customHeight="1" x14ac:dyDescent="0.15">
      <c r="A40" s="67" t="str">
        <f>IFERROR(IF(HLOOKUP($N$5,RangeUnitsets,O40,FALSE)=0,"",HLOOKUP($N$5,RangeUnitsets,O40,FALSE)),"")</f>
        <v/>
      </c>
      <c r="B40" s="65" t="str">
        <f>IFERROR(IF(VLOOKUP($A40,TableHandbook[],B$2,FALSE)=0,"",VLOOKUP($A40,TableHandbook[],B$2,FALSE)),"")</f>
        <v/>
      </c>
      <c r="C40" s="65" t="str">
        <f>IFERROR(IF(VLOOKUP($A40,TableHandbook[],C$2,FALSE)=0,"",VLOOKUP($A40,TableHandbook[],C$2,FALSE)),"")</f>
        <v/>
      </c>
      <c r="D40" s="254" t="str">
        <f>IFERROR(IF(VLOOKUP($A40,TableHandbook[],D$2,FALSE)=0,"",VLOOKUP($A40,TableHandbook[],D$2,FALSE)),"")</f>
        <v/>
      </c>
      <c r="E40" s="65" t="str">
        <f>IF(A40="","",E39)</f>
        <v/>
      </c>
      <c r="F40" s="62" t="str">
        <f>IFERROR(IF(VLOOKUP($A40,TableHandbook[],F$2,FALSE)=0,"",VLOOKUP($A40,TableHandbook[],F$2,FALSE)),"")</f>
        <v/>
      </c>
      <c r="G40" s="63" t="str">
        <f>IFERROR(IF(VLOOKUP($A40,TableHandbook[],G$2,FALSE)=0,"",VLOOKUP($A40,TableHandbook[],G$2,FALSE)),"")</f>
        <v/>
      </c>
      <c r="H40" s="71" t="str">
        <f>IFERROR(VLOOKUP($A40,TableHandbook[],H$2,FALSE),"")</f>
        <v/>
      </c>
      <c r="I40" s="63" t="str">
        <f>IFERROR(VLOOKUP($A40,TableHandbook[],I$2,FALSE),"")</f>
        <v/>
      </c>
      <c r="J40" s="228" t="str">
        <f>IFERROR(VLOOKUP($A40,TableHandbook[],J$2,FALSE),"")</f>
        <v/>
      </c>
      <c r="K40" s="63" t="str">
        <f>IFERROR(VLOOKUP($A40,TableHandbook[],K$2,FALSE),"")</f>
        <v/>
      </c>
      <c r="L40" s="63" t="str">
        <f>IFERROR(VLOOKUP($A40,TableHandbook[],L$2,FALSE),"")</f>
        <v/>
      </c>
      <c r="M40" s="72" t="str">
        <f>IFERROR(VLOOKUP($A40,TableHandbook[],M$2,FALSE),"")</f>
        <v/>
      </c>
      <c r="N40" s="69"/>
      <c r="O40" s="184">
        <v>27</v>
      </c>
      <c r="P40" s="185"/>
      <c r="Q40" s="185"/>
      <c r="X40" s="33"/>
      <c r="Y40" s="33"/>
    </row>
    <row r="41" spans="1:25" s="34" customFormat="1" ht="19.5" customHeight="1" x14ac:dyDescent="0.15">
      <c r="A41" s="67" t="str">
        <f>IFERROR(IF(HLOOKUP($N$5,RangeUnitsets,O41,FALSE)=0,"",HLOOKUP($N$5,RangeUnitsets,O41,FALSE)),"")</f>
        <v/>
      </c>
      <c r="B41" s="65" t="str">
        <f>IFERROR(IF(VLOOKUP($A41,TableHandbook[],B$2,FALSE)=0,"",VLOOKUP($A41,TableHandbook[],B$2,FALSE)),"")</f>
        <v/>
      </c>
      <c r="C41" s="65" t="str">
        <f>IFERROR(IF(VLOOKUP($A41,TableHandbook[],C$2,FALSE)=0,"",VLOOKUP($A41,TableHandbook[],C$2,FALSE)),"")</f>
        <v/>
      </c>
      <c r="D41" s="254" t="str">
        <f>IFERROR(IF(VLOOKUP($A41,TableHandbook[],D$2,FALSE)=0,"",VLOOKUP($A41,TableHandbook[],D$2,FALSE)),"")</f>
        <v/>
      </c>
      <c r="E41" s="65" t="str">
        <f>IF(A41="","",E40)</f>
        <v/>
      </c>
      <c r="F41" s="62" t="str">
        <f>IFERROR(IF(VLOOKUP($A41,TableHandbook[],F$2,FALSE)=0,"",VLOOKUP($A41,TableHandbook[],F$2,FALSE)),"")</f>
        <v/>
      </c>
      <c r="G41" s="63" t="str">
        <f>IFERROR(IF(VLOOKUP($A41,TableHandbook[],G$2,FALSE)=0,"",VLOOKUP($A41,TableHandbook[],G$2,FALSE)),"")</f>
        <v/>
      </c>
      <c r="H41" s="71" t="str">
        <f>IFERROR(VLOOKUP($A41,TableHandbook[],H$2,FALSE),"")</f>
        <v/>
      </c>
      <c r="I41" s="63" t="str">
        <f>IFERROR(VLOOKUP($A41,TableHandbook[],I$2,FALSE),"")</f>
        <v/>
      </c>
      <c r="J41" s="228" t="str">
        <f>IFERROR(VLOOKUP($A41,TableHandbook[],J$2,FALSE),"")</f>
        <v/>
      </c>
      <c r="K41" s="63" t="str">
        <f>IFERROR(VLOOKUP($A41,TableHandbook[],K$2,FALSE),"")</f>
        <v/>
      </c>
      <c r="L41" s="63" t="str">
        <f>IFERROR(VLOOKUP($A41,TableHandbook[],L$2,FALSE),"")</f>
        <v/>
      </c>
      <c r="M41" s="72" t="str">
        <f>IFERROR(VLOOKUP($A41,TableHandbook[],M$2,FALSE),"")</f>
        <v/>
      </c>
      <c r="N41" s="69"/>
      <c r="O41" s="184">
        <v>28</v>
      </c>
      <c r="P41" s="185"/>
      <c r="Q41" s="185"/>
      <c r="X41" s="33"/>
      <c r="Y41" s="33"/>
    </row>
    <row r="42" spans="1:25" s="34" customFormat="1" ht="19.5" customHeight="1" x14ac:dyDescent="0.15">
      <c r="A42" s="67" t="str">
        <f>IFERROR(IF(HLOOKUP($N$5,RangeUnitsets,O42,FALSE)=0,"",HLOOKUP($N$5,RangeUnitsets,O42,FALSE)),"")</f>
        <v/>
      </c>
      <c r="B42" s="65" t="str">
        <f>IFERROR(IF(VLOOKUP($A42,TableHandbook[],B$2,FALSE)=0,"",VLOOKUP($A42,TableHandbook[],B$2,FALSE)),"")</f>
        <v/>
      </c>
      <c r="C42" s="65" t="str">
        <f>IFERROR(IF(VLOOKUP($A42,TableHandbook[],C$2,FALSE)=0,"",VLOOKUP($A42,TableHandbook[],C$2,FALSE)),"")</f>
        <v/>
      </c>
      <c r="D42" s="254" t="str">
        <f>IFERROR(IF(VLOOKUP($A42,TableHandbook[],D$2,FALSE)=0,"",VLOOKUP($A42,TableHandbook[],D$2,FALSE)),"")</f>
        <v/>
      </c>
      <c r="E42" s="65" t="str">
        <f>IF(A42="","",E41)</f>
        <v/>
      </c>
      <c r="F42" s="62" t="str">
        <f>IFERROR(IF(VLOOKUP($A42,TableHandbook[],F$2,FALSE)=0,"",VLOOKUP($A42,TableHandbook[],F$2,FALSE)),"")</f>
        <v/>
      </c>
      <c r="G42" s="63" t="str">
        <f>IFERROR(IF(VLOOKUP($A42,TableHandbook[],G$2,FALSE)=0,"",VLOOKUP($A42,TableHandbook[],G$2,FALSE)),"")</f>
        <v/>
      </c>
      <c r="H42" s="71" t="str">
        <f>IFERROR(VLOOKUP($A42,TableHandbook[],H$2,FALSE),"")</f>
        <v/>
      </c>
      <c r="I42" s="63" t="str">
        <f>IFERROR(VLOOKUP($A42,TableHandbook[],I$2,FALSE),"")</f>
        <v/>
      </c>
      <c r="J42" s="228" t="str">
        <f>IFERROR(VLOOKUP($A42,TableHandbook[],J$2,FALSE),"")</f>
        <v/>
      </c>
      <c r="K42" s="63" t="str">
        <f>IFERROR(VLOOKUP($A42,TableHandbook[],K$2,FALSE),"")</f>
        <v/>
      </c>
      <c r="L42" s="63" t="str">
        <f>IFERROR(VLOOKUP($A42,TableHandbook[],L$2,FALSE),"")</f>
        <v/>
      </c>
      <c r="M42" s="72" t="str">
        <f>IFERROR(VLOOKUP($A42,TableHandbook[],M$2,FALSE),"")</f>
        <v/>
      </c>
      <c r="N42" s="69"/>
      <c r="O42" s="184">
        <v>29</v>
      </c>
      <c r="P42" s="185"/>
      <c r="Q42" s="185"/>
      <c r="X42" s="33"/>
      <c r="Y42" s="33"/>
    </row>
    <row r="43" spans="1:25" s="34" customFormat="1" ht="5.0999999999999996" customHeight="1" x14ac:dyDescent="0.15">
      <c r="A43" s="241"/>
      <c r="B43" s="242"/>
      <c r="C43" s="242"/>
      <c r="D43" s="256"/>
      <c r="E43" s="242"/>
      <c r="F43" s="244"/>
      <c r="G43" s="242"/>
      <c r="H43" s="245"/>
      <c r="I43" s="242"/>
      <c r="J43" s="246"/>
      <c r="K43" s="242"/>
      <c r="L43" s="242"/>
      <c r="M43" s="247"/>
      <c r="N43" s="247"/>
      <c r="O43" s="186"/>
      <c r="P43" s="185"/>
      <c r="Q43" s="185"/>
      <c r="R43" s="185"/>
      <c r="X43" s="33"/>
      <c r="Y43" s="33"/>
    </row>
    <row r="44" spans="1:25" s="34" customFormat="1" ht="19.5" customHeight="1" x14ac:dyDescent="0.15">
      <c r="A44" s="67" t="str">
        <f>IFERROR(IF(HLOOKUP($N$5,RangeUnitsets,O44,FALSE)=0,"",HLOOKUP($N$5,RangeUnitsets,O44,FALSE)),"")</f>
        <v/>
      </c>
      <c r="B44" s="65" t="str">
        <f>IFERROR(IF(VLOOKUP($A44,TableHandbook[],B$2,FALSE)=0,"",VLOOKUP($A44,TableHandbook[],B$2,FALSE)),"")</f>
        <v/>
      </c>
      <c r="C44" s="65" t="str">
        <f>IFERROR(IF(VLOOKUP($A44,TableHandbook[],C$2,FALSE)=0,"",VLOOKUP($A44,TableHandbook[],C$2,FALSE)),"")</f>
        <v/>
      </c>
      <c r="D44" s="254" t="str">
        <f>IFERROR(IF(VLOOKUP($A44,TableHandbook[],D$2,FALSE)=0,"",VLOOKUP($A44,TableHandbook[],D$2,FALSE)),"")</f>
        <v/>
      </c>
      <c r="E44" s="65"/>
      <c r="F44" s="62" t="str">
        <f>IFERROR(IF(VLOOKUP($A44,TableHandbook[],F$2,FALSE)=0,"",VLOOKUP($A44,TableHandbook[],F$2,FALSE)),"")</f>
        <v/>
      </c>
      <c r="G44" s="63" t="str">
        <f>IFERROR(IF(VLOOKUP($A44,TableHandbook[],G$2,FALSE)=0,"",VLOOKUP($A44,TableHandbook[],G$2,FALSE)),"")</f>
        <v/>
      </c>
      <c r="H44" s="71" t="str">
        <f>IFERROR(VLOOKUP($A44,TableHandbook[],H$2,FALSE),"")</f>
        <v/>
      </c>
      <c r="I44" s="63" t="str">
        <f>IFERROR(VLOOKUP($A44,TableHandbook[],I$2,FALSE),"")</f>
        <v/>
      </c>
      <c r="J44" s="228" t="str">
        <f>IFERROR(VLOOKUP($A44,TableHandbook[],J$2,FALSE),"")</f>
        <v/>
      </c>
      <c r="K44" s="63" t="str">
        <f>IFERROR(VLOOKUP($A44,TableHandbook[],K$2,FALSE),"")</f>
        <v/>
      </c>
      <c r="L44" s="63" t="str">
        <f>IFERROR(VLOOKUP($A44,TableHandbook[],L$2,FALSE),"")</f>
        <v/>
      </c>
      <c r="M44" s="72" t="str">
        <f>IFERROR(VLOOKUP($A44,TableHandbook[],M$2,FALSE),"")</f>
        <v/>
      </c>
      <c r="N44" s="69"/>
      <c r="O44" s="184">
        <v>30</v>
      </c>
      <c r="P44" s="185"/>
      <c r="Q44" s="185"/>
      <c r="X44" s="33"/>
      <c r="Y44" s="33"/>
    </row>
    <row r="45" spans="1:25" s="34" customFormat="1" ht="19.5" customHeight="1" x14ac:dyDescent="0.15">
      <c r="A45" s="67" t="str">
        <f>IFERROR(IF(HLOOKUP($N$5,RangeUnitsets,O45,FALSE)=0,"",HLOOKUP($N$5,RangeUnitsets,O45,FALSE)),"")</f>
        <v/>
      </c>
      <c r="B45" s="65" t="str">
        <f>IFERROR(IF(VLOOKUP($A45,TableHandbook[],B$2,FALSE)=0,"",VLOOKUP($A45,TableHandbook[],B$2,FALSE)),"")</f>
        <v/>
      </c>
      <c r="C45" s="65" t="str">
        <f>IFERROR(IF(VLOOKUP($A45,TableHandbook[],C$2,FALSE)=0,"",VLOOKUP($A45,TableHandbook[],C$2,FALSE)),"")</f>
        <v/>
      </c>
      <c r="D45" s="254" t="str">
        <f>IFERROR(IF(VLOOKUP($A45,TableHandbook[],D$2,FALSE)=0,"",VLOOKUP($A45,TableHandbook[],D$2,FALSE)),"")</f>
        <v/>
      </c>
      <c r="E45" s="65"/>
      <c r="F45" s="62" t="str">
        <f>IFERROR(IF(VLOOKUP($A45,TableHandbook[],F$2,FALSE)=0,"",VLOOKUP($A45,TableHandbook[],F$2,FALSE)),"")</f>
        <v/>
      </c>
      <c r="G45" s="63" t="str">
        <f>IFERROR(IF(VLOOKUP($A45,TableHandbook[],G$2,FALSE)=0,"",VLOOKUP($A45,TableHandbook[],G$2,FALSE)),"")</f>
        <v/>
      </c>
      <c r="H45" s="71" t="str">
        <f>IFERROR(VLOOKUP($A45,TableHandbook[],H$2,FALSE),"")</f>
        <v/>
      </c>
      <c r="I45" s="63" t="str">
        <f>IFERROR(VLOOKUP($A45,TableHandbook[],I$2,FALSE),"")</f>
        <v/>
      </c>
      <c r="J45" s="228" t="str">
        <f>IFERROR(VLOOKUP($A45,TableHandbook[],J$2,FALSE),"")</f>
        <v/>
      </c>
      <c r="K45" s="63" t="str">
        <f>IFERROR(VLOOKUP($A45,TableHandbook[],K$2,FALSE),"")</f>
        <v/>
      </c>
      <c r="L45" s="63" t="str">
        <f>IFERROR(VLOOKUP($A45,TableHandbook[],L$2,FALSE),"")</f>
        <v/>
      </c>
      <c r="M45" s="72" t="str">
        <f>IFERROR(VLOOKUP($A45,TableHandbook[],M$2,FALSE),"")</f>
        <v/>
      </c>
      <c r="N45" s="69"/>
      <c r="O45" s="184">
        <v>31</v>
      </c>
      <c r="P45" s="185"/>
      <c r="Q45" s="185"/>
      <c r="X45" s="33"/>
      <c r="Y45" s="33"/>
    </row>
    <row r="46" spans="1:25" s="46" customFormat="1" ht="13.9" customHeight="1" x14ac:dyDescent="0.2">
      <c r="A46" s="47"/>
      <c r="B46" s="47"/>
      <c r="C46" s="47"/>
      <c r="D46" s="48"/>
      <c r="E46" s="48"/>
      <c r="F46" s="43"/>
      <c r="G46" s="43"/>
      <c r="H46" s="43"/>
      <c r="I46" s="43"/>
      <c r="J46" s="43"/>
      <c r="K46" s="43"/>
      <c r="L46" s="43"/>
      <c r="M46" s="43"/>
      <c r="N46" s="257"/>
      <c r="O46" s="188"/>
      <c r="P46" s="188"/>
      <c r="Q46" s="188"/>
      <c r="X46" s="45"/>
      <c r="Y46" s="45"/>
    </row>
    <row r="47" spans="1:25" ht="16.5" x14ac:dyDescent="0.25">
      <c r="A47" s="169" t="s">
        <v>37</v>
      </c>
      <c r="B47" s="170"/>
      <c r="C47" s="170"/>
      <c r="D47" s="170" t="s">
        <v>38</v>
      </c>
      <c r="E47" s="172"/>
      <c r="F47" s="172"/>
      <c r="G47" s="172"/>
      <c r="H47" s="173" t="str">
        <f>H7</f>
        <v>2025 Availabilities</v>
      </c>
      <c r="I47" s="174"/>
      <c r="J47" s="174"/>
      <c r="K47" s="174"/>
      <c r="L47" s="169"/>
      <c r="M47" s="169"/>
      <c r="N47" s="259" t="str">
        <f>VLOOKUP(D5,TableCourses[],2,FALSE)</f>
        <v>B-EDEC</v>
      </c>
      <c r="X47" s="28"/>
      <c r="Y47" s="28"/>
    </row>
    <row r="48" spans="1:25" s="50" customFormat="1" ht="21" x14ac:dyDescent="0.25">
      <c r="A48" s="175"/>
      <c r="B48" s="175"/>
      <c r="C48" s="175"/>
      <c r="D48" s="176" t="s">
        <v>3</v>
      </c>
      <c r="E48" s="175"/>
      <c r="F48" s="290" t="s">
        <v>19</v>
      </c>
      <c r="G48" s="175" t="s">
        <v>20</v>
      </c>
      <c r="H48" s="230" t="str">
        <f>H$8</f>
        <v>Sem1 BEN</v>
      </c>
      <c r="I48" s="177" t="str">
        <f t="shared" ref="I48:N48" si="3">I$8</f>
        <v>Sem1 FO</v>
      </c>
      <c r="J48" s="231" t="str">
        <f t="shared" si="3"/>
        <v>Sem1 KAL</v>
      </c>
      <c r="K48" s="177" t="str">
        <f t="shared" si="3"/>
        <v>Sem2 BEN</v>
      </c>
      <c r="L48" s="177" t="str">
        <f t="shared" si="3"/>
        <v>Sem2 FO</v>
      </c>
      <c r="M48" s="177" t="str">
        <f t="shared" si="3"/>
        <v>Sem2 KAL</v>
      </c>
      <c r="N48" s="178" t="str">
        <f t="shared" si="3"/>
        <v>Notes / Progress</v>
      </c>
      <c r="X48" s="49"/>
      <c r="Y48" s="49"/>
    </row>
    <row r="49" spans="1:25" x14ac:dyDescent="0.25">
      <c r="A49" s="51" t="str">
        <f t="shared" ref="A49:A74" si="4">IFERROR(IF(HLOOKUP($N$47,RangeOptions,$O49,FALSE)=0,"",HLOOKUP($N$47,RangeOptions,$O49,FALSE)),"")</f>
        <v>OiSTEM</v>
      </c>
      <c r="B49" s="52" t="str">
        <f>IFERROR(IF(VLOOKUP($A49,TableHandbook[],2,FALSE)=0,"",VLOOKUP($A49,TableHandbook[],2,FALSE)),"")</f>
        <v/>
      </c>
      <c r="C49" s="53" t="str">
        <f>IFERROR(IF(VLOOKUP($A49,TableHandbook[],3,FALSE)=0,"",VLOOKUP($A49,TableHandbook[],3,FALSE)),"")</f>
        <v/>
      </c>
      <c r="D49" s="54" t="str">
        <f>IFERROR(IF(VLOOKUP($A49,TableHandbook[],4,FALSE)=0,"",VLOOKUP($A49,TableHandbook[],4,FALSE)),"")</f>
        <v>iSTEM Options</v>
      </c>
      <c r="E49" s="54"/>
      <c r="F49" s="291" t="str">
        <f>IFERROR(IF(VLOOKUP($A49,TableHandbook[],6,FALSE)=0,"",VLOOKUP($A49,TableHandbook[],6,FALSE)),"")</f>
        <v>-</v>
      </c>
      <c r="G49" s="55" t="str">
        <f>IFERROR(IF(VLOOKUP($A49,TableHandbook[],5,FALSE)=0,"",VLOOKUP($A49,TableHandbook[],5,FALSE)),"")</f>
        <v/>
      </c>
      <c r="H49" s="71" t="str">
        <f>IFERROR(VLOOKUP($A49,TableHandbook[],H$2,FALSE),"")</f>
        <v/>
      </c>
      <c r="I49" s="63" t="str">
        <f>IFERROR(VLOOKUP($A49,TableHandbook[],I$2,FALSE),"")</f>
        <v/>
      </c>
      <c r="J49" s="228" t="str">
        <f>IFERROR(VLOOKUP($A49,TableHandbook[],J$2,FALSE),"")</f>
        <v/>
      </c>
      <c r="K49" s="63" t="str">
        <f>IFERROR(VLOOKUP($A49,TableHandbook[],K$2,FALSE),"")</f>
        <v/>
      </c>
      <c r="L49" s="63" t="str">
        <f>IFERROR(VLOOKUP($A49,TableHandbook[],L$2,FALSE),"")</f>
        <v/>
      </c>
      <c r="M49" s="72" t="str">
        <f>IFERROR(VLOOKUP($A49,TableHandbook[],M$2,FALSE),"")</f>
        <v/>
      </c>
      <c r="N49" s="64"/>
      <c r="O49" s="184">
        <v>2</v>
      </c>
      <c r="X49" s="28"/>
      <c r="Y49" s="28"/>
    </row>
    <row r="50" spans="1:25" x14ac:dyDescent="0.25">
      <c r="A50" s="51" t="str">
        <f t="shared" si="4"/>
        <v>EDUC4021</v>
      </c>
      <c r="B50" s="52">
        <f>IFERROR(IF(VLOOKUP($A50,TableHandbook[],2,FALSE)=0,"",VLOOKUP($A50,TableHandbook[],2,FALSE)),"")</f>
        <v>1</v>
      </c>
      <c r="C50" s="53" t="str">
        <f>IFERROR(IF(VLOOKUP($A50,TableHandbook[],3,FALSE)=0,"",VLOOKUP($A50,TableHandbook[],3,FALSE)),"")</f>
        <v/>
      </c>
      <c r="D50" s="53" t="str">
        <f>IFERROR(IF(VLOOKUP($A50,TableHandbook[],4,FALSE)=0,"",VLOOKUP($A50,TableHandbook[],4,FALSE)),"")</f>
        <v>Project-based iSTEM Education</v>
      </c>
      <c r="E50" s="54"/>
      <c r="F50" s="292" t="str">
        <f>IFERROR(IF(VLOOKUP($A50,TableHandbook[],6,FALSE)=0,"",VLOOKUP($A50,TableHandbook[],6,FALSE)),"")</f>
        <v>Nil</v>
      </c>
      <c r="G50" s="55">
        <f>IFERROR(IF(VLOOKUP($A50,TableHandbook[],5,FALSE)=0,"",VLOOKUP($A50,TableHandbook[],5,FALSE)),"")</f>
        <v>25</v>
      </c>
      <c r="H50" s="71" t="str">
        <f>IFERROR(VLOOKUP($A50,TableHandbook[],H$2,FALSE),"")</f>
        <v/>
      </c>
      <c r="I50" s="63" t="str">
        <f>IFERROR(VLOOKUP($A50,TableHandbook[],I$2,FALSE),"")</f>
        <v/>
      </c>
      <c r="J50" s="228" t="str">
        <f>IFERROR(VLOOKUP($A50,TableHandbook[],J$2,FALSE),"")</f>
        <v/>
      </c>
      <c r="K50" s="63" t="str">
        <f>IFERROR(VLOOKUP($A50,TableHandbook[],K$2,FALSE),"")</f>
        <v>Y</v>
      </c>
      <c r="L50" s="63" t="str">
        <f>IFERROR(VLOOKUP($A50,TableHandbook[],L$2,FALSE),"")</f>
        <v>Y</v>
      </c>
      <c r="M50" s="72" t="str">
        <f>IFERROR(VLOOKUP($A50,TableHandbook[],M$2,FALSE),"")</f>
        <v/>
      </c>
      <c r="N50" s="70"/>
      <c r="O50" s="184">
        <v>3</v>
      </c>
      <c r="X50" s="28"/>
      <c r="Y50" s="28"/>
    </row>
    <row r="51" spans="1:25" x14ac:dyDescent="0.25">
      <c r="A51" s="51" t="str">
        <f t="shared" si="4"/>
        <v>EDUC4032</v>
      </c>
      <c r="B51" s="52">
        <f>IFERROR(IF(VLOOKUP($A51,TableHandbook[],2,FALSE)=0,"",VLOOKUP($A51,TableHandbook[],2,FALSE)),"")</f>
        <v>1</v>
      </c>
      <c r="C51" s="53" t="str">
        <f>IFERROR(IF(VLOOKUP($A51,TableHandbook[],3,FALSE)=0,"",VLOOKUP($A51,TableHandbook[],3,FALSE)),"")</f>
        <v/>
      </c>
      <c r="D51" s="53" t="str">
        <f>IFERROR(IF(VLOOKUP($A51,TableHandbook[],4,FALSE)=0,"",VLOOKUP($A51,TableHandbook[],4,FALSE)),"")</f>
        <v>iSTEM Education through Digital Stories</v>
      </c>
      <c r="E51" s="54"/>
      <c r="F51" s="292" t="str">
        <f>IFERROR(IF(VLOOKUP($A51,TableHandbook[],6,FALSE)=0,"",VLOOKUP($A51,TableHandbook[],6,FALSE)),"")</f>
        <v>Nil</v>
      </c>
      <c r="G51" s="55">
        <f>IFERROR(IF(VLOOKUP($A51,TableHandbook[],5,FALSE)=0,"",VLOOKUP($A51,TableHandbook[],5,FALSE)),"")</f>
        <v>25</v>
      </c>
      <c r="H51" s="71" t="str">
        <f>IFERROR(VLOOKUP($A51,TableHandbook[],H$2,FALSE),"")</f>
        <v/>
      </c>
      <c r="I51" s="63" t="str">
        <f>IFERROR(VLOOKUP($A51,TableHandbook[],I$2,FALSE),"")</f>
        <v>Y</v>
      </c>
      <c r="J51" s="228" t="str">
        <f>IFERROR(VLOOKUP($A51,TableHandbook[],J$2,FALSE),"")</f>
        <v/>
      </c>
      <c r="K51" s="63" t="str">
        <f>IFERROR(VLOOKUP($A51,TableHandbook[],K$2,FALSE),"")</f>
        <v/>
      </c>
      <c r="L51" s="63" t="str">
        <f>IFERROR(VLOOKUP($A51,TableHandbook[],L$2,FALSE),"")</f>
        <v/>
      </c>
      <c r="M51" s="72" t="str">
        <f>IFERROR(VLOOKUP($A51,TableHandbook[],M$2,FALSE),"")</f>
        <v/>
      </c>
      <c r="N51" s="70"/>
      <c r="O51" s="184">
        <v>4</v>
      </c>
      <c r="X51" s="28"/>
      <c r="Y51" s="28"/>
    </row>
    <row r="52" spans="1:25" x14ac:dyDescent="0.25">
      <c r="A52" s="51" t="str">
        <f t="shared" si="4"/>
        <v>EDUC4034</v>
      </c>
      <c r="B52" s="52">
        <f>IFERROR(IF(VLOOKUP($A52,TableHandbook[],2,FALSE)=0,"",VLOOKUP($A52,TableHandbook[],2,FALSE)),"")</f>
        <v>1</v>
      </c>
      <c r="C52" s="53" t="str">
        <f>IFERROR(IF(VLOOKUP($A52,TableHandbook[],3,FALSE)=0,"",VLOOKUP($A52,TableHandbook[],3,FALSE)),"")</f>
        <v/>
      </c>
      <c r="D52" s="53" t="str">
        <f>IFERROR(IF(VLOOKUP($A52,TableHandbook[],4,FALSE)=0,"",VLOOKUP($A52,TableHandbook[],4,FALSE)),"")</f>
        <v>iSTEM: Social Issues</v>
      </c>
      <c r="E52" s="54"/>
      <c r="F52" s="292" t="str">
        <f>IFERROR(IF(VLOOKUP($A52,TableHandbook[],6,FALSE)=0,"",VLOOKUP($A52,TableHandbook[],6,FALSE)),"")</f>
        <v>Nil</v>
      </c>
      <c r="G52" s="55">
        <f>IFERROR(IF(VLOOKUP($A52,TableHandbook[],5,FALSE)=0,"",VLOOKUP($A52,TableHandbook[],5,FALSE)),"")</f>
        <v>25</v>
      </c>
      <c r="H52" s="71" t="str">
        <f>IFERROR(VLOOKUP($A52,TableHandbook[],H$2,FALSE),"")</f>
        <v>Y</v>
      </c>
      <c r="I52" s="63" t="str">
        <f>IFERROR(VLOOKUP($A52,TableHandbook[],I$2,FALSE),"")</f>
        <v>Y</v>
      </c>
      <c r="J52" s="228" t="str">
        <f>IFERROR(VLOOKUP($A52,TableHandbook[],J$2,FALSE),"")</f>
        <v/>
      </c>
      <c r="K52" s="63" t="str">
        <f>IFERROR(VLOOKUP($A52,TableHandbook[],K$2,FALSE),"")</f>
        <v/>
      </c>
      <c r="L52" s="63" t="str">
        <f>IFERROR(VLOOKUP($A52,TableHandbook[],L$2,FALSE),"")</f>
        <v/>
      </c>
      <c r="M52" s="72" t="str">
        <f>IFERROR(VLOOKUP($A52,TableHandbook[],M$2,FALSE),"")</f>
        <v/>
      </c>
      <c r="N52" s="70"/>
      <c r="O52" s="184">
        <v>5</v>
      </c>
      <c r="X52" s="28"/>
      <c r="Y52" s="28"/>
    </row>
    <row r="53" spans="1:25" x14ac:dyDescent="0.25">
      <c r="A53" s="51" t="str">
        <f t="shared" si="4"/>
        <v>OELL</v>
      </c>
      <c r="B53" s="52" t="str">
        <f>IFERROR(IF(VLOOKUP($A53,TableHandbook[],2,FALSE)=0,"",VLOOKUP($A53,TableHandbook[],2,FALSE)),"")</f>
        <v/>
      </c>
      <c r="C53" s="53" t="str">
        <f>IFERROR(IF(VLOOKUP($A53,TableHandbook[],3,FALSE)=0,"",VLOOKUP($A53,TableHandbook[],3,FALSE)),"")</f>
        <v/>
      </c>
      <c r="D53" s="53" t="str">
        <f>IFERROR(IF(VLOOKUP($A53,TableHandbook[],4,FALSE)=0,"",VLOOKUP($A53,TableHandbook[],4,FALSE)),"")</f>
        <v>English Language and Literacy Options</v>
      </c>
      <c r="E53" s="54"/>
      <c r="F53" s="292" t="str">
        <f>IFERROR(IF(VLOOKUP($A53,TableHandbook[],6,FALSE)=0,"",VLOOKUP($A53,TableHandbook[],6,FALSE)),"")</f>
        <v>-</v>
      </c>
      <c r="G53" s="55" t="str">
        <f>IFERROR(IF(VLOOKUP($A53,TableHandbook[],5,FALSE)=0,"",VLOOKUP($A53,TableHandbook[],5,FALSE)),"")</f>
        <v/>
      </c>
      <c r="H53" s="71" t="str">
        <f>IFERROR(VLOOKUP($A53,TableHandbook[],H$2,FALSE),"")</f>
        <v/>
      </c>
      <c r="I53" s="63" t="str">
        <f>IFERROR(VLOOKUP($A53,TableHandbook[],I$2,FALSE),"")</f>
        <v/>
      </c>
      <c r="J53" s="228" t="str">
        <f>IFERROR(VLOOKUP($A53,TableHandbook[],J$2,FALSE),"")</f>
        <v/>
      </c>
      <c r="K53" s="63" t="str">
        <f>IFERROR(VLOOKUP($A53,TableHandbook[],K$2,FALSE),"")</f>
        <v/>
      </c>
      <c r="L53" s="63" t="str">
        <f>IFERROR(VLOOKUP($A53,TableHandbook[],L$2,FALSE),"")</f>
        <v/>
      </c>
      <c r="M53" s="72" t="str">
        <f>IFERROR(VLOOKUP($A53,TableHandbook[],M$2,FALSE),"")</f>
        <v/>
      </c>
      <c r="N53" s="70"/>
      <c r="O53" s="184">
        <v>6</v>
      </c>
      <c r="X53" s="28"/>
      <c r="Y53" s="28"/>
    </row>
    <row r="54" spans="1:25" x14ac:dyDescent="0.25">
      <c r="A54" s="51" t="str">
        <f t="shared" si="4"/>
        <v>EDUC4022</v>
      </c>
      <c r="B54" s="52">
        <f>IFERROR(IF(VLOOKUP($A54,TableHandbook[],2,FALSE)=0,"",VLOOKUP($A54,TableHandbook[],2,FALSE)),"")</f>
        <v>1</v>
      </c>
      <c r="C54" s="53" t="str">
        <f>IFERROR(IF(VLOOKUP($A54,TableHandbook[],3,FALSE)=0,"",VLOOKUP($A54,TableHandbook[],3,FALSE)),"")</f>
        <v/>
      </c>
      <c r="D54" s="53" t="str">
        <f>IFERROR(IF(VLOOKUP($A54,TableHandbook[],4,FALSE)=0,"",VLOOKUP($A54,TableHandbook[],4,FALSE)),"")</f>
        <v>Creative Literacies</v>
      </c>
      <c r="E54" s="54"/>
      <c r="F54" s="292" t="str">
        <f>IFERROR(IF(VLOOKUP($A54,TableHandbook[],6,FALSE)=0,"",VLOOKUP($A54,TableHandbook[],6,FALSE)),"")</f>
        <v>Nil</v>
      </c>
      <c r="G54" s="55">
        <f>IFERROR(IF(VLOOKUP($A54,TableHandbook[],5,FALSE)=0,"",VLOOKUP($A54,TableHandbook[],5,FALSE)),"")</f>
        <v>25</v>
      </c>
      <c r="H54" s="71" t="str">
        <f>IFERROR(VLOOKUP($A54,TableHandbook[],H$2,FALSE),"")</f>
        <v>Y</v>
      </c>
      <c r="I54" s="63" t="str">
        <f>IFERROR(VLOOKUP($A54,TableHandbook[],I$2,FALSE),"")</f>
        <v>Y</v>
      </c>
      <c r="J54" s="228" t="str">
        <f>IFERROR(VLOOKUP($A54,TableHandbook[],J$2,FALSE),"")</f>
        <v/>
      </c>
      <c r="K54" s="63" t="str">
        <f>IFERROR(VLOOKUP($A54,TableHandbook[],K$2,FALSE),"")</f>
        <v/>
      </c>
      <c r="L54" s="63" t="str">
        <f>IFERROR(VLOOKUP($A54,TableHandbook[],L$2,FALSE),"")</f>
        <v/>
      </c>
      <c r="M54" s="72" t="str">
        <f>IFERROR(VLOOKUP($A54,TableHandbook[],M$2,FALSE),"")</f>
        <v/>
      </c>
      <c r="N54" s="70"/>
      <c r="O54" s="184">
        <v>7</v>
      </c>
      <c r="X54" s="28"/>
      <c r="Y54" s="28"/>
    </row>
    <row r="55" spans="1:25" x14ac:dyDescent="0.25">
      <c r="A55" s="51" t="str">
        <f t="shared" si="4"/>
        <v>EDUC4023</v>
      </c>
      <c r="B55" s="52">
        <f>IFERROR(IF(VLOOKUP($A55,TableHandbook[],2,FALSE)=0,"",VLOOKUP($A55,TableHandbook[],2,FALSE)),"")</f>
        <v>1</v>
      </c>
      <c r="C55" s="53" t="str">
        <f>IFERROR(IF(VLOOKUP($A55,TableHandbook[],3,FALSE)=0,"",VLOOKUP($A55,TableHandbook[],3,FALSE)),"")</f>
        <v/>
      </c>
      <c r="D55" s="53" t="str">
        <f>IFERROR(IF(VLOOKUP($A55,TableHandbook[],4,FALSE)=0,"",VLOOKUP($A55,TableHandbook[],4,FALSE)),"")</f>
        <v>Creating and Responding to Literature</v>
      </c>
      <c r="E55" s="53"/>
      <c r="F55" s="292" t="str">
        <f>IFERROR(IF(VLOOKUP($A55,TableHandbook[],6,FALSE)=0,"",VLOOKUP($A55,TableHandbook[],6,FALSE)),"")</f>
        <v>Nil</v>
      </c>
      <c r="G55" s="83">
        <f>IFERROR(IF(VLOOKUP($A55,TableHandbook[],5,FALSE)=0,"",VLOOKUP($A55,TableHandbook[],5,FALSE)),"")</f>
        <v>25</v>
      </c>
      <c r="H55" s="71" t="str">
        <f>IFERROR(VLOOKUP($A55,TableHandbook[],H$2,FALSE),"")</f>
        <v/>
      </c>
      <c r="I55" s="63" t="str">
        <f>IFERROR(VLOOKUP($A55,TableHandbook[],I$2,FALSE),"")</f>
        <v/>
      </c>
      <c r="J55" s="228" t="str">
        <f>IFERROR(VLOOKUP($A55,TableHandbook[],J$2,FALSE),"")</f>
        <v/>
      </c>
      <c r="K55" s="63" t="str">
        <f>IFERROR(VLOOKUP($A55,TableHandbook[],K$2,FALSE),"")</f>
        <v>Y</v>
      </c>
      <c r="L55" s="63" t="str">
        <f>IFERROR(VLOOKUP($A55,TableHandbook[],L$2,FALSE),"")</f>
        <v>Y</v>
      </c>
      <c r="M55" s="72" t="str">
        <f>IFERROR(VLOOKUP($A55,TableHandbook[],M$2,FALSE),"")</f>
        <v/>
      </c>
      <c r="N55" s="69"/>
      <c r="O55" s="184">
        <v>8</v>
      </c>
      <c r="X55" s="28"/>
      <c r="Y55" s="28"/>
    </row>
    <row r="56" spans="1:25" x14ac:dyDescent="0.25">
      <c r="A56" s="51" t="str">
        <f t="shared" si="4"/>
        <v>EDUC4036</v>
      </c>
      <c r="B56" s="52">
        <f>IFERROR(IF(VLOOKUP($A56,TableHandbook[],2,FALSE)=0,"",VLOOKUP($A56,TableHandbook[],2,FALSE)),"")</f>
        <v>1</v>
      </c>
      <c r="C56" s="53" t="str">
        <f>IFERROR(IF(VLOOKUP($A56,TableHandbook[],3,FALSE)=0,"",VLOOKUP($A56,TableHandbook[],3,FALSE)),"")</f>
        <v/>
      </c>
      <c r="D56" s="53" t="str">
        <f>IFERROR(IF(VLOOKUP($A56,TableHandbook[],4,FALSE)=0,"",VLOOKUP($A56,TableHandbook[],4,FALSE)),"")</f>
        <v>Language and Diversity</v>
      </c>
      <c r="E56" s="54"/>
      <c r="F56" s="292" t="str">
        <f>IFERROR(IF(VLOOKUP($A56,TableHandbook[],6,FALSE)=0,"",VLOOKUP($A56,TableHandbook[],6,FALSE)),"")</f>
        <v>Nil</v>
      </c>
      <c r="G56" s="55">
        <f>IFERROR(IF(VLOOKUP($A56,TableHandbook[],5,FALSE)=0,"",VLOOKUP($A56,TableHandbook[],5,FALSE)),"")</f>
        <v>25</v>
      </c>
      <c r="H56" s="71" t="str">
        <f>IFERROR(VLOOKUP($A56,TableHandbook[],H$2,FALSE),"")</f>
        <v/>
      </c>
      <c r="I56" s="63" t="str">
        <f>IFERROR(VLOOKUP($A56,TableHandbook[],I$2,FALSE),"")</f>
        <v>Y</v>
      </c>
      <c r="J56" s="228" t="str">
        <f>IFERROR(VLOOKUP($A56,TableHandbook[],J$2,FALSE),"")</f>
        <v/>
      </c>
      <c r="K56" s="63" t="str">
        <f>IFERROR(VLOOKUP($A56,TableHandbook[],K$2,FALSE),"")</f>
        <v/>
      </c>
      <c r="L56" s="63" t="str">
        <f>IFERROR(VLOOKUP($A56,TableHandbook[],L$2,FALSE),"")</f>
        <v/>
      </c>
      <c r="M56" s="72" t="str">
        <f>IFERROR(VLOOKUP($A56,TableHandbook[],M$2,FALSE),"")</f>
        <v/>
      </c>
      <c r="N56" s="69"/>
      <c r="O56" s="184">
        <v>9</v>
      </c>
      <c r="X56" s="28"/>
      <c r="Y56" s="28"/>
    </row>
    <row r="57" spans="1:25" x14ac:dyDescent="0.25">
      <c r="A57" s="51" t="str">
        <f t="shared" si="4"/>
        <v>OLNDP</v>
      </c>
      <c r="B57" s="52" t="str">
        <f>IFERROR(IF(VLOOKUP($A57,TableHandbook[],2,FALSE)=0,"",VLOOKUP($A57,TableHandbook[],2,FALSE)),"")</f>
        <v/>
      </c>
      <c r="C57" s="53" t="str">
        <f>IFERROR(IF(VLOOKUP($A57,TableHandbook[],3,FALSE)=0,"",VLOOKUP($A57,TableHandbook[],3,FALSE)),"")</f>
        <v/>
      </c>
      <c r="D57" s="53" t="str">
        <f>IFERROR(IF(VLOOKUP($A57,TableHandbook[],4,FALSE)=0,"",VLOOKUP($A57,TableHandbook[],4,FALSE)),"")</f>
        <v>Literacy and Numeracy in Diverse Populations Options</v>
      </c>
      <c r="E57" s="54"/>
      <c r="F57" s="292" t="str">
        <f>IFERROR(IF(VLOOKUP($A57,TableHandbook[],6,FALSE)=0,"",VLOOKUP($A57,TableHandbook[],6,FALSE)),"")</f>
        <v>-</v>
      </c>
      <c r="G57" s="55" t="str">
        <f>IFERROR(IF(VLOOKUP($A57,TableHandbook[],5,FALSE)=0,"",VLOOKUP($A57,TableHandbook[],5,FALSE)),"")</f>
        <v/>
      </c>
      <c r="H57" s="71" t="str">
        <f>IFERROR(VLOOKUP($A57,TableHandbook[],H$2,FALSE),"")</f>
        <v/>
      </c>
      <c r="I57" s="63" t="str">
        <f>IFERROR(VLOOKUP($A57,TableHandbook[],I$2,FALSE),"")</f>
        <v/>
      </c>
      <c r="J57" s="228" t="str">
        <f>IFERROR(VLOOKUP($A57,TableHandbook[],J$2,FALSE),"")</f>
        <v/>
      </c>
      <c r="K57" s="63" t="str">
        <f>IFERROR(VLOOKUP($A57,TableHandbook[],K$2,FALSE),"")</f>
        <v/>
      </c>
      <c r="L57" s="63" t="str">
        <f>IFERROR(VLOOKUP($A57,TableHandbook[],L$2,FALSE),"")</f>
        <v/>
      </c>
      <c r="M57" s="72" t="str">
        <f>IFERROR(VLOOKUP($A57,TableHandbook[],M$2,FALSE),"")</f>
        <v/>
      </c>
      <c r="N57" s="70"/>
      <c r="O57" s="184">
        <v>10</v>
      </c>
      <c r="X57" s="28"/>
      <c r="Y57" s="28"/>
    </row>
    <row r="58" spans="1:25" x14ac:dyDescent="0.25">
      <c r="A58" s="51" t="str">
        <f t="shared" si="4"/>
        <v>EDUC4020</v>
      </c>
      <c r="B58" s="52">
        <f>IFERROR(IF(VLOOKUP($A58,TableHandbook[],2,FALSE)=0,"",VLOOKUP($A58,TableHandbook[],2,FALSE)),"")</f>
        <v>1</v>
      </c>
      <c r="C58" s="53" t="str">
        <f>IFERROR(IF(VLOOKUP($A58,TableHandbook[],3,FALSE)=0,"",VLOOKUP($A58,TableHandbook[],3,FALSE)),"")</f>
        <v/>
      </c>
      <c r="D58" s="53" t="str">
        <f>IFERROR(IF(VLOOKUP($A58,TableHandbook[],4,FALSE)=0,"",VLOOKUP($A58,TableHandbook[],4,FALSE)),"")</f>
        <v>Supporting Literacy and Numeracy Development for Diverse Learners</v>
      </c>
      <c r="E58" s="54"/>
      <c r="F58" s="292" t="str">
        <f>IFERROR(IF(VLOOKUP($A58,TableHandbook[],6,FALSE)=0,"",VLOOKUP($A58,TableHandbook[],6,FALSE)),"")</f>
        <v>Nil</v>
      </c>
      <c r="G58" s="55">
        <f>IFERROR(IF(VLOOKUP($A58,TableHandbook[],5,FALSE)=0,"",VLOOKUP($A58,TableHandbook[],5,FALSE)),"")</f>
        <v>25</v>
      </c>
      <c r="H58" s="71" t="str">
        <f>IFERROR(VLOOKUP($A58,TableHandbook[],H$2,FALSE),"")</f>
        <v/>
      </c>
      <c r="I58" s="63" t="str">
        <f>IFERROR(VLOOKUP($A58,TableHandbook[],I$2,FALSE),"")</f>
        <v/>
      </c>
      <c r="J58" s="228" t="str">
        <f>IFERROR(VLOOKUP($A58,TableHandbook[],J$2,FALSE),"")</f>
        <v/>
      </c>
      <c r="K58" s="63" t="str">
        <f>IFERROR(VLOOKUP($A58,TableHandbook[],K$2,FALSE),"")</f>
        <v>Y</v>
      </c>
      <c r="L58" s="63" t="str">
        <f>IFERROR(VLOOKUP($A58,TableHandbook[],L$2,FALSE),"")</f>
        <v>Y</v>
      </c>
      <c r="M58" s="72" t="str">
        <f>IFERROR(VLOOKUP($A58,TableHandbook[],M$2,FALSE),"")</f>
        <v/>
      </c>
      <c r="N58" s="70"/>
      <c r="O58" s="184">
        <v>11</v>
      </c>
      <c r="X58" s="28"/>
      <c r="Y58" s="28"/>
    </row>
    <row r="59" spans="1:25" x14ac:dyDescent="0.25">
      <c r="A59" s="51" t="str">
        <f t="shared" si="4"/>
        <v>EDUC4042</v>
      </c>
      <c r="B59" s="52">
        <f>IFERROR(IF(VLOOKUP($A59,TableHandbook[],2,FALSE)=0,"",VLOOKUP($A59,TableHandbook[],2,FALSE)),"")</f>
        <v>1</v>
      </c>
      <c r="C59" s="53" t="str">
        <f>IFERROR(IF(VLOOKUP($A59,TableHandbook[],3,FALSE)=0,"",VLOOKUP($A59,TableHandbook[],3,FALSE)),"")</f>
        <v/>
      </c>
      <c r="D59" s="53" t="str">
        <f>IFERROR(IF(VLOOKUP($A59,TableHandbook[],4,FALSE)=0,"",VLOOKUP($A59,TableHandbook[],4,FALSE)),"")</f>
        <v>Alternative Approaches to Teaching Literacy and Numeracy</v>
      </c>
      <c r="E59" s="53"/>
      <c r="F59" s="292" t="str">
        <f>IFERROR(IF(VLOOKUP($A59,TableHandbook[],6,FALSE)=0,"",VLOOKUP($A59,TableHandbook[],6,FALSE)),"")</f>
        <v>Nil</v>
      </c>
      <c r="G59" s="55">
        <f>IFERROR(IF(VLOOKUP($A59,TableHandbook[],5,FALSE)=0,"",VLOOKUP($A59,TableHandbook[],5,FALSE)),"")</f>
        <v>25</v>
      </c>
      <c r="H59" s="71" t="str">
        <f>IFERROR(VLOOKUP($A59,TableHandbook[],H$2,FALSE),"")</f>
        <v/>
      </c>
      <c r="I59" s="63" t="str">
        <f>IFERROR(VLOOKUP($A59,TableHandbook[],I$2,FALSE),"")</f>
        <v>Y</v>
      </c>
      <c r="J59" s="228" t="str">
        <f>IFERROR(VLOOKUP($A59,TableHandbook[],J$2,FALSE),"")</f>
        <v/>
      </c>
      <c r="K59" s="63" t="str">
        <f>IFERROR(VLOOKUP($A59,TableHandbook[],K$2,FALSE),"")</f>
        <v/>
      </c>
      <c r="L59" s="63" t="str">
        <f>IFERROR(VLOOKUP($A59,TableHandbook[],L$2,FALSE),"")</f>
        <v/>
      </c>
      <c r="M59" s="72" t="str">
        <f>IFERROR(VLOOKUP($A59,TableHandbook[],M$2,FALSE),"")</f>
        <v/>
      </c>
      <c r="N59" s="70"/>
      <c r="O59" s="184">
        <v>12</v>
      </c>
      <c r="X59" s="28"/>
      <c r="Y59" s="28"/>
    </row>
    <row r="60" spans="1:25" x14ac:dyDescent="0.25">
      <c r="A60" s="51" t="str">
        <f t="shared" si="4"/>
        <v>EDUC4044</v>
      </c>
      <c r="B60" s="52">
        <f>IFERROR(IF(VLOOKUP($A60,TableHandbook[],2,FALSE)=0,"",VLOOKUP($A60,TableHandbook[],2,FALSE)),"")</f>
        <v>2</v>
      </c>
      <c r="C60" s="53" t="str">
        <f>IFERROR(IF(VLOOKUP($A60,TableHandbook[],3,FALSE)=0,"",VLOOKUP($A60,TableHandbook[],3,FALSE)),"")</f>
        <v/>
      </c>
      <c r="D60" s="53" t="str">
        <f>IFERROR(IF(VLOOKUP($A60,TableHandbook[],4,FALSE)=0,"",VLOOKUP($A60,TableHandbook[],4,FALSE)),"")</f>
        <v>Literacy and Numeracy for First Nations Peoples of Australia</v>
      </c>
      <c r="E60" s="53"/>
      <c r="F60" s="292" t="str">
        <f>IFERROR(IF(VLOOKUP($A60,TableHandbook[],6,FALSE)=0,"",VLOOKUP($A60,TableHandbook[],6,FALSE)),"")</f>
        <v>Nil</v>
      </c>
      <c r="G60" s="55">
        <f>IFERROR(IF(VLOOKUP($A60,TableHandbook[],5,FALSE)=0,"",VLOOKUP($A60,TableHandbook[],5,FALSE)),"")</f>
        <v>25</v>
      </c>
      <c r="H60" s="71" t="str">
        <f>IFERROR(VLOOKUP($A60,TableHandbook[],H$2,FALSE),"")</f>
        <v/>
      </c>
      <c r="I60" s="63" t="str">
        <f>IFERROR(VLOOKUP($A60,TableHandbook[],I$2,FALSE),"")</f>
        <v/>
      </c>
      <c r="J60" s="228" t="str">
        <f>IFERROR(VLOOKUP($A60,TableHandbook[],J$2,FALSE),"")</f>
        <v/>
      </c>
      <c r="K60" s="63" t="str">
        <f>IFERROR(VLOOKUP($A60,TableHandbook[],K$2,FALSE),"")</f>
        <v>Y</v>
      </c>
      <c r="L60" s="63" t="str">
        <f>IFERROR(VLOOKUP($A60,TableHandbook[],L$2,FALSE),"")</f>
        <v>Y</v>
      </c>
      <c r="M60" s="72" t="str">
        <f>IFERROR(VLOOKUP($A60,TableHandbook[],M$2,FALSE),"")</f>
        <v/>
      </c>
      <c r="N60" s="70"/>
      <c r="O60" s="184">
        <v>13</v>
      </c>
      <c r="X60" s="28"/>
      <c r="Y60" s="28"/>
    </row>
    <row r="61" spans="1:25" x14ac:dyDescent="0.25">
      <c r="A61" s="51" t="str">
        <f t="shared" si="4"/>
        <v>OT</v>
      </c>
      <c r="B61" s="52" t="str">
        <f>IFERROR(IF(VLOOKUP($A61,TableHandbook[],2,FALSE)=0,"",VLOOKUP($A61,TableHandbook[],2,FALSE)),"")</f>
        <v/>
      </c>
      <c r="C61" s="53" t="str">
        <f>IFERROR(IF(VLOOKUP($A61,TableHandbook[],3,FALSE)=0,"",VLOOKUP($A61,TableHandbook[],3,FALSE)),"")</f>
        <v/>
      </c>
      <c r="D61" s="53" t="str">
        <f>IFERROR(IF(VLOOKUP($A61,TableHandbook[],4,FALSE)=0,"",VLOOKUP($A61,TableHandbook[],4,FALSE)),"")</f>
        <v>Technologies Options</v>
      </c>
      <c r="E61" s="53"/>
      <c r="F61" s="292" t="str">
        <f>IFERROR(IF(VLOOKUP($A61,TableHandbook[],6,FALSE)=0,"",VLOOKUP($A61,TableHandbook[],6,FALSE)),"")</f>
        <v>-</v>
      </c>
      <c r="G61" s="55" t="str">
        <f>IFERROR(IF(VLOOKUP($A61,TableHandbook[],5,FALSE)=0,"",VLOOKUP($A61,TableHandbook[],5,FALSE)),"")</f>
        <v/>
      </c>
      <c r="H61" s="71" t="str">
        <f>IFERROR(VLOOKUP($A61,TableHandbook[],H$2,FALSE),"")</f>
        <v/>
      </c>
      <c r="I61" s="63" t="str">
        <f>IFERROR(VLOOKUP($A61,TableHandbook[],I$2,FALSE),"")</f>
        <v/>
      </c>
      <c r="J61" s="228" t="str">
        <f>IFERROR(VLOOKUP($A61,TableHandbook[],J$2,FALSE),"")</f>
        <v/>
      </c>
      <c r="K61" s="63" t="str">
        <f>IFERROR(VLOOKUP($A61,TableHandbook[],K$2,FALSE),"")</f>
        <v/>
      </c>
      <c r="L61" s="63" t="str">
        <f>IFERROR(VLOOKUP($A61,TableHandbook[],L$2,FALSE),"")</f>
        <v/>
      </c>
      <c r="M61" s="72" t="str">
        <f>IFERROR(VLOOKUP($A61,TableHandbook[],M$2,FALSE),"")</f>
        <v/>
      </c>
      <c r="N61" s="70"/>
      <c r="O61" s="184">
        <v>14</v>
      </c>
      <c r="X61" s="28"/>
      <c r="Y61" s="28"/>
    </row>
    <row r="62" spans="1:25" x14ac:dyDescent="0.25">
      <c r="A62" s="51" t="str">
        <f t="shared" si="4"/>
        <v>EDUC4029</v>
      </c>
      <c r="B62" s="52">
        <f>IFERROR(IF(VLOOKUP($A62,TableHandbook[],2,FALSE)=0,"",VLOOKUP($A62,TableHandbook[],2,FALSE)),"")</f>
        <v>1</v>
      </c>
      <c r="C62" s="53" t="str">
        <f>IFERROR(IF(VLOOKUP($A62,TableHandbook[],3,FALSE)=0,"",VLOOKUP($A62,TableHandbook[],3,FALSE)),"")</f>
        <v/>
      </c>
      <c r="D62" s="53" t="str">
        <f>IFERROR(IF(VLOOKUP($A62,TableHandbook[],4,FALSE)=0,"",VLOOKUP($A62,TableHandbook[],4,FALSE)),"")</f>
        <v>Technologies: Coding for Teachers</v>
      </c>
      <c r="E62" s="53"/>
      <c r="F62" s="292" t="str">
        <f>IFERROR(IF(VLOOKUP($A62,TableHandbook[],6,FALSE)=0,"",VLOOKUP($A62,TableHandbook[],6,FALSE)),"")</f>
        <v>Nil</v>
      </c>
      <c r="G62" s="55">
        <f>IFERROR(IF(VLOOKUP($A62,TableHandbook[],5,FALSE)=0,"",VLOOKUP($A62,TableHandbook[],5,FALSE)),"")</f>
        <v>25</v>
      </c>
      <c r="H62" s="71" t="str">
        <f>IFERROR(VLOOKUP($A62,TableHandbook[],H$2,FALSE),"")</f>
        <v/>
      </c>
      <c r="I62" s="63" t="str">
        <f>IFERROR(VLOOKUP($A62,TableHandbook[],I$2,FALSE),"")</f>
        <v/>
      </c>
      <c r="J62" s="228" t="str">
        <f>IFERROR(VLOOKUP($A62,TableHandbook[],J$2,FALSE),"")</f>
        <v/>
      </c>
      <c r="K62" s="63" t="str">
        <f>IFERROR(VLOOKUP($A62,TableHandbook[],K$2,FALSE),"")</f>
        <v>Y</v>
      </c>
      <c r="L62" s="63" t="str">
        <f>IFERROR(VLOOKUP($A62,TableHandbook[],L$2,FALSE),"")</f>
        <v>Y</v>
      </c>
      <c r="M62" s="72" t="str">
        <f>IFERROR(VLOOKUP($A62,TableHandbook[],M$2,FALSE),"")</f>
        <v/>
      </c>
      <c r="N62" s="70"/>
      <c r="O62" s="184">
        <v>15</v>
      </c>
      <c r="X62" s="28"/>
      <c r="Y62" s="28"/>
    </row>
    <row r="63" spans="1:25" x14ac:dyDescent="0.25">
      <c r="A63" s="51" t="str">
        <f t="shared" si="4"/>
        <v>EDUC4038</v>
      </c>
      <c r="B63" s="52">
        <f>IFERROR(IF(VLOOKUP($A63,TableHandbook[],2,FALSE)=0,"",VLOOKUP($A63,TableHandbook[],2,FALSE)),"")</f>
        <v>1</v>
      </c>
      <c r="C63" s="53" t="str">
        <f>IFERROR(IF(VLOOKUP($A63,TableHandbook[],3,FALSE)=0,"",VLOOKUP($A63,TableHandbook[],3,FALSE)),"")</f>
        <v/>
      </c>
      <c r="D63" s="53" t="str">
        <f>IFERROR(IF(VLOOKUP($A63,TableHandbook[],4,FALSE)=0,"",VLOOKUP($A63,TableHandbook[],4,FALSE)),"")</f>
        <v>Technologies: Design Solutions</v>
      </c>
      <c r="E63" s="53"/>
      <c r="F63" s="292" t="str">
        <f>IFERROR(IF(VLOOKUP($A63,TableHandbook[],6,FALSE)=0,"",VLOOKUP($A63,TableHandbook[],6,FALSE)),"")</f>
        <v>Nil</v>
      </c>
      <c r="G63" s="55">
        <f>IFERROR(IF(VLOOKUP($A63,TableHandbook[],5,FALSE)=0,"",VLOOKUP($A63,TableHandbook[],5,FALSE)),"")</f>
        <v>25</v>
      </c>
      <c r="H63" s="71" t="str">
        <f>IFERROR(VLOOKUP($A63,TableHandbook[],H$2,FALSE),"")</f>
        <v>Y</v>
      </c>
      <c r="I63" s="63" t="str">
        <f>IFERROR(VLOOKUP($A63,TableHandbook[],I$2,FALSE),"")</f>
        <v>Y</v>
      </c>
      <c r="J63" s="228" t="str">
        <f>IFERROR(VLOOKUP($A63,TableHandbook[],J$2,FALSE),"")</f>
        <v/>
      </c>
      <c r="K63" s="63" t="str">
        <f>IFERROR(VLOOKUP($A63,TableHandbook[],K$2,FALSE),"")</f>
        <v/>
      </c>
      <c r="L63" s="63" t="str">
        <f>IFERROR(VLOOKUP($A63,TableHandbook[],L$2,FALSE),"")</f>
        <v/>
      </c>
      <c r="M63" s="72" t="str">
        <f>IFERROR(VLOOKUP($A63,TableHandbook[],M$2,FALSE),"")</f>
        <v/>
      </c>
      <c r="N63" s="70"/>
      <c r="O63" s="184">
        <v>16</v>
      </c>
      <c r="X63" s="28"/>
      <c r="Y63" s="28"/>
    </row>
    <row r="64" spans="1:25" x14ac:dyDescent="0.25">
      <c r="A64" s="51" t="str">
        <f t="shared" si="4"/>
        <v>EDUC4046</v>
      </c>
      <c r="B64" s="52">
        <f>IFERROR(IF(VLOOKUP($A64,TableHandbook[],2,FALSE)=0,"",VLOOKUP($A64,TableHandbook[],2,FALSE)),"")</f>
        <v>1</v>
      </c>
      <c r="C64" s="53" t="str">
        <f>IFERROR(IF(VLOOKUP($A64,TableHandbook[],3,FALSE)=0,"",VLOOKUP($A64,TableHandbook[],3,FALSE)),"")</f>
        <v/>
      </c>
      <c r="D64" s="53" t="str">
        <f>IFERROR(IF(VLOOKUP($A64,TableHandbook[],4,FALSE)=0,"",VLOOKUP($A64,TableHandbook[],4,FALSE)),"")</f>
        <v>Technologies: Digital Solutions</v>
      </c>
      <c r="E64" s="53"/>
      <c r="F64" s="292" t="str">
        <f>IFERROR(IF(VLOOKUP($A64,TableHandbook[],6,FALSE)=0,"",VLOOKUP($A64,TableHandbook[],6,FALSE)),"")</f>
        <v>Nil</v>
      </c>
      <c r="G64" s="55">
        <f>IFERROR(IF(VLOOKUP($A64,TableHandbook[],5,FALSE)=0,"",VLOOKUP($A64,TableHandbook[],5,FALSE)),"")</f>
        <v>25</v>
      </c>
      <c r="H64" s="71" t="str">
        <f>IFERROR(VLOOKUP($A64,TableHandbook[],H$2,FALSE),"")</f>
        <v/>
      </c>
      <c r="I64" s="63" t="str">
        <f>IFERROR(VLOOKUP($A64,TableHandbook[],I$2,FALSE),"")</f>
        <v>Y</v>
      </c>
      <c r="J64" s="228" t="str">
        <f>IFERROR(VLOOKUP($A64,TableHandbook[],J$2,FALSE),"")</f>
        <v/>
      </c>
      <c r="K64" s="63" t="str">
        <f>IFERROR(VLOOKUP($A64,TableHandbook[],K$2,FALSE),"")</f>
        <v/>
      </c>
      <c r="L64" s="63" t="str">
        <f>IFERROR(VLOOKUP($A64,TableHandbook[],L$2,FALSE),"")</f>
        <v/>
      </c>
      <c r="M64" s="72" t="str">
        <f>IFERROR(VLOOKUP($A64,TableHandbook[],M$2,FALSE),"")</f>
        <v/>
      </c>
      <c r="N64" s="70"/>
      <c r="O64" s="184">
        <v>17</v>
      </c>
      <c r="X64" s="28"/>
      <c r="Y64" s="28"/>
    </row>
    <row r="65" spans="1:25" x14ac:dyDescent="0.25">
      <c r="A65" s="51" t="str">
        <f t="shared" si="4"/>
        <v>OCE</v>
      </c>
      <c r="B65" s="52" t="str">
        <f>IFERROR(IF(VLOOKUP($A65,TableHandbook[],2,FALSE)=0,"",VLOOKUP($A65,TableHandbook[],2,FALSE)),"")</f>
        <v/>
      </c>
      <c r="C65" s="53" t="str">
        <f>IFERROR(IF(VLOOKUP($A65,TableHandbook[],3,FALSE)=0,"",VLOOKUP($A65,TableHandbook[],3,FALSE)),"")</f>
        <v/>
      </c>
      <c r="D65" s="53" t="str">
        <f>IFERROR(IF(VLOOKUP($A65,TableHandbook[],4,FALSE)=0,"",VLOOKUP($A65,TableHandbook[],4,FALSE)),"")</f>
        <v>Catholic Education Options</v>
      </c>
      <c r="E65" s="53"/>
      <c r="F65" s="292" t="str">
        <f>IFERROR(IF(VLOOKUP($A65,TableHandbook[],6,FALSE)=0,"",VLOOKUP($A65,TableHandbook[],6,FALSE)),"")</f>
        <v>-</v>
      </c>
      <c r="G65" s="55" t="str">
        <f>IFERROR(IF(VLOOKUP($A65,TableHandbook[],5,FALSE)=0,"",VLOOKUP($A65,TableHandbook[],5,FALSE)),"")</f>
        <v/>
      </c>
      <c r="H65" s="71" t="str">
        <f>IFERROR(VLOOKUP($A65,TableHandbook[],H$2,FALSE),"")</f>
        <v/>
      </c>
      <c r="I65" s="63" t="str">
        <f>IFERROR(VLOOKUP($A65,TableHandbook[],I$2,FALSE),"")</f>
        <v/>
      </c>
      <c r="J65" s="228" t="str">
        <f>IFERROR(VLOOKUP($A65,TableHandbook[],J$2,FALSE),"")</f>
        <v/>
      </c>
      <c r="K65" s="63" t="str">
        <f>IFERROR(VLOOKUP($A65,TableHandbook[],K$2,FALSE),"")</f>
        <v/>
      </c>
      <c r="L65" s="63" t="str">
        <f>IFERROR(VLOOKUP($A65,TableHandbook[],L$2,FALSE),"")</f>
        <v/>
      </c>
      <c r="M65" s="72" t="str">
        <f>IFERROR(VLOOKUP($A65,TableHandbook[],M$2,FALSE),"")</f>
        <v/>
      </c>
      <c r="N65" s="70"/>
      <c r="O65" s="184">
        <v>18</v>
      </c>
      <c r="X65" s="28"/>
      <c r="Y65" s="28"/>
    </row>
    <row r="66" spans="1:25" x14ac:dyDescent="0.25">
      <c r="A66" s="51" t="str">
        <f t="shared" si="4"/>
        <v>CTED4001</v>
      </c>
      <c r="B66" s="52">
        <f>IFERROR(IF(VLOOKUP($A66,TableHandbook[],2,FALSE)=0,"",VLOOKUP($A66,TableHandbook[],2,FALSE)),"")</f>
        <v>2</v>
      </c>
      <c r="C66" s="53" t="str">
        <f>IFERROR(IF(VLOOKUP($A66,TableHandbook[],3,FALSE)=0,"",VLOOKUP($A66,TableHandbook[],3,FALSE)),"")</f>
        <v/>
      </c>
      <c r="D66" s="53" t="str">
        <f>IFERROR(IF(VLOOKUP($A66,TableHandbook[],4,FALSE)=0,"",VLOOKUP($A66,TableHandbook[],4,FALSE)),"")</f>
        <v>Teaching About Sacraments in Catholic Schools</v>
      </c>
      <c r="E66" s="53"/>
      <c r="F66" s="292" t="str">
        <f>IFERROR(IF(VLOOKUP($A66,TableHandbook[],6,FALSE)=0,"",VLOOKUP($A66,TableHandbook[],6,FALSE)),"")</f>
        <v>Nil</v>
      </c>
      <c r="G66" s="55">
        <f>IFERROR(IF(VLOOKUP($A66,TableHandbook[],5,FALSE)=0,"",VLOOKUP($A66,TableHandbook[],5,FALSE)),"")</f>
        <v>25</v>
      </c>
      <c r="H66" s="71" t="str">
        <f>IFERROR(VLOOKUP($A66,TableHandbook[],H$2,FALSE),"")</f>
        <v>Y</v>
      </c>
      <c r="I66" s="63" t="str">
        <f>IFERROR(VLOOKUP($A66,TableHandbook[],I$2,FALSE),"")</f>
        <v>Y</v>
      </c>
      <c r="J66" s="228" t="str">
        <f>IFERROR(VLOOKUP($A66,TableHandbook[],J$2,FALSE),"")</f>
        <v>Y</v>
      </c>
      <c r="K66" s="63" t="str">
        <f>IFERROR(VLOOKUP($A66,TableHandbook[],K$2,FALSE),"")</f>
        <v/>
      </c>
      <c r="L66" s="63" t="str">
        <f>IFERROR(VLOOKUP($A66,TableHandbook[],L$2,FALSE),"")</f>
        <v/>
      </c>
      <c r="M66" s="72" t="str">
        <f>IFERROR(VLOOKUP($A66,TableHandbook[],M$2,FALSE),"")</f>
        <v/>
      </c>
      <c r="N66" s="70"/>
      <c r="O66" s="184">
        <v>19</v>
      </c>
      <c r="X66" s="28"/>
      <c r="Y66" s="28"/>
    </row>
    <row r="67" spans="1:25" x14ac:dyDescent="0.25">
      <c r="A67" s="51" t="str">
        <f t="shared" si="4"/>
        <v>CTED4006</v>
      </c>
      <c r="B67" s="52">
        <f>IFERROR(IF(VLOOKUP($A67,TableHandbook[],2,FALSE)=0,"",VLOOKUP($A67,TableHandbook[],2,FALSE)),"")</f>
        <v>1</v>
      </c>
      <c r="C67" s="53" t="str">
        <f>IFERROR(IF(VLOOKUP($A67,TableHandbook[],3,FALSE)=0,"",VLOOKUP($A67,TableHandbook[],3,FALSE)),"")</f>
        <v/>
      </c>
      <c r="D67" s="53" t="str">
        <f>IFERROR(IF(VLOOKUP($A67,TableHandbook[],4,FALSE)=0,"",VLOOKUP($A67,TableHandbook[],4,FALSE)),"")</f>
        <v>Teaching About Jesus in Catholic Schools</v>
      </c>
      <c r="E67" s="53"/>
      <c r="F67" s="292" t="str">
        <f>IFERROR(IF(VLOOKUP($A67,TableHandbook[],6,FALSE)=0,"",VLOOKUP($A67,TableHandbook[],6,FALSE)),"")</f>
        <v>Nil</v>
      </c>
      <c r="G67" s="55">
        <f>IFERROR(IF(VLOOKUP($A67,TableHandbook[],5,FALSE)=0,"",VLOOKUP($A67,TableHandbook[],5,FALSE)),"")</f>
        <v>25</v>
      </c>
      <c r="H67" s="71" t="str">
        <f>IFERROR(VLOOKUP($A67,TableHandbook[],H$2,FALSE),"")</f>
        <v/>
      </c>
      <c r="I67" s="63" t="str">
        <f>IFERROR(VLOOKUP($A67,TableHandbook[],I$2,FALSE),"")</f>
        <v/>
      </c>
      <c r="J67" s="228" t="str">
        <f>IFERROR(VLOOKUP($A67,TableHandbook[],J$2,FALSE),"")</f>
        <v/>
      </c>
      <c r="K67" s="63" t="str">
        <f>IFERROR(VLOOKUP($A67,TableHandbook[],K$2,FALSE),"")</f>
        <v>Y</v>
      </c>
      <c r="L67" s="63" t="str">
        <f>IFERROR(VLOOKUP($A67,TableHandbook[],L$2,FALSE),"")</f>
        <v>Y</v>
      </c>
      <c r="M67" s="72" t="str">
        <f>IFERROR(VLOOKUP($A67,TableHandbook[],M$2,FALSE),"")</f>
        <v>Y</v>
      </c>
      <c r="N67" s="70"/>
      <c r="O67" s="184">
        <v>20</v>
      </c>
      <c r="X67" s="28"/>
      <c r="Y67" s="28"/>
    </row>
    <row r="68" spans="1:25" x14ac:dyDescent="0.25">
      <c r="A68" s="51" t="str">
        <f t="shared" si="4"/>
        <v>CTED4008</v>
      </c>
      <c r="B68" s="52">
        <f>IFERROR(IF(VLOOKUP($A68,TableHandbook[],2,FALSE)=0,"",VLOOKUP($A68,TableHandbook[],2,FALSE)),"")</f>
        <v>1</v>
      </c>
      <c r="C68" s="53" t="str">
        <f>IFERROR(IF(VLOOKUP($A68,TableHandbook[],3,FALSE)=0,"",VLOOKUP($A68,TableHandbook[],3,FALSE)),"")</f>
        <v/>
      </c>
      <c r="D68" s="53" t="str">
        <f>IFERROR(IF(VLOOKUP($A68,TableHandbook[],4,FALSE)=0,"",VLOOKUP($A68,TableHandbook[],4,FALSE)),"")</f>
        <v>Teaching About the Gospels in Catholic Schools</v>
      </c>
      <c r="E68" s="53"/>
      <c r="F68" s="292" t="str">
        <f>IFERROR(IF(VLOOKUP($A68,TableHandbook[],6,FALSE)=0,"",VLOOKUP($A68,TableHandbook[],6,FALSE)),"")</f>
        <v>Nil</v>
      </c>
      <c r="G68" s="55">
        <f>IFERROR(IF(VLOOKUP($A68,TableHandbook[],5,FALSE)=0,"",VLOOKUP($A68,TableHandbook[],5,FALSE)),"")</f>
        <v>25</v>
      </c>
      <c r="H68" s="71" t="str">
        <f>IFERROR(VLOOKUP($A68,TableHandbook[],H$2,FALSE),"")</f>
        <v>Y</v>
      </c>
      <c r="I68" s="63" t="str">
        <f>IFERROR(VLOOKUP($A68,TableHandbook[],I$2,FALSE),"")</f>
        <v>Y</v>
      </c>
      <c r="J68" s="228" t="str">
        <f>IFERROR(VLOOKUP($A68,TableHandbook[],J$2,FALSE),"")</f>
        <v>Y</v>
      </c>
      <c r="K68" s="63" t="str">
        <f>IFERROR(VLOOKUP($A68,TableHandbook[],K$2,FALSE),"")</f>
        <v/>
      </c>
      <c r="L68" s="63" t="str">
        <f>IFERROR(VLOOKUP($A68,TableHandbook[],L$2,FALSE),"")</f>
        <v/>
      </c>
      <c r="M68" s="72" t="str">
        <f>IFERROR(VLOOKUP($A68,TableHandbook[],M$2,FALSE),"")</f>
        <v/>
      </c>
      <c r="N68" s="70"/>
      <c r="O68" s="184">
        <v>21</v>
      </c>
      <c r="X68" s="28"/>
      <c r="Y68" s="28"/>
    </row>
    <row r="69" spans="1:25" x14ac:dyDescent="0.25">
      <c r="A69" s="51" t="str">
        <f t="shared" si="4"/>
        <v>OO</v>
      </c>
      <c r="B69" s="52" t="str">
        <f>IFERROR(IF(VLOOKUP($A69,TableHandbook[],2,FALSE)=0,"",VLOOKUP($A69,TableHandbook[],2,FALSE)),"")</f>
        <v/>
      </c>
      <c r="C69" s="53" t="str">
        <f>IFERROR(IF(VLOOKUP($A69,TableHandbook[],3,FALSE)=0,"",VLOOKUP($A69,TableHandbook[],3,FALSE)),"")</f>
        <v/>
      </c>
      <c r="D69" s="53" t="str">
        <f>IFERROR(IF(VLOOKUP($A69,TableHandbook[],4,FALSE)=0,"",VLOOKUP($A69,TableHandbook[],4,FALSE)),"")</f>
        <v>Other Bachelor of Education (ECE) Options</v>
      </c>
      <c r="E69" s="53"/>
      <c r="F69" s="292" t="str">
        <f>IFERROR(IF(VLOOKUP($A69,TableHandbook[],6,FALSE)=0,"",VLOOKUP($A69,TableHandbook[],6,FALSE)),"")</f>
        <v>-</v>
      </c>
      <c r="G69" s="55" t="str">
        <f>IFERROR(IF(VLOOKUP($A69,TableHandbook[],5,FALSE)=0,"",VLOOKUP($A69,TableHandbook[],5,FALSE)),"")</f>
        <v/>
      </c>
      <c r="H69" s="71" t="str">
        <f>IFERROR(VLOOKUP($A69,TableHandbook[],H$2,FALSE),"")</f>
        <v/>
      </c>
      <c r="I69" s="63" t="str">
        <f>IFERROR(VLOOKUP($A69,TableHandbook[],I$2,FALSE),"")</f>
        <v/>
      </c>
      <c r="J69" s="228" t="str">
        <f>IFERROR(VLOOKUP($A69,TableHandbook[],J$2,FALSE),"")</f>
        <v/>
      </c>
      <c r="K69" s="63" t="str">
        <f>IFERROR(VLOOKUP($A69,TableHandbook[],K$2,FALSE),"")</f>
        <v/>
      </c>
      <c r="L69" s="63" t="str">
        <f>IFERROR(VLOOKUP($A69,TableHandbook[],L$2,FALSE),"")</f>
        <v/>
      </c>
      <c r="M69" s="72" t="str">
        <f>IFERROR(VLOOKUP($A69,TableHandbook[],M$2,FALSE),"")</f>
        <v/>
      </c>
      <c r="N69" s="70"/>
      <c r="O69" s="184">
        <v>22</v>
      </c>
      <c r="X69" s="28"/>
      <c r="Y69" s="28"/>
    </row>
    <row r="70" spans="1:25" x14ac:dyDescent="0.25">
      <c r="A70" s="51" t="str">
        <f t="shared" si="4"/>
        <v>EDPR2000</v>
      </c>
      <c r="B70" s="52">
        <f>IFERROR(IF(VLOOKUP($A70,TableHandbook[],2,FALSE)=0,"",VLOOKUP($A70,TableHandbook[],2,FALSE)),"")</f>
        <v>1</v>
      </c>
      <c r="C70" s="53" t="str">
        <f>IFERROR(IF(VLOOKUP($A70,TableHandbook[],3,FALSE)=0,"",VLOOKUP($A70,TableHandbook[],3,FALSE)),"")</f>
        <v/>
      </c>
      <c r="D70" s="53" t="str">
        <f>IFERROR(IF(VLOOKUP($A70,TableHandbook[],4,FALSE)=0,"",VLOOKUP($A70,TableHandbook[],4,FALSE)),"")</f>
        <v>Inquiry in the Science Classroom</v>
      </c>
      <c r="E70" s="53"/>
      <c r="F70" s="292" t="str">
        <f>IFERROR(IF(VLOOKUP($A70,TableHandbook[],6,FALSE)=0,"",VLOOKUP($A70,TableHandbook[],6,FALSE)),"")</f>
        <v>100CP + EDUC1027</v>
      </c>
      <c r="G70" s="55">
        <f>IFERROR(IF(VLOOKUP($A70,TableHandbook[],5,FALSE)=0,"",VLOOKUP($A70,TableHandbook[],5,FALSE)),"")</f>
        <v>25</v>
      </c>
      <c r="H70" s="71" t="str">
        <f>IFERROR(VLOOKUP($A70,TableHandbook[],H$2,FALSE),"")</f>
        <v/>
      </c>
      <c r="I70" s="63" t="str">
        <f>IFERROR(VLOOKUP($A70,TableHandbook[],I$2,FALSE),"")</f>
        <v/>
      </c>
      <c r="J70" s="228" t="str">
        <f>IFERROR(VLOOKUP($A70,TableHandbook[],J$2,FALSE),"")</f>
        <v/>
      </c>
      <c r="K70" s="63" t="str">
        <f>IFERROR(VLOOKUP($A70,TableHandbook[],K$2,FALSE),"")</f>
        <v>Y</v>
      </c>
      <c r="L70" s="63" t="str">
        <f>IFERROR(VLOOKUP($A70,TableHandbook[],L$2,FALSE),"")</f>
        <v>Y</v>
      </c>
      <c r="M70" s="72" t="str">
        <f>IFERROR(VLOOKUP($A70,TableHandbook[],M$2,FALSE),"")</f>
        <v>Y</v>
      </c>
      <c r="N70" s="70"/>
      <c r="O70" s="184">
        <v>23</v>
      </c>
      <c r="X70" s="28"/>
      <c r="Y70" s="28"/>
    </row>
    <row r="71" spans="1:25" x14ac:dyDescent="0.25">
      <c r="A71" s="51" t="str">
        <f>IFERROR(IF(HLOOKUP($N$47,RangeOptions,$O71,FALSE)=0,"",HLOOKUP($N$47,RangeOptions,$O71,FALSE)),"")</f>
        <v>EDPR2004</v>
      </c>
      <c r="B71" s="52">
        <f>IFERROR(IF(VLOOKUP($A71,TableHandbook[],2,FALSE)=0,"",VLOOKUP($A71,TableHandbook[],2,FALSE)),"")</f>
        <v>1</v>
      </c>
      <c r="C71" s="53"/>
      <c r="D71" s="53" t="str">
        <f>IFERROR(IF(VLOOKUP($A71,TableHandbook[],4,FALSE)=0,"",VLOOKUP($A71,TableHandbook[],4,FALSE)),"")</f>
        <v>Children as Mathematical Learners</v>
      </c>
      <c r="E71" s="53"/>
      <c r="F71" s="292" t="str">
        <f>IFERROR(IF(VLOOKUP($A71,TableHandbook[],6,FALSE)=0,"",VLOOKUP($A71,TableHandbook[],6,FALSE)),"")</f>
        <v>100CP + (EDSC1009 or EDUC1031)</v>
      </c>
      <c r="G71" s="55">
        <f>IFERROR(IF(VLOOKUP($A71,TableHandbook[],5,FALSE)=0,"",VLOOKUP($A71,TableHandbook[],5,FALSE)),"")</f>
        <v>25</v>
      </c>
      <c r="H71" s="71" t="str">
        <f>IFERROR(VLOOKUP($A71,TableHandbook[],H$2,FALSE),"")</f>
        <v/>
      </c>
      <c r="I71" s="63" t="str">
        <f>IFERROR(VLOOKUP($A71,TableHandbook[],I$2,FALSE),"")</f>
        <v/>
      </c>
      <c r="J71" s="228" t="str">
        <f>IFERROR(VLOOKUP($A71,TableHandbook[],J$2,FALSE),"")</f>
        <v/>
      </c>
      <c r="K71" s="63" t="str">
        <f>IFERROR(VLOOKUP($A71,TableHandbook[],K$2,FALSE),"")</f>
        <v>Y</v>
      </c>
      <c r="L71" s="63" t="str">
        <f>IFERROR(VLOOKUP($A71,TableHandbook[],L$2,FALSE),"")</f>
        <v>Y</v>
      </c>
      <c r="M71" s="72" t="str">
        <f>IFERROR(VLOOKUP($A71,TableHandbook[],M$2,FALSE),"")</f>
        <v>Y</v>
      </c>
      <c r="N71" s="70"/>
      <c r="O71" s="289">
        <v>24</v>
      </c>
      <c r="X71" s="28"/>
      <c r="Y71" s="28"/>
    </row>
    <row r="72" spans="1:25" x14ac:dyDescent="0.25">
      <c r="A72" s="51" t="str">
        <f t="shared" si="4"/>
        <v>EDPR2016</v>
      </c>
      <c r="B72" s="52">
        <f>IFERROR(IF(VLOOKUP($A72,TableHandbook[],2,FALSE)=0,"",VLOOKUP($A72,TableHandbook[],2,FALSE)),"")</f>
        <v>1</v>
      </c>
      <c r="C72" s="53" t="str">
        <f>IFERROR(IF(VLOOKUP($A72,TableHandbook[],3,FALSE)=0,"",VLOOKUP($A72,TableHandbook[],3,FALSE)),"")</f>
        <v/>
      </c>
      <c r="D72" s="53" t="str">
        <f>IFERROR(IF(VLOOKUP($A72,TableHandbook[],4,FALSE)=0,"",VLOOKUP($A72,TableHandbook[],4,FALSE)),"")</f>
        <v>Health and Physical Education</v>
      </c>
      <c r="E72" s="53"/>
      <c r="F72" s="292" t="str">
        <f>IFERROR(IF(VLOOKUP($A72,TableHandbook[],6,FALSE)=0,"",VLOOKUP($A72,TableHandbook[],6,FALSE)),"")</f>
        <v>100CP + EDUC1021</v>
      </c>
      <c r="G72" s="55">
        <f>IFERROR(IF(VLOOKUP($A72,TableHandbook[],5,FALSE)=0,"",VLOOKUP($A72,TableHandbook[],5,FALSE)),"")</f>
        <v>25</v>
      </c>
      <c r="H72" s="71" t="str">
        <f>IFERROR(VLOOKUP($A72,TableHandbook[],H$2,FALSE),"")</f>
        <v>Y</v>
      </c>
      <c r="I72" s="63" t="str">
        <f>IFERROR(VLOOKUP($A72,TableHandbook[],I$2,FALSE),"")</f>
        <v>Y</v>
      </c>
      <c r="J72" s="228" t="str">
        <f>IFERROR(VLOOKUP($A72,TableHandbook[],J$2,FALSE),"")</f>
        <v>Y</v>
      </c>
      <c r="K72" s="63" t="str">
        <f>IFERROR(VLOOKUP($A72,TableHandbook[],K$2,FALSE),"")</f>
        <v/>
      </c>
      <c r="L72" s="63" t="str">
        <f>IFERROR(VLOOKUP($A72,TableHandbook[],L$2,FALSE),"")</f>
        <v/>
      </c>
      <c r="M72" s="72" t="str">
        <f>IFERROR(VLOOKUP($A72,TableHandbook[],M$2,FALSE),"")</f>
        <v/>
      </c>
      <c r="N72" s="70"/>
      <c r="O72" s="184">
        <v>25</v>
      </c>
      <c r="X72" s="28"/>
      <c r="Y72" s="28"/>
    </row>
    <row r="73" spans="1:25" x14ac:dyDescent="0.25">
      <c r="A73" s="51" t="str">
        <f t="shared" si="4"/>
        <v>EDPR3000</v>
      </c>
      <c r="B73" s="52">
        <f>IFERROR(IF(VLOOKUP($A73,TableHandbook[],2,FALSE)=0,"",VLOOKUP($A73,TableHandbook[],2,FALSE)),"")</f>
        <v>1</v>
      </c>
      <c r="C73" s="53" t="str">
        <f>IFERROR(IF(VLOOKUP($A73,TableHandbook[],3,FALSE)=0,"",VLOOKUP($A73,TableHandbook[],3,FALSE)),"")</f>
        <v/>
      </c>
      <c r="D73" s="53" t="str">
        <f>IFERROR(IF(VLOOKUP($A73,TableHandbook[],4,FALSE)=0,"",VLOOKUP($A73,TableHandbook[],4,FALSE)),"")</f>
        <v>Inquiry in the Mathematics Classroom</v>
      </c>
      <c r="E73" s="53"/>
      <c r="F73" s="292" t="str">
        <f>IFERROR(IF(VLOOKUP($A73,TableHandbook[],6,FALSE)=0,"",VLOOKUP($A73,TableHandbook[],6,FALSE)),"")</f>
        <v>EDPR2004</v>
      </c>
      <c r="G73" s="55">
        <f>IFERROR(IF(VLOOKUP($A73,TableHandbook[],5,FALSE)=0,"",VLOOKUP($A73,TableHandbook[],5,FALSE)),"")</f>
        <v>25</v>
      </c>
      <c r="H73" s="71" t="str">
        <f>IFERROR(VLOOKUP($A73,TableHandbook[],H$2,FALSE),"")</f>
        <v>Y</v>
      </c>
      <c r="I73" s="63" t="str">
        <f>IFERROR(VLOOKUP($A73,TableHandbook[],I$2,FALSE),"")</f>
        <v>Y</v>
      </c>
      <c r="J73" s="228" t="str">
        <f>IFERROR(VLOOKUP($A73,TableHandbook[],J$2,FALSE),"")</f>
        <v>Y</v>
      </c>
      <c r="K73" s="63" t="str">
        <f>IFERROR(VLOOKUP($A73,TableHandbook[],K$2,FALSE),"")</f>
        <v/>
      </c>
      <c r="L73" s="63" t="str">
        <f>IFERROR(VLOOKUP($A73,TableHandbook[],L$2,FALSE),"")</f>
        <v/>
      </c>
      <c r="M73" s="72" t="str">
        <f>IFERROR(VLOOKUP($A73,TableHandbook[],M$2,FALSE),"")</f>
        <v/>
      </c>
      <c r="N73" s="70"/>
      <c r="O73" s="184">
        <v>26</v>
      </c>
      <c r="X73" s="28"/>
      <c r="Y73" s="28"/>
    </row>
    <row r="74" spans="1:25" x14ac:dyDescent="0.25">
      <c r="A74" s="51" t="str">
        <f t="shared" si="4"/>
        <v>EDPR3001</v>
      </c>
      <c r="B74" s="52">
        <f>IFERROR(IF(VLOOKUP($A74,TableHandbook[],2,FALSE)=0,"",VLOOKUP($A74,TableHandbook[],2,FALSE)),"")</f>
        <v>2</v>
      </c>
      <c r="C74" s="53" t="str">
        <f>IFERROR(IF(VLOOKUP($A74,TableHandbook[],3,FALSE)=0,"",VLOOKUP($A74,TableHandbook[],3,FALSE)),"")</f>
        <v/>
      </c>
      <c r="D74" s="53" t="str">
        <f>IFERROR(IF(VLOOKUP($A74,TableHandbook[],4,FALSE)=0,"",VLOOKUP($A74,TableHandbook[],4,FALSE)),"")</f>
        <v>English Pedagogies and the Integrated Curriculum</v>
      </c>
      <c r="E74" s="53"/>
      <c r="F74" s="292" t="str">
        <f>IFERROR(IF(VLOOKUP($A74,TableHandbook[],6,FALSE)=0,"",VLOOKUP($A74,TableHandbook[],6,FALSE)),"")</f>
        <v>EDUC2007</v>
      </c>
      <c r="G74" s="55">
        <f>IFERROR(IF(VLOOKUP($A74,TableHandbook[],5,FALSE)=0,"",VLOOKUP($A74,TableHandbook[],5,FALSE)),"")</f>
        <v>25</v>
      </c>
      <c r="H74" s="71" t="str">
        <f>IFERROR(VLOOKUP($A74,TableHandbook[],H$2,FALSE),"")</f>
        <v/>
      </c>
      <c r="I74" s="63" t="str">
        <f>IFERROR(VLOOKUP($A74,TableHandbook[],I$2,FALSE),"")</f>
        <v/>
      </c>
      <c r="J74" s="228" t="str">
        <f>IFERROR(VLOOKUP($A74,TableHandbook[],J$2,FALSE),"")</f>
        <v/>
      </c>
      <c r="K74" s="63" t="str">
        <f>IFERROR(VLOOKUP($A74,TableHandbook[],K$2,FALSE),"")</f>
        <v>Y</v>
      </c>
      <c r="L74" s="63" t="str">
        <f>IFERROR(VLOOKUP($A74,TableHandbook[],L$2,FALSE),"")</f>
        <v>Y</v>
      </c>
      <c r="M74" s="72" t="str">
        <f>IFERROR(VLOOKUP($A74,TableHandbook[],M$2,FALSE),"")</f>
        <v>Y</v>
      </c>
      <c r="N74" s="70"/>
      <c r="O74" s="184">
        <v>27</v>
      </c>
      <c r="X74" s="28"/>
      <c r="Y74" s="28"/>
    </row>
    <row r="75" spans="1:25" x14ac:dyDescent="0.25">
      <c r="A75" s="51" t="str">
        <f t="shared" ref="A75:A78" si="5">IFERROR(IF(HLOOKUP($N$47,RangeOptions,$O75,FALSE)=0,"",HLOOKUP($N$47,RangeOptions,$O75,FALSE)),"")</f>
        <v>EDUC4012</v>
      </c>
      <c r="B75" s="52">
        <f>IFERROR(IF(VLOOKUP($A75,TableHandbook[],2,FALSE)=0,"",VLOOKUP($A75,TableHandbook[],2,FALSE)),"")</f>
        <v>2</v>
      </c>
      <c r="C75" s="53" t="str">
        <f>IFERROR(IF(VLOOKUP($A75,TableHandbook[],3,FALSE)=0,"",VLOOKUP($A75,TableHandbook[],3,FALSE)),"")</f>
        <v/>
      </c>
      <c r="D75" s="53" t="str">
        <f>IFERROR(IF(VLOOKUP($A75,TableHandbook[],4,FALSE)=0,"",VLOOKUP($A75,TableHandbook[],4,FALSE)),"")</f>
        <v>Relationships and Sexuality Education</v>
      </c>
      <c r="E75" s="53"/>
      <c r="F75" s="292" t="str">
        <f>IFERROR(IF(VLOOKUP($A75,TableHandbook[],6,FALSE)=0,"",VLOOKUP($A75,TableHandbook[],6,FALSE)),"")</f>
        <v>Nil</v>
      </c>
      <c r="G75" s="55">
        <f>IFERROR(IF(VLOOKUP($A75,TableHandbook[],5,FALSE)=0,"",VLOOKUP($A75,TableHandbook[],5,FALSE)),"")</f>
        <v>25</v>
      </c>
      <c r="H75" s="71" t="str">
        <f>IFERROR(VLOOKUP($A75,TableHandbook[],H$2,FALSE),"")</f>
        <v>Y</v>
      </c>
      <c r="I75" s="63" t="str">
        <f>IFERROR(VLOOKUP($A75,TableHandbook[],I$2,FALSE),"")</f>
        <v>Y</v>
      </c>
      <c r="J75" s="228" t="str">
        <f>IFERROR(VLOOKUP($A75,TableHandbook[],J$2,FALSE),"")</f>
        <v/>
      </c>
      <c r="K75" s="63" t="str">
        <f>IFERROR(VLOOKUP($A75,TableHandbook[],K$2,FALSE),"")</f>
        <v/>
      </c>
      <c r="L75" s="63" t="str">
        <f>IFERROR(VLOOKUP($A75,TableHandbook[],L$2,FALSE),"")</f>
        <v/>
      </c>
      <c r="M75" s="72" t="str">
        <f>IFERROR(VLOOKUP($A75,TableHandbook[],M$2,FALSE),"")</f>
        <v/>
      </c>
      <c r="N75" s="70"/>
      <c r="O75" s="184">
        <v>28</v>
      </c>
      <c r="X75" s="28"/>
      <c r="Y75" s="28"/>
    </row>
    <row r="76" spans="1:25" x14ac:dyDescent="0.25">
      <c r="A76" s="51" t="str">
        <f t="shared" si="5"/>
        <v>EDUC4014</v>
      </c>
      <c r="B76" s="52">
        <f>IFERROR(IF(VLOOKUP($A76,TableHandbook[],2,FALSE)=0,"",VLOOKUP($A76,TableHandbook[],2,FALSE)),"")</f>
        <v>1</v>
      </c>
      <c r="C76" s="53" t="str">
        <f>IFERROR(IF(VLOOKUP($A76,TableHandbook[],3,FALSE)=0,"",VLOOKUP($A76,TableHandbook[],3,FALSE)),"")</f>
        <v/>
      </c>
      <c r="D76" s="53" t="str">
        <f>IFERROR(IF(VLOOKUP($A76,TableHandbook[],4,FALSE)=0,"",VLOOKUP($A76,TableHandbook[],4,FALSE)),"")</f>
        <v>Diverse Abilities and Curriculum Differentiation</v>
      </c>
      <c r="E76" s="53"/>
      <c r="F76" s="292" t="str">
        <f>IFERROR(IF(VLOOKUP($A76,TableHandbook[],6,FALSE)=0,"",VLOOKUP($A76,TableHandbook[],6,FALSE)),"")</f>
        <v>Nil</v>
      </c>
      <c r="G76" s="55">
        <f>IFERROR(IF(VLOOKUP($A76,TableHandbook[],5,FALSE)=0,"",VLOOKUP($A76,TableHandbook[],5,FALSE)),"")</f>
        <v>25</v>
      </c>
      <c r="H76" s="71" t="str">
        <f>IFERROR(VLOOKUP($A76,TableHandbook[],H$2,FALSE),"")</f>
        <v/>
      </c>
      <c r="I76" s="63" t="str">
        <f>IFERROR(VLOOKUP($A76,TableHandbook[],I$2,FALSE),"")</f>
        <v>Y</v>
      </c>
      <c r="J76" s="228" t="str">
        <f>IFERROR(VLOOKUP($A76,TableHandbook[],J$2,FALSE),"")</f>
        <v/>
      </c>
      <c r="K76" s="63" t="str">
        <f>IFERROR(VLOOKUP($A76,TableHandbook[],K$2,FALSE),"")</f>
        <v/>
      </c>
      <c r="L76" s="63" t="str">
        <f>IFERROR(VLOOKUP($A76,TableHandbook[],L$2,FALSE),"")</f>
        <v/>
      </c>
      <c r="M76" s="72" t="str">
        <f>IFERROR(VLOOKUP($A76,TableHandbook[],M$2,FALSE),"")</f>
        <v/>
      </c>
      <c r="N76" s="70"/>
      <c r="O76" s="184">
        <v>29</v>
      </c>
      <c r="X76" s="28"/>
      <c r="Y76" s="28"/>
    </row>
    <row r="77" spans="1:25" x14ac:dyDescent="0.25">
      <c r="A77" s="51" t="str">
        <f t="shared" si="5"/>
        <v>EDUC4048</v>
      </c>
      <c r="B77" s="52">
        <f>IFERROR(IF(VLOOKUP($A77,TableHandbook[],2,FALSE)=0,"",VLOOKUP($A77,TableHandbook[],2,FALSE)),"")</f>
        <v>1</v>
      </c>
      <c r="C77" s="53" t="str">
        <f>IFERROR(IF(VLOOKUP($A77,TableHandbook[],3,FALSE)=0,"",VLOOKUP($A77,TableHandbook[],3,FALSE)),"")</f>
        <v/>
      </c>
      <c r="D77" s="53" t="str">
        <f>IFERROR(IF(VLOOKUP($A77,TableHandbook[],4,FALSE)=0,"",VLOOKUP($A77,TableHandbook[],4,FALSE)),"")</f>
        <v>Mentoring, Coaching and Tutoring</v>
      </c>
      <c r="E77" s="53"/>
      <c r="F77" s="292" t="str">
        <f>IFERROR(IF(VLOOKUP($A77,TableHandbook[],6,FALSE)=0,"",VLOOKUP($A77,TableHandbook[],6,FALSE)),"")</f>
        <v>Nil</v>
      </c>
      <c r="G77" s="55">
        <f>IFERROR(IF(VLOOKUP($A77,TableHandbook[],5,FALSE)=0,"",VLOOKUP($A77,TableHandbook[],5,FALSE)),"")</f>
        <v>25</v>
      </c>
      <c r="H77" s="71" t="str">
        <f>IFERROR(VLOOKUP($A77,TableHandbook[],H$2,FALSE),"")</f>
        <v/>
      </c>
      <c r="I77" s="63" t="str">
        <f>IFERROR(VLOOKUP($A77,TableHandbook[],I$2,FALSE),"")</f>
        <v>Y</v>
      </c>
      <c r="J77" s="228" t="str">
        <f>IFERROR(VLOOKUP($A77,TableHandbook[],J$2,FALSE),"")</f>
        <v/>
      </c>
      <c r="K77" s="63" t="str">
        <f>IFERROR(VLOOKUP($A77,TableHandbook[],K$2,FALSE),"")</f>
        <v/>
      </c>
      <c r="L77" s="63" t="str">
        <f>IFERROR(VLOOKUP($A77,TableHandbook[],L$2,FALSE),"")</f>
        <v>Y</v>
      </c>
      <c r="M77" s="72" t="str">
        <f>IFERROR(VLOOKUP($A77,TableHandbook[],M$2,FALSE),"")</f>
        <v/>
      </c>
      <c r="N77" s="70"/>
      <c r="O77" s="184">
        <v>30</v>
      </c>
      <c r="X77" s="28"/>
      <c r="Y77" s="28"/>
    </row>
    <row r="78" spans="1:25" x14ac:dyDescent="0.25">
      <c r="A78" s="51" t="str">
        <f t="shared" si="5"/>
        <v/>
      </c>
      <c r="B78" s="52" t="str">
        <f>IFERROR(IF(VLOOKUP($A78,TableHandbook[],2,FALSE)=0,"",VLOOKUP($A78,TableHandbook[],2,FALSE)),"")</f>
        <v/>
      </c>
      <c r="C78" s="53" t="str">
        <f>IFERROR(IF(VLOOKUP($A78,TableHandbook[],3,FALSE)=0,"",VLOOKUP($A78,TableHandbook[],3,FALSE)),"")</f>
        <v/>
      </c>
      <c r="D78" s="53" t="str">
        <f>IFERROR(IF(VLOOKUP($A78,TableHandbook[],4,FALSE)=0,"",VLOOKUP($A78,TableHandbook[],4,FALSE)),"")</f>
        <v/>
      </c>
      <c r="E78" s="53"/>
      <c r="F78" s="292" t="str">
        <f>IFERROR(IF(VLOOKUP($A78,TableHandbook[],6,FALSE)=0,"",VLOOKUP($A78,TableHandbook[],6,FALSE)),"")</f>
        <v/>
      </c>
      <c r="G78" s="55" t="str">
        <f>IFERROR(IF(VLOOKUP($A78,TableHandbook[],5,FALSE)=0,"",VLOOKUP($A78,TableHandbook[],5,FALSE)),"")</f>
        <v/>
      </c>
      <c r="H78" s="71" t="str">
        <f>IFERROR(VLOOKUP($A78,TableHandbook[],H$2,FALSE),"")</f>
        <v/>
      </c>
      <c r="I78" s="63" t="str">
        <f>IFERROR(VLOOKUP($A78,TableHandbook[],I$2,FALSE),"")</f>
        <v/>
      </c>
      <c r="J78" s="228" t="str">
        <f>IFERROR(VLOOKUP($A78,TableHandbook[],J$2,FALSE),"")</f>
        <v/>
      </c>
      <c r="K78" s="63" t="str">
        <f>IFERROR(VLOOKUP($A78,TableHandbook[],K$2,FALSE),"")</f>
        <v/>
      </c>
      <c r="L78" s="63" t="str">
        <f>IFERROR(VLOOKUP($A78,TableHandbook[],L$2,FALSE),"")</f>
        <v/>
      </c>
      <c r="M78" s="72" t="str">
        <f>IFERROR(VLOOKUP($A78,TableHandbook[],M$2,FALSE),"")</f>
        <v/>
      </c>
      <c r="N78" s="70"/>
      <c r="O78" s="184">
        <v>31</v>
      </c>
      <c r="X78" s="28"/>
      <c r="Y78" s="28"/>
    </row>
    <row r="79" spans="1:25" s="28" customFormat="1" ht="32.25" customHeight="1" x14ac:dyDescent="0.25">
      <c r="A79" s="443" t="s">
        <v>31</v>
      </c>
      <c r="B79" s="443"/>
      <c r="C79" s="443"/>
      <c r="D79" s="443"/>
      <c r="E79" s="443"/>
      <c r="F79" s="443"/>
      <c r="G79" s="443"/>
      <c r="H79" s="443"/>
      <c r="I79" s="443"/>
      <c r="J79" s="443"/>
      <c r="K79" s="443"/>
      <c r="L79" s="443"/>
      <c r="M79" s="443"/>
      <c r="N79" s="443"/>
      <c r="O79" s="21"/>
      <c r="P79" s="21"/>
      <c r="Q79" s="21"/>
      <c r="R79" s="21"/>
      <c r="S79" s="21"/>
      <c r="T79" s="21"/>
      <c r="U79" s="21"/>
      <c r="V79" s="21"/>
      <c r="W79" s="21"/>
    </row>
    <row r="80" spans="1:25" s="41" customFormat="1" ht="24.95" customHeight="1" x14ac:dyDescent="0.3">
      <c r="A80" s="88" t="s">
        <v>32</v>
      </c>
      <c r="B80" s="88"/>
      <c r="C80" s="88"/>
      <c r="D80" s="89"/>
      <c r="E80" s="89"/>
      <c r="F80" s="89"/>
      <c r="G80" s="89"/>
      <c r="H80" s="89"/>
      <c r="I80" s="89"/>
      <c r="J80" s="89"/>
      <c r="K80" s="89"/>
      <c r="L80" s="89"/>
      <c r="M80" s="89"/>
      <c r="N80" s="89"/>
      <c r="O80" s="189"/>
      <c r="P80" s="189"/>
      <c r="Q80" s="189"/>
      <c r="X80" s="40"/>
      <c r="Y80" s="40"/>
    </row>
    <row r="81" spans="1:23" s="28" customFormat="1" ht="15" customHeight="1" x14ac:dyDescent="0.25">
      <c r="A81" s="42" t="s">
        <v>33</v>
      </c>
      <c r="B81" s="42"/>
      <c r="C81" s="42"/>
      <c r="D81" s="42"/>
      <c r="E81" s="56"/>
      <c r="F81" s="43"/>
      <c r="G81" s="57"/>
      <c r="H81" s="57"/>
      <c r="I81" s="57"/>
      <c r="J81" s="57"/>
      <c r="K81" s="57"/>
      <c r="L81" s="57"/>
      <c r="M81" s="57"/>
      <c r="N81" s="57" t="s">
        <v>34</v>
      </c>
      <c r="O81" s="21"/>
      <c r="P81" s="21"/>
      <c r="Q81" s="21"/>
      <c r="R81" s="21"/>
      <c r="S81" s="21"/>
      <c r="T81" s="21"/>
      <c r="U81" s="21"/>
      <c r="V81" s="21"/>
      <c r="W81" s="21"/>
    </row>
  </sheetData>
  <sheetProtection formatCells="0"/>
  <mergeCells count="2">
    <mergeCell ref="A3:D3"/>
    <mergeCell ref="A79:N79"/>
  </mergeCells>
  <conditionalFormatting sqref="A49:N78">
    <cfRule type="expression" dxfId="189" priority="3">
      <formula>RIGHT($D49,7)="Options"</formula>
    </cfRule>
  </conditionalFormatting>
  <conditionalFormatting sqref="D5:D6">
    <cfRule type="containsText" dxfId="188" priority="5" operator="containsText" text="Choose">
      <formula>NOT(ISERROR(SEARCH("Choose",D5)))</formula>
    </cfRule>
  </conditionalFormatting>
  <conditionalFormatting sqref="H9:M45">
    <cfRule type="expression" dxfId="187" priority="1">
      <formula>$E9=LEFT(H$8,4)</formula>
    </cfRule>
  </conditionalFormatting>
  <dataValidations count="1">
    <dataValidation type="list" allowBlank="1" showInputMessage="1" showErrorMessage="1" sqref="N23 N13 N33 N43" xr:uid="{00000000-0002-0000-0100-000000000000}"/>
  </dataValidations>
  <hyperlinks>
    <hyperlink ref="A80:N80"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3" man="1"/>
  </rowBreaks>
  <ignoredErrors>
    <ignoredError sqref="E9:E4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Unitsets!$A$23:$A$25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79998168889431442"/>
    <pageSetUpPr fitToPage="1"/>
  </sheetPr>
  <dimension ref="A1:Y56"/>
  <sheetViews>
    <sheetView showGridLines="0" topLeftCell="A3" zoomScaleNormal="100" workbookViewId="0">
      <selection activeCell="L15" sqref="L15"/>
    </sheetView>
  </sheetViews>
  <sheetFormatPr defaultColWidth="9" defaultRowHeight="15" x14ac:dyDescent="0.25"/>
  <cols>
    <col min="1" max="1" width="11.375" style="22" customWidth="1"/>
    <col min="2" max="2" width="3.25" style="22" customWidth="1"/>
    <col min="3" max="3" width="5.875" style="22" customWidth="1"/>
    <col min="4" max="4" width="49.625" style="21" customWidth="1"/>
    <col min="5" max="5" width="7" style="21" customWidth="1"/>
    <col min="6" max="6" width="26.5" style="21" customWidth="1"/>
    <col min="7" max="7" width="5.625" style="21" customWidth="1"/>
    <col min="8" max="13" width="4.375" style="21" customWidth="1"/>
    <col min="14" max="14" width="18.625" style="21" customWidth="1"/>
    <col min="15" max="15" width="2.5" style="21" hidden="1" customWidth="1"/>
    <col min="16" max="16384" width="9" style="21"/>
  </cols>
  <sheetData>
    <row r="1" spans="1:25" hidden="1" x14ac:dyDescent="0.25">
      <c r="A1" s="101" t="s">
        <v>0</v>
      </c>
      <c r="B1" s="101" t="s">
        <v>1</v>
      </c>
      <c r="C1" s="101" t="s">
        <v>2</v>
      </c>
      <c r="D1" s="102" t="s">
        <v>3</v>
      </c>
      <c r="E1" s="102"/>
      <c r="F1" s="102" t="s">
        <v>4</v>
      </c>
      <c r="G1" s="102" t="s">
        <v>5</v>
      </c>
      <c r="H1" s="102" t="s">
        <v>6</v>
      </c>
      <c r="I1" s="102"/>
      <c r="J1" s="102"/>
      <c r="K1" s="102"/>
      <c r="L1" s="102"/>
      <c r="M1" s="102"/>
      <c r="N1" s="102" t="s">
        <v>7</v>
      </c>
    </row>
    <row r="2" spans="1:25" hidden="1" x14ac:dyDescent="0.25">
      <c r="A2" s="100"/>
      <c r="B2" s="100">
        <v>2</v>
      </c>
      <c r="C2" s="100">
        <v>3</v>
      </c>
      <c r="D2" s="100">
        <v>4</v>
      </c>
      <c r="E2" s="100"/>
      <c r="F2" s="100">
        <v>6</v>
      </c>
      <c r="G2" s="100">
        <v>5</v>
      </c>
      <c r="H2" s="100">
        <v>7</v>
      </c>
      <c r="I2" s="100">
        <v>8</v>
      </c>
      <c r="J2" s="100">
        <v>9</v>
      </c>
      <c r="K2" s="100">
        <v>10</v>
      </c>
      <c r="L2" s="100">
        <v>11</v>
      </c>
      <c r="M2" s="100">
        <v>12</v>
      </c>
      <c r="N2" s="100"/>
    </row>
    <row r="3" spans="1:25" ht="39.950000000000003" customHeight="1" x14ac:dyDescent="0.25">
      <c r="A3" s="442" t="s">
        <v>8</v>
      </c>
      <c r="B3" s="442"/>
      <c r="C3" s="442"/>
      <c r="D3" s="442"/>
      <c r="E3" s="168"/>
      <c r="F3" s="168"/>
      <c r="G3" s="168"/>
      <c r="H3" s="168"/>
      <c r="I3" s="168"/>
      <c r="J3" s="168"/>
      <c r="K3" s="168"/>
      <c r="L3" s="168"/>
      <c r="M3" s="168"/>
      <c r="N3" s="168"/>
    </row>
    <row r="4" spans="1:25" ht="26.25" x14ac:dyDescent="0.25">
      <c r="A4" s="234"/>
      <c r="B4" s="235"/>
      <c r="C4" s="235"/>
      <c r="D4" s="236"/>
      <c r="E4" s="237" t="s">
        <v>9</v>
      </c>
      <c r="F4" s="235"/>
      <c r="G4" s="238"/>
      <c r="H4" s="238"/>
      <c r="I4" s="238"/>
      <c r="J4" s="238"/>
      <c r="K4" s="238"/>
      <c r="L4" s="238"/>
      <c r="M4" s="238"/>
      <c r="N4" s="238"/>
    </row>
    <row r="5" spans="1:25" ht="20.100000000000001" customHeight="1" x14ac:dyDescent="0.25">
      <c r="B5" s="23"/>
      <c r="C5" s="86" t="s">
        <v>10</v>
      </c>
      <c r="D5" s="160" t="s">
        <v>39</v>
      </c>
      <c r="E5" s="24"/>
      <c r="F5" s="86" t="s">
        <v>12</v>
      </c>
      <c r="G5" s="24" t="str">
        <f>IFERROR(CONCATENATE(VLOOKUP(D5,TableCourses[],2,FALSE)," ",VLOOKUP(D5,TableCourses[],3,FALSE)),"")</f>
        <v>B-EDPR v.4</v>
      </c>
      <c r="H5" s="24"/>
      <c r="I5" s="24"/>
      <c r="J5" s="24"/>
      <c r="K5" s="24"/>
      <c r="L5" s="24"/>
      <c r="M5" s="24"/>
      <c r="N5" s="265" t="e">
        <f>CONCATENATE(VLOOKUP(D5,TableCourses[],2,FALSE),VLOOKUP(D7,TableStudyPeriods[],2,FALSE))</f>
        <v>#N/A</v>
      </c>
    </row>
    <row r="6" spans="1:25" ht="20.100000000000001" customHeight="1" x14ac:dyDescent="0.25">
      <c r="B6" s="23"/>
      <c r="C6" s="86" t="s">
        <v>40</v>
      </c>
      <c r="D6" s="192" t="s">
        <v>94</v>
      </c>
      <c r="E6" s="24"/>
      <c r="F6" s="86" t="s">
        <v>42</v>
      </c>
      <c r="G6" s="24" t="str">
        <f>IFERROR(CONCATENATE(VLOOKUP(D6,TableTeachingAreaStream[],2,FALSE)," ",VLOOKUP(D6,TableTeachingAreaStream[],3,FALSE)),"")</f>
        <v/>
      </c>
      <c r="H6" s="24"/>
      <c r="I6" s="24"/>
      <c r="J6" s="24"/>
      <c r="K6" s="191"/>
      <c r="M6" s="24"/>
      <c r="N6" s="265" t="e">
        <f>VLOOKUP(D6,TableTeachingAreaStream[],2,FALSE)</f>
        <v>#N/A</v>
      </c>
    </row>
    <row r="7" spans="1:25" ht="20.100000000000001" customHeight="1" x14ac:dyDescent="0.25">
      <c r="A7" s="25"/>
      <c r="B7" s="26"/>
      <c r="C7" s="86" t="s">
        <v>13</v>
      </c>
      <c r="D7" s="190" t="s">
        <v>136</v>
      </c>
      <c r="E7" s="27"/>
      <c r="F7" s="86" t="s">
        <v>15</v>
      </c>
      <c r="G7" s="24" t="str">
        <f>IFERROR(VLOOKUP($D$5,TableCourses[],7,FALSE),"")</f>
        <v xml:space="preserve">800 credit points required </v>
      </c>
      <c r="H7" s="182"/>
      <c r="I7" s="182"/>
      <c r="J7" s="182"/>
      <c r="K7" s="182"/>
      <c r="L7" s="182"/>
      <c r="M7" s="182"/>
      <c r="N7" s="266"/>
      <c r="Y7" s="28"/>
    </row>
    <row r="8" spans="1:25" s="31" customFormat="1" ht="14.1" customHeight="1" x14ac:dyDescent="0.25">
      <c r="A8" s="105"/>
      <c r="B8" s="105"/>
      <c r="C8" s="105"/>
      <c r="D8" s="106"/>
      <c r="E8" s="107"/>
      <c r="F8" s="105"/>
      <c r="G8" s="105"/>
      <c r="H8" s="167" t="s">
        <v>16</v>
      </c>
      <c r="I8" s="108"/>
      <c r="J8" s="108"/>
      <c r="K8" s="108"/>
      <c r="L8" s="108"/>
      <c r="M8" s="109"/>
      <c r="N8" s="107"/>
      <c r="O8" s="183"/>
      <c r="P8" s="183"/>
      <c r="Q8" s="183"/>
      <c r="Y8" s="30"/>
    </row>
    <row r="9" spans="1:25" s="31" customFormat="1" ht="21" x14ac:dyDescent="0.25">
      <c r="A9" s="105" t="s">
        <v>17</v>
      </c>
      <c r="B9" s="105"/>
      <c r="C9" s="105"/>
      <c r="D9" s="252" t="s">
        <v>3</v>
      </c>
      <c r="E9" s="111" t="s">
        <v>18</v>
      </c>
      <c r="F9" s="105" t="s">
        <v>19</v>
      </c>
      <c r="G9" s="105" t="s">
        <v>20</v>
      </c>
      <c r="H9" s="113" t="s">
        <v>21</v>
      </c>
      <c r="I9" s="111" t="s">
        <v>22</v>
      </c>
      <c r="J9" s="227" t="s">
        <v>23</v>
      </c>
      <c r="K9" s="111" t="s">
        <v>24</v>
      </c>
      <c r="L9" s="111" t="s">
        <v>25</v>
      </c>
      <c r="M9" s="114" t="s">
        <v>26</v>
      </c>
      <c r="N9" s="105" t="s">
        <v>43</v>
      </c>
      <c r="O9" s="183"/>
      <c r="P9" s="183"/>
      <c r="Q9" s="183"/>
      <c r="Y9" s="30"/>
    </row>
    <row r="10" spans="1:25" s="34" customFormat="1" ht="20.100000000000001" customHeight="1" x14ac:dyDescent="0.15">
      <c r="A10" s="67" t="str">
        <f>IFERROR(IF(HLOOKUP($N$5,RangeUnitsets,O10,FALSE)=0,"",HLOOKUP($N$5,RangeUnitsets,O10,FALSE)),"")</f>
        <v/>
      </c>
      <c r="B10" s="63" t="str">
        <f>IFERROR(IF(VLOOKUP($A10,TableHandbook[],B$2,FALSE)=0,"",VLOOKUP($A10,TableHandbook[],B$2,FALSE)),"")</f>
        <v/>
      </c>
      <c r="C10" s="63" t="str">
        <f>IFERROR(IF(VLOOKUP($A10,TableHandbook[],C$2,FALSE)=0,"",VLOOKUP($A10,TableHandbook[],C$2,FALSE)),"")</f>
        <v/>
      </c>
      <c r="D10" s="253" t="str">
        <f>IFERROR(IF(VLOOKUP($A10,TableHandbook[],D$2,FALSE)=0,"",VLOOKUP($A10,TableHandbook[],D$2,FALSE)),"")</f>
        <v/>
      </c>
      <c r="E10" s="63" t="str">
        <f>IF(OR(A10="",A10="--"),"",VLOOKUP($D$7,TableStudyPeriods[],2,FALSE))</f>
        <v/>
      </c>
      <c r="F10" s="62" t="str">
        <f>IFERROR(IF(VLOOKUP($A10,TableHandbook[],F$2,FALSE)=0,"",VLOOKUP($A10,TableHandbook[],F$2,FALSE)),"")</f>
        <v/>
      </c>
      <c r="G10" s="63" t="str">
        <f>IFERROR(IF(VLOOKUP($A10,TableHandbook[],G$2,FALSE)=0,"",VLOOKUP($A10,TableHandbook[],G$2,FALSE)),"")</f>
        <v/>
      </c>
      <c r="H10" s="71" t="str">
        <f>IFERROR(VLOOKUP($A10,TableHandbook[],H$2,FALSE),"")</f>
        <v/>
      </c>
      <c r="I10" s="63" t="str">
        <f>IFERROR(VLOOKUP($A10,TableHandbook[],I$2,FALSE),"")</f>
        <v/>
      </c>
      <c r="J10" s="228" t="str">
        <f>IFERROR(VLOOKUP($A10,TableHandbook[],J$2,FALSE),"")</f>
        <v/>
      </c>
      <c r="K10" s="63" t="str">
        <f>IFERROR(VLOOKUP($A10,TableHandbook[],K$2,FALSE),"")</f>
        <v/>
      </c>
      <c r="L10" s="63" t="str">
        <f>IFERROR(VLOOKUP($A10,TableHandbook[],L$2,FALSE),"")</f>
        <v/>
      </c>
      <c r="M10" s="72" t="str">
        <f>IFERROR(VLOOKUP($A10,TableHandbook[],M$2,FALSE),"")</f>
        <v/>
      </c>
      <c r="N10" s="69"/>
      <c r="O10" s="184">
        <v>2</v>
      </c>
      <c r="P10" s="185"/>
      <c r="Q10" s="185"/>
      <c r="Y10" s="33"/>
    </row>
    <row r="11" spans="1:25" s="34" customFormat="1" ht="20.100000000000001" customHeight="1" x14ac:dyDescent="0.15">
      <c r="A11" s="67" t="str">
        <f>IFERROR(IF(HLOOKUP($N$5,RangeUnitsets,O11,FALSE)=0,"",HLOOKUP($N$5,RangeUnitsets,O11,FALSE)),"")</f>
        <v/>
      </c>
      <c r="B11" s="63" t="str">
        <f>IFERROR(IF(VLOOKUP($A11,TableHandbook[],B$2,FALSE)=0,"",VLOOKUP($A11,TableHandbook[],B$2,FALSE)),"")</f>
        <v/>
      </c>
      <c r="C11" s="63" t="str">
        <f>IFERROR(IF(VLOOKUP($A11,TableHandbook[],C$2,FALSE)=0,"",VLOOKUP($A11,TableHandbook[],C$2,FALSE)),"")</f>
        <v/>
      </c>
      <c r="D11" s="253" t="str">
        <f>IFERROR(IF(VLOOKUP($A11,TableHandbook[],D$2,FALSE)=0,"",VLOOKUP($A11,TableHandbook[],D$2,FALSE)),"")</f>
        <v/>
      </c>
      <c r="E11" s="63" t="str">
        <f>IF(A11="","",E10)</f>
        <v/>
      </c>
      <c r="F11" s="62" t="str">
        <f>IFERROR(IF(VLOOKUP($A11,TableHandbook[],F$2,FALSE)=0,"",VLOOKUP($A11,TableHandbook[],F$2,FALSE)),"")</f>
        <v/>
      </c>
      <c r="G11" s="63" t="str">
        <f>IFERROR(IF(VLOOKUP($A11,TableHandbook[],G$2,FALSE)=0,"",VLOOKUP($A11,TableHandbook[],G$2,FALSE)),"")</f>
        <v/>
      </c>
      <c r="H11" s="71" t="str">
        <f>IFERROR(VLOOKUP($A11,TableHandbook[],H$2,FALSE),"")</f>
        <v/>
      </c>
      <c r="I11" s="63" t="str">
        <f>IFERROR(VLOOKUP($A11,TableHandbook[],I$2,FALSE),"")</f>
        <v/>
      </c>
      <c r="J11" s="228" t="str">
        <f>IFERROR(VLOOKUP($A11,TableHandbook[],J$2,FALSE),"")</f>
        <v/>
      </c>
      <c r="K11" s="63" t="str">
        <f>IFERROR(VLOOKUP($A11,TableHandbook[],K$2,FALSE),"")</f>
        <v/>
      </c>
      <c r="L11" s="63" t="str">
        <f>IFERROR(VLOOKUP($A11,TableHandbook[],L$2,FALSE),"")</f>
        <v/>
      </c>
      <c r="M11" s="72" t="str">
        <f>IFERROR(VLOOKUP($A11,TableHandbook[],M$2,FALSE),"")</f>
        <v/>
      </c>
      <c r="N11" s="69"/>
      <c r="O11" s="184">
        <v>3</v>
      </c>
      <c r="P11" s="185"/>
      <c r="Q11" s="185"/>
      <c r="Y11" s="33"/>
    </row>
    <row r="12" spans="1:25" s="34" customFormat="1" ht="20.100000000000001" customHeight="1" x14ac:dyDescent="0.15">
      <c r="A12" s="164" t="str">
        <f>IFERROR(IF(HLOOKUP($N$5,RangeUnitsets,O12,FALSE)=0,"",HLOOKUP($N$5,RangeUnitsets,O12,FALSE)),"")</f>
        <v/>
      </c>
      <c r="B12" s="63" t="str">
        <f>IFERROR(IF(VLOOKUP($A12,TableHandbook[],B$2,FALSE)=0,"",VLOOKUP($A12,TableHandbook[],B$2,FALSE)),"")</f>
        <v/>
      </c>
      <c r="C12" s="63" t="str">
        <f>IFERROR(IF(VLOOKUP($A12,TableHandbook[],C$2,FALSE)=0,"",VLOOKUP($A12,TableHandbook[],C$2,FALSE)),"")</f>
        <v/>
      </c>
      <c r="D12" s="253"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1" t="str">
        <f>IFERROR(VLOOKUP($A12,TableHandbook[],H$2,FALSE),"")</f>
        <v/>
      </c>
      <c r="I12" s="63" t="str">
        <f>IFERROR(VLOOKUP($A12,TableHandbook[],I$2,FALSE),"")</f>
        <v/>
      </c>
      <c r="J12" s="228" t="str">
        <f>IFERROR(VLOOKUP($A12,TableHandbook[],J$2,FALSE),"")</f>
        <v/>
      </c>
      <c r="K12" s="63" t="str">
        <f>IFERROR(VLOOKUP($A12,TableHandbook[],K$2,FALSE),"")</f>
        <v/>
      </c>
      <c r="L12" s="63" t="str">
        <f>IFERROR(VLOOKUP($A12,TableHandbook[],L$2,FALSE),"")</f>
        <v/>
      </c>
      <c r="M12" s="72" t="str">
        <f>IFERROR(VLOOKUP($A12,TableHandbook[],M$2,FALSE),"")</f>
        <v/>
      </c>
      <c r="N12" s="70"/>
      <c r="O12" s="184">
        <v>4</v>
      </c>
      <c r="P12" s="185"/>
      <c r="Q12" s="185"/>
      <c r="Y12" s="33"/>
    </row>
    <row r="13" spans="1:25" s="34" customFormat="1" ht="20.100000000000001" customHeight="1" x14ac:dyDescent="0.15">
      <c r="A13" s="67" t="str">
        <f>IFERROR(IF(HLOOKUP($N$5,RangeUnitsets,O13,FALSE)=0,"",HLOOKUP($N$5,RangeUnitsets,O13,FALSE)),"")</f>
        <v/>
      </c>
      <c r="B13" s="63" t="str">
        <f>IFERROR(IF(VLOOKUP($A13,TableHandbook[],B$2,FALSE)=0,"",VLOOKUP($A13,TableHandbook[],B$2,FALSE)),"")</f>
        <v/>
      </c>
      <c r="C13" s="63" t="str">
        <f>IFERROR(IF(VLOOKUP($A13,TableHandbook[],C$2,FALSE)=0,"",VLOOKUP($A13,TableHandbook[],C$2,FALSE)),"")</f>
        <v/>
      </c>
      <c r="D13" s="253" t="str">
        <f>IFERROR(IF(VLOOKUP($A13,TableHandbook[],D$2,FALSE)=0,"",VLOOKUP($A13,TableHandbook[],D$2,FALSE)),"")</f>
        <v/>
      </c>
      <c r="E13" s="63" t="str">
        <f>IF(A13="","",E12)</f>
        <v/>
      </c>
      <c r="F13" s="62" t="str">
        <f>IFERROR(IF(VLOOKUP($A13,TableHandbook[],F$2,FALSE)=0,"",VLOOKUP($A13,TableHandbook[],F$2,FALSE)),"")</f>
        <v/>
      </c>
      <c r="G13" s="63" t="str">
        <f>IFERROR(IF(VLOOKUP($A13,TableHandbook[],G$2,FALSE)=0,"",VLOOKUP($A13,TableHandbook[],G$2,FALSE)),"")</f>
        <v/>
      </c>
      <c r="H13" s="71" t="str">
        <f>IFERROR(VLOOKUP($A13,TableHandbook[],H$2,FALSE),"")</f>
        <v/>
      </c>
      <c r="I13" s="63" t="str">
        <f>IFERROR(VLOOKUP($A13,TableHandbook[],I$2,FALSE),"")</f>
        <v/>
      </c>
      <c r="J13" s="228" t="str">
        <f>IFERROR(VLOOKUP($A13,TableHandbook[],J$2,FALSE),"")</f>
        <v/>
      </c>
      <c r="K13" s="63" t="str">
        <f>IFERROR(VLOOKUP($A13,TableHandbook[],K$2,FALSE),"")</f>
        <v/>
      </c>
      <c r="L13" s="63" t="str">
        <f>IFERROR(VLOOKUP($A13,TableHandbook[],L$2,FALSE),"")</f>
        <v/>
      </c>
      <c r="M13" s="72" t="str">
        <f>IFERROR(VLOOKUP($A13,TableHandbook[],M$2,FALSE),"")</f>
        <v/>
      </c>
      <c r="N13" s="69"/>
      <c r="O13" s="184">
        <v>5</v>
      </c>
      <c r="P13" s="185"/>
      <c r="Q13" s="185"/>
      <c r="Y13" s="33"/>
    </row>
    <row r="14" spans="1:25" s="34" customFormat="1" ht="5.0999999999999996" customHeight="1" x14ac:dyDescent="0.15">
      <c r="A14" s="241"/>
      <c r="B14" s="242"/>
      <c r="C14" s="242"/>
      <c r="D14" s="256"/>
      <c r="E14" s="242"/>
      <c r="F14" s="244"/>
      <c r="G14" s="242"/>
      <c r="H14" s="245"/>
      <c r="I14" s="242"/>
      <c r="J14" s="246"/>
      <c r="K14" s="242"/>
      <c r="L14" s="242"/>
      <c r="M14" s="247"/>
      <c r="N14" s="247"/>
      <c r="O14" s="186"/>
      <c r="P14" s="185"/>
      <c r="Q14" s="185"/>
      <c r="R14" s="185"/>
      <c r="Y14" s="33"/>
    </row>
    <row r="15" spans="1:25" s="34" customFormat="1" ht="20.100000000000001" customHeight="1" x14ac:dyDescent="0.15">
      <c r="A15" s="67" t="str">
        <f>IFERROR(IF(HLOOKUP($N$5,RangeUnitsets,O15,FALSE)=0,"",HLOOKUP($N$5,RangeUnitsets,O15,FALSE)),"")</f>
        <v/>
      </c>
      <c r="B15" s="65" t="str">
        <f>IFERROR(IF(VLOOKUP($A15,TableHandbook[],B$2,FALSE)=0,"",VLOOKUP($A15,TableHandbook[],B$2,FALSE)),"")</f>
        <v/>
      </c>
      <c r="C15" s="65" t="str">
        <f>IFERROR(IF(VLOOKUP($A15,TableHandbook[],C$2,FALSE)=0,"",VLOOKUP($A15,TableHandbook[],C$2,FALSE)),"")</f>
        <v/>
      </c>
      <c r="D15" s="253" t="str">
        <f>IFERROR(IF(VLOOKUP($A15,TableHandbook[],D$2,FALSE)=0,"",VLOOKUP($A15,TableHandbook[],D$2,FALSE)),"")</f>
        <v/>
      </c>
      <c r="E15" s="63" t="str">
        <f>IF(OR(A15="",A15="--"),"",VLOOKUP($D$7,TableStudyPeriods[],3,FALSE))</f>
        <v/>
      </c>
      <c r="F15" s="62" t="str">
        <f>IFERROR(IF(VLOOKUP($A15,TableHandbook[],F$2,FALSE)=0,"",VLOOKUP($A15,TableHandbook[],F$2,FALSE)),"")</f>
        <v/>
      </c>
      <c r="G15" s="65" t="str">
        <f>IFERROR(IF(VLOOKUP($A15,TableHandbook[],G$2,FALSE)=0,"",VLOOKUP($A15,TableHandbook[],G$2,FALSE)),"")</f>
        <v/>
      </c>
      <c r="H15" s="73" t="str">
        <f>IFERROR(VLOOKUP($A15,TableHandbook[],H$2,FALSE),"")</f>
        <v/>
      </c>
      <c r="I15" s="65" t="str">
        <f>IFERROR(VLOOKUP($A15,TableHandbook[],I$2,FALSE),"")</f>
        <v/>
      </c>
      <c r="J15" s="229" t="str">
        <f>IFERROR(VLOOKUP($A15,TableHandbook[],J$2,FALSE),"")</f>
        <v/>
      </c>
      <c r="K15" s="65" t="str">
        <f>IFERROR(VLOOKUP($A15,TableHandbook[],K$2,FALSE),"")</f>
        <v/>
      </c>
      <c r="L15" s="65" t="str">
        <f>IFERROR(VLOOKUP($A15,TableHandbook[],L$2,FALSE),"")</f>
        <v/>
      </c>
      <c r="M15" s="74" t="str">
        <f>IFERROR(VLOOKUP($A15,TableHandbook[],M$2,FALSE),"")</f>
        <v/>
      </c>
      <c r="N15" s="70"/>
      <c r="O15" s="184">
        <v>6</v>
      </c>
      <c r="P15" s="185"/>
      <c r="Q15" s="185"/>
      <c r="Y15" s="33"/>
    </row>
    <row r="16" spans="1:25" s="38" customFormat="1" ht="20.100000000000001" customHeight="1" x14ac:dyDescent="0.15">
      <c r="A16" s="67" t="str">
        <f>IFERROR(IF(HLOOKUP($N$5,RangeUnitsets,O16,FALSE)=0,"",HLOOKUP($N$5,RangeUnitsets,O16,FALSE)),"")</f>
        <v/>
      </c>
      <c r="B16" s="65" t="str">
        <f>IFERROR(IF(VLOOKUP($A16,TableHandbook[],B$2,FALSE)=0,"",VLOOKUP($A16,TableHandbook[],B$2,FALSE)),"")</f>
        <v/>
      </c>
      <c r="C16" s="65" t="str">
        <f>IFERROR(IF(VLOOKUP($A16,TableHandbook[],C$2,FALSE)=0,"",VLOOKUP($A16,TableHandbook[],C$2,FALSE)),"")</f>
        <v/>
      </c>
      <c r="D16" s="253" t="str">
        <f>IFERROR(IF(VLOOKUP($A16,TableHandbook[],D$2,FALSE)=0,"",VLOOKUP($A16,TableHandbook[],D$2,FALSE)),"")</f>
        <v/>
      </c>
      <c r="E16" s="63" t="str">
        <f>IF(A16="","",E15)</f>
        <v/>
      </c>
      <c r="F16" s="62" t="str">
        <f>IFERROR(IF(VLOOKUP($A16,TableHandbook[],F$2,FALSE)=0,"",VLOOKUP($A16,TableHandbook[],F$2,FALSE)),"")</f>
        <v/>
      </c>
      <c r="G16" s="65" t="str">
        <f>IFERROR(IF(VLOOKUP($A16,TableHandbook[],G$2,FALSE)=0,"",VLOOKUP($A16,TableHandbook[],G$2,FALSE)),"")</f>
        <v/>
      </c>
      <c r="H16" s="73" t="str">
        <f>IFERROR(VLOOKUP($A16,TableHandbook[],H$2,FALSE),"")</f>
        <v/>
      </c>
      <c r="I16" s="65" t="str">
        <f>IFERROR(VLOOKUP($A16,TableHandbook[],I$2,FALSE),"")</f>
        <v/>
      </c>
      <c r="J16" s="229" t="str">
        <f>IFERROR(VLOOKUP($A16,TableHandbook[],J$2,FALSE),"")</f>
        <v/>
      </c>
      <c r="K16" s="65" t="str">
        <f>IFERROR(VLOOKUP($A16,TableHandbook[],K$2,FALSE),"")</f>
        <v/>
      </c>
      <c r="L16" s="65" t="str">
        <f>IFERROR(VLOOKUP($A16,TableHandbook[],L$2,FALSE),"")</f>
        <v/>
      </c>
      <c r="M16" s="74" t="str">
        <f>IFERROR(VLOOKUP($A16,TableHandbook[],M$2,FALSE),"")</f>
        <v/>
      </c>
      <c r="N16" s="70"/>
      <c r="O16" s="184">
        <v>7</v>
      </c>
      <c r="P16" s="187"/>
      <c r="Q16" s="187"/>
      <c r="Y16" s="37"/>
    </row>
    <row r="17" spans="1:25" s="38" customFormat="1" ht="20.100000000000001" customHeight="1" x14ac:dyDescent="0.15">
      <c r="A17" s="67" t="str">
        <f>IFERROR(IF(HLOOKUP($N$5,RangeUnitsets,O17,FALSE)=0,"",HLOOKUP($N$5,RangeUnitsets,O17,FALSE)),"")</f>
        <v/>
      </c>
      <c r="B17" s="65" t="str">
        <f>IFERROR(IF(VLOOKUP($A17,TableHandbook[],B$2,FALSE)=0,"",VLOOKUP($A17,TableHandbook[],B$2,FALSE)),"")</f>
        <v/>
      </c>
      <c r="C17" s="65" t="str">
        <f>IFERROR(IF(VLOOKUP($A17,TableHandbook[],C$2,FALSE)=0,"",VLOOKUP($A17,TableHandbook[],C$2,FALSE)),"")</f>
        <v/>
      </c>
      <c r="D17" s="253" t="str">
        <f>IFERROR(IF(VLOOKUP($A17,TableHandbook[],D$2,FALSE)=0,"",VLOOKUP($A17,TableHandbook[],D$2,FALSE)),"")</f>
        <v/>
      </c>
      <c r="E17" s="63" t="str">
        <f>IF(A17="","",E16)</f>
        <v/>
      </c>
      <c r="F17" s="62" t="str">
        <f>IFERROR(IF(VLOOKUP($A17,TableHandbook[],F$2,FALSE)=0,"",VLOOKUP($A17,TableHandbook[],F$2,FALSE)),"")</f>
        <v/>
      </c>
      <c r="G17" s="65" t="str">
        <f>IFERROR(IF(VLOOKUP($A17,TableHandbook[],G$2,FALSE)=0,"",VLOOKUP($A17,TableHandbook[],G$2,FALSE)),"")</f>
        <v/>
      </c>
      <c r="H17" s="73" t="str">
        <f>IFERROR(VLOOKUP($A17,TableHandbook[],H$2,FALSE),"")</f>
        <v/>
      </c>
      <c r="I17" s="65" t="str">
        <f>IFERROR(VLOOKUP($A17,TableHandbook[],I$2,FALSE),"")</f>
        <v/>
      </c>
      <c r="J17" s="229" t="str">
        <f>IFERROR(VLOOKUP($A17,TableHandbook[],J$2,FALSE),"")</f>
        <v/>
      </c>
      <c r="K17" s="65" t="str">
        <f>IFERROR(VLOOKUP($A17,TableHandbook[],K$2,FALSE),"")</f>
        <v/>
      </c>
      <c r="L17" s="65" t="str">
        <f>IFERROR(VLOOKUP($A17,TableHandbook[],L$2,FALSE),"")</f>
        <v/>
      </c>
      <c r="M17" s="74" t="str">
        <f>IFERROR(VLOOKUP($A17,TableHandbook[],M$2,FALSE),"")</f>
        <v/>
      </c>
      <c r="N17" s="70"/>
      <c r="O17" s="184">
        <v>8</v>
      </c>
      <c r="P17" s="187"/>
      <c r="Q17" s="187"/>
      <c r="Y17" s="37"/>
    </row>
    <row r="18" spans="1:25" s="38" customFormat="1" ht="20.100000000000001" customHeight="1" x14ac:dyDescent="0.15">
      <c r="A18" s="67" t="str">
        <f>IFERROR(IF(HLOOKUP($N$5,RangeUnitsets,O18,FALSE)=0,"",HLOOKUP($N$5,RangeUnitsets,O18,FALSE)),"")</f>
        <v/>
      </c>
      <c r="B18" s="65" t="str">
        <f>IFERROR(IF(VLOOKUP($A18,TableHandbook[],B$2,FALSE)=0,"",VLOOKUP($A18,TableHandbook[],B$2,FALSE)),"")</f>
        <v/>
      </c>
      <c r="C18" s="65" t="str">
        <f>IFERROR(IF(VLOOKUP($A18,TableHandbook[],C$2,FALSE)=0,"",VLOOKUP($A18,TableHandbook[],C$2,FALSE)),"")</f>
        <v/>
      </c>
      <c r="D18" s="254" t="str">
        <f>IFERROR(IF(VLOOKUP($A18,TableHandbook[],D$2,FALSE)=0,"",VLOOKUP($A18,TableHandbook[],D$2,FALSE)),"")</f>
        <v/>
      </c>
      <c r="E18" s="65" t="str">
        <f>IF(A18="","",E17)</f>
        <v/>
      </c>
      <c r="F18" s="62" t="str">
        <f>IFERROR(IF(VLOOKUP($A18,TableHandbook[],F$2,FALSE)=0,"",VLOOKUP($A18,TableHandbook[],F$2,FALSE)),"")</f>
        <v/>
      </c>
      <c r="G18" s="65" t="str">
        <f>IFERROR(IF(VLOOKUP($A18,TableHandbook[],G$2,FALSE)=0,"",VLOOKUP($A18,TableHandbook[],G$2,FALSE)),"")</f>
        <v/>
      </c>
      <c r="H18" s="73" t="str">
        <f>IFERROR(VLOOKUP($A18,TableHandbook[],H$2,FALSE),"")</f>
        <v/>
      </c>
      <c r="I18" s="65" t="str">
        <f>IFERROR(VLOOKUP($A18,TableHandbook[],I$2,FALSE),"")</f>
        <v/>
      </c>
      <c r="J18" s="229" t="str">
        <f>IFERROR(VLOOKUP($A18,TableHandbook[],J$2,FALSE),"")</f>
        <v/>
      </c>
      <c r="K18" s="65" t="str">
        <f>IFERROR(VLOOKUP($A18,TableHandbook[],K$2,FALSE),"")</f>
        <v/>
      </c>
      <c r="L18" s="65" t="str">
        <f>IFERROR(VLOOKUP($A18,TableHandbook[],L$2,FALSE),"")</f>
        <v/>
      </c>
      <c r="M18" s="74" t="str">
        <f>IFERROR(VLOOKUP($A18,TableHandbook[],M$2,FALSE),"")</f>
        <v/>
      </c>
      <c r="N18" s="70"/>
      <c r="O18" s="184">
        <v>9</v>
      </c>
      <c r="P18" s="187"/>
      <c r="Q18" s="187"/>
      <c r="Y18" s="37"/>
    </row>
    <row r="19" spans="1:25" s="31" customFormat="1" ht="21" x14ac:dyDescent="0.25">
      <c r="A19" s="105" t="s">
        <v>28</v>
      </c>
      <c r="B19" s="105"/>
      <c r="C19" s="105"/>
      <c r="D19" s="252" t="s">
        <v>3</v>
      </c>
      <c r="E19" s="111" t="s">
        <v>18</v>
      </c>
      <c r="F19" s="105" t="s">
        <v>19</v>
      </c>
      <c r="G19" s="105" t="s">
        <v>20</v>
      </c>
      <c r="H19" s="113" t="str">
        <f>H$9</f>
        <v>Sem1 BEN</v>
      </c>
      <c r="I19" s="111" t="str">
        <f t="shared" ref="I19:N19" si="0">I$9</f>
        <v>Sem1 FO</v>
      </c>
      <c r="J19" s="227" t="str">
        <f t="shared" si="0"/>
        <v>Sem1 KAL</v>
      </c>
      <c r="K19" s="111" t="str">
        <f t="shared" si="0"/>
        <v>Sem2 BEN</v>
      </c>
      <c r="L19" s="111" t="str">
        <f t="shared" si="0"/>
        <v>Sem2 FO</v>
      </c>
      <c r="M19" s="114" t="str">
        <f t="shared" si="0"/>
        <v>Sem2 KAL</v>
      </c>
      <c r="N19" s="105" t="str">
        <f t="shared" si="0"/>
        <v>Notes /  Progress</v>
      </c>
      <c r="O19" s="183"/>
      <c r="P19" s="183"/>
      <c r="Q19" s="183"/>
      <c r="Y19" s="30"/>
    </row>
    <row r="20" spans="1:25" s="34" customFormat="1" ht="20.100000000000001" customHeight="1" x14ac:dyDescent="0.15">
      <c r="A20" s="164" t="str">
        <f>IFERROR(IF(HLOOKUP($N$5,RangeUnitsets,O20,FALSE)=0,"",HLOOKUP($N$5,RangeUnitsets,O20,FALSE)),"")</f>
        <v/>
      </c>
      <c r="B20" s="65" t="str">
        <f>IFERROR(IF(VLOOKUP($A20,TableHandbook[],B$2,FALSE)=0,"",VLOOKUP($A20,TableHandbook[],B$2,FALSE)),"")</f>
        <v/>
      </c>
      <c r="C20" s="65" t="str">
        <f>IFERROR(IF(VLOOKUP($A20,TableHandbook[],C$2,FALSE)=0,"",VLOOKUP($A20,TableHandbook[],C$2,FALSE)),"")</f>
        <v/>
      </c>
      <c r="D20" s="255" t="str">
        <f>IFERROR(IF(VLOOKUP($A20,TableHandbook[],D$2,FALSE)=0,"",VLOOKUP($A20,TableHandbook[],D$2,FALSE)),"")</f>
        <v/>
      </c>
      <c r="E20" s="65" t="str">
        <f>IF(OR(A20="",A20="--"),"",VLOOKUP($D$7,TableStudyPeriods[],2,FALSE))</f>
        <v/>
      </c>
      <c r="F20" s="62" t="str">
        <f>IFERROR(IF(VLOOKUP($A20,TableHandbook[],F$2,FALSE)=0,"",VLOOKUP($A20,TableHandbook[],F$2,FALSE)),"")</f>
        <v/>
      </c>
      <c r="G20" s="63" t="str">
        <f>IFERROR(IF(VLOOKUP($A20,TableHandbook[],G$2,FALSE)=0,"",VLOOKUP($A20,TableHandbook[],G$2,FALSE)),"")</f>
        <v/>
      </c>
      <c r="H20" s="71" t="str">
        <f>IFERROR(VLOOKUP($A20,TableHandbook[],H$2,FALSE),"")</f>
        <v/>
      </c>
      <c r="I20" s="63" t="str">
        <f>IFERROR(VLOOKUP($A20,TableHandbook[],I$2,FALSE),"")</f>
        <v/>
      </c>
      <c r="J20" s="228" t="str">
        <f>IFERROR(VLOOKUP($A20,TableHandbook[],J$2,FALSE),"")</f>
        <v/>
      </c>
      <c r="K20" s="63" t="str">
        <f>IFERROR(VLOOKUP($A20,TableHandbook[],K$2,FALSE),"")</f>
        <v/>
      </c>
      <c r="L20" s="63" t="str">
        <f>IFERROR(VLOOKUP($A20,TableHandbook[],L$2,FALSE),"")</f>
        <v/>
      </c>
      <c r="M20" s="72" t="str">
        <f>IFERROR(VLOOKUP($A20,TableHandbook[],M$2,FALSE),"")</f>
        <v/>
      </c>
      <c r="N20" s="69"/>
      <c r="O20" s="184">
        <v>10</v>
      </c>
      <c r="P20" s="185"/>
      <c r="Q20" s="185"/>
      <c r="Y20" s="33"/>
    </row>
    <row r="21" spans="1:25" s="34" customFormat="1" ht="19.5" customHeight="1" x14ac:dyDescent="0.15">
      <c r="A21" s="67" t="str">
        <f>IFERROR(IF(HLOOKUP($N$5,RangeUnitsets,O21,FALSE)=0,"",HLOOKUP($N$5,RangeUnitsets,O21,FALSE)),"")</f>
        <v/>
      </c>
      <c r="B21" s="65" t="str">
        <f>IFERROR(IF(VLOOKUP($A21,TableHandbook[],B$2,FALSE)=0,"",VLOOKUP($A21,TableHandbook[],B$2,FALSE)),"")</f>
        <v/>
      </c>
      <c r="C21" s="65" t="str">
        <f>IFERROR(IF(VLOOKUP($A21,TableHandbook[],C$2,FALSE)=0,"",VLOOKUP($A21,TableHandbook[],C$2,FALSE)),"")</f>
        <v/>
      </c>
      <c r="D21" s="254" t="str">
        <f>IFERROR(IF(VLOOKUP($A21,TableHandbook[],D$2,FALSE)=0,"",VLOOKUP($A21,TableHandbook[],D$2,FALSE)),"")</f>
        <v/>
      </c>
      <c r="E21" s="65" t="str">
        <f>IF(A21="","",E20)</f>
        <v/>
      </c>
      <c r="F21" s="62" t="str">
        <f>IFERROR(IF(VLOOKUP($A21,TableHandbook[],F$2,FALSE)=0,"",VLOOKUP($A21,TableHandbook[],F$2,FALSE)),"")</f>
        <v/>
      </c>
      <c r="G21" s="63" t="str">
        <f>IFERROR(IF(VLOOKUP($A21,TableHandbook[],G$2,FALSE)=0,"",VLOOKUP($A21,TableHandbook[],G$2,FALSE)),"")</f>
        <v/>
      </c>
      <c r="H21" s="71" t="str">
        <f>IFERROR(VLOOKUP($A21,TableHandbook[],H$2,FALSE),"")</f>
        <v/>
      </c>
      <c r="I21" s="63" t="str">
        <f>IFERROR(VLOOKUP($A21,TableHandbook[],I$2,FALSE),"")</f>
        <v/>
      </c>
      <c r="J21" s="228" t="str">
        <f>IFERROR(VLOOKUP($A21,TableHandbook[],J$2,FALSE),"")</f>
        <v/>
      </c>
      <c r="K21" s="63" t="str">
        <f>IFERROR(VLOOKUP($A21,TableHandbook[],K$2,FALSE),"")</f>
        <v/>
      </c>
      <c r="L21" s="63" t="str">
        <f>IFERROR(VLOOKUP($A21,TableHandbook[],L$2,FALSE),"")</f>
        <v/>
      </c>
      <c r="M21" s="72" t="str">
        <f>IFERROR(VLOOKUP($A21,TableHandbook[],M$2,FALSE),"")</f>
        <v/>
      </c>
      <c r="N21" s="69"/>
      <c r="O21" s="184">
        <v>11</v>
      </c>
      <c r="P21" s="185"/>
      <c r="Q21" s="185"/>
      <c r="Y21" s="33"/>
    </row>
    <row r="22" spans="1:25" s="34" customFormat="1" ht="20.100000000000001" customHeight="1" x14ac:dyDescent="0.15">
      <c r="A22" s="67" t="str">
        <f>IFERROR(IF(HLOOKUP($N$5,RangeUnitsets,O22,FALSE)=0,"",HLOOKUP($N$5,RangeUnitsets,O22,FALSE)),"")</f>
        <v/>
      </c>
      <c r="B22" s="65" t="str">
        <f>IFERROR(IF(VLOOKUP($A22,TableHandbook[],B$2,FALSE)=0,"",VLOOKUP($A22,TableHandbook[],B$2,FALSE)),"")</f>
        <v/>
      </c>
      <c r="C22" s="65" t="str">
        <f>IFERROR(IF(VLOOKUP($A22,TableHandbook[],C$2,FALSE)=0,"",VLOOKUP($A22,TableHandbook[],C$2,FALSE)),"")</f>
        <v/>
      </c>
      <c r="D22" s="254" t="str">
        <f>IFERROR(IF(VLOOKUP($A22,TableHandbook[],D$2,FALSE)=0,"",VLOOKUP($A22,TableHandbook[],D$2,FALSE)),"")</f>
        <v/>
      </c>
      <c r="E22" s="65" t="str">
        <f>IF(A22="","",E21)</f>
        <v/>
      </c>
      <c r="F22" s="62" t="str">
        <f>IFERROR(IF(VLOOKUP($A22,TableHandbook[],F$2,FALSE)=0,"",VLOOKUP($A22,TableHandbook[],F$2,FALSE)),"")</f>
        <v/>
      </c>
      <c r="G22" s="63" t="str">
        <f>IFERROR(IF(VLOOKUP($A22,TableHandbook[],G$2,FALSE)=0,"",VLOOKUP($A22,TableHandbook[],G$2,FALSE)),"")</f>
        <v/>
      </c>
      <c r="H22" s="71" t="str">
        <f>IFERROR(VLOOKUP($A22,TableHandbook[],H$2,FALSE),"")</f>
        <v/>
      </c>
      <c r="I22" s="63" t="str">
        <f>IFERROR(VLOOKUP($A22,TableHandbook[],I$2,FALSE),"")</f>
        <v/>
      </c>
      <c r="J22" s="228" t="str">
        <f>IFERROR(VLOOKUP($A22,TableHandbook[],J$2,FALSE),"")</f>
        <v/>
      </c>
      <c r="K22" s="63" t="str">
        <f>IFERROR(VLOOKUP($A22,TableHandbook[],K$2,FALSE),"")</f>
        <v/>
      </c>
      <c r="L22" s="63" t="str">
        <f>IFERROR(VLOOKUP($A22,TableHandbook[],L$2,FALSE),"")</f>
        <v/>
      </c>
      <c r="M22" s="72" t="str">
        <f>IFERROR(VLOOKUP($A22,TableHandbook[],M$2,FALSE),"")</f>
        <v/>
      </c>
      <c r="N22" s="69"/>
      <c r="O22" s="184">
        <v>12</v>
      </c>
      <c r="P22" s="185"/>
      <c r="Q22" s="185"/>
      <c r="Y22" s="33"/>
    </row>
    <row r="23" spans="1:25" s="34" customFormat="1" ht="20.100000000000001" customHeight="1" x14ac:dyDescent="0.15">
      <c r="A23" s="67" t="str">
        <f>IFERROR(IF(HLOOKUP($N$5,RangeUnitsets,O23,FALSE)=0,"",HLOOKUP($N$5,RangeUnitsets,O23,FALSE)),"")</f>
        <v/>
      </c>
      <c r="B23" s="65" t="str">
        <f>IFERROR(IF(VLOOKUP($A23,TableHandbook[],B$2,FALSE)=0,"",VLOOKUP($A23,TableHandbook[],B$2,FALSE)),"")</f>
        <v/>
      </c>
      <c r="C23" s="65" t="str">
        <f>IFERROR(IF(VLOOKUP($A23,TableHandbook[],C$2,FALSE)=0,"",VLOOKUP($A23,TableHandbook[],C$2,FALSE)),"")</f>
        <v/>
      </c>
      <c r="D23" s="254" t="str">
        <f>IFERROR(IF(VLOOKUP($A23,TableHandbook[],D$2,FALSE)=0,"",VLOOKUP($A23,TableHandbook[],D$2,FALSE)),"")</f>
        <v/>
      </c>
      <c r="E23" s="65" t="str">
        <f>IF(A23="","",E22)</f>
        <v/>
      </c>
      <c r="F23" s="62" t="str">
        <f>IFERROR(IF(VLOOKUP($A23,TableHandbook[],F$2,FALSE)=0,"",VLOOKUP($A23,TableHandbook[],F$2,FALSE)),"")</f>
        <v/>
      </c>
      <c r="G23" s="63" t="str">
        <f>IFERROR(IF(VLOOKUP($A23,TableHandbook[],G$2,FALSE)=0,"",VLOOKUP($A23,TableHandbook[],G$2,FALSE)),"")</f>
        <v/>
      </c>
      <c r="H23" s="71" t="str">
        <f>IFERROR(VLOOKUP($A23,TableHandbook[],H$2,FALSE),"")</f>
        <v/>
      </c>
      <c r="I23" s="63" t="str">
        <f>IFERROR(VLOOKUP($A23,TableHandbook[],I$2,FALSE),"")</f>
        <v/>
      </c>
      <c r="J23" s="228" t="str">
        <f>IFERROR(VLOOKUP($A23,TableHandbook[],J$2,FALSE),"")</f>
        <v/>
      </c>
      <c r="K23" s="63" t="str">
        <f>IFERROR(VLOOKUP($A23,TableHandbook[],K$2,FALSE),"")</f>
        <v/>
      </c>
      <c r="L23" s="63" t="str">
        <f>IFERROR(VLOOKUP($A23,TableHandbook[],L$2,FALSE),"")</f>
        <v/>
      </c>
      <c r="M23" s="72" t="str">
        <f>IFERROR(VLOOKUP($A23,TableHandbook[],M$2,FALSE),"")</f>
        <v/>
      </c>
      <c r="N23" s="69"/>
      <c r="O23" s="184">
        <v>13</v>
      </c>
      <c r="P23" s="185"/>
      <c r="Q23" s="185"/>
      <c r="Y23" s="33"/>
    </row>
    <row r="24" spans="1:25" s="34" customFormat="1" ht="5.0999999999999996" customHeight="1" x14ac:dyDescent="0.15">
      <c r="A24" s="241"/>
      <c r="B24" s="242"/>
      <c r="C24" s="242"/>
      <c r="D24" s="256"/>
      <c r="E24" s="242"/>
      <c r="F24" s="244"/>
      <c r="G24" s="242"/>
      <c r="H24" s="245"/>
      <c r="I24" s="242"/>
      <c r="J24" s="246"/>
      <c r="K24" s="242"/>
      <c r="L24" s="242"/>
      <c r="M24" s="247"/>
      <c r="N24" s="247"/>
      <c r="O24" s="186"/>
      <c r="P24" s="185"/>
      <c r="Q24" s="185"/>
      <c r="R24" s="185"/>
      <c r="Y24" s="33"/>
    </row>
    <row r="25" spans="1:25" s="34" customFormat="1" ht="20.100000000000001" customHeight="1" x14ac:dyDescent="0.15">
      <c r="A25" s="67" t="str">
        <f>IFERROR(IF(HLOOKUP($N$5,RangeUnitsets,O25,FALSE)=0,"",HLOOKUP($N$5,RangeUnitsets,O25,FALSE)),"")</f>
        <v/>
      </c>
      <c r="B25" s="65" t="str">
        <f>IFERROR(IF(VLOOKUP($A25,TableHandbook[],B$2,FALSE)=0,"",VLOOKUP($A25,TableHandbook[],B$2,FALSE)),"")</f>
        <v/>
      </c>
      <c r="C25" s="65" t="str">
        <f>IFERROR(IF(VLOOKUP($A25,TableHandbook[],C$2,FALSE)=0,"",VLOOKUP($A25,TableHandbook[],C$2,FALSE)),"")</f>
        <v/>
      </c>
      <c r="D25" s="254" t="str">
        <f>IFERROR(IF(VLOOKUP($A25,TableHandbook[],D$2,FALSE)=0,"",VLOOKUP($A25,TableHandbook[],D$2,FALSE)),"")</f>
        <v/>
      </c>
      <c r="E25" s="65" t="str">
        <f>IF(OR(A25="",A25="--"),"",VLOOKUP($D$7,TableStudyPeriods[],3,FALSE))</f>
        <v/>
      </c>
      <c r="F25" s="62" t="str">
        <f>IFERROR(IF(VLOOKUP($A25,TableHandbook[],F$2,FALSE)=0,"",VLOOKUP($A25,TableHandbook[],F$2,FALSE)),"")</f>
        <v/>
      </c>
      <c r="G25" s="63" t="str">
        <f>IFERROR(IF(VLOOKUP($A25,TableHandbook[],G$2,FALSE)=0,"",VLOOKUP($A25,TableHandbook[],G$2,FALSE)),"")</f>
        <v/>
      </c>
      <c r="H25" s="71" t="str">
        <f>IFERROR(VLOOKUP($A25,TableHandbook[],H$2,FALSE),"")</f>
        <v/>
      </c>
      <c r="I25" s="63" t="str">
        <f>IFERROR(VLOOKUP($A25,TableHandbook[],I$2,FALSE),"")</f>
        <v/>
      </c>
      <c r="J25" s="228" t="str">
        <f>IFERROR(VLOOKUP($A25,TableHandbook[],J$2,FALSE),"")</f>
        <v/>
      </c>
      <c r="K25" s="63" t="str">
        <f>IFERROR(VLOOKUP($A25,TableHandbook[],K$2,FALSE),"")</f>
        <v/>
      </c>
      <c r="L25" s="63" t="str">
        <f>IFERROR(VLOOKUP($A25,TableHandbook[],L$2,FALSE),"")</f>
        <v/>
      </c>
      <c r="M25" s="72" t="str">
        <f>IFERROR(VLOOKUP($A25,TableHandbook[],M$2,FALSE),"")</f>
        <v/>
      </c>
      <c r="N25" s="69"/>
      <c r="O25" s="184">
        <v>14</v>
      </c>
      <c r="P25" s="185"/>
      <c r="Q25" s="185"/>
      <c r="Y25" s="33"/>
    </row>
    <row r="26" spans="1:25" s="34" customFormat="1" ht="20.100000000000001" customHeight="1" x14ac:dyDescent="0.15">
      <c r="A26" s="67" t="str">
        <f>IFERROR(IF(HLOOKUP($N$5,RangeUnitsets,O26,FALSE)=0,"",HLOOKUP($N$5,RangeUnitsets,O26,FALSE)),"")</f>
        <v/>
      </c>
      <c r="B26" s="65" t="str">
        <f>IFERROR(IF(VLOOKUP($A26,TableHandbook[],B$2,FALSE)=0,"",VLOOKUP($A26,TableHandbook[],B$2,FALSE)),"")</f>
        <v/>
      </c>
      <c r="C26" s="65" t="str">
        <f>IFERROR(IF(VLOOKUP($A26,TableHandbook[],C$2,FALSE)=0,"",VLOOKUP($A26,TableHandbook[],C$2,FALSE)),"")</f>
        <v/>
      </c>
      <c r="D26" s="254" t="str">
        <f>IFERROR(IF(VLOOKUP($A26,TableHandbook[],D$2,FALSE)=0,"",VLOOKUP($A26,TableHandbook[],D$2,FALSE)),"")</f>
        <v/>
      </c>
      <c r="E26" s="65" t="str">
        <f>IF(A26="","",E25)</f>
        <v/>
      </c>
      <c r="F26" s="62" t="str">
        <f>IFERROR(IF(VLOOKUP($A26,TableHandbook[],F$2,FALSE)=0,"",VLOOKUP($A26,TableHandbook[],F$2,FALSE)),"")</f>
        <v/>
      </c>
      <c r="G26" s="63" t="str">
        <f>IFERROR(IF(VLOOKUP($A26,TableHandbook[],G$2,FALSE)=0,"",VLOOKUP($A26,TableHandbook[],G$2,FALSE)),"")</f>
        <v/>
      </c>
      <c r="H26" s="71" t="str">
        <f>IFERROR(VLOOKUP($A26,TableHandbook[],H$2,FALSE),"")</f>
        <v/>
      </c>
      <c r="I26" s="63" t="str">
        <f>IFERROR(VLOOKUP($A26,TableHandbook[],I$2,FALSE),"")</f>
        <v/>
      </c>
      <c r="J26" s="228" t="str">
        <f>IFERROR(VLOOKUP($A26,TableHandbook[],J$2,FALSE),"")</f>
        <v/>
      </c>
      <c r="K26" s="63" t="str">
        <f>IFERROR(VLOOKUP($A26,TableHandbook[],K$2,FALSE),"")</f>
        <v/>
      </c>
      <c r="L26" s="63" t="str">
        <f>IFERROR(VLOOKUP($A26,TableHandbook[],L$2,FALSE),"")</f>
        <v/>
      </c>
      <c r="M26" s="72" t="str">
        <f>IFERROR(VLOOKUP($A26,TableHandbook[],M$2,FALSE),"")</f>
        <v/>
      </c>
      <c r="N26" s="69"/>
      <c r="O26" s="184">
        <v>15</v>
      </c>
      <c r="P26" s="185"/>
      <c r="Q26" s="185"/>
      <c r="Y26" s="33"/>
    </row>
    <row r="27" spans="1:25" s="38" customFormat="1" ht="20.100000000000001" customHeight="1" x14ac:dyDescent="0.15">
      <c r="A27" s="67" t="str">
        <f>IFERROR(IF(HLOOKUP($N$5,RangeUnitsets,O27,FALSE)=0,"",HLOOKUP($N$5,RangeUnitsets,O27,FALSE)),"")</f>
        <v/>
      </c>
      <c r="B27" s="65" t="str">
        <f>IFERROR(IF(VLOOKUP($A27,TableHandbook[],B$2,FALSE)=0,"",VLOOKUP($A27,TableHandbook[],B$2,FALSE)),"")</f>
        <v/>
      </c>
      <c r="C27" s="65" t="str">
        <f>IFERROR(IF(VLOOKUP($A27,TableHandbook[],C$2,FALSE)=0,"",VLOOKUP($A27,TableHandbook[],C$2,FALSE)),"")</f>
        <v/>
      </c>
      <c r="D27" s="254" t="str">
        <f>IFERROR(IF(VLOOKUP($A27,TableHandbook[],D$2,FALSE)=0,"",VLOOKUP($A27,TableHandbook[],D$2,FALSE)),"")</f>
        <v/>
      </c>
      <c r="E27" s="65" t="str">
        <f>IF(A27="","",E26)</f>
        <v/>
      </c>
      <c r="F27" s="62" t="str">
        <f>IFERROR(IF(VLOOKUP($A27,TableHandbook[],F$2,FALSE)=0,"",VLOOKUP($A27,TableHandbook[],F$2,FALSE)),"")</f>
        <v/>
      </c>
      <c r="G27" s="63" t="str">
        <f>IFERROR(IF(VLOOKUP($A27,TableHandbook[],G$2,FALSE)=0,"",VLOOKUP($A27,TableHandbook[],G$2,FALSE)),"")</f>
        <v/>
      </c>
      <c r="H27" s="71" t="str">
        <f>IFERROR(VLOOKUP($A27,TableHandbook[],H$2,FALSE),"")</f>
        <v/>
      </c>
      <c r="I27" s="63" t="str">
        <f>IFERROR(VLOOKUP($A27,TableHandbook[],I$2,FALSE),"")</f>
        <v/>
      </c>
      <c r="J27" s="228" t="str">
        <f>IFERROR(VLOOKUP($A27,TableHandbook[],J$2,FALSE),"")</f>
        <v/>
      </c>
      <c r="K27" s="63" t="str">
        <f>IFERROR(VLOOKUP($A27,TableHandbook[],K$2,FALSE),"")</f>
        <v/>
      </c>
      <c r="L27" s="63" t="str">
        <f>IFERROR(VLOOKUP($A27,TableHandbook[],L$2,FALSE),"")</f>
        <v/>
      </c>
      <c r="M27" s="72" t="str">
        <f>IFERROR(VLOOKUP($A27,TableHandbook[],M$2,FALSE),"")</f>
        <v/>
      </c>
      <c r="N27" s="69"/>
      <c r="O27" s="184">
        <v>16</v>
      </c>
      <c r="P27" s="187"/>
      <c r="Q27" s="187"/>
      <c r="Y27" s="37"/>
    </row>
    <row r="28" spans="1:25" s="38" customFormat="1" ht="20.100000000000001" customHeight="1" x14ac:dyDescent="0.15">
      <c r="A28" s="67" t="str">
        <f>IFERROR(IF(HLOOKUP($N$5,RangeUnitsets,O28,FALSE)=0,"",HLOOKUP($N$5,RangeUnitsets,O28,FALSE)),"")</f>
        <v/>
      </c>
      <c r="B28" s="65" t="str">
        <f>IFERROR(IF(VLOOKUP($A28,TableHandbook[],B$2,FALSE)=0,"",VLOOKUP($A28,TableHandbook[],B$2,FALSE)),"")</f>
        <v/>
      </c>
      <c r="C28" s="65" t="str">
        <f>IFERROR(IF(VLOOKUP($A28,TableHandbook[],C$2,FALSE)=0,"",VLOOKUP($A28,TableHandbook[],C$2,FALSE)),"")</f>
        <v/>
      </c>
      <c r="D28" s="254" t="str">
        <f>IFERROR(IF(VLOOKUP($A28,TableHandbook[],D$2,FALSE)=0,"",VLOOKUP($A28,TableHandbook[],D$2,FALSE)),"")</f>
        <v/>
      </c>
      <c r="E28" s="63" t="str">
        <f>IF(A28="","",E27)</f>
        <v/>
      </c>
      <c r="F28" s="62" t="str">
        <f>IFERROR(IF(VLOOKUP($A28,TableHandbook[],F$2,FALSE)=0,"",VLOOKUP($A28,TableHandbook[],F$2,FALSE)),"")</f>
        <v/>
      </c>
      <c r="G28" s="63" t="str">
        <f>IFERROR(IF(VLOOKUP($A28,TableHandbook[],G$2,FALSE)=0,"",VLOOKUP($A28,TableHandbook[],G$2,FALSE)),"")</f>
        <v/>
      </c>
      <c r="H28" s="71" t="str">
        <f>IFERROR(VLOOKUP($A28,TableHandbook[],H$2,FALSE),"")</f>
        <v/>
      </c>
      <c r="I28" s="63" t="str">
        <f>IFERROR(VLOOKUP($A28,TableHandbook[],I$2,FALSE),"")</f>
        <v/>
      </c>
      <c r="J28" s="228" t="str">
        <f>IFERROR(VLOOKUP($A28,TableHandbook[],J$2,FALSE),"")</f>
        <v/>
      </c>
      <c r="K28" s="63" t="str">
        <f>IFERROR(VLOOKUP($A28,TableHandbook[],K$2,FALSE),"")</f>
        <v/>
      </c>
      <c r="L28" s="63" t="str">
        <f>IFERROR(VLOOKUP($A28,TableHandbook[],L$2,FALSE),"")</f>
        <v/>
      </c>
      <c r="M28" s="72" t="str">
        <f>IFERROR(VLOOKUP($A28,TableHandbook[],M$2,FALSE),"")</f>
        <v/>
      </c>
      <c r="N28" s="69"/>
      <c r="O28" s="184">
        <v>17</v>
      </c>
      <c r="P28" s="187"/>
      <c r="Q28" s="187"/>
      <c r="Y28" s="37"/>
    </row>
    <row r="29" spans="1:25" s="31" customFormat="1" ht="21" x14ac:dyDescent="0.25">
      <c r="A29" s="105" t="s">
        <v>29</v>
      </c>
      <c r="B29" s="105"/>
      <c r="C29" s="105"/>
      <c r="D29" s="252" t="s">
        <v>3</v>
      </c>
      <c r="E29" s="111" t="s">
        <v>18</v>
      </c>
      <c r="F29" s="105" t="s">
        <v>19</v>
      </c>
      <c r="G29" s="105" t="s">
        <v>20</v>
      </c>
      <c r="H29" s="113" t="str">
        <f>H$9</f>
        <v>Sem1 BEN</v>
      </c>
      <c r="I29" s="111" t="str">
        <f t="shared" ref="I29:N29" si="1">I$9</f>
        <v>Sem1 FO</v>
      </c>
      <c r="J29" s="227" t="str">
        <f t="shared" si="1"/>
        <v>Sem1 KAL</v>
      </c>
      <c r="K29" s="111" t="str">
        <f t="shared" si="1"/>
        <v>Sem2 BEN</v>
      </c>
      <c r="L29" s="111" t="str">
        <f t="shared" si="1"/>
        <v>Sem2 FO</v>
      </c>
      <c r="M29" s="114" t="str">
        <f t="shared" si="1"/>
        <v>Sem2 KAL</v>
      </c>
      <c r="N29" s="105" t="str">
        <f t="shared" si="1"/>
        <v>Notes /  Progress</v>
      </c>
      <c r="O29" s="183"/>
      <c r="P29" s="183"/>
      <c r="Q29" s="183"/>
      <c r="Y29" s="30"/>
    </row>
    <row r="30" spans="1:25" s="34" customFormat="1" ht="20.100000000000001" customHeight="1" x14ac:dyDescent="0.15">
      <c r="A30" s="67" t="str">
        <f>IFERROR(IF(HLOOKUP($N$5,RangeUnitsets,O30,FALSE)=0,"",HLOOKUP($N$5,RangeUnitsets,O30,FALSE)),"")</f>
        <v/>
      </c>
      <c r="B30" s="65" t="str">
        <f>IFERROR(IF(VLOOKUP($A30,TableHandbook[],B$2,FALSE)=0,"",VLOOKUP($A30,TableHandbook[],B$2,FALSE)),"")</f>
        <v/>
      </c>
      <c r="C30" s="65" t="str">
        <f>IFERROR(IF(VLOOKUP($A30,TableHandbook[],C$2,FALSE)=0,"",VLOOKUP($A30,TableHandbook[],C$2,FALSE)),"")</f>
        <v/>
      </c>
      <c r="D30" s="255" t="str">
        <f>IFERROR(IF(VLOOKUP($A30,TableHandbook[],D$2,FALSE)=0,"",VLOOKUP($A30,TableHandbook[],D$2,FALSE)),"")</f>
        <v/>
      </c>
      <c r="E30" s="65" t="str">
        <f>IF(OR(A30="",A30="--"),"",VLOOKUP($D$7,TableStudyPeriods[],2,FALSE))</f>
        <v/>
      </c>
      <c r="F30" s="62" t="str">
        <f>IFERROR(IF(VLOOKUP($A30,TableHandbook[],F$2,FALSE)=0,"",VLOOKUP($A30,TableHandbook[],F$2,FALSE)),"")</f>
        <v/>
      </c>
      <c r="G30" s="63" t="str">
        <f>IFERROR(IF(VLOOKUP($A30,TableHandbook[],G$2,FALSE)=0,"",VLOOKUP($A30,TableHandbook[],G$2,FALSE)),"")</f>
        <v/>
      </c>
      <c r="H30" s="71" t="str">
        <f>IFERROR(VLOOKUP($A30,TableHandbook[],H$2,FALSE),"")</f>
        <v/>
      </c>
      <c r="I30" s="63" t="str">
        <f>IFERROR(VLOOKUP($A30,TableHandbook[],I$2,FALSE),"")</f>
        <v/>
      </c>
      <c r="J30" s="228" t="str">
        <f>IFERROR(VLOOKUP($A30,TableHandbook[],J$2,FALSE),"")</f>
        <v/>
      </c>
      <c r="K30" s="63" t="str">
        <f>IFERROR(VLOOKUP($A30,TableHandbook[],K$2,FALSE),"")</f>
        <v/>
      </c>
      <c r="L30" s="63" t="str">
        <f>IFERROR(VLOOKUP($A30,TableHandbook[],L$2,FALSE),"")</f>
        <v/>
      </c>
      <c r="M30" s="72" t="str">
        <f>IFERROR(VLOOKUP($A30,TableHandbook[],M$2,FALSE),"")</f>
        <v/>
      </c>
      <c r="N30" s="69"/>
      <c r="O30" s="184">
        <v>18</v>
      </c>
      <c r="P30" s="185"/>
      <c r="Q30" s="185"/>
      <c r="Y30" s="33"/>
    </row>
    <row r="31" spans="1:25" s="34" customFormat="1" ht="19.5" customHeight="1" x14ac:dyDescent="0.15">
      <c r="A31" s="67" t="str">
        <f>IFERROR(IF(HLOOKUP($N$5,RangeUnitsets,O31,FALSE)=0,"",HLOOKUP($N$5,RangeUnitsets,O31,FALSE)),"")</f>
        <v/>
      </c>
      <c r="B31" s="65" t="str">
        <f>IFERROR(IF(VLOOKUP($A31,TableHandbook[],B$2,FALSE)=0,"",VLOOKUP($A31,TableHandbook[],B$2,FALSE)),"")</f>
        <v/>
      </c>
      <c r="C31" s="65" t="str">
        <f>IFERROR(IF(VLOOKUP($A31,TableHandbook[],C$2,FALSE)=0,"",VLOOKUP($A31,TableHandbook[],C$2,FALSE)),"")</f>
        <v/>
      </c>
      <c r="D31" s="254" t="str">
        <f>IFERROR(IF(VLOOKUP($A31,TableHandbook[],D$2,FALSE)=0,"",VLOOKUP($A31,TableHandbook[],D$2,FALSE)),"")</f>
        <v/>
      </c>
      <c r="E31" s="65" t="str">
        <f>IF(A31="","",E30)</f>
        <v/>
      </c>
      <c r="F31" s="62" t="str">
        <f>IFERROR(IF(VLOOKUP($A31,TableHandbook[],F$2,FALSE)=0,"",VLOOKUP($A31,TableHandbook[],F$2,FALSE)),"")</f>
        <v/>
      </c>
      <c r="G31" s="63" t="str">
        <f>IFERROR(IF(VLOOKUP($A31,TableHandbook[],G$2,FALSE)=0,"",VLOOKUP($A31,TableHandbook[],G$2,FALSE)),"")</f>
        <v/>
      </c>
      <c r="H31" s="71" t="str">
        <f>IFERROR(VLOOKUP($A31,TableHandbook[],H$2,FALSE),"")</f>
        <v/>
      </c>
      <c r="I31" s="63" t="str">
        <f>IFERROR(VLOOKUP($A31,TableHandbook[],I$2,FALSE),"")</f>
        <v/>
      </c>
      <c r="J31" s="228" t="str">
        <f>IFERROR(VLOOKUP($A31,TableHandbook[],J$2,FALSE),"")</f>
        <v/>
      </c>
      <c r="K31" s="63" t="str">
        <f>IFERROR(VLOOKUP($A31,TableHandbook[],K$2,FALSE),"")</f>
        <v/>
      </c>
      <c r="L31" s="63" t="str">
        <f>IFERROR(VLOOKUP($A31,TableHandbook[],L$2,FALSE),"")</f>
        <v/>
      </c>
      <c r="M31" s="72" t="str">
        <f>IFERROR(VLOOKUP($A31,TableHandbook[],M$2,FALSE),"")</f>
        <v/>
      </c>
      <c r="N31" s="69"/>
      <c r="O31" s="184">
        <v>19</v>
      </c>
      <c r="P31" s="185"/>
      <c r="Q31" s="185"/>
      <c r="Y31" s="33"/>
    </row>
    <row r="32" spans="1:25" s="34" customFormat="1" ht="20.100000000000001" customHeight="1" x14ac:dyDescent="0.15">
      <c r="A32" s="67" t="str">
        <f>IFERROR(IF(HLOOKUP($N$5,RangeUnitsets,O32,FALSE)=0,"",HLOOKUP($N$5,RangeUnitsets,O32,FALSE)),"")</f>
        <v/>
      </c>
      <c r="B32" s="65" t="str">
        <f>IFERROR(IF(VLOOKUP($A32,TableHandbook[],B$2,FALSE)=0,"",VLOOKUP($A32,TableHandbook[],B$2,FALSE)),"")</f>
        <v/>
      </c>
      <c r="C32" s="65" t="str">
        <f>IFERROR(IF(VLOOKUP($A32,TableHandbook[],C$2,FALSE)=0,"",VLOOKUP($A32,TableHandbook[],C$2,FALSE)),"")</f>
        <v/>
      </c>
      <c r="D32" s="254" t="str">
        <f>IFERROR(IF(VLOOKUP($A32,TableHandbook[],D$2,FALSE)=0,"",VLOOKUP($A32,TableHandbook[],D$2,FALSE)),"")</f>
        <v/>
      </c>
      <c r="E32" s="65" t="str">
        <f>IF(A32="","",E31)</f>
        <v/>
      </c>
      <c r="F32" s="62" t="str">
        <f>IFERROR(IF(VLOOKUP($A32,TableHandbook[],F$2,FALSE)=0,"",VLOOKUP($A32,TableHandbook[],F$2,FALSE)),"")</f>
        <v/>
      </c>
      <c r="G32" s="63" t="str">
        <f>IFERROR(IF(VLOOKUP($A32,TableHandbook[],G$2,FALSE)=0,"",VLOOKUP($A32,TableHandbook[],G$2,FALSE)),"")</f>
        <v/>
      </c>
      <c r="H32" s="71" t="str">
        <f>IFERROR(VLOOKUP($A32,TableHandbook[],H$2,FALSE),"")</f>
        <v/>
      </c>
      <c r="I32" s="63" t="str">
        <f>IFERROR(VLOOKUP($A32,TableHandbook[],I$2,FALSE),"")</f>
        <v/>
      </c>
      <c r="J32" s="228" t="str">
        <f>IFERROR(VLOOKUP($A32,TableHandbook[],J$2,FALSE),"")</f>
        <v/>
      </c>
      <c r="K32" s="63" t="str">
        <f>IFERROR(VLOOKUP($A32,TableHandbook[],K$2,FALSE),"")</f>
        <v/>
      </c>
      <c r="L32" s="63" t="str">
        <f>IFERROR(VLOOKUP($A32,TableHandbook[],L$2,FALSE),"")</f>
        <v/>
      </c>
      <c r="M32" s="72" t="str">
        <f>IFERROR(VLOOKUP($A32,TableHandbook[],M$2,FALSE),"")</f>
        <v/>
      </c>
      <c r="N32" s="69"/>
      <c r="O32" s="184">
        <v>20</v>
      </c>
      <c r="P32" s="185"/>
      <c r="Q32" s="185"/>
      <c r="Y32" s="33"/>
    </row>
    <row r="33" spans="1:25" s="34" customFormat="1" ht="20.100000000000001" customHeight="1" x14ac:dyDescent="0.15">
      <c r="A33" s="67" t="str">
        <f>IFERROR(IF(HLOOKUP($N$5,RangeUnitsets,O33,FALSE)=0,"",HLOOKUP($N$5,RangeUnitsets,O33,FALSE)),"")</f>
        <v/>
      </c>
      <c r="B33" s="65" t="str">
        <f>IFERROR(IF(VLOOKUP($A33,TableHandbook[],B$2,FALSE)=0,"",VLOOKUP($A33,TableHandbook[],B$2,FALSE)),"")</f>
        <v/>
      </c>
      <c r="C33" s="65" t="str">
        <f>IFERROR(IF(VLOOKUP($A33,TableHandbook[],C$2,FALSE)=0,"",VLOOKUP($A33,TableHandbook[],C$2,FALSE)),"")</f>
        <v/>
      </c>
      <c r="D33" s="254" t="str">
        <f>IFERROR(IF(VLOOKUP($A33,TableHandbook[],D$2,FALSE)=0,"",VLOOKUP($A33,TableHandbook[],D$2,FALSE)),"")</f>
        <v/>
      </c>
      <c r="E33" s="65" t="str">
        <f>IF(A33="","",E32)</f>
        <v/>
      </c>
      <c r="F33" s="62" t="str">
        <f>IFERROR(IF(VLOOKUP($A33,TableHandbook[],F$2,FALSE)=0,"",VLOOKUP($A33,TableHandbook[],F$2,FALSE)),"")</f>
        <v/>
      </c>
      <c r="G33" s="63" t="str">
        <f>IFERROR(IF(VLOOKUP($A33,TableHandbook[],G$2,FALSE)=0,"",VLOOKUP($A33,TableHandbook[],G$2,FALSE)),"")</f>
        <v/>
      </c>
      <c r="H33" s="71" t="str">
        <f>IFERROR(VLOOKUP($A33,TableHandbook[],H$2,FALSE),"")</f>
        <v/>
      </c>
      <c r="I33" s="63" t="str">
        <f>IFERROR(VLOOKUP($A33,TableHandbook[],I$2,FALSE),"")</f>
        <v/>
      </c>
      <c r="J33" s="228" t="str">
        <f>IFERROR(VLOOKUP($A33,TableHandbook[],J$2,FALSE),"")</f>
        <v/>
      </c>
      <c r="K33" s="63" t="str">
        <f>IFERROR(VLOOKUP($A33,TableHandbook[],K$2,FALSE),"")</f>
        <v/>
      </c>
      <c r="L33" s="63" t="str">
        <f>IFERROR(VLOOKUP($A33,TableHandbook[],L$2,FALSE),"")</f>
        <v/>
      </c>
      <c r="M33" s="72" t="str">
        <f>IFERROR(VLOOKUP($A33,TableHandbook[],M$2,FALSE),"")</f>
        <v/>
      </c>
      <c r="N33" s="69"/>
      <c r="O33" s="184">
        <v>21</v>
      </c>
      <c r="P33" s="185"/>
      <c r="Q33" s="185"/>
      <c r="Y33" s="33"/>
    </row>
    <row r="34" spans="1:25" s="34" customFormat="1" ht="5.0999999999999996" customHeight="1" x14ac:dyDescent="0.15">
      <c r="A34" s="241"/>
      <c r="B34" s="242"/>
      <c r="C34" s="242"/>
      <c r="D34" s="256"/>
      <c r="E34" s="242"/>
      <c r="F34" s="244"/>
      <c r="G34" s="242"/>
      <c r="H34" s="245"/>
      <c r="I34" s="242"/>
      <c r="J34" s="246"/>
      <c r="K34" s="242"/>
      <c r="L34" s="242"/>
      <c r="M34" s="247"/>
      <c r="N34" s="247"/>
      <c r="O34" s="186"/>
      <c r="P34" s="185"/>
      <c r="Q34" s="185"/>
      <c r="R34" s="185"/>
      <c r="Y34" s="33"/>
    </row>
    <row r="35" spans="1:25" s="34" customFormat="1" ht="20.100000000000001" customHeight="1" x14ac:dyDescent="0.15">
      <c r="A35" s="164" t="str">
        <f>IFERROR(IF(HLOOKUP($N$5,RangeUnitsets,O35,FALSE)=0,"",HLOOKUP($N$5,RangeUnitsets,O35,FALSE)),"")</f>
        <v/>
      </c>
      <c r="B35" s="65" t="str">
        <f>IFERROR(IF(VLOOKUP($A35,TableHandbook[],B$2,FALSE)=0,"",VLOOKUP($A35,TableHandbook[],B$2,FALSE)),"")</f>
        <v/>
      </c>
      <c r="C35" s="65" t="str">
        <f>IFERROR(IF(VLOOKUP($A35,TableHandbook[],C$2,FALSE)=0,"",VLOOKUP($A35,TableHandbook[],C$2,FALSE)),"")</f>
        <v/>
      </c>
      <c r="D35" s="254" t="str">
        <f>IFERROR(IF(VLOOKUP($A35,TableHandbook[],D$2,FALSE)=0,"",VLOOKUP($A35,TableHandbook[],D$2,FALSE)),"")</f>
        <v/>
      </c>
      <c r="E35" s="65" t="str">
        <f>IF(OR(A35="",A35="--"),"",VLOOKUP($D$7,TableStudyPeriods[],3,FALSE))</f>
        <v/>
      </c>
      <c r="F35" s="62" t="str">
        <f>IFERROR(IF(VLOOKUP($A35,TableHandbook[],F$2,FALSE)=0,"",VLOOKUP($A35,TableHandbook[],F$2,FALSE)),"")</f>
        <v/>
      </c>
      <c r="G35" s="63" t="str">
        <f>IFERROR(IF(VLOOKUP($A35,TableHandbook[],G$2,FALSE)=0,"",VLOOKUP($A35,TableHandbook[],G$2,FALSE)),"")</f>
        <v/>
      </c>
      <c r="H35" s="71" t="str">
        <f>IFERROR(VLOOKUP($A35,TableHandbook[],H$2,FALSE),"")</f>
        <v/>
      </c>
      <c r="I35" s="63" t="str">
        <f>IFERROR(VLOOKUP($A35,TableHandbook[],I$2,FALSE),"")</f>
        <v/>
      </c>
      <c r="J35" s="228" t="str">
        <f>IFERROR(VLOOKUP($A35,TableHandbook[],J$2,FALSE),"")</f>
        <v/>
      </c>
      <c r="K35" s="63" t="str">
        <f>IFERROR(VLOOKUP($A35,TableHandbook[],K$2,FALSE),"")</f>
        <v/>
      </c>
      <c r="L35" s="63" t="str">
        <f>IFERROR(VLOOKUP($A35,TableHandbook[],L$2,FALSE),"")</f>
        <v/>
      </c>
      <c r="M35" s="72" t="str">
        <f>IFERROR(VLOOKUP($A35,TableHandbook[],M$2,FALSE),"")</f>
        <v/>
      </c>
      <c r="N35" s="69"/>
      <c r="O35" s="184">
        <v>22</v>
      </c>
      <c r="P35" s="185"/>
      <c r="Q35" s="185"/>
      <c r="Y35" s="33"/>
    </row>
    <row r="36" spans="1:25" s="34" customFormat="1" ht="20.100000000000001" customHeight="1" x14ac:dyDescent="0.15">
      <c r="A36" s="67" t="str">
        <f>IFERROR(IF(HLOOKUP($N$5,RangeUnitsets,O36,FALSE)=0,"",HLOOKUP($N$5,RangeUnitsets,O36,FALSE)),"")</f>
        <v/>
      </c>
      <c r="B36" s="65" t="str">
        <f>IFERROR(IF(VLOOKUP($A36,TableHandbook[],B$2,FALSE)=0,"",VLOOKUP($A36,TableHandbook[],B$2,FALSE)),"")</f>
        <v/>
      </c>
      <c r="C36" s="65" t="str">
        <f>IFERROR(IF(VLOOKUP($A36,TableHandbook[],C$2,FALSE)=0,"",VLOOKUP($A36,TableHandbook[],C$2,FALSE)),"")</f>
        <v/>
      </c>
      <c r="D36" s="254" t="str">
        <f>IFERROR(IF(VLOOKUP($A36,TableHandbook[],D$2,FALSE)=0,"",VLOOKUP($A36,TableHandbook[],D$2,FALSE)),"")</f>
        <v/>
      </c>
      <c r="E36" s="65" t="str">
        <f>IF(A36="","",E35)</f>
        <v/>
      </c>
      <c r="F36" s="62" t="str">
        <f>IFERROR(IF(VLOOKUP($A36,TableHandbook[],F$2,FALSE)=0,"",VLOOKUP($A36,TableHandbook[],F$2,FALSE)),"")</f>
        <v/>
      </c>
      <c r="G36" s="63" t="str">
        <f>IFERROR(IF(VLOOKUP($A36,TableHandbook[],G$2,FALSE)=0,"",VLOOKUP($A36,TableHandbook[],G$2,FALSE)),"")</f>
        <v/>
      </c>
      <c r="H36" s="71" t="str">
        <f>IFERROR(VLOOKUP($A36,TableHandbook[],H$2,FALSE),"")</f>
        <v/>
      </c>
      <c r="I36" s="63" t="str">
        <f>IFERROR(VLOOKUP($A36,TableHandbook[],I$2,FALSE),"")</f>
        <v/>
      </c>
      <c r="J36" s="228" t="str">
        <f>IFERROR(VLOOKUP($A36,TableHandbook[],J$2,FALSE),"")</f>
        <v/>
      </c>
      <c r="K36" s="63" t="str">
        <f>IFERROR(VLOOKUP($A36,TableHandbook[],K$2,FALSE),"")</f>
        <v/>
      </c>
      <c r="L36" s="63" t="str">
        <f>IFERROR(VLOOKUP($A36,TableHandbook[],L$2,FALSE),"")</f>
        <v/>
      </c>
      <c r="M36" s="72" t="str">
        <f>IFERROR(VLOOKUP($A36,TableHandbook[],M$2,FALSE),"")</f>
        <v/>
      </c>
      <c r="N36" s="69"/>
      <c r="O36" s="184">
        <v>23</v>
      </c>
      <c r="P36" s="185"/>
      <c r="Q36" s="185"/>
      <c r="Y36" s="33"/>
    </row>
    <row r="37" spans="1:25" s="38" customFormat="1" ht="20.100000000000001" customHeight="1" x14ac:dyDescent="0.15">
      <c r="A37" s="67" t="str">
        <f>IFERROR(IF(HLOOKUP($N$5,RangeUnitsets,O37,FALSE)=0,"",HLOOKUP($N$5,RangeUnitsets,O37,FALSE)),"")</f>
        <v/>
      </c>
      <c r="B37" s="65" t="str">
        <f>IFERROR(IF(VLOOKUP($A37,TableHandbook[],B$2,FALSE)=0,"",VLOOKUP($A37,TableHandbook[],B$2,FALSE)),"")</f>
        <v/>
      </c>
      <c r="C37" s="65" t="str">
        <f>IFERROR(IF(VLOOKUP($A37,TableHandbook[],C$2,FALSE)=0,"",VLOOKUP($A37,TableHandbook[],C$2,FALSE)),"")</f>
        <v/>
      </c>
      <c r="D37" s="254" t="str">
        <f>IFERROR(IF(VLOOKUP($A37,TableHandbook[],D$2,FALSE)=0,"",VLOOKUP($A37,TableHandbook[],D$2,FALSE)),"")</f>
        <v/>
      </c>
      <c r="E37" s="65" t="str">
        <f>IF(A37="","",E36)</f>
        <v/>
      </c>
      <c r="F37" s="62" t="str">
        <f>IFERROR(IF(VLOOKUP($A37,TableHandbook[],F$2,FALSE)=0,"",VLOOKUP($A37,TableHandbook[],F$2,FALSE)),"")</f>
        <v/>
      </c>
      <c r="G37" s="63" t="str">
        <f>IFERROR(IF(VLOOKUP($A37,TableHandbook[],G$2,FALSE)=0,"",VLOOKUP($A37,TableHandbook[],G$2,FALSE)),"")</f>
        <v/>
      </c>
      <c r="H37" s="71" t="str">
        <f>IFERROR(VLOOKUP($A37,TableHandbook[],H$2,FALSE),"")</f>
        <v/>
      </c>
      <c r="I37" s="63" t="str">
        <f>IFERROR(VLOOKUP($A37,TableHandbook[],I$2,FALSE),"")</f>
        <v/>
      </c>
      <c r="J37" s="228" t="str">
        <f>IFERROR(VLOOKUP($A37,TableHandbook[],J$2,FALSE),"")</f>
        <v/>
      </c>
      <c r="K37" s="63" t="str">
        <f>IFERROR(VLOOKUP($A37,TableHandbook[],K$2,FALSE),"")</f>
        <v/>
      </c>
      <c r="L37" s="63" t="str">
        <f>IFERROR(VLOOKUP($A37,TableHandbook[],L$2,FALSE),"")</f>
        <v/>
      </c>
      <c r="M37" s="72" t="str">
        <f>IFERROR(VLOOKUP($A37,TableHandbook[],M$2,FALSE),"")</f>
        <v/>
      </c>
      <c r="N37" s="69"/>
      <c r="O37" s="184">
        <v>24</v>
      </c>
      <c r="P37" s="187"/>
      <c r="Q37" s="187"/>
      <c r="Y37" s="37"/>
    </row>
    <row r="38" spans="1:25" s="38" customFormat="1" ht="20.100000000000001" customHeight="1" x14ac:dyDescent="0.15">
      <c r="A38" s="67" t="str">
        <f>IFERROR(IF(HLOOKUP($N$5,RangeUnitsets,O38,FALSE)=0,"",HLOOKUP($N$5,RangeUnitsets,O38,FALSE)),"")</f>
        <v/>
      </c>
      <c r="B38" s="65" t="str">
        <f>IFERROR(IF(VLOOKUP($A38,TableHandbook[],B$2,FALSE)=0,"",VLOOKUP($A38,TableHandbook[],B$2,FALSE)),"")</f>
        <v/>
      </c>
      <c r="C38" s="65" t="str">
        <f>IFERROR(IF(VLOOKUP($A38,TableHandbook[],C$2,FALSE)=0,"",VLOOKUP($A38,TableHandbook[],C$2,FALSE)),"")</f>
        <v/>
      </c>
      <c r="D38" s="254" t="str">
        <f>IFERROR(IF(VLOOKUP($A38,TableHandbook[],D$2,FALSE)=0,"",VLOOKUP($A38,TableHandbook[],D$2,FALSE)),"")</f>
        <v/>
      </c>
      <c r="E38" s="63" t="str">
        <f>IF(A38="","",E37)</f>
        <v/>
      </c>
      <c r="F38" s="62" t="str">
        <f>IFERROR(IF(VLOOKUP($A38,TableHandbook[],F$2,FALSE)=0,"",VLOOKUP($A38,TableHandbook[],F$2,FALSE)),"")</f>
        <v/>
      </c>
      <c r="G38" s="63" t="str">
        <f>IFERROR(IF(VLOOKUP($A38,TableHandbook[],G$2,FALSE)=0,"",VLOOKUP($A38,TableHandbook[],G$2,FALSE)),"")</f>
        <v/>
      </c>
      <c r="H38" s="71" t="str">
        <f>IFERROR(VLOOKUP($A38,TableHandbook[],H$2,FALSE),"")</f>
        <v/>
      </c>
      <c r="I38" s="63" t="str">
        <f>IFERROR(VLOOKUP($A38,TableHandbook[],I$2,FALSE),"")</f>
        <v/>
      </c>
      <c r="J38" s="228" t="str">
        <f>IFERROR(VLOOKUP($A38,TableHandbook[],J$2,FALSE),"")</f>
        <v/>
      </c>
      <c r="K38" s="63" t="str">
        <f>IFERROR(VLOOKUP($A38,TableHandbook[],K$2,FALSE),"")</f>
        <v/>
      </c>
      <c r="L38" s="63" t="str">
        <f>IFERROR(VLOOKUP($A38,TableHandbook[],L$2,FALSE),"")</f>
        <v/>
      </c>
      <c r="M38" s="72" t="str">
        <f>IFERROR(VLOOKUP($A38,TableHandbook[],M$2,FALSE),"")</f>
        <v/>
      </c>
      <c r="N38" s="69"/>
      <c r="O38" s="184">
        <v>25</v>
      </c>
      <c r="P38" s="187"/>
      <c r="Q38" s="187"/>
      <c r="Y38" s="37"/>
    </row>
    <row r="39" spans="1:25" s="31" customFormat="1" ht="21" x14ac:dyDescent="0.25">
      <c r="A39" s="105" t="s">
        <v>36</v>
      </c>
      <c r="B39" s="105"/>
      <c r="C39" s="105"/>
      <c r="D39" s="252" t="s">
        <v>3</v>
      </c>
      <c r="E39" s="111" t="s">
        <v>18</v>
      </c>
      <c r="F39" s="105" t="s">
        <v>19</v>
      </c>
      <c r="G39" s="105" t="s">
        <v>20</v>
      </c>
      <c r="H39" s="113" t="str">
        <f>H$9</f>
        <v>Sem1 BEN</v>
      </c>
      <c r="I39" s="111" t="str">
        <f t="shared" ref="I39:N39" si="2">I$9</f>
        <v>Sem1 FO</v>
      </c>
      <c r="J39" s="227" t="str">
        <f t="shared" si="2"/>
        <v>Sem1 KAL</v>
      </c>
      <c r="K39" s="111" t="str">
        <f t="shared" si="2"/>
        <v>Sem2 BEN</v>
      </c>
      <c r="L39" s="111" t="str">
        <f t="shared" si="2"/>
        <v>Sem2 FO</v>
      </c>
      <c r="M39" s="114" t="str">
        <f t="shared" si="2"/>
        <v>Sem2 KAL</v>
      </c>
      <c r="N39" s="105" t="str">
        <f t="shared" si="2"/>
        <v>Notes /  Progress</v>
      </c>
      <c r="O39" s="183"/>
      <c r="P39" s="183"/>
      <c r="Q39" s="183"/>
      <c r="Y39" s="30"/>
    </row>
    <row r="40" spans="1:25" s="34" customFormat="1" ht="20.100000000000001" customHeight="1" x14ac:dyDescent="0.15">
      <c r="A40" s="67" t="str">
        <f>IFERROR(IF(HLOOKUP($N$5,RangeUnitsets,O40,FALSE)=0,"",HLOOKUP($N$5,RangeUnitsets,O40,FALSE)),"")</f>
        <v/>
      </c>
      <c r="B40" s="65" t="str">
        <f>IFERROR(IF(VLOOKUP($A40,TableHandbook[],B$2,FALSE)=0,"",VLOOKUP($A40,TableHandbook[],B$2,FALSE)),"")</f>
        <v/>
      </c>
      <c r="C40" s="65" t="str">
        <f>IFERROR(IF(VLOOKUP($A40,TableHandbook[],C$2,FALSE)=0,"",VLOOKUP($A40,TableHandbook[],C$2,FALSE)),"")</f>
        <v/>
      </c>
      <c r="D40" s="255" t="str">
        <f>IFERROR(IF(VLOOKUP($A40,TableHandbook[],D$2,FALSE)=0,"",VLOOKUP($A40,TableHandbook[],D$2,FALSE)),"")</f>
        <v/>
      </c>
      <c r="E40" s="65" t="str">
        <f>IF(OR(A40="",A40="--"),"",VLOOKUP($D$7,TableStudyPeriods[],2,FALSE))</f>
        <v/>
      </c>
      <c r="F40" s="62" t="str">
        <f>IFERROR(IF(VLOOKUP($A40,TableHandbook[],F$2,FALSE)=0,"",VLOOKUP($A40,TableHandbook[],F$2,FALSE)),"")</f>
        <v/>
      </c>
      <c r="G40" s="63" t="str">
        <f>IFERROR(IF(VLOOKUP($A40,TableHandbook[],G$2,FALSE)=0,"",VLOOKUP($A40,TableHandbook[],G$2,FALSE)),"")</f>
        <v/>
      </c>
      <c r="H40" s="71" t="str">
        <f>IFERROR(VLOOKUP($A40,TableHandbook[],H$2,FALSE),"")</f>
        <v/>
      </c>
      <c r="I40" s="63" t="str">
        <f>IFERROR(VLOOKUP($A40,TableHandbook[],I$2,FALSE),"")</f>
        <v/>
      </c>
      <c r="J40" s="228" t="str">
        <f>IFERROR(VLOOKUP($A40,TableHandbook[],J$2,FALSE),"")</f>
        <v/>
      </c>
      <c r="K40" s="63" t="str">
        <f>IFERROR(VLOOKUP($A40,TableHandbook[],K$2,FALSE),"")</f>
        <v/>
      </c>
      <c r="L40" s="63" t="str">
        <f>IFERROR(VLOOKUP($A40,TableHandbook[],L$2,FALSE),"")</f>
        <v/>
      </c>
      <c r="M40" s="72" t="str">
        <f>IFERROR(VLOOKUP($A40,TableHandbook[],M$2,FALSE),"")</f>
        <v/>
      </c>
      <c r="N40" s="69"/>
      <c r="O40" s="184">
        <v>26</v>
      </c>
      <c r="P40" s="185"/>
      <c r="Q40" s="185"/>
      <c r="Y40" s="33"/>
    </row>
    <row r="41" spans="1:25" s="34" customFormat="1" ht="19.5" customHeight="1" x14ac:dyDescent="0.15">
      <c r="A41" s="67" t="str">
        <f>IFERROR(IF(HLOOKUP($N$5,RangeUnitsets,O41,FALSE)=0,"",HLOOKUP($N$5,RangeUnitsets,O41,FALSE)),"")</f>
        <v/>
      </c>
      <c r="B41" s="65" t="str">
        <f>IFERROR(IF(VLOOKUP($A41,TableHandbook[],B$2,FALSE)=0,"",VLOOKUP($A41,TableHandbook[],B$2,FALSE)),"")</f>
        <v/>
      </c>
      <c r="C41" s="65" t="str">
        <f>IFERROR(IF(VLOOKUP($A41,TableHandbook[],C$2,FALSE)=0,"",VLOOKUP($A41,TableHandbook[],C$2,FALSE)),"")</f>
        <v/>
      </c>
      <c r="D41" s="254" t="str">
        <f>IFERROR(IF(VLOOKUP($A41,TableHandbook[],D$2,FALSE)=0,"",VLOOKUP($A41,TableHandbook[],D$2,FALSE)),"")</f>
        <v/>
      </c>
      <c r="E41" s="65" t="str">
        <f>IF(A41="","",E40)</f>
        <v/>
      </c>
      <c r="F41" s="62" t="str">
        <f>IFERROR(IF(VLOOKUP($A41,TableHandbook[],F$2,FALSE)=0,"",VLOOKUP($A41,TableHandbook[],F$2,FALSE)),"")</f>
        <v/>
      </c>
      <c r="G41" s="63" t="str">
        <f>IFERROR(IF(VLOOKUP($A41,TableHandbook[],G$2,FALSE)=0,"",VLOOKUP($A41,TableHandbook[],G$2,FALSE)),"")</f>
        <v/>
      </c>
      <c r="H41" s="71" t="str">
        <f>IFERROR(VLOOKUP($A41,TableHandbook[],H$2,FALSE),"")</f>
        <v/>
      </c>
      <c r="I41" s="63" t="str">
        <f>IFERROR(VLOOKUP($A41,TableHandbook[],I$2,FALSE),"")</f>
        <v/>
      </c>
      <c r="J41" s="228" t="str">
        <f>IFERROR(VLOOKUP($A41,TableHandbook[],J$2,FALSE),"")</f>
        <v/>
      </c>
      <c r="K41" s="63" t="str">
        <f>IFERROR(VLOOKUP($A41,TableHandbook[],K$2,FALSE),"")</f>
        <v/>
      </c>
      <c r="L41" s="63" t="str">
        <f>IFERROR(VLOOKUP($A41,TableHandbook[],L$2,FALSE),"")</f>
        <v/>
      </c>
      <c r="M41" s="72" t="str">
        <f>IFERROR(VLOOKUP($A41,TableHandbook[],M$2,FALSE),"")</f>
        <v/>
      </c>
      <c r="N41" s="69"/>
      <c r="O41" s="184">
        <v>27</v>
      </c>
      <c r="P41" s="185"/>
      <c r="Q41" s="185"/>
      <c r="Y41" s="33"/>
    </row>
    <row r="42" spans="1:25" s="34" customFormat="1" ht="20.100000000000001" customHeight="1" x14ac:dyDescent="0.15">
      <c r="A42" s="67" t="str">
        <f>IFERROR(IF(HLOOKUP($N$5,RangeUnitsets,O42,FALSE)=0,"",HLOOKUP($N$5,RangeUnitsets,O42,FALSE)),"")</f>
        <v/>
      </c>
      <c r="B42" s="65" t="str">
        <f>IFERROR(IF(VLOOKUP($A42,TableHandbook[],B$2,FALSE)=0,"",VLOOKUP($A42,TableHandbook[],B$2,FALSE)),"")</f>
        <v/>
      </c>
      <c r="C42" s="65" t="str">
        <f>IFERROR(IF(VLOOKUP($A42,TableHandbook[],C$2,FALSE)=0,"",VLOOKUP($A42,TableHandbook[],C$2,FALSE)),"")</f>
        <v/>
      </c>
      <c r="D42" s="254" t="str">
        <f>IFERROR(IF(VLOOKUP($A42,TableHandbook[],D$2,FALSE)=0,"",VLOOKUP($A42,TableHandbook[],D$2,FALSE)),"")</f>
        <v/>
      </c>
      <c r="E42" s="65" t="str">
        <f>IF(A42="","",E41)</f>
        <v/>
      </c>
      <c r="F42" s="62" t="str">
        <f>IFERROR(IF(VLOOKUP($A42,TableHandbook[],F$2,FALSE)=0,"",VLOOKUP($A42,TableHandbook[],F$2,FALSE)),"")</f>
        <v/>
      </c>
      <c r="G42" s="63" t="str">
        <f>IFERROR(IF(VLOOKUP($A42,TableHandbook[],G$2,FALSE)=0,"",VLOOKUP($A42,TableHandbook[],G$2,FALSE)),"")</f>
        <v/>
      </c>
      <c r="H42" s="71" t="str">
        <f>IFERROR(VLOOKUP($A42,TableHandbook[],H$2,FALSE),"")</f>
        <v/>
      </c>
      <c r="I42" s="63" t="str">
        <f>IFERROR(VLOOKUP($A42,TableHandbook[],I$2,FALSE),"")</f>
        <v/>
      </c>
      <c r="J42" s="228" t="str">
        <f>IFERROR(VLOOKUP($A42,TableHandbook[],J$2,FALSE),"")</f>
        <v/>
      </c>
      <c r="K42" s="63" t="str">
        <f>IFERROR(VLOOKUP($A42,TableHandbook[],K$2,FALSE),"")</f>
        <v/>
      </c>
      <c r="L42" s="63" t="str">
        <f>IFERROR(VLOOKUP($A42,TableHandbook[],L$2,FALSE),"")</f>
        <v/>
      </c>
      <c r="M42" s="72" t="str">
        <f>IFERROR(VLOOKUP($A42,TableHandbook[],M$2,FALSE),"")</f>
        <v/>
      </c>
      <c r="N42" s="69"/>
      <c r="O42" s="184">
        <v>28</v>
      </c>
      <c r="P42" s="185"/>
      <c r="Q42" s="185"/>
      <c r="Y42" s="33"/>
    </row>
    <row r="43" spans="1:25" s="34" customFormat="1" ht="20.100000000000001" customHeight="1" x14ac:dyDescent="0.15">
      <c r="A43" s="67" t="str">
        <f>IFERROR(IF(HLOOKUP($N$5,RangeUnitsets,O43,FALSE)=0,"",HLOOKUP($N$5,RangeUnitsets,O43,FALSE)),"")</f>
        <v/>
      </c>
      <c r="B43" s="65" t="str">
        <f>IFERROR(IF(VLOOKUP($A43,TableHandbook[],B$2,FALSE)=0,"",VLOOKUP($A43,TableHandbook[],B$2,FALSE)),"")</f>
        <v/>
      </c>
      <c r="C43" s="65" t="str">
        <f>IFERROR(IF(VLOOKUP($A43,TableHandbook[],C$2,FALSE)=0,"",VLOOKUP($A43,TableHandbook[],C$2,FALSE)),"")</f>
        <v/>
      </c>
      <c r="D43" s="254" t="str">
        <f>IFERROR(IF(VLOOKUP($A43,TableHandbook[],D$2,FALSE)=0,"",VLOOKUP($A43,TableHandbook[],D$2,FALSE)),"")</f>
        <v/>
      </c>
      <c r="E43" s="65" t="str">
        <f>IF(A43="","",E42)</f>
        <v/>
      </c>
      <c r="F43" s="62" t="str">
        <f>IFERROR(IF(VLOOKUP($A43,TableHandbook[],F$2,FALSE)=0,"",VLOOKUP($A43,TableHandbook[],F$2,FALSE)),"")</f>
        <v/>
      </c>
      <c r="G43" s="63" t="str">
        <f>IFERROR(IF(VLOOKUP($A43,TableHandbook[],G$2,FALSE)=0,"",VLOOKUP($A43,TableHandbook[],G$2,FALSE)),"")</f>
        <v/>
      </c>
      <c r="H43" s="71" t="str">
        <f>IFERROR(VLOOKUP($A43,TableHandbook[],H$2,FALSE),"")</f>
        <v/>
      </c>
      <c r="I43" s="63" t="str">
        <f>IFERROR(VLOOKUP($A43,TableHandbook[],I$2,FALSE),"")</f>
        <v/>
      </c>
      <c r="J43" s="228" t="str">
        <f>IFERROR(VLOOKUP($A43,TableHandbook[],J$2,FALSE),"")</f>
        <v/>
      </c>
      <c r="K43" s="63" t="str">
        <f>IFERROR(VLOOKUP($A43,TableHandbook[],K$2,FALSE),"")</f>
        <v/>
      </c>
      <c r="L43" s="63" t="str">
        <f>IFERROR(VLOOKUP($A43,TableHandbook[],L$2,FALSE),"")</f>
        <v/>
      </c>
      <c r="M43" s="72" t="str">
        <f>IFERROR(VLOOKUP($A43,TableHandbook[],M$2,FALSE),"")</f>
        <v/>
      </c>
      <c r="N43" s="69"/>
      <c r="O43" s="184">
        <v>29</v>
      </c>
      <c r="P43" s="185"/>
      <c r="Q43" s="185"/>
      <c r="Y43" s="33"/>
    </row>
    <row r="44" spans="1:25" s="34" customFormat="1" ht="5.0999999999999996" customHeight="1" x14ac:dyDescent="0.15">
      <c r="A44" s="241"/>
      <c r="B44" s="242"/>
      <c r="C44" s="242"/>
      <c r="D44" s="256"/>
      <c r="E44" s="242"/>
      <c r="F44" s="244"/>
      <c r="G44" s="242"/>
      <c r="H44" s="245"/>
      <c r="I44" s="242"/>
      <c r="J44" s="246"/>
      <c r="K44" s="242"/>
      <c r="L44" s="242"/>
      <c r="M44" s="247"/>
      <c r="N44" s="247"/>
      <c r="O44" s="186"/>
      <c r="P44" s="185"/>
      <c r="Q44" s="185"/>
      <c r="R44" s="185"/>
      <c r="Y44" s="33"/>
    </row>
    <row r="45" spans="1:25" s="34" customFormat="1" ht="20.100000000000001" customHeight="1" x14ac:dyDescent="0.15">
      <c r="A45" s="67" t="str">
        <f>IFERROR(IF(HLOOKUP($N$5,RangeUnitsets,O45,FALSE)=0,"",HLOOKUP($N$5,RangeUnitsets,O45,FALSE)),"")</f>
        <v/>
      </c>
      <c r="B45" s="65" t="str">
        <f>IFERROR(IF(VLOOKUP($A45,TableHandbook[],B$2,FALSE)=0,"",VLOOKUP($A45,TableHandbook[],B$2,FALSE)),"")</f>
        <v/>
      </c>
      <c r="C45" s="65" t="str">
        <f>IFERROR(IF(VLOOKUP($A45,TableHandbook[],C$2,FALSE)=0,"",VLOOKUP($A45,TableHandbook[],C$2,FALSE)),"")</f>
        <v/>
      </c>
      <c r="D45" s="254" t="str">
        <f>IFERROR(IF(VLOOKUP($A45,TableHandbook[],D$2,FALSE)=0,"",VLOOKUP($A45,TableHandbook[],D$2,FALSE)),"")</f>
        <v/>
      </c>
      <c r="E45" s="65"/>
      <c r="F45" s="62" t="str">
        <f>IFERROR(IF(VLOOKUP($A45,TableHandbook[],F$2,FALSE)=0,"",VLOOKUP($A45,TableHandbook[],F$2,FALSE)),"")</f>
        <v/>
      </c>
      <c r="G45" s="63" t="str">
        <f>IFERROR(IF(VLOOKUP($A45,TableHandbook[],G$2,FALSE)=0,"",VLOOKUP($A45,TableHandbook[],G$2,FALSE)),"")</f>
        <v/>
      </c>
      <c r="H45" s="71" t="str">
        <f>IFERROR(VLOOKUP($A45,TableHandbook[],H$2,FALSE),"")</f>
        <v/>
      </c>
      <c r="I45" s="63" t="str">
        <f>IFERROR(VLOOKUP($A45,TableHandbook[],I$2,FALSE),"")</f>
        <v/>
      </c>
      <c r="J45" s="228" t="str">
        <f>IFERROR(VLOOKUP($A45,TableHandbook[],J$2,FALSE),"")</f>
        <v/>
      </c>
      <c r="K45" s="63" t="str">
        <f>IFERROR(VLOOKUP($A45,TableHandbook[],K$2,FALSE),"")</f>
        <v/>
      </c>
      <c r="L45" s="63" t="str">
        <f>IFERROR(VLOOKUP($A45,TableHandbook[],L$2,FALSE),"")</f>
        <v/>
      </c>
      <c r="M45" s="72" t="str">
        <f>IFERROR(VLOOKUP($A45,TableHandbook[],M$2,FALSE),"")</f>
        <v/>
      </c>
      <c r="N45" s="69"/>
      <c r="O45" s="184">
        <v>30</v>
      </c>
      <c r="P45" s="185"/>
      <c r="Q45" s="185"/>
      <c r="Y45" s="33"/>
    </row>
    <row r="46" spans="1:25" s="34" customFormat="1" ht="20.100000000000001" customHeight="1" x14ac:dyDescent="0.15">
      <c r="A46" s="67" t="str">
        <f>IFERROR(IF(HLOOKUP($N$5,RangeUnitsets,O46,FALSE)=0,"",HLOOKUP($N$5,RangeUnitsets,O46,FALSE)),"")</f>
        <v/>
      </c>
      <c r="B46" s="65" t="str">
        <f>IFERROR(IF(VLOOKUP($A46,TableHandbook[],B$2,FALSE)=0,"",VLOOKUP($A46,TableHandbook[],B$2,FALSE)),"")</f>
        <v/>
      </c>
      <c r="C46" s="65" t="str">
        <f>IFERROR(IF(VLOOKUP($A46,TableHandbook[],C$2,FALSE)=0,"",VLOOKUP($A46,TableHandbook[],C$2,FALSE)),"")</f>
        <v/>
      </c>
      <c r="D46" s="254" t="str">
        <f>IFERROR(IF(VLOOKUP($A46,TableHandbook[],D$2,FALSE)=0,"",VLOOKUP($A46,TableHandbook[],D$2,FALSE)),"")</f>
        <v/>
      </c>
      <c r="E46" s="65"/>
      <c r="F46" s="62" t="str">
        <f>IFERROR(IF(VLOOKUP($A46,TableHandbook[],F$2,FALSE)=0,"",VLOOKUP($A46,TableHandbook[],F$2,FALSE)),"")</f>
        <v/>
      </c>
      <c r="G46" s="63" t="str">
        <f>IFERROR(IF(VLOOKUP($A46,TableHandbook[],G$2,FALSE)=0,"",VLOOKUP($A46,TableHandbook[],G$2,FALSE)),"")</f>
        <v/>
      </c>
      <c r="H46" s="71" t="str">
        <f>IFERROR(VLOOKUP($A46,TableHandbook[],H$2,FALSE),"")</f>
        <v/>
      </c>
      <c r="I46" s="63" t="str">
        <f>IFERROR(VLOOKUP($A46,TableHandbook[],I$2,FALSE),"")</f>
        <v/>
      </c>
      <c r="J46" s="228" t="str">
        <f>IFERROR(VLOOKUP($A46,TableHandbook[],J$2,FALSE),"")</f>
        <v/>
      </c>
      <c r="K46" s="63" t="str">
        <f>IFERROR(VLOOKUP($A46,TableHandbook[],K$2,FALSE),"")</f>
        <v/>
      </c>
      <c r="L46" s="63" t="str">
        <f>IFERROR(VLOOKUP($A46,TableHandbook[],L$2,FALSE),"")</f>
        <v/>
      </c>
      <c r="M46" s="72" t="str">
        <f>IFERROR(VLOOKUP($A46,TableHandbook[],M$2,FALSE),"")</f>
        <v/>
      </c>
      <c r="N46" s="69"/>
      <c r="O46" s="184">
        <v>31</v>
      </c>
      <c r="P46" s="185"/>
      <c r="Q46" s="185"/>
      <c r="Y46" s="33"/>
    </row>
    <row r="47" spans="1:25" s="46" customFormat="1" ht="13.9" customHeight="1" x14ac:dyDescent="0.2">
      <c r="A47" s="47"/>
      <c r="B47" s="47"/>
      <c r="C47" s="47"/>
      <c r="D47" s="260"/>
      <c r="E47" s="48"/>
      <c r="F47" s="43"/>
      <c r="G47" s="43"/>
      <c r="H47" s="43"/>
      <c r="I47" s="43"/>
      <c r="J47" s="43"/>
      <c r="K47" s="43"/>
      <c r="L47" s="43"/>
      <c r="M47" s="43"/>
      <c r="N47" s="257"/>
      <c r="O47" s="188"/>
      <c r="P47" s="188"/>
      <c r="Q47" s="188"/>
      <c r="Y47" s="45"/>
    </row>
    <row r="48" spans="1:25" ht="16.5" x14ac:dyDescent="0.25">
      <c r="A48" s="169" t="s">
        <v>44</v>
      </c>
      <c r="B48" s="170"/>
      <c r="C48" s="170"/>
      <c r="D48" s="264" t="s">
        <v>45</v>
      </c>
      <c r="E48" s="172"/>
      <c r="F48" s="172"/>
      <c r="G48" s="172"/>
      <c r="H48" s="173" t="str">
        <f>H8</f>
        <v>2025 Availabilities</v>
      </c>
      <c r="I48" s="174"/>
      <c r="J48" s="174"/>
      <c r="K48" s="174"/>
      <c r="L48" s="169"/>
      <c r="M48" s="169"/>
      <c r="N48" s="258"/>
      <c r="Y48" s="28"/>
    </row>
    <row r="49" spans="1:25" s="50" customFormat="1" ht="21" x14ac:dyDescent="0.25">
      <c r="A49" s="175"/>
      <c r="B49" s="175"/>
      <c r="C49" s="175"/>
      <c r="D49" s="261" t="s">
        <v>3</v>
      </c>
      <c r="E49" s="175"/>
      <c r="F49" s="175" t="s">
        <v>19</v>
      </c>
      <c r="G49" s="175" t="s">
        <v>20</v>
      </c>
      <c r="H49" s="230" t="str">
        <f>H$9</f>
        <v>Sem1 BEN</v>
      </c>
      <c r="I49" s="177" t="str">
        <f t="shared" ref="I49:N49" si="3">I$9</f>
        <v>Sem1 FO</v>
      </c>
      <c r="J49" s="231" t="str">
        <f t="shared" si="3"/>
        <v>Sem1 KAL</v>
      </c>
      <c r="K49" s="177" t="str">
        <f t="shared" si="3"/>
        <v>Sem2 BEN</v>
      </c>
      <c r="L49" s="177" t="str">
        <f t="shared" si="3"/>
        <v>Sem2 FO</v>
      </c>
      <c r="M49" s="177" t="str">
        <f t="shared" si="3"/>
        <v>Sem2 KAL</v>
      </c>
      <c r="N49" s="240" t="str">
        <f t="shared" si="3"/>
        <v>Notes /  Progress</v>
      </c>
      <c r="Y49" s="49"/>
    </row>
    <row r="50" spans="1:25" x14ac:dyDescent="0.25">
      <c r="A50" s="218" t="str">
        <f>IFERROR(IF(HLOOKUP($N$6,RangeTeachingAreaStreams,$O50,FALSE)=0,"",HLOOKUP($N$6,RangeTeachingAreaStreams,$O50,FALSE)),"")</f>
        <v/>
      </c>
      <c r="B50" s="219" t="str">
        <f>IFERROR(IF(VLOOKUP($A50,TableHandbook[],2,FALSE)=0,"",VLOOKUP($A50,TableHandbook[],2,FALSE)),"")</f>
        <v/>
      </c>
      <c r="C50" s="220" t="str">
        <f>IFERROR(IF(VLOOKUP($A50,TableHandbook[],3,FALSE)=0,"",VLOOKUP($A50,TableHandbook[],3,FALSE)),"")</f>
        <v/>
      </c>
      <c r="D50" s="262" t="str">
        <f>IFERROR(IF(VLOOKUP($A50,TableHandbook[],4,FALSE)=0,"",VLOOKUP($A50,TableHandbook[],4,FALSE)),"")</f>
        <v/>
      </c>
      <c r="E50" s="221"/>
      <c r="F50" s="222" t="str">
        <f>IFERROR(IF(VLOOKUP($A50,TableHandbook[],6,FALSE)=0,"",VLOOKUP($A50,TableHandbook[],6,FALSE)),"")</f>
        <v/>
      </c>
      <c r="G50" s="222" t="str">
        <f>IFERROR(IF(VLOOKUP($A50,TableHandbook[],5,FALSE)=0,"",VLOOKUP($A50,TableHandbook[],5,FALSE)),"")</f>
        <v/>
      </c>
      <c r="H50" s="223" t="str">
        <f>IFERROR(VLOOKUP($A50,TableHandbook[],H$2,FALSE),"")</f>
        <v/>
      </c>
      <c r="I50" s="224" t="str">
        <f>IFERROR(VLOOKUP($A50,TableHandbook[],I$2,FALSE),"")</f>
        <v/>
      </c>
      <c r="J50" s="232" t="str">
        <f>IFERROR(VLOOKUP($A50,TableHandbook[],J$2,FALSE),"")</f>
        <v/>
      </c>
      <c r="K50" s="224" t="str">
        <f>IFERROR(VLOOKUP($A50,TableHandbook[],K$2,FALSE),"")</f>
        <v/>
      </c>
      <c r="L50" s="224" t="str">
        <f>IFERROR(VLOOKUP($A50,TableHandbook[],L$2,FALSE),"")</f>
        <v/>
      </c>
      <c r="M50" s="225" t="str">
        <f>IFERROR(VLOOKUP($A50,TableHandbook[],M$2,FALSE),"")</f>
        <v/>
      </c>
      <c r="N50" s="226"/>
      <c r="O50" s="184">
        <v>2</v>
      </c>
      <c r="Y50" s="28"/>
    </row>
    <row r="51" spans="1:25" x14ac:dyDescent="0.25">
      <c r="A51" s="51" t="str">
        <f>IFERROR(IF(HLOOKUP($N$6,RangeTeachingAreaStreams,$O51,FALSE)=0,"",HLOOKUP($N$6,RangeTeachingAreaStreams,$O51,FALSE)),"")</f>
        <v/>
      </c>
      <c r="B51" s="83" t="str">
        <f>IFERROR(IF(VLOOKUP($A51,TableHandbook[],2,FALSE)=0,"",VLOOKUP($A51,TableHandbook[],2,FALSE)),"")</f>
        <v/>
      </c>
      <c r="C51" s="53" t="str">
        <f>IFERROR(IF(VLOOKUP($A51,TableHandbook[],3,FALSE)=0,"",VLOOKUP($A51,TableHandbook[],3,FALSE)),"")</f>
        <v/>
      </c>
      <c r="D51" s="263" t="str">
        <f>IFERROR(IF(VLOOKUP($A51,TableHandbook[],4,FALSE)=0,"",VLOOKUP($A51,TableHandbook[],4,FALSE)),"")</f>
        <v/>
      </c>
      <c r="E51" s="54"/>
      <c r="F51" s="55" t="str">
        <f>IFERROR(IF(VLOOKUP($A51,TableHandbook[],6,FALSE)=0,"",VLOOKUP($A51,TableHandbook[],6,FALSE)),"")</f>
        <v/>
      </c>
      <c r="G51" s="55" t="str">
        <f>IFERROR(IF(VLOOKUP($A51,TableHandbook[],5,FALSE)=0,"",VLOOKUP($A51,TableHandbook[],5,FALSE)),"")</f>
        <v/>
      </c>
      <c r="H51" s="71" t="str">
        <f>IFERROR(VLOOKUP($A51,TableHandbook[],H$2,FALSE),"")</f>
        <v/>
      </c>
      <c r="I51" s="63" t="str">
        <f>IFERROR(VLOOKUP($A51,TableHandbook[],I$2,FALSE),"")</f>
        <v/>
      </c>
      <c r="J51" s="228" t="str">
        <f>IFERROR(VLOOKUP($A51,TableHandbook[],J$2,FALSE),"")</f>
        <v/>
      </c>
      <c r="K51" s="63" t="str">
        <f>IFERROR(VLOOKUP($A51,TableHandbook[],K$2,FALSE),"")</f>
        <v/>
      </c>
      <c r="L51" s="63" t="str">
        <f>IFERROR(VLOOKUP($A51,TableHandbook[],L$2,FALSE),"")</f>
        <v/>
      </c>
      <c r="M51" s="72" t="str">
        <f>IFERROR(VLOOKUP($A51,TableHandbook[],M$2,FALSE),"")</f>
        <v/>
      </c>
      <c r="N51" s="70"/>
      <c r="O51" s="184">
        <v>3</v>
      </c>
      <c r="Y51" s="28"/>
    </row>
    <row r="52" spans="1:25" x14ac:dyDescent="0.25">
      <c r="A52" s="51" t="str">
        <f>IFERROR(IF(HLOOKUP($N$6,RangeTeachingAreaStreams,$O52,FALSE)=0,"",HLOOKUP($N$6,RangeTeachingAreaStreams,$O52,FALSE)),"")</f>
        <v/>
      </c>
      <c r="B52" s="83" t="str">
        <f>IFERROR(IF(VLOOKUP($A52,TableHandbook[],2,FALSE)=0,"",VLOOKUP($A52,TableHandbook[],2,FALSE)),"")</f>
        <v/>
      </c>
      <c r="C52" s="53" t="str">
        <f>IFERROR(IF(VLOOKUP($A52,TableHandbook[],3,FALSE)=0,"",VLOOKUP($A52,TableHandbook[],3,FALSE)),"")</f>
        <v/>
      </c>
      <c r="D52" s="263" t="str">
        <f>IFERROR(IF(VLOOKUP($A52,TableHandbook[],4,FALSE)=0,"",VLOOKUP($A52,TableHandbook[],4,FALSE)),"")</f>
        <v/>
      </c>
      <c r="E52" s="54"/>
      <c r="F52" s="55" t="str">
        <f>IFERROR(IF(VLOOKUP($A52,TableHandbook[],6,FALSE)=0,"",VLOOKUP($A52,TableHandbook[],6,FALSE)),"")</f>
        <v/>
      </c>
      <c r="G52" s="55" t="str">
        <f>IFERROR(IF(VLOOKUP($A52,TableHandbook[],5,FALSE)=0,"",VLOOKUP($A52,TableHandbook[],5,FALSE)),"")</f>
        <v/>
      </c>
      <c r="H52" s="71" t="str">
        <f>IFERROR(VLOOKUP($A52,TableHandbook[],H$2,FALSE),"")</f>
        <v/>
      </c>
      <c r="I52" s="63" t="str">
        <f>IFERROR(VLOOKUP($A52,TableHandbook[],I$2,FALSE),"")</f>
        <v/>
      </c>
      <c r="J52" s="228" t="str">
        <f>IFERROR(VLOOKUP($A52,TableHandbook[],J$2,FALSE),"")</f>
        <v/>
      </c>
      <c r="K52" s="63" t="str">
        <f>IFERROR(VLOOKUP($A52,TableHandbook[],K$2,FALSE),"")</f>
        <v/>
      </c>
      <c r="L52" s="63" t="str">
        <f>IFERROR(VLOOKUP($A52,TableHandbook[],L$2,FALSE),"")</f>
        <v/>
      </c>
      <c r="M52" s="72" t="str">
        <f>IFERROR(VLOOKUP($A52,TableHandbook[],M$2,FALSE),"")</f>
        <v/>
      </c>
      <c r="N52" s="70"/>
      <c r="O52" s="184">
        <v>4</v>
      </c>
      <c r="Y52" s="28"/>
    </row>
    <row r="53" spans="1:25" x14ac:dyDescent="0.25">
      <c r="A53" s="51" t="str">
        <f>IFERROR(IF(HLOOKUP($N$6,RangeTeachingAreaStreams,$O53,FALSE)=0,"",HLOOKUP($N$6,RangeTeachingAreaStreams,$O53,FALSE)),"")</f>
        <v/>
      </c>
      <c r="B53" s="83" t="str">
        <f>IFERROR(IF(VLOOKUP($A53,TableHandbook[],2,FALSE)=0,"",VLOOKUP($A53,TableHandbook[],2,FALSE)),"")</f>
        <v/>
      </c>
      <c r="C53" s="53" t="str">
        <f>IFERROR(IF(VLOOKUP($A53,TableHandbook[],3,FALSE)=0,"",VLOOKUP($A53,TableHandbook[],3,FALSE)),"")</f>
        <v/>
      </c>
      <c r="D53" s="263" t="str">
        <f>IFERROR(IF(VLOOKUP($A53,TableHandbook[],4,FALSE)=0,"",VLOOKUP($A53,TableHandbook[],4,FALSE)),"")</f>
        <v/>
      </c>
      <c r="E53" s="54"/>
      <c r="F53" s="55" t="str">
        <f>IFERROR(IF(VLOOKUP($A53,TableHandbook[],6,FALSE)=0,"",VLOOKUP($A53,TableHandbook[],6,FALSE)),"")</f>
        <v/>
      </c>
      <c r="G53" s="55" t="str">
        <f>IFERROR(IF(VLOOKUP($A53,TableHandbook[],5,FALSE)=0,"",VLOOKUP($A53,TableHandbook[],5,FALSE)),"")</f>
        <v/>
      </c>
      <c r="H53" s="71" t="str">
        <f>IFERROR(VLOOKUP($A53,TableHandbook[],H$2,FALSE),"")</f>
        <v/>
      </c>
      <c r="I53" s="63" t="str">
        <f>IFERROR(VLOOKUP($A53,TableHandbook[],I$2,FALSE),"")</f>
        <v/>
      </c>
      <c r="J53" s="228" t="str">
        <f>IFERROR(VLOOKUP($A53,TableHandbook[],J$2,FALSE),"")</f>
        <v/>
      </c>
      <c r="K53" s="63" t="str">
        <f>IFERROR(VLOOKUP($A53,TableHandbook[],K$2,FALSE),"")</f>
        <v/>
      </c>
      <c r="L53" s="63" t="str">
        <f>IFERROR(VLOOKUP($A53,TableHandbook[],L$2,FALSE),"")</f>
        <v/>
      </c>
      <c r="M53" s="72" t="str">
        <f>IFERROR(VLOOKUP($A53,TableHandbook[],M$2,FALSE),"")</f>
        <v/>
      </c>
      <c r="N53" s="70"/>
      <c r="O53" s="184">
        <v>5</v>
      </c>
      <c r="Y53" s="28"/>
    </row>
    <row r="54" spans="1:25" s="28" customFormat="1" ht="32.25" customHeight="1" x14ac:dyDescent="0.25">
      <c r="A54" s="443" t="s">
        <v>31</v>
      </c>
      <c r="B54" s="443"/>
      <c r="C54" s="443"/>
      <c r="D54" s="443"/>
      <c r="E54" s="443"/>
      <c r="F54" s="443"/>
      <c r="G54" s="443"/>
      <c r="H54" s="443"/>
      <c r="I54" s="443"/>
      <c r="J54" s="443"/>
      <c r="K54" s="443"/>
      <c r="L54" s="443"/>
      <c r="M54" s="443"/>
      <c r="N54" s="443"/>
      <c r="O54" s="21"/>
      <c r="P54" s="21"/>
      <c r="Q54" s="21"/>
      <c r="R54" s="21"/>
      <c r="S54" s="21"/>
      <c r="T54" s="21"/>
      <c r="U54" s="21"/>
      <c r="V54" s="21"/>
      <c r="W54" s="21"/>
      <c r="X54" s="21"/>
    </row>
    <row r="55" spans="1:25" s="41" customFormat="1" ht="24.95" customHeight="1" x14ac:dyDescent="0.3">
      <c r="A55" s="88" t="s">
        <v>32</v>
      </c>
      <c r="B55" s="88"/>
      <c r="C55" s="88"/>
      <c r="D55" s="89"/>
      <c r="E55" s="89"/>
      <c r="F55" s="89"/>
      <c r="G55" s="89"/>
      <c r="H55" s="89"/>
      <c r="I55" s="89"/>
      <c r="J55" s="89"/>
      <c r="K55" s="89"/>
      <c r="L55" s="89"/>
      <c r="M55" s="89"/>
      <c r="N55" s="89"/>
      <c r="O55" s="189"/>
      <c r="P55" s="189"/>
      <c r="Q55" s="189"/>
      <c r="Y55" s="40"/>
    </row>
    <row r="56" spans="1:25" s="28" customFormat="1" ht="15" customHeight="1" x14ac:dyDescent="0.25">
      <c r="A56" s="42" t="s">
        <v>33</v>
      </c>
      <c r="B56" s="42"/>
      <c r="C56" s="42"/>
      <c r="D56" s="42"/>
      <c r="E56" s="56"/>
      <c r="F56" s="43"/>
      <c r="G56" s="57"/>
      <c r="H56" s="57"/>
      <c r="I56" s="57"/>
      <c r="J56" s="57"/>
      <c r="K56" s="57"/>
      <c r="L56" s="57"/>
      <c r="M56" s="57"/>
      <c r="N56" s="57" t="s">
        <v>34</v>
      </c>
      <c r="O56" s="21"/>
      <c r="P56" s="21"/>
      <c r="Q56" s="21"/>
      <c r="R56" s="21"/>
      <c r="S56" s="21"/>
      <c r="T56" s="21"/>
      <c r="U56" s="21"/>
      <c r="V56" s="21"/>
      <c r="W56" s="21"/>
      <c r="X56" s="21"/>
    </row>
  </sheetData>
  <sheetProtection formatCells="0"/>
  <mergeCells count="2">
    <mergeCell ref="A3:D3"/>
    <mergeCell ref="A54:N54"/>
  </mergeCells>
  <conditionalFormatting sqref="A50:N53">
    <cfRule type="expression" dxfId="186" priority="1">
      <formula>$A50=""</formula>
    </cfRule>
    <cfRule type="expression" dxfId="185" priority="6">
      <formula>LEFT($D50,5)="Study"</formula>
    </cfRule>
  </conditionalFormatting>
  <conditionalFormatting sqref="D5:D7">
    <cfRule type="containsText" dxfId="184" priority="3" operator="containsText" text="Choose">
      <formula>NOT(ISERROR(SEARCH("Choose",D5)))</formula>
    </cfRule>
  </conditionalFormatting>
  <conditionalFormatting sqref="H10:M46">
    <cfRule type="expression" dxfId="183" priority="2">
      <formula>$E10=LEFT(H$9,4)</formula>
    </cfRule>
  </conditionalFormatting>
  <dataValidations count="1">
    <dataValidation type="list" allowBlank="1" showInputMessage="1" showErrorMessage="1" sqref="N24 N14 N34 N44" xr:uid="{00000000-0002-0000-0200-000000000000}"/>
  </dataValidations>
  <hyperlinks>
    <hyperlink ref="A55:N5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0" man="1"/>
  </rowBreaks>
  <ignoredErrors>
    <ignoredError sqref="E39 E44 E29 E16:E19 E11:E14 E10 E15 E20:E28 E30:E38 E40:E43"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Unitsets!$A$23:$A$25</xm:f>
          </x14:formula1>
          <xm:sqref>D7</xm:sqref>
        </x14:dataValidation>
        <x14:dataValidation type="list" showInputMessage="1" showErrorMessage="1" xr:uid="{00000000-0002-0000-0200-000002000000}">
          <x14:formula1>
            <xm:f>Unitsets!$A$13:$A$19</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5" tint="-0.249977111117893"/>
  </sheetPr>
  <dimension ref="A1:X84"/>
  <sheetViews>
    <sheetView topLeftCell="J1" zoomScale="85" zoomScaleNormal="85" workbookViewId="0">
      <selection activeCell="AC20" sqref="AC20"/>
    </sheetView>
  </sheetViews>
  <sheetFormatPr defaultRowHeight="15.75" x14ac:dyDescent="0.25"/>
  <cols>
    <col min="1" max="1" width="65.875" style="14" bestFit="1" customWidth="1"/>
    <col min="2" max="2" width="11" style="6" bestFit="1" customWidth="1"/>
    <col min="3" max="3" width="12.75" style="6" bestFit="1" customWidth="1"/>
    <col min="4" max="4" width="17.375" style="6" bestFit="1" customWidth="1"/>
    <col min="5" max="5" width="14.875" style="6" bestFit="1" customWidth="1"/>
    <col min="6" max="6" width="19.125" style="6" bestFit="1" customWidth="1"/>
    <col min="7" max="7" width="19.875" style="6" bestFit="1" customWidth="1"/>
    <col min="8" max="8" width="31.5" style="6" customWidth="1"/>
    <col min="9" max="9" width="8.875" style="6" customWidth="1"/>
    <col min="10" max="10" width="25.875" style="6" bestFit="1" customWidth="1"/>
    <col min="11" max="11" width="3.625" customWidth="1"/>
    <col min="12" max="13" width="11.5" bestFit="1" customWidth="1"/>
    <col min="14" max="14" width="11.125" bestFit="1" customWidth="1"/>
    <col min="15" max="15" width="11.625" bestFit="1" customWidth="1"/>
    <col min="16" max="16" width="11.375" customWidth="1"/>
    <col min="17" max="17" width="11.25" customWidth="1"/>
    <col min="18" max="18" width="6.125" customWidth="1"/>
    <col min="19" max="19" width="11.625" customWidth="1"/>
    <col min="20" max="20" width="6.125" customWidth="1"/>
    <col min="21" max="21" width="11.5" customWidth="1"/>
    <col min="22" max="22" width="6.125" customWidth="1"/>
    <col min="23" max="23" width="11.75" customWidth="1"/>
    <col min="24" max="24" width="6.625" customWidth="1"/>
    <col min="25" max="25" width="3.125" bestFit="1" customWidth="1"/>
    <col min="26" max="26" width="7.5" bestFit="1" customWidth="1"/>
    <col min="27" max="27" width="2" bestFit="1" customWidth="1"/>
    <col min="28" max="28" width="10.25" bestFit="1" customWidth="1"/>
    <col min="29" max="29" width="9.875" bestFit="1" customWidth="1"/>
    <col min="30" max="30" width="2" bestFit="1" customWidth="1"/>
  </cols>
  <sheetData>
    <row r="1" spans="1:24" x14ac:dyDescent="0.25">
      <c r="A1" s="15" t="s">
        <v>46</v>
      </c>
      <c r="B1" s="16"/>
      <c r="C1" s="16"/>
      <c r="D1" s="16"/>
    </row>
    <row r="2" spans="1:24" x14ac:dyDescent="0.25">
      <c r="H2"/>
      <c r="I2"/>
      <c r="L2" s="58"/>
      <c r="M2" s="9"/>
      <c r="N2" s="10"/>
      <c r="O2" s="9"/>
      <c r="P2" s="8"/>
      <c r="Q2" s="9"/>
      <c r="R2" s="10"/>
      <c r="S2" s="9"/>
      <c r="T2" s="60"/>
      <c r="U2" s="9"/>
      <c r="V2" s="10"/>
      <c r="W2" s="10"/>
      <c r="X2" s="10"/>
    </row>
    <row r="3" spans="1:24" x14ac:dyDescent="0.25">
      <c r="B3"/>
      <c r="H3"/>
      <c r="I3"/>
      <c r="J3" s="87" t="s">
        <v>47</v>
      </c>
      <c r="K3" s="3">
        <v>1</v>
      </c>
      <c r="L3" s="1"/>
      <c r="M3" s="11" t="s">
        <v>48</v>
      </c>
      <c r="N3" s="20"/>
      <c r="O3" s="12" t="s">
        <v>49</v>
      </c>
      <c r="P3" s="1"/>
      <c r="Q3" s="13" t="s">
        <v>50</v>
      </c>
      <c r="R3" s="2"/>
      <c r="S3" s="13" t="s">
        <v>51</v>
      </c>
      <c r="T3" s="61"/>
      <c r="U3" s="11" t="s">
        <v>52</v>
      </c>
      <c r="V3" s="61"/>
      <c r="W3" s="13" t="s">
        <v>53</v>
      </c>
      <c r="X3" s="59"/>
    </row>
    <row r="4" spans="1:24" x14ac:dyDescent="0.25">
      <c r="H4"/>
      <c r="I4"/>
      <c r="J4"/>
      <c r="K4" s="19">
        <v>2</v>
      </c>
      <c r="L4" s="116" t="s">
        <v>54</v>
      </c>
      <c r="M4" s="115" t="s">
        <v>55</v>
      </c>
      <c r="N4" s="116" t="s">
        <v>56</v>
      </c>
      <c r="O4" s="115" t="s">
        <v>57</v>
      </c>
      <c r="P4" s="116" t="s">
        <v>54</v>
      </c>
      <c r="Q4" s="115" t="s">
        <v>55</v>
      </c>
      <c r="R4" s="116" t="s">
        <v>56</v>
      </c>
      <c r="S4" s="115" t="s">
        <v>57</v>
      </c>
      <c r="T4" s="116" t="s">
        <v>54</v>
      </c>
      <c r="U4" s="115" t="s">
        <v>55</v>
      </c>
      <c r="V4" s="116" t="s">
        <v>56</v>
      </c>
      <c r="W4" s="115" t="s">
        <v>57</v>
      </c>
      <c r="X4" s="3"/>
    </row>
    <row r="5" spans="1:24" x14ac:dyDescent="0.25">
      <c r="A5" s="123" t="s">
        <v>59</v>
      </c>
      <c r="H5"/>
      <c r="I5"/>
      <c r="J5"/>
      <c r="K5" s="19">
        <v>3</v>
      </c>
      <c r="L5" s="117" t="s">
        <v>54</v>
      </c>
      <c r="M5" s="104" t="s">
        <v>60</v>
      </c>
      <c r="N5" s="117" t="s">
        <v>56</v>
      </c>
      <c r="O5" s="104" t="s">
        <v>61</v>
      </c>
      <c r="P5" s="117" t="s">
        <v>54</v>
      </c>
      <c r="Q5" s="104" t="s">
        <v>62</v>
      </c>
      <c r="R5" s="117" t="s">
        <v>56</v>
      </c>
      <c r="S5" s="104" t="s">
        <v>61</v>
      </c>
      <c r="T5" s="117" t="s">
        <v>54</v>
      </c>
      <c r="U5" s="104" t="s">
        <v>62</v>
      </c>
      <c r="V5" s="117" t="s">
        <v>56</v>
      </c>
      <c r="W5" s="104" t="s">
        <v>61</v>
      </c>
      <c r="X5" s="3"/>
    </row>
    <row r="6" spans="1:24" x14ac:dyDescent="0.25">
      <c r="A6" s="6" t="s">
        <v>64</v>
      </c>
      <c r="B6" s="14" t="s">
        <v>0</v>
      </c>
      <c r="C6" s="6" t="s">
        <v>65</v>
      </c>
      <c r="D6" s="6" t="s">
        <v>66</v>
      </c>
      <c r="E6" s="6" t="s">
        <v>67</v>
      </c>
      <c r="F6" s="6" t="s">
        <v>68</v>
      </c>
      <c r="G6" s="6" t="s">
        <v>69</v>
      </c>
      <c r="H6" s="6" t="s">
        <v>70</v>
      </c>
      <c r="I6"/>
      <c r="J6"/>
      <c r="K6" s="19">
        <v>4</v>
      </c>
      <c r="L6" s="117" t="s">
        <v>54</v>
      </c>
      <c r="M6" s="285" t="s">
        <v>62</v>
      </c>
      <c r="N6" s="117" t="s">
        <v>56</v>
      </c>
      <c r="O6" s="104" t="s">
        <v>58</v>
      </c>
      <c r="P6" s="117" t="s">
        <v>54</v>
      </c>
      <c r="Q6" s="104" t="s">
        <v>60</v>
      </c>
      <c r="R6" s="117" t="s">
        <v>56</v>
      </c>
      <c r="S6" s="104" t="s">
        <v>58</v>
      </c>
      <c r="T6" s="117" t="s">
        <v>54</v>
      </c>
      <c r="U6" s="104" t="s">
        <v>60</v>
      </c>
      <c r="V6" s="117" t="s">
        <v>56</v>
      </c>
      <c r="W6" s="104" t="s">
        <v>58</v>
      </c>
      <c r="X6" s="3"/>
    </row>
    <row r="7" spans="1:24" x14ac:dyDescent="0.25">
      <c r="A7" s="6" t="s">
        <v>11</v>
      </c>
      <c r="B7" s="270" t="s">
        <v>71</v>
      </c>
      <c r="C7" s="268" t="s">
        <v>72</v>
      </c>
      <c r="D7" s="269">
        <v>45658</v>
      </c>
      <c r="E7" s="268">
        <v>8</v>
      </c>
      <c r="F7" s="269">
        <v>45658</v>
      </c>
      <c r="G7" s="7" t="s">
        <v>73</v>
      </c>
      <c r="H7" s="270" t="s">
        <v>74</v>
      </c>
      <c r="I7"/>
      <c r="J7"/>
      <c r="K7" s="19">
        <v>5</v>
      </c>
      <c r="L7" s="118" t="s">
        <v>54</v>
      </c>
      <c r="M7" s="281" t="s">
        <v>75</v>
      </c>
      <c r="N7" s="118" t="s">
        <v>56</v>
      </c>
      <c r="O7" s="103" t="s">
        <v>63</v>
      </c>
      <c r="P7" s="118" t="s">
        <v>54</v>
      </c>
      <c r="Q7" s="281" t="s">
        <v>75</v>
      </c>
      <c r="R7" s="118" t="s">
        <v>56</v>
      </c>
      <c r="S7" s="103" t="s">
        <v>63</v>
      </c>
      <c r="T7" s="118" t="s">
        <v>54</v>
      </c>
      <c r="U7" s="281" t="s">
        <v>75</v>
      </c>
      <c r="V7" s="118" t="s">
        <v>56</v>
      </c>
      <c r="W7" s="103" t="s">
        <v>63</v>
      </c>
      <c r="X7" s="3"/>
    </row>
    <row r="8" spans="1:24" x14ac:dyDescent="0.25">
      <c r="A8" s="6" t="s">
        <v>35</v>
      </c>
      <c r="B8" s="270" t="s">
        <v>76</v>
      </c>
      <c r="C8" s="268" t="s">
        <v>77</v>
      </c>
      <c r="D8" s="269">
        <v>45658</v>
      </c>
      <c r="E8" s="268">
        <v>8</v>
      </c>
      <c r="F8" s="269">
        <v>45658</v>
      </c>
      <c r="G8" s="7" t="s">
        <v>78</v>
      </c>
      <c r="H8" s="270" t="s">
        <v>79</v>
      </c>
      <c r="I8"/>
      <c r="J8"/>
      <c r="K8" s="19">
        <v>6</v>
      </c>
      <c r="L8" s="117" t="s">
        <v>56</v>
      </c>
      <c r="M8" s="104" t="s">
        <v>57</v>
      </c>
      <c r="N8" s="117" t="s">
        <v>54</v>
      </c>
      <c r="O8" s="104" t="s">
        <v>55</v>
      </c>
      <c r="P8" s="117" t="s">
        <v>56</v>
      </c>
      <c r="Q8" s="104" t="s">
        <v>57</v>
      </c>
      <c r="R8" s="117" t="s">
        <v>54</v>
      </c>
      <c r="S8" s="104" t="s">
        <v>55</v>
      </c>
      <c r="T8" s="117" t="s">
        <v>56</v>
      </c>
      <c r="U8" s="104" t="s">
        <v>57</v>
      </c>
      <c r="V8" s="117" t="s">
        <v>54</v>
      </c>
      <c r="W8" s="104" t="s">
        <v>55</v>
      </c>
      <c r="X8" s="3"/>
    </row>
    <row r="9" spans="1:24" x14ac:dyDescent="0.25">
      <c r="A9" s="6" t="s">
        <v>39</v>
      </c>
      <c r="B9" s="270" t="s">
        <v>80</v>
      </c>
      <c r="C9" s="268" t="s">
        <v>72</v>
      </c>
      <c r="D9" s="269">
        <v>45658</v>
      </c>
      <c r="E9" s="275">
        <v>8</v>
      </c>
      <c r="F9" s="269">
        <v>45658</v>
      </c>
      <c r="G9" s="214" t="s">
        <v>78</v>
      </c>
      <c r="H9" s="270" t="s">
        <v>81</v>
      </c>
      <c r="I9"/>
      <c r="J9"/>
      <c r="K9" s="19">
        <v>7</v>
      </c>
      <c r="L9" s="117" t="s">
        <v>56</v>
      </c>
      <c r="M9" s="104" t="s">
        <v>61</v>
      </c>
      <c r="N9" s="117" t="s">
        <v>54</v>
      </c>
      <c r="O9" s="104" t="s">
        <v>60</v>
      </c>
      <c r="P9" s="117" t="s">
        <v>56</v>
      </c>
      <c r="Q9" s="104" t="s">
        <v>61</v>
      </c>
      <c r="R9" s="117" t="s">
        <v>54</v>
      </c>
      <c r="S9" s="104" t="s">
        <v>62</v>
      </c>
      <c r="T9" s="117" t="s">
        <v>56</v>
      </c>
      <c r="U9" s="104" t="s">
        <v>61</v>
      </c>
      <c r="V9" s="117" t="s">
        <v>54</v>
      </c>
      <c r="W9" s="104" t="s">
        <v>62</v>
      </c>
      <c r="X9" s="3"/>
    </row>
    <row r="10" spans="1:24" x14ac:dyDescent="0.25">
      <c r="A10" s="6" t="s">
        <v>82</v>
      </c>
      <c r="B10" s="270" t="s">
        <v>83</v>
      </c>
      <c r="C10" s="268" t="s">
        <v>84</v>
      </c>
      <c r="D10" s="269">
        <v>45658</v>
      </c>
      <c r="E10" s="275">
        <v>11</v>
      </c>
      <c r="F10" s="269">
        <v>45658</v>
      </c>
      <c r="G10" s="214" t="s">
        <v>78</v>
      </c>
      <c r="H10" s="270" t="s">
        <v>85</v>
      </c>
      <c r="I10"/>
      <c r="J10"/>
      <c r="K10" s="19">
        <v>8</v>
      </c>
      <c r="L10" s="117" t="s">
        <v>56</v>
      </c>
      <c r="M10" s="104" t="s">
        <v>58</v>
      </c>
      <c r="N10" s="117" t="s">
        <v>54</v>
      </c>
      <c r="O10" s="285" t="s">
        <v>62</v>
      </c>
      <c r="P10" s="117" t="s">
        <v>56</v>
      </c>
      <c r="Q10" s="104" t="s">
        <v>58</v>
      </c>
      <c r="R10" s="117" t="s">
        <v>54</v>
      </c>
      <c r="S10" s="104" t="s">
        <v>60</v>
      </c>
      <c r="T10" s="117" t="s">
        <v>56</v>
      </c>
      <c r="U10" s="104" t="s">
        <v>58</v>
      </c>
      <c r="V10" s="117" t="s">
        <v>54</v>
      </c>
      <c r="W10" s="104" t="s">
        <v>60</v>
      </c>
      <c r="X10" s="3"/>
    </row>
    <row r="11" spans="1:24" x14ac:dyDescent="0.25">
      <c r="H11"/>
      <c r="I11"/>
      <c r="J11"/>
      <c r="K11" s="19">
        <v>9</v>
      </c>
      <c r="L11" s="118" t="s">
        <v>56</v>
      </c>
      <c r="M11" s="103" t="s">
        <v>63</v>
      </c>
      <c r="N11" s="118" t="s">
        <v>54</v>
      </c>
      <c r="O11" s="281" t="s">
        <v>75</v>
      </c>
      <c r="P11" s="118" t="s">
        <v>56</v>
      </c>
      <c r="Q11" s="103" t="s">
        <v>63</v>
      </c>
      <c r="R11" s="118" t="s">
        <v>54</v>
      </c>
      <c r="S11" s="281" t="s">
        <v>75</v>
      </c>
      <c r="T11" s="118" t="s">
        <v>56</v>
      </c>
      <c r="U11" s="103" t="s">
        <v>63</v>
      </c>
      <c r="V11" s="118" t="s">
        <v>54</v>
      </c>
      <c r="W11" s="281" t="s">
        <v>75</v>
      </c>
      <c r="X11" s="3"/>
    </row>
    <row r="12" spans="1:24" x14ac:dyDescent="0.25">
      <c r="A12" s="123" t="s">
        <v>86</v>
      </c>
      <c r="H12"/>
      <c r="I12"/>
      <c r="J12"/>
      <c r="K12" s="19">
        <v>10</v>
      </c>
      <c r="L12" s="116" t="s">
        <v>87</v>
      </c>
      <c r="M12" s="286" t="s">
        <v>88</v>
      </c>
      <c r="N12" s="116" t="s">
        <v>89</v>
      </c>
      <c r="O12" s="115" t="s">
        <v>90</v>
      </c>
      <c r="P12" s="116" t="s">
        <v>87</v>
      </c>
      <c r="Q12" s="115" t="s">
        <v>107</v>
      </c>
      <c r="R12" s="116" t="s">
        <v>89</v>
      </c>
      <c r="S12" s="115" t="s">
        <v>92</v>
      </c>
      <c r="T12" s="116" t="s">
        <v>87</v>
      </c>
      <c r="U12" s="115" t="s">
        <v>95</v>
      </c>
      <c r="V12" s="116" t="s">
        <v>89</v>
      </c>
      <c r="W12" s="115" t="s">
        <v>90</v>
      </c>
      <c r="X12" s="4"/>
    </row>
    <row r="13" spans="1:24" x14ac:dyDescent="0.25">
      <c r="A13" s="6" t="s">
        <v>94</v>
      </c>
      <c r="B13" s="14" t="s">
        <v>0</v>
      </c>
      <c r="C13" s="6" t="s">
        <v>65</v>
      </c>
      <c r="D13" s="6" t="s">
        <v>66</v>
      </c>
      <c r="E13" s="6" t="s">
        <v>67</v>
      </c>
      <c r="F13" s="6" t="s">
        <v>68</v>
      </c>
      <c r="G13" s="6" t="s">
        <v>69</v>
      </c>
      <c r="H13"/>
      <c r="I13"/>
      <c r="J13"/>
      <c r="K13" s="19">
        <v>11</v>
      </c>
      <c r="L13" s="117" t="s">
        <v>87</v>
      </c>
      <c r="M13" s="104" t="s">
        <v>95</v>
      </c>
      <c r="N13" s="117" t="s">
        <v>89</v>
      </c>
      <c r="O13" s="104" t="s">
        <v>96</v>
      </c>
      <c r="P13" s="117" t="s">
        <v>87</v>
      </c>
      <c r="Q13" s="104" t="s">
        <v>93</v>
      </c>
      <c r="R13" s="117" t="s">
        <v>89</v>
      </c>
      <c r="S13" s="104" t="s">
        <v>97</v>
      </c>
      <c r="T13" s="117" t="s">
        <v>87</v>
      </c>
      <c r="U13" s="104" t="s">
        <v>93</v>
      </c>
      <c r="V13" s="117" t="s">
        <v>89</v>
      </c>
      <c r="W13" s="104" t="s">
        <v>96</v>
      </c>
      <c r="X13" s="4"/>
    </row>
    <row r="14" spans="1:24" x14ac:dyDescent="0.25">
      <c r="A14" s="6" t="s">
        <v>98</v>
      </c>
      <c r="B14" s="270" t="s">
        <v>99</v>
      </c>
      <c r="C14" s="271" t="s">
        <v>100</v>
      </c>
      <c r="D14" s="277">
        <v>45292</v>
      </c>
      <c r="E14" s="270">
        <v>1</v>
      </c>
      <c r="F14" s="276">
        <v>45292</v>
      </c>
      <c r="G14" s="7" t="s">
        <v>101</v>
      </c>
      <c r="H14"/>
      <c r="I14"/>
      <c r="J14"/>
      <c r="K14" s="19">
        <v>12</v>
      </c>
      <c r="L14" s="117" t="s">
        <v>87</v>
      </c>
      <c r="M14" s="104" t="s">
        <v>91</v>
      </c>
      <c r="N14" s="117" t="s">
        <v>89</v>
      </c>
      <c r="O14" s="285" t="s">
        <v>102</v>
      </c>
      <c r="P14" s="117" t="s">
        <v>87</v>
      </c>
      <c r="Q14" s="104" t="s">
        <v>103</v>
      </c>
      <c r="R14" s="117" t="s">
        <v>89</v>
      </c>
      <c r="S14" s="104" t="s">
        <v>108</v>
      </c>
      <c r="T14" s="117" t="s">
        <v>87</v>
      </c>
      <c r="U14" s="104" t="s">
        <v>109</v>
      </c>
      <c r="V14" s="117" t="s">
        <v>89</v>
      </c>
      <c r="W14" s="104" t="s">
        <v>93</v>
      </c>
      <c r="X14" s="4"/>
    </row>
    <row r="15" spans="1:24" x14ac:dyDescent="0.25">
      <c r="A15" s="6" t="s">
        <v>105</v>
      </c>
      <c r="B15" s="270" t="s">
        <v>106</v>
      </c>
      <c r="C15" s="7" t="s">
        <v>100</v>
      </c>
      <c r="D15" s="213">
        <v>45292</v>
      </c>
      <c r="E15" s="270">
        <v>1</v>
      </c>
      <c r="F15" s="276">
        <v>45292</v>
      </c>
      <c r="G15" s="7" t="s">
        <v>101</v>
      </c>
      <c r="H15"/>
      <c r="I15"/>
      <c r="J15"/>
      <c r="K15" s="19">
        <v>13</v>
      </c>
      <c r="L15" s="117" t="s">
        <v>87</v>
      </c>
      <c r="M15" s="104" t="s">
        <v>93</v>
      </c>
      <c r="N15" s="117" t="s">
        <v>89</v>
      </c>
      <c r="O15" s="103" t="s">
        <v>102</v>
      </c>
      <c r="P15" s="117" t="s">
        <v>87</v>
      </c>
      <c r="Q15" s="104" t="s">
        <v>91</v>
      </c>
      <c r="R15" s="117" t="s">
        <v>89</v>
      </c>
      <c r="S15" s="104" t="s">
        <v>104</v>
      </c>
      <c r="T15" s="117" t="s">
        <v>87</v>
      </c>
      <c r="U15" s="104" t="s">
        <v>91</v>
      </c>
      <c r="V15" s="117" t="s">
        <v>89</v>
      </c>
      <c r="W15" s="139" t="s">
        <v>110</v>
      </c>
      <c r="X15" s="4"/>
    </row>
    <row r="16" spans="1:24" x14ac:dyDescent="0.25">
      <c r="A16" s="294" t="s">
        <v>41</v>
      </c>
      <c r="B16" s="268" t="s">
        <v>111</v>
      </c>
      <c r="C16" s="268" t="s">
        <v>100</v>
      </c>
      <c r="D16" s="269">
        <v>45658</v>
      </c>
      <c r="E16" s="268">
        <v>1</v>
      </c>
      <c r="F16" s="269">
        <v>45658</v>
      </c>
      <c r="G16" s="268" t="s">
        <v>101</v>
      </c>
      <c r="H16"/>
      <c r="I16"/>
      <c r="J16"/>
      <c r="K16" s="19">
        <v>14</v>
      </c>
      <c r="L16" s="116" t="s">
        <v>89</v>
      </c>
      <c r="M16" s="115" t="s">
        <v>90</v>
      </c>
      <c r="N16" s="116" t="s">
        <v>87</v>
      </c>
      <c r="O16" s="286" t="s">
        <v>88</v>
      </c>
      <c r="P16" s="116" t="s">
        <v>89</v>
      </c>
      <c r="Q16" s="115" t="s">
        <v>92</v>
      </c>
      <c r="R16" s="116" t="s">
        <v>87</v>
      </c>
      <c r="S16" s="115" t="s">
        <v>107</v>
      </c>
      <c r="T16" s="116" t="s">
        <v>89</v>
      </c>
      <c r="U16" s="115" t="s">
        <v>90</v>
      </c>
      <c r="V16" s="116" t="s">
        <v>87</v>
      </c>
      <c r="W16" s="115" t="s">
        <v>95</v>
      </c>
      <c r="X16" s="4"/>
    </row>
    <row r="17" spans="1:24" x14ac:dyDescent="0.25">
      <c r="A17" s="6" t="s">
        <v>112</v>
      </c>
      <c r="B17" s="270" t="s">
        <v>113</v>
      </c>
      <c r="C17" s="7" t="s">
        <v>100</v>
      </c>
      <c r="D17" s="213">
        <v>45292</v>
      </c>
      <c r="E17" s="270">
        <v>1</v>
      </c>
      <c r="F17" s="276">
        <v>45292</v>
      </c>
      <c r="G17" s="7" t="s">
        <v>101</v>
      </c>
      <c r="H17"/>
      <c r="I17"/>
      <c r="J17"/>
      <c r="K17" s="19">
        <v>15</v>
      </c>
      <c r="L17" s="117" t="s">
        <v>89</v>
      </c>
      <c r="M17" s="104" t="s">
        <v>96</v>
      </c>
      <c r="N17" s="117" t="s">
        <v>87</v>
      </c>
      <c r="O17" s="104" t="s">
        <v>95</v>
      </c>
      <c r="P17" s="117" t="s">
        <v>89</v>
      </c>
      <c r="Q17" s="104" t="s">
        <v>97</v>
      </c>
      <c r="R17" s="117" t="s">
        <v>87</v>
      </c>
      <c r="S17" s="104" t="s">
        <v>93</v>
      </c>
      <c r="T17" s="117" t="s">
        <v>89</v>
      </c>
      <c r="U17" s="104" t="s">
        <v>96</v>
      </c>
      <c r="V17" s="117" t="s">
        <v>87</v>
      </c>
      <c r="W17" s="104" t="s">
        <v>91</v>
      </c>
      <c r="X17" s="4"/>
    </row>
    <row r="18" spans="1:24" x14ac:dyDescent="0.25">
      <c r="A18" s="14" t="s">
        <v>114</v>
      </c>
      <c r="B18" s="270" t="s">
        <v>115</v>
      </c>
      <c r="C18" s="7" t="s">
        <v>100</v>
      </c>
      <c r="D18" s="213">
        <v>45292</v>
      </c>
      <c r="E18" s="270">
        <v>1</v>
      </c>
      <c r="F18" s="276">
        <v>45292</v>
      </c>
      <c r="G18" s="7" t="s">
        <v>101</v>
      </c>
      <c r="H18"/>
      <c r="I18"/>
      <c r="J18"/>
      <c r="K18" s="19">
        <v>16</v>
      </c>
      <c r="L18" s="117" t="s">
        <v>89</v>
      </c>
      <c r="M18" s="285" t="s">
        <v>102</v>
      </c>
      <c r="N18" s="117" t="s">
        <v>87</v>
      </c>
      <c r="O18" s="104" t="s">
        <v>91</v>
      </c>
      <c r="P18" s="117" t="s">
        <v>89</v>
      </c>
      <c r="Q18" s="104" t="s">
        <v>108</v>
      </c>
      <c r="R18" s="117" t="s">
        <v>87</v>
      </c>
      <c r="S18" s="104" t="s">
        <v>103</v>
      </c>
      <c r="T18" s="117" t="s">
        <v>89</v>
      </c>
      <c r="U18" s="104" t="s">
        <v>116</v>
      </c>
      <c r="V18" s="117" t="s">
        <v>87</v>
      </c>
      <c r="W18" s="104" t="s">
        <v>109</v>
      </c>
      <c r="X18" s="4"/>
    </row>
    <row r="19" spans="1:24" x14ac:dyDescent="0.25">
      <c r="A19" s="14" t="s">
        <v>117</v>
      </c>
      <c r="B19" s="270" t="s">
        <v>118</v>
      </c>
      <c r="C19" s="7" t="s">
        <v>100</v>
      </c>
      <c r="D19" s="213">
        <v>45292</v>
      </c>
      <c r="E19" s="270">
        <v>1</v>
      </c>
      <c r="F19" s="276">
        <v>45292</v>
      </c>
      <c r="G19" s="7" t="s">
        <v>101</v>
      </c>
      <c r="H19"/>
      <c r="I19"/>
      <c r="J19"/>
      <c r="K19" s="19">
        <v>17</v>
      </c>
      <c r="L19" s="118" t="s">
        <v>89</v>
      </c>
      <c r="M19" s="103" t="s">
        <v>102</v>
      </c>
      <c r="N19" s="118" t="s">
        <v>87</v>
      </c>
      <c r="O19" s="104" t="s">
        <v>93</v>
      </c>
      <c r="P19" s="118" t="s">
        <v>89</v>
      </c>
      <c r="Q19" s="103" t="s">
        <v>104</v>
      </c>
      <c r="R19" s="118" t="s">
        <v>87</v>
      </c>
      <c r="S19" s="103" t="s">
        <v>91</v>
      </c>
      <c r="T19" s="118" t="s">
        <v>89</v>
      </c>
      <c r="U19" s="139" t="s">
        <v>110</v>
      </c>
      <c r="V19" s="118" t="s">
        <v>87</v>
      </c>
      <c r="W19" s="139" t="s">
        <v>110</v>
      </c>
      <c r="X19" s="4"/>
    </row>
    <row r="20" spans="1:24" x14ac:dyDescent="0.25">
      <c r="A20" s="6" t="s">
        <v>119</v>
      </c>
      <c r="B20" s="271" t="s">
        <v>120</v>
      </c>
      <c r="C20" s="7" t="s">
        <v>100</v>
      </c>
      <c r="D20" s="213">
        <v>45292</v>
      </c>
      <c r="E20" s="270">
        <v>1</v>
      </c>
      <c r="F20" s="276">
        <v>45292</v>
      </c>
      <c r="G20" s="7" t="s">
        <v>101</v>
      </c>
      <c r="H20"/>
      <c r="I20"/>
      <c r="J20"/>
      <c r="K20" s="19">
        <v>18</v>
      </c>
      <c r="L20" s="116" t="s">
        <v>121</v>
      </c>
      <c r="M20" s="115" t="s">
        <v>122</v>
      </c>
      <c r="N20" s="116" t="s">
        <v>123</v>
      </c>
      <c r="O20" s="115" t="s">
        <v>124</v>
      </c>
      <c r="P20" s="116" t="s">
        <v>121</v>
      </c>
      <c r="Q20" s="115" t="s">
        <v>125</v>
      </c>
      <c r="R20" s="116" t="s">
        <v>123</v>
      </c>
      <c r="S20" s="115" t="s">
        <v>126</v>
      </c>
      <c r="T20" s="116" t="s">
        <v>121</v>
      </c>
      <c r="U20" s="115" t="s">
        <v>127</v>
      </c>
      <c r="V20" s="116" t="s">
        <v>123</v>
      </c>
      <c r="W20" s="115" t="s">
        <v>124</v>
      </c>
    </row>
    <row r="21" spans="1:24" x14ac:dyDescent="0.25">
      <c r="A21"/>
      <c r="B21"/>
      <c r="C21"/>
      <c r="D21"/>
      <c r="E21"/>
      <c r="F21"/>
      <c r="G21"/>
      <c r="H21"/>
      <c r="I21"/>
      <c r="J21"/>
      <c r="K21" s="19">
        <v>19</v>
      </c>
      <c r="L21" s="117" t="s">
        <v>121</v>
      </c>
      <c r="M21" s="104" t="s">
        <v>128</v>
      </c>
      <c r="N21" s="117" t="s">
        <v>123</v>
      </c>
      <c r="O21" s="104" t="s">
        <v>129</v>
      </c>
      <c r="P21" s="117" t="s">
        <v>121</v>
      </c>
      <c r="Q21" s="104" t="s">
        <v>122</v>
      </c>
      <c r="R21" s="117" t="s">
        <v>123</v>
      </c>
      <c r="S21" s="104" t="s">
        <v>122</v>
      </c>
      <c r="T21" s="117" t="s">
        <v>121</v>
      </c>
      <c r="U21" s="104" t="s">
        <v>135</v>
      </c>
      <c r="V21" s="117" t="s">
        <v>123</v>
      </c>
      <c r="W21" s="104" t="s">
        <v>132</v>
      </c>
    </row>
    <row r="22" spans="1:24" x14ac:dyDescent="0.25">
      <c r="A22" s="123" t="s">
        <v>133</v>
      </c>
      <c r="D22"/>
      <c r="E22"/>
      <c r="F22"/>
      <c r="G22"/>
      <c r="H22"/>
      <c r="I22"/>
      <c r="J22"/>
      <c r="K22" s="19">
        <v>20</v>
      </c>
      <c r="L22" s="117" t="s">
        <v>121</v>
      </c>
      <c r="M22" s="104" t="s">
        <v>102</v>
      </c>
      <c r="N22" s="117" t="s">
        <v>123</v>
      </c>
      <c r="O22" s="104" t="s">
        <v>102</v>
      </c>
      <c r="P22" s="117" t="s">
        <v>121</v>
      </c>
      <c r="Q22" s="104" t="s">
        <v>139</v>
      </c>
      <c r="R22" s="117" t="s">
        <v>123</v>
      </c>
      <c r="S22" s="104" t="s">
        <v>134</v>
      </c>
      <c r="T22" s="117" t="s">
        <v>121</v>
      </c>
      <c r="U22" s="104" t="s">
        <v>131</v>
      </c>
      <c r="V22" s="117" t="s">
        <v>123</v>
      </c>
      <c r="W22" s="104" t="s">
        <v>122</v>
      </c>
      <c r="X22" s="4"/>
    </row>
    <row r="23" spans="1:24" x14ac:dyDescent="0.25">
      <c r="A23" s="215" t="s">
        <v>136</v>
      </c>
      <c r="B23" s="216" t="s">
        <v>137</v>
      </c>
      <c r="C23" s="6" t="s">
        <v>138</v>
      </c>
      <c r="D23"/>
      <c r="E23"/>
      <c r="F23"/>
      <c r="G23"/>
      <c r="H23"/>
      <c r="I23"/>
      <c r="J23"/>
      <c r="K23" s="19">
        <v>21</v>
      </c>
      <c r="L23" s="117" t="s">
        <v>121</v>
      </c>
      <c r="M23" s="103" t="s">
        <v>102</v>
      </c>
      <c r="N23" s="117" t="s">
        <v>123</v>
      </c>
      <c r="O23" s="103" t="s">
        <v>102</v>
      </c>
      <c r="P23" s="117" t="s">
        <v>121</v>
      </c>
      <c r="Q23" s="103" t="s">
        <v>130</v>
      </c>
      <c r="R23" s="117" t="s">
        <v>123</v>
      </c>
      <c r="S23" s="103" t="s">
        <v>140</v>
      </c>
      <c r="T23" s="117" t="s">
        <v>121</v>
      </c>
      <c r="U23" s="139" t="s">
        <v>110</v>
      </c>
      <c r="V23" s="117" t="s">
        <v>123</v>
      </c>
      <c r="W23" s="103" t="s">
        <v>116</v>
      </c>
      <c r="X23" s="4"/>
    </row>
    <row r="24" spans="1:24" x14ac:dyDescent="0.25">
      <c r="A24" s="6" t="s">
        <v>14</v>
      </c>
      <c r="B24" s="7" t="s">
        <v>141</v>
      </c>
      <c r="C24" s="7" t="s">
        <v>142</v>
      </c>
      <c r="D24"/>
      <c r="E24"/>
      <c r="F24"/>
      <c r="G24"/>
      <c r="H24"/>
      <c r="I24"/>
      <c r="J24"/>
      <c r="K24" s="19">
        <v>22</v>
      </c>
      <c r="L24" s="116" t="s">
        <v>123</v>
      </c>
      <c r="M24" s="115" t="s">
        <v>124</v>
      </c>
      <c r="N24" s="116" t="s">
        <v>121</v>
      </c>
      <c r="O24" s="115" t="s">
        <v>122</v>
      </c>
      <c r="P24" s="116" t="s">
        <v>123</v>
      </c>
      <c r="Q24" s="115" t="s">
        <v>126</v>
      </c>
      <c r="R24" s="116" t="s">
        <v>121</v>
      </c>
      <c r="S24" s="115" t="s">
        <v>125</v>
      </c>
      <c r="T24" s="116" t="s">
        <v>123</v>
      </c>
      <c r="U24" s="115" t="s">
        <v>132</v>
      </c>
      <c r="V24" s="116" t="s">
        <v>121</v>
      </c>
      <c r="W24" s="115" t="s">
        <v>127</v>
      </c>
      <c r="X24" s="4"/>
    </row>
    <row r="25" spans="1:24" x14ac:dyDescent="0.25">
      <c r="A25" s="6" t="s">
        <v>143</v>
      </c>
      <c r="B25" s="7" t="s">
        <v>142</v>
      </c>
      <c r="C25" s="7" t="s">
        <v>141</v>
      </c>
      <c r="D25"/>
      <c r="E25"/>
      <c r="F25"/>
      <c r="G25"/>
      <c r="H25"/>
      <c r="I25"/>
      <c r="J25"/>
      <c r="K25" s="19">
        <v>23</v>
      </c>
      <c r="L25" s="117" t="s">
        <v>123</v>
      </c>
      <c r="M25" s="104" t="s">
        <v>144</v>
      </c>
      <c r="N25" s="117" t="s">
        <v>121</v>
      </c>
      <c r="O25" s="104" t="s">
        <v>144</v>
      </c>
      <c r="P25" s="117" t="s">
        <v>123</v>
      </c>
      <c r="Q25" s="104" t="s">
        <v>145</v>
      </c>
      <c r="R25" s="117" t="s">
        <v>121</v>
      </c>
      <c r="S25" s="104" t="s">
        <v>130</v>
      </c>
      <c r="T25" s="117" t="s">
        <v>123</v>
      </c>
      <c r="U25" s="104" t="s">
        <v>122</v>
      </c>
      <c r="V25" s="117" t="s">
        <v>121</v>
      </c>
      <c r="W25" s="104" t="s">
        <v>131</v>
      </c>
      <c r="X25" s="4"/>
    </row>
    <row r="26" spans="1:24" x14ac:dyDescent="0.25">
      <c r="A26"/>
      <c r="B26"/>
      <c r="C26"/>
      <c r="D26"/>
      <c r="E26"/>
      <c r="F26"/>
      <c r="G26"/>
      <c r="H26"/>
      <c r="I26"/>
      <c r="J26"/>
      <c r="K26" s="19">
        <v>24</v>
      </c>
      <c r="L26" s="117" t="s">
        <v>123</v>
      </c>
      <c r="M26" s="104" t="s">
        <v>129</v>
      </c>
      <c r="N26" s="117" t="s">
        <v>121</v>
      </c>
      <c r="O26" s="104" t="s">
        <v>128</v>
      </c>
      <c r="P26" s="117" t="s">
        <v>123</v>
      </c>
      <c r="Q26" s="104" t="s">
        <v>134</v>
      </c>
      <c r="R26" s="117" t="s">
        <v>121</v>
      </c>
      <c r="S26" s="104" t="s">
        <v>146</v>
      </c>
      <c r="T26" s="117" t="s">
        <v>123</v>
      </c>
      <c r="U26" s="104" t="s">
        <v>124</v>
      </c>
      <c r="V26" s="117" t="s">
        <v>121</v>
      </c>
      <c r="W26" s="104" t="s">
        <v>135</v>
      </c>
      <c r="X26" s="4"/>
    </row>
    <row r="27" spans="1:24" x14ac:dyDescent="0.25">
      <c r="A27"/>
      <c r="B27"/>
      <c r="C27"/>
      <c r="D27"/>
      <c r="E27"/>
      <c r="F27"/>
      <c r="G27"/>
      <c r="H27"/>
      <c r="I27"/>
      <c r="J27"/>
      <c r="K27" s="19">
        <v>25</v>
      </c>
      <c r="L27" s="118" t="s">
        <v>123</v>
      </c>
      <c r="M27" s="103" t="s">
        <v>102</v>
      </c>
      <c r="N27" s="118" t="s">
        <v>121</v>
      </c>
      <c r="O27" s="103" t="s">
        <v>102</v>
      </c>
      <c r="P27" s="118" t="s">
        <v>123</v>
      </c>
      <c r="Q27" s="103" t="s">
        <v>140</v>
      </c>
      <c r="R27" s="118" t="s">
        <v>121</v>
      </c>
      <c r="S27" s="103" t="s">
        <v>139</v>
      </c>
      <c r="T27" s="118" t="s">
        <v>123</v>
      </c>
      <c r="U27" s="103" t="s">
        <v>147</v>
      </c>
      <c r="V27" s="118" t="s">
        <v>121</v>
      </c>
      <c r="W27" s="139" t="s">
        <v>110</v>
      </c>
      <c r="X27" s="6"/>
    </row>
    <row r="28" spans="1:24" x14ac:dyDescent="0.25">
      <c r="K28" s="19">
        <v>26</v>
      </c>
      <c r="L28" s="116" t="s">
        <v>148</v>
      </c>
      <c r="M28" s="119"/>
      <c r="N28" s="116" t="s">
        <v>149</v>
      </c>
      <c r="O28" s="115"/>
      <c r="P28" s="116" t="s">
        <v>148</v>
      </c>
      <c r="Q28" s="115" t="s">
        <v>150</v>
      </c>
      <c r="R28" s="116" t="s">
        <v>149</v>
      </c>
      <c r="S28" s="115" t="s">
        <v>145</v>
      </c>
      <c r="T28" s="116" t="s">
        <v>148</v>
      </c>
      <c r="U28" s="115" t="s">
        <v>152</v>
      </c>
      <c r="V28" s="116" t="s">
        <v>149</v>
      </c>
      <c r="W28" s="115" t="s">
        <v>147</v>
      </c>
      <c r="X28" s="6"/>
    </row>
    <row r="29" spans="1:24" x14ac:dyDescent="0.25">
      <c r="A29"/>
      <c r="K29" s="19">
        <v>27</v>
      </c>
      <c r="L29" s="117" t="s">
        <v>148</v>
      </c>
      <c r="M29" s="104"/>
      <c r="N29" s="117" t="s">
        <v>149</v>
      </c>
      <c r="O29" s="104"/>
      <c r="P29" s="117" t="s">
        <v>148</v>
      </c>
      <c r="Q29" s="104" t="s">
        <v>146</v>
      </c>
      <c r="R29" s="117" t="s">
        <v>149</v>
      </c>
      <c r="S29" s="104" t="s">
        <v>150</v>
      </c>
      <c r="T29" s="117" t="s">
        <v>148</v>
      </c>
      <c r="U29" s="104" t="s">
        <v>151</v>
      </c>
      <c r="V29" s="117" t="s">
        <v>149</v>
      </c>
      <c r="W29" s="104" t="s">
        <v>152</v>
      </c>
      <c r="X29" s="6"/>
    </row>
    <row r="30" spans="1:24" x14ac:dyDescent="0.25">
      <c r="A30"/>
      <c r="K30" s="19">
        <v>28</v>
      </c>
      <c r="L30" s="117" t="s">
        <v>148</v>
      </c>
      <c r="M30" s="104"/>
      <c r="N30" s="117" t="s">
        <v>149</v>
      </c>
      <c r="O30" s="104"/>
      <c r="P30" s="117" t="s">
        <v>148</v>
      </c>
      <c r="Q30" s="104" t="s">
        <v>153</v>
      </c>
      <c r="R30" s="117" t="s">
        <v>149</v>
      </c>
      <c r="S30" s="104" t="s">
        <v>153</v>
      </c>
      <c r="T30" s="117" t="s">
        <v>148</v>
      </c>
      <c r="U30" s="104" t="s">
        <v>153</v>
      </c>
      <c r="V30" s="117" t="s">
        <v>149</v>
      </c>
      <c r="W30" s="104" t="s">
        <v>153</v>
      </c>
    </row>
    <row r="31" spans="1:24" x14ac:dyDescent="0.25">
      <c r="K31" s="19">
        <v>29</v>
      </c>
      <c r="L31" s="117" t="s">
        <v>148</v>
      </c>
      <c r="M31" s="103"/>
      <c r="N31" s="117" t="s">
        <v>149</v>
      </c>
      <c r="O31" s="103"/>
      <c r="P31" s="117" t="s">
        <v>148</v>
      </c>
      <c r="Q31" s="103" t="s">
        <v>140</v>
      </c>
      <c r="R31" s="117" t="s">
        <v>149</v>
      </c>
      <c r="S31" s="103" t="s">
        <v>140</v>
      </c>
      <c r="T31" s="117" t="s">
        <v>148</v>
      </c>
      <c r="U31" s="139" t="s">
        <v>110</v>
      </c>
      <c r="V31" s="117" t="s">
        <v>149</v>
      </c>
      <c r="W31" s="103" t="s">
        <v>151</v>
      </c>
    </row>
    <row r="32" spans="1:24" x14ac:dyDescent="0.25">
      <c r="A32" s="14" t="s">
        <v>154</v>
      </c>
      <c r="B32" s="293">
        <v>45540</v>
      </c>
      <c r="K32" s="19">
        <v>30</v>
      </c>
      <c r="L32" s="116" t="s">
        <v>149</v>
      </c>
      <c r="M32" s="115"/>
      <c r="N32" s="116" t="s">
        <v>148</v>
      </c>
      <c r="O32" s="115"/>
      <c r="P32" s="116" t="s">
        <v>149</v>
      </c>
      <c r="Q32" s="115" t="s">
        <v>155</v>
      </c>
      <c r="R32" s="116" t="s">
        <v>148</v>
      </c>
      <c r="S32" s="115" t="s">
        <v>155</v>
      </c>
      <c r="T32" s="116" t="s">
        <v>149</v>
      </c>
      <c r="U32" s="115" t="s">
        <v>155</v>
      </c>
      <c r="V32" s="116" t="s">
        <v>148</v>
      </c>
      <c r="W32" s="115" t="s">
        <v>155</v>
      </c>
      <c r="X32" s="6"/>
    </row>
    <row r="33" spans="1:23" x14ac:dyDescent="0.25">
      <c r="A33" s="14" t="s">
        <v>156</v>
      </c>
      <c r="B33" s="293" t="s">
        <v>157</v>
      </c>
      <c r="K33" s="19">
        <v>31</v>
      </c>
      <c r="L33" s="117" t="s">
        <v>149</v>
      </c>
      <c r="M33" s="104"/>
      <c r="N33" s="117" t="s">
        <v>148</v>
      </c>
      <c r="O33" s="104"/>
      <c r="P33" s="117" t="s">
        <v>149</v>
      </c>
      <c r="Q33" s="124" t="s">
        <v>158</v>
      </c>
      <c r="R33" s="117" t="s">
        <v>148</v>
      </c>
      <c r="S33" s="124" t="s">
        <v>159</v>
      </c>
      <c r="T33" s="117" t="s">
        <v>149</v>
      </c>
      <c r="U33" s="124" t="s">
        <v>158</v>
      </c>
      <c r="V33" s="117" t="s">
        <v>148</v>
      </c>
      <c r="W33" s="104" t="s">
        <v>159</v>
      </c>
    </row>
    <row r="34" spans="1:23" ht="15.75" customHeight="1" x14ac:dyDescent="0.25">
      <c r="A34" s="14" t="s">
        <v>160</v>
      </c>
      <c r="B34" s="293">
        <v>45540</v>
      </c>
      <c r="K34" s="19">
        <v>32</v>
      </c>
      <c r="L34" s="117" t="s">
        <v>149</v>
      </c>
      <c r="M34" s="104"/>
      <c r="N34" s="117" t="s">
        <v>148</v>
      </c>
      <c r="O34" s="104"/>
      <c r="P34" s="117" t="s">
        <v>149</v>
      </c>
      <c r="Q34" s="104"/>
      <c r="R34" s="117" t="s">
        <v>148</v>
      </c>
      <c r="S34" s="104"/>
      <c r="T34" s="117" t="s">
        <v>149</v>
      </c>
      <c r="U34" s="104"/>
      <c r="V34" s="117" t="s">
        <v>148</v>
      </c>
      <c r="W34" s="104"/>
    </row>
    <row r="35" spans="1:23" x14ac:dyDescent="0.25">
      <c r="A35" s="14" t="s">
        <v>161</v>
      </c>
      <c r="B35" s="293">
        <v>45540</v>
      </c>
      <c r="K35" s="19">
        <v>33</v>
      </c>
      <c r="L35" s="118" t="s">
        <v>149</v>
      </c>
      <c r="M35" s="103"/>
      <c r="N35" s="118" t="s">
        <v>148</v>
      </c>
      <c r="O35" s="103"/>
      <c r="P35" s="118" t="s">
        <v>149</v>
      </c>
      <c r="Q35" s="103"/>
      <c r="R35" s="118" t="s">
        <v>148</v>
      </c>
      <c r="S35" s="103"/>
      <c r="T35" s="118" t="s">
        <v>149</v>
      </c>
      <c r="U35" s="103"/>
      <c r="V35" s="118" t="s">
        <v>148</v>
      </c>
      <c r="W35" s="103"/>
    </row>
    <row r="36" spans="1:23" ht="15.75" customHeight="1" thickBot="1" x14ac:dyDescent="0.3">
      <c r="A36" s="14" t="s">
        <v>162</v>
      </c>
      <c r="B36" s="293">
        <v>45540</v>
      </c>
    </row>
    <row r="37" spans="1:23" ht="15.75" customHeight="1" x14ac:dyDescent="0.25">
      <c r="A37" s="14" t="s">
        <v>163</v>
      </c>
      <c r="B37" s="293">
        <v>45540</v>
      </c>
      <c r="J37" s="87" t="s">
        <v>164</v>
      </c>
      <c r="K37" s="3">
        <v>1</v>
      </c>
      <c r="L37" s="179" t="s">
        <v>99</v>
      </c>
      <c r="M37" s="180" t="s">
        <v>106</v>
      </c>
      <c r="N37" s="282" t="s">
        <v>111</v>
      </c>
      <c r="O37" s="180" t="s">
        <v>113</v>
      </c>
      <c r="P37" s="180" t="s">
        <v>115</v>
      </c>
      <c r="Q37" s="181" t="s">
        <v>118</v>
      </c>
    </row>
    <row r="38" spans="1:23" ht="15.75" customHeight="1" x14ac:dyDescent="0.25">
      <c r="A38" s="14" t="s">
        <v>165</v>
      </c>
      <c r="B38" s="293">
        <v>45540</v>
      </c>
      <c r="J38" s="87"/>
      <c r="K38" s="3">
        <v>2</v>
      </c>
      <c r="L38" s="90" t="s">
        <v>99</v>
      </c>
      <c r="M38" s="82" t="s">
        <v>106</v>
      </c>
      <c r="N38" s="283" t="s">
        <v>111</v>
      </c>
      <c r="O38" s="82" t="s">
        <v>113</v>
      </c>
      <c r="P38" s="82" t="s">
        <v>115</v>
      </c>
      <c r="Q38" s="91" t="s">
        <v>118</v>
      </c>
    </row>
    <row r="39" spans="1:23" x14ac:dyDescent="0.25">
      <c r="A39" s="14" t="s">
        <v>166</v>
      </c>
      <c r="B39" s="308" t="s">
        <v>1465</v>
      </c>
      <c r="J39" s="85"/>
      <c r="K39" s="3">
        <v>3</v>
      </c>
      <c r="L39" s="90" t="s">
        <v>167</v>
      </c>
      <c r="M39" s="82" t="s">
        <v>168</v>
      </c>
      <c r="N39" s="283" t="s">
        <v>169</v>
      </c>
      <c r="O39" s="82" t="s">
        <v>170</v>
      </c>
      <c r="P39" s="82" t="s">
        <v>171</v>
      </c>
      <c r="Q39" s="91" t="s">
        <v>172</v>
      </c>
    </row>
    <row r="40" spans="1:23" x14ac:dyDescent="0.25">
      <c r="A40" s="14" t="s">
        <v>173</v>
      </c>
      <c r="K40" s="3">
        <v>4</v>
      </c>
      <c r="L40" s="90" t="s">
        <v>174</v>
      </c>
      <c r="M40" s="82" t="s">
        <v>175</v>
      </c>
      <c r="N40" s="283" t="s">
        <v>176</v>
      </c>
      <c r="O40" s="82" t="s">
        <v>177</v>
      </c>
      <c r="P40" s="82" t="s">
        <v>178</v>
      </c>
      <c r="Q40" s="91" t="s">
        <v>179</v>
      </c>
      <c r="R40" s="4"/>
      <c r="S40" s="3"/>
    </row>
    <row r="41" spans="1:23" x14ac:dyDescent="0.25">
      <c r="K41" s="3">
        <v>5</v>
      </c>
      <c r="L41" s="94" t="s">
        <v>180</v>
      </c>
      <c r="M41" s="95" t="s">
        <v>181</v>
      </c>
      <c r="N41" s="284" t="s">
        <v>182</v>
      </c>
      <c r="O41" s="95" t="s">
        <v>183</v>
      </c>
      <c r="P41" s="95" t="s">
        <v>184</v>
      </c>
      <c r="Q41" s="96" t="s">
        <v>185</v>
      </c>
      <c r="R41" s="4"/>
    </row>
    <row r="42" spans="1:23" x14ac:dyDescent="0.25">
      <c r="R42" s="4"/>
      <c r="S42" s="3"/>
    </row>
    <row r="43" spans="1:23" x14ac:dyDescent="0.25">
      <c r="J43" s="87" t="s">
        <v>186</v>
      </c>
      <c r="K43" s="3">
        <v>1</v>
      </c>
      <c r="L43" s="179" t="s">
        <v>71</v>
      </c>
      <c r="M43" s="180" t="s">
        <v>76</v>
      </c>
      <c r="N43" s="181"/>
      <c r="R43" s="4"/>
      <c r="S43" s="3"/>
    </row>
    <row r="44" spans="1:23" x14ac:dyDescent="0.25">
      <c r="J44" s="85"/>
      <c r="K44" s="3">
        <v>2</v>
      </c>
      <c r="L44" s="90" t="s">
        <v>128</v>
      </c>
      <c r="M44" s="82" t="s">
        <v>187</v>
      </c>
      <c r="N44" s="91"/>
    </row>
    <row r="45" spans="1:23" x14ac:dyDescent="0.25">
      <c r="K45" s="3">
        <v>3</v>
      </c>
      <c r="L45" s="92" t="s">
        <v>127</v>
      </c>
      <c r="M45" s="93" t="s">
        <v>170</v>
      </c>
      <c r="N45" s="91"/>
      <c r="Q45" s="17"/>
    </row>
    <row r="46" spans="1:23" x14ac:dyDescent="0.25">
      <c r="K46" s="3">
        <v>4</v>
      </c>
      <c r="L46" s="90" t="s">
        <v>188</v>
      </c>
      <c r="M46" s="93" t="s">
        <v>177</v>
      </c>
      <c r="N46" s="91"/>
    </row>
    <row r="47" spans="1:23" x14ac:dyDescent="0.25">
      <c r="K47" s="3">
        <v>5</v>
      </c>
      <c r="L47" s="90"/>
      <c r="M47" s="93" t="s">
        <v>183</v>
      </c>
      <c r="N47" s="91"/>
    </row>
    <row r="48" spans="1:23" x14ac:dyDescent="0.25">
      <c r="K48" s="3">
        <v>6</v>
      </c>
      <c r="L48" s="90"/>
      <c r="M48" s="93" t="s">
        <v>189</v>
      </c>
      <c r="N48" s="91"/>
    </row>
    <row r="49" spans="10:14" x14ac:dyDescent="0.25">
      <c r="K49" s="3">
        <v>7</v>
      </c>
      <c r="L49" s="90"/>
      <c r="M49" s="93" t="s">
        <v>175</v>
      </c>
      <c r="N49" s="91"/>
    </row>
    <row r="50" spans="10:14" x14ac:dyDescent="0.25">
      <c r="K50" s="3">
        <v>8</v>
      </c>
      <c r="L50" s="90"/>
      <c r="M50" s="93" t="s">
        <v>168</v>
      </c>
      <c r="N50" s="91"/>
    </row>
    <row r="51" spans="10:14" x14ac:dyDescent="0.25">
      <c r="K51" s="3">
        <v>9</v>
      </c>
      <c r="L51" s="90"/>
      <c r="M51" s="93" t="s">
        <v>181</v>
      </c>
      <c r="N51" s="91"/>
    </row>
    <row r="52" spans="10:14" x14ac:dyDescent="0.25">
      <c r="K52" s="3">
        <v>10</v>
      </c>
      <c r="L52" s="90"/>
      <c r="M52" s="93" t="s">
        <v>190</v>
      </c>
      <c r="N52" s="91"/>
    </row>
    <row r="53" spans="10:14" x14ac:dyDescent="0.25">
      <c r="K53" s="3">
        <v>11</v>
      </c>
      <c r="L53" s="90"/>
      <c r="M53" s="93" t="s">
        <v>184</v>
      </c>
      <c r="N53" s="91"/>
    </row>
    <row r="54" spans="10:14" x14ac:dyDescent="0.25">
      <c r="K54" s="3">
        <v>12</v>
      </c>
      <c r="L54" s="90"/>
      <c r="M54" s="93" t="s">
        <v>171</v>
      </c>
      <c r="N54" s="91"/>
    </row>
    <row r="55" spans="10:14" x14ac:dyDescent="0.25">
      <c r="K55" s="3">
        <v>13</v>
      </c>
      <c r="L55" s="90"/>
      <c r="M55" s="93" t="s">
        <v>178</v>
      </c>
      <c r="N55" s="91"/>
    </row>
    <row r="56" spans="10:14" x14ac:dyDescent="0.25">
      <c r="K56" s="3">
        <v>14</v>
      </c>
      <c r="L56" s="90"/>
      <c r="M56" s="93" t="s">
        <v>191</v>
      </c>
      <c r="N56" s="91"/>
    </row>
    <row r="57" spans="10:14" x14ac:dyDescent="0.25">
      <c r="K57" s="3">
        <v>15</v>
      </c>
      <c r="L57" s="90"/>
      <c r="M57" s="93" t="s">
        <v>172</v>
      </c>
      <c r="N57" s="91"/>
    </row>
    <row r="58" spans="10:14" x14ac:dyDescent="0.25">
      <c r="K58" s="3">
        <v>16</v>
      </c>
      <c r="L58" s="90"/>
      <c r="M58" s="93" t="s">
        <v>179</v>
      </c>
      <c r="N58" s="91"/>
    </row>
    <row r="59" spans="10:14" x14ac:dyDescent="0.25">
      <c r="K59" s="3">
        <v>17</v>
      </c>
      <c r="L59" s="90"/>
      <c r="M59" s="93" t="s">
        <v>185</v>
      </c>
      <c r="N59" s="91"/>
    </row>
    <row r="60" spans="10:14" x14ac:dyDescent="0.25">
      <c r="K60" s="3">
        <v>18</v>
      </c>
      <c r="L60" s="90"/>
      <c r="M60" s="93" t="s">
        <v>192</v>
      </c>
      <c r="N60" s="91"/>
    </row>
    <row r="61" spans="10:14" x14ac:dyDescent="0.25">
      <c r="J61"/>
      <c r="K61" s="3">
        <v>19</v>
      </c>
      <c r="L61" s="90"/>
      <c r="M61" s="93" t="s">
        <v>174</v>
      </c>
      <c r="N61" s="91"/>
    </row>
    <row r="62" spans="10:14" x14ac:dyDescent="0.25">
      <c r="J62"/>
      <c r="K62" s="3">
        <v>20</v>
      </c>
      <c r="L62" s="90"/>
      <c r="M62" s="93" t="s">
        <v>167</v>
      </c>
      <c r="N62" s="91"/>
    </row>
    <row r="63" spans="10:14" x14ac:dyDescent="0.25">
      <c r="J63"/>
      <c r="K63" s="3">
        <v>21</v>
      </c>
      <c r="L63" s="90"/>
      <c r="M63" s="93" t="s">
        <v>180</v>
      </c>
      <c r="N63" s="91"/>
    </row>
    <row r="64" spans="10:14" x14ac:dyDescent="0.25">
      <c r="J64"/>
      <c r="K64" s="3">
        <v>22</v>
      </c>
      <c r="L64" s="90"/>
      <c r="M64" s="93" t="s">
        <v>193</v>
      </c>
      <c r="N64" s="91"/>
    </row>
    <row r="65" spans="1:14" x14ac:dyDescent="0.25">
      <c r="A65"/>
      <c r="B65"/>
      <c r="C65"/>
      <c r="D65"/>
      <c r="E65"/>
      <c r="F65"/>
      <c r="J65"/>
      <c r="K65" s="3">
        <v>23</v>
      </c>
      <c r="L65" s="90"/>
      <c r="M65" s="93" t="s">
        <v>96</v>
      </c>
      <c r="N65" s="91"/>
    </row>
    <row r="66" spans="1:14" x14ac:dyDescent="0.25">
      <c r="A66"/>
      <c r="B66"/>
      <c r="C66"/>
      <c r="D66"/>
      <c r="E66"/>
      <c r="F66"/>
      <c r="J66"/>
      <c r="K66" s="3">
        <v>24</v>
      </c>
      <c r="L66" s="90"/>
      <c r="M66" s="93" t="s">
        <v>90</v>
      </c>
      <c r="N66" s="91"/>
    </row>
    <row r="67" spans="1:14" x14ac:dyDescent="0.25">
      <c r="A67"/>
      <c r="B67"/>
      <c r="C67"/>
      <c r="D67"/>
      <c r="E67"/>
      <c r="F67"/>
      <c r="J67"/>
      <c r="K67" s="3">
        <v>25</v>
      </c>
      <c r="L67" s="90"/>
      <c r="M67" s="93" t="s">
        <v>95</v>
      </c>
      <c r="N67" s="91"/>
    </row>
    <row r="68" spans="1:14" x14ac:dyDescent="0.25">
      <c r="J68"/>
      <c r="K68" s="3">
        <v>26</v>
      </c>
      <c r="L68" s="90"/>
      <c r="M68" s="93" t="s">
        <v>135</v>
      </c>
      <c r="N68" s="91"/>
    </row>
    <row r="69" spans="1:14" x14ac:dyDescent="0.25">
      <c r="J69"/>
      <c r="K69" s="3">
        <v>27</v>
      </c>
      <c r="L69" s="90"/>
      <c r="M69" s="93" t="s">
        <v>132</v>
      </c>
      <c r="N69" s="91"/>
    </row>
    <row r="70" spans="1:14" x14ac:dyDescent="0.25">
      <c r="A70"/>
      <c r="J70"/>
      <c r="K70" s="3">
        <v>28</v>
      </c>
      <c r="L70" s="90"/>
      <c r="M70" s="93" t="s">
        <v>194</v>
      </c>
      <c r="N70" s="91"/>
    </row>
    <row r="71" spans="1:14" x14ac:dyDescent="0.25">
      <c r="J71"/>
      <c r="K71" s="3">
        <v>29</v>
      </c>
      <c r="L71" s="90"/>
      <c r="M71" s="93" t="s">
        <v>195</v>
      </c>
      <c r="N71" s="91"/>
    </row>
    <row r="72" spans="1:14" x14ac:dyDescent="0.25">
      <c r="J72"/>
      <c r="K72" s="3">
        <v>30</v>
      </c>
      <c r="L72" s="90"/>
      <c r="M72" s="93" t="s">
        <v>129</v>
      </c>
      <c r="N72" s="91"/>
    </row>
    <row r="73" spans="1:14" x14ac:dyDescent="0.25">
      <c r="J73"/>
      <c r="K73" s="3">
        <v>31</v>
      </c>
      <c r="L73" s="90"/>
      <c r="M73" s="93"/>
      <c r="N73" s="91"/>
    </row>
    <row r="74" spans="1:14" x14ac:dyDescent="0.25">
      <c r="J74"/>
      <c r="K74" s="3">
        <v>32</v>
      </c>
      <c r="L74" s="90"/>
      <c r="M74" s="93"/>
      <c r="N74" s="91"/>
    </row>
    <row r="75" spans="1:14" x14ac:dyDescent="0.25">
      <c r="J75"/>
      <c r="K75" s="3">
        <v>33</v>
      </c>
      <c r="L75" s="90"/>
      <c r="M75" s="93"/>
      <c r="N75" s="91"/>
    </row>
    <row r="76" spans="1:14" x14ac:dyDescent="0.25">
      <c r="J76"/>
      <c r="K76" s="3">
        <v>34</v>
      </c>
      <c r="L76" s="90"/>
      <c r="M76" s="82"/>
      <c r="N76" s="91"/>
    </row>
    <row r="77" spans="1:14" x14ac:dyDescent="0.25">
      <c r="K77" s="3">
        <v>35</v>
      </c>
      <c r="L77" s="90"/>
      <c r="M77" s="82"/>
      <c r="N77" s="91"/>
    </row>
    <row r="78" spans="1:14" x14ac:dyDescent="0.25">
      <c r="K78" s="3">
        <v>36</v>
      </c>
      <c r="L78" s="94"/>
      <c r="M78" s="95"/>
      <c r="N78" s="96"/>
    </row>
    <row r="79" spans="1:14" x14ac:dyDescent="0.25">
      <c r="L79" t="s">
        <v>196</v>
      </c>
    </row>
    <row r="80" spans="1:14" x14ac:dyDescent="0.25">
      <c r="L80" t="s">
        <v>197</v>
      </c>
    </row>
    <row r="81" spans="12:12" x14ac:dyDescent="0.25">
      <c r="L81" t="s">
        <v>198</v>
      </c>
    </row>
    <row r="82" spans="12:12" x14ac:dyDescent="0.25">
      <c r="L82" t="s">
        <v>199</v>
      </c>
    </row>
    <row r="83" spans="12:12" x14ac:dyDescent="0.25">
      <c r="L83" t="s">
        <v>200</v>
      </c>
    </row>
    <row r="84" spans="12:12" x14ac:dyDescent="0.25">
      <c r="L84" t="s">
        <v>201</v>
      </c>
    </row>
  </sheetData>
  <conditionalFormatting sqref="M4:M27">
    <cfRule type="duplicateValues" dxfId="182" priority="2"/>
  </conditionalFormatting>
  <conditionalFormatting sqref="O4:O27">
    <cfRule type="duplicateValues" dxfId="181" priority="1"/>
  </conditionalFormatting>
  <conditionalFormatting sqref="Q4:Q33">
    <cfRule type="duplicateValues" dxfId="180" priority="5"/>
  </conditionalFormatting>
  <conditionalFormatting sqref="S4:S33">
    <cfRule type="duplicateValues" dxfId="179" priority="6"/>
  </conditionalFormatting>
  <conditionalFormatting sqref="U4:U33">
    <cfRule type="duplicateValues" dxfId="178" priority="4"/>
  </conditionalFormatting>
  <conditionalFormatting sqref="W4:W33">
    <cfRule type="duplicateValues" dxfId="177" priority="3"/>
  </conditionalFormatting>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79998168889431442"/>
    <pageSetUpPr fitToPage="1"/>
  </sheetPr>
  <dimension ref="A1:P110"/>
  <sheetViews>
    <sheetView showGridLines="0" tabSelected="1" topLeftCell="A3" zoomScaleNormal="100" workbookViewId="0">
      <selection activeCell="D6" sqref="D6"/>
    </sheetView>
  </sheetViews>
  <sheetFormatPr defaultColWidth="9" defaultRowHeight="15" x14ac:dyDescent="0.25"/>
  <cols>
    <col min="1" max="1" width="10.125" style="22" customWidth="1"/>
    <col min="2" max="2" width="3.25" style="22" customWidth="1"/>
    <col min="3" max="3" width="5.875" style="22" customWidth="1"/>
    <col min="4" max="4" width="58" style="21" customWidth="1"/>
    <col min="5" max="5" width="7" style="21" customWidth="1"/>
    <col min="6" max="6" width="23.25" style="21" customWidth="1"/>
    <col min="7" max="7" width="6" style="21" customWidth="1"/>
    <col min="8" max="11" width="4.375" style="21" customWidth="1"/>
    <col min="12" max="12" width="18.5" style="21" customWidth="1"/>
    <col min="13" max="13" width="2.375" style="21" hidden="1" customWidth="1"/>
    <col min="14" max="16384" width="9" style="21"/>
  </cols>
  <sheetData>
    <row r="1" spans="1:16" hidden="1" x14ac:dyDescent="0.25">
      <c r="A1" s="101" t="s">
        <v>0</v>
      </c>
      <c r="B1" s="101" t="s">
        <v>1</v>
      </c>
      <c r="C1" s="101" t="s">
        <v>2</v>
      </c>
      <c r="D1" s="102" t="s">
        <v>3</v>
      </c>
      <c r="E1" s="102"/>
      <c r="F1" s="102" t="s">
        <v>4</v>
      </c>
      <c r="G1" s="102" t="s">
        <v>5</v>
      </c>
      <c r="H1" s="102" t="s">
        <v>6</v>
      </c>
      <c r="I1" s="102"/>
      <c r="J1" s="102"/>
      <c r="K1" s="102"/>
      <c r="L1" s="102" t="s">
        <v>7</v>
      </c>
    </row>
    <row r="2" spans="1:16" hidden="1" x14ac:dyDescent="0.25">
      <c r="A2" s="100"/>
      <c r="B2" s="100">
        <v>2</v>
      </c>
      <c r="C2" s="100">
        <v>3</v>
      </c>
      <c r="D2" s="100">
        <v>4</v>
      </c>
      <c r="E2" s="100"/>
      <c r="F2" s="100">
        <v>6</v>
      </c>
      <c r="G2" s="100">
        <v>5</v>
      </c>
      <c r="H2" s="100">
        <v>7</v>
      </c>
      <c r="I2" s="100">
        <v>8</v>
      </c>
      <c r="J2" s="100">
        <v>10</v>
      </c>
      <c r="K2" s="100">
        <v>11</v>
      </c>
      <c r="L2" s="100"/>
    </row>
    <row r="3" spans="1:16" ht="39.950000000000003" customHeight="1" x14ac:dyDescent="0.25">
      <c r="A3" s="442" t="s">
        <v>8</v>
      </c>
      <c r="B3" s="442"/>
      <c r="C3" s="442"/>
      <c r="D3" s="442"/>
      <c r="E3" s="168"/>
      <c r="F3" s="168"/>
      <c r="G3" s="168"/>
      <c r="H3" s="168"/>
      <c r="I3" s="168"/>
      <c r="J3" s="168"/>
      <c r="K3" s="168"/>
      <c r="L3" s="168"/>
    </row>
    <row r="4" spans="1:16" ht="26.25" x14ac:dyDescent="0.25">
      <c r="A4" s="234"/>
      <c r="B4" s="235"/>
      <c r="C4" s="235"/>
      <c r="D4" s="236"/>
      <c r="E4" s="237" t="s">
        <v>9</v>
      </c>
      <c r="F4" s="235"/>
      <c r="G4" s="238"/>
      <c r="H4" s="238"/>
      <c r="I4" s="238"/>
      <c r="J4" s="238"/>
      <c r="K4" s="238"/>
      <c r="L4" s="238"/>
    </row>
    <row r="5" spans="1:16" ht="19.5" customHeight="1" x14ac:dyDescent="0.25">
      <c r="B5" s="23"/>
      <c r="C5" s="86" t="s">
        <v>10</v>
      </c>
      <c r="D5" s="160" t="s">
        <v>82</v>
      </c>
      <c r="E5" s="24"/>
      <c r="F5" s="86" t="s">
        <v>12</v>
      </c>
      <c r="G5" s="24" t="str">
        <f>IFERROR(CONCATENATE(VLOOKUP(D5,TableCourses[],2,FALSE)," ",VLOOKUP(D5,TableCourses[],3,FALSE)),"")</f>
        <v>B-EDSC v.5</v>
      </c>
      <c r="H5" s="24"/>
      <c r="I5" s="24"/>
      <c r="J5" s="24"/>
      <c r="K5" s="24"/>
      <c r="L5" s="265" t="e">
        <f>CONCATENATE(RIGHT(VLOOKUP(D6,TableMajors[],2,FALSE),5),RIGHT(VLOOKUP(D7,TableStreams[],2,FALSE),5),VLOOKUP(D8,TableStudyPeriods[],2,FALSE))</f>
        <v>#N/A</v>
      </c>
    </row>
    <row r="6" spans="1:16" ht="19.5" customHeight="1" x14ac:dyDescent="0.25">
      <c r="B6" s="23"/>
      <c r="C6" s="86" t="s">
        <v>202</v>
      </c>
      <c r="D6" s="193" t="s">
        <v>374</v>
      </c>
      <c r="E6" s="24"/>
      <c r="F6" s="86" t="s">
        <v>204</v>
      </c>
      <c r="G6" s="24" t="str">
        <f>IFERROR(CONCATENATE(VLOOKUP(D6,TableMajors[],2,FALSE)," ",VLOOKUP(D6,TableMajors[],3,FALSE)),"")</f>
        <v/>
      </c>
      <c r="H6" s="24"/>
      <c r="I6" s="24"/>
      <c r="J6" s="24"/>
      <c r="K6" s="191"/>
      <c r="L6" s="265" t="e">
        <f>CONCATENATE(VLOOKUP(D6,TableMajors[],2,FALSE),VLOOKUP(D8,TableStudyPeriods[],2,FALSE))</f>
        <v>#N/A</v>
      </c>
    </row>
    <row r="7" spans="1:16" ht="19.5" customHeight="1" x14ac:dyDescent="0.25">
      <c r="B7" s="23"/>
      <c r="C7" s="375" t="s">
        <v>40</v>
      </c>
      <c r="D7" s="306" t="s">
        <v>221</v>
      </c>
      <c r="E7" s="24"/>
      <c r="F7" s="86" t="s">
        <v>206</v>
      </c>
      <c r="G7" s="24" t="str">
        <f>IFERROR(CONCATENATE(VLOOKUP(D7,TableStreams[],2,FALSE)," ",VLOOKUP(D7,TableStreams[],3,FALSE)),"")</f>
        <v/>
      </c>
      <c r="H7" s="24"/>
      <c r="I7" s="24"/>
      <c r="J7" s="24"/>
      <c r="L7" s="265" t="e">
        <f>CONCATENATE(VLOOKUP(D7,TableStreams[],2,FALSE),VLOOKUP(D8,TableStudyPeriods[],2,FALSE))</f>
        <v>#N/A</v>
      </c>
    </row>
    <row r="8" spans="1:16" ht="19.5" customHeight="1" x14ac:dyDescent="0.25">
      <c r="A8" s="25"/>
      <c r="B8" s="26"/>
      <c r="C8" s="86" t="s">
        <v>13</v>
      </c>
      <c r="D8" s="190" t="s">
        <v>136</v>
      </c>
      <c r="E8" s="27"/>
      <c r="F8" s="86" t="s">
        <v>15</v>
      </c>
      <c r="G8" s="24" t="str">
        <f>IFERROR(VLOOKUP($D$5,TableCourses[],7,FALSE),"")</f>
        <v xml:space="preserve">800 credit points required </v>
      </c>
      <c r="H8" s="182"/>
      <c r="I8" s="182"/>
      <c r="J8" s="182"/>
      <c r="K8" s="182"/>
      <c r="L8" s="376" t="str">
        <f>IFERROR(CONCATENATE("Streams",MID(G6,6,5)),"")</f>
        <v>Streams</v>
      </c>
    </row>
    <row r="9" spans="1:16" s="31" customFormat="1" ht="14.1" customHeight="1" x14ac:dyDescent="0.25">
      <c r="A9" s="105"/>
      <c r="B9" s="105"/>
      <c r="C9" s="105"/>
      <c r="D9" s="106"/>
      <c r="E9" s="107"/>
      <c r="F9" s="105"/>
      <c r="G9" s="105"/>
      <c r="H9" s="167" t="s">
        <v>16</v>
      </c>
      <c r="I9" s="108"/>
      <c r="J9" s="108"/>
      <c r="K9" s="109"/>
      <c r="L9" s="107"/>
      <c r="M9" s="183"/>
      <c r="N9" s="183"/>
      <c r="O9" s="183"/>
    </row>
    <row r="10" spans="1:16" s="31" customFormat="1" ht="21" x14ac:dyDescent="0.25">
      <c r="A10" s="105" t="s">
        <v>17</v>
      </c>
      <c r="B10" s="105"/>
      <c r="C10" s="105"/>
      <c r="D10" s="106" t="s">
        <v>3</v>
      </c>
      <c r="E10" s="111" t="s">
        <v>18</v>
      </c>
      <c r="F10" s="105" t="s">
        <v>19</v>
      </c>
      <c r="G10" s="105" t="s">
        <v>20</v>
      </c>
      <c r="H10" s="113" t="s">
        <v>21</v>
      </c>
      <c r="I10" s="227" t="s">
        <v>22</v>
      </c>
      <c r="J10" s="111" t="s">
        <v>24</v>
      </c>
      <c r="K10" s="114" t="s">
        <v>25</v>
      </c>
      <c r="L10" s="105" t="s">
        <v>27</v>
      </c>
      <c r="M10" s="183"/>
      <c r="N10" s="183"/>
      <c r="O10" s="183"/>
    </row>
    <row r="11" spans="1:16" s="34" customFormat="1" ht="19.5" customHeight="1" x14ac:dyDescent="0.15">
      <c r="A11" s="67" t="str">
        <f>IFERROR(IF(HLOOKUP($L$5,RangeUnitSetsSec,M11,FALSE)=0,"",HLOOKUP($L$5,RangeUnitSetsSec,M11,FALSE)),"")</f>
        <v/>
      </c>
      <c r="B11" s="63" t="str">
        <f>IFERROR(IF(VLOOKUP($A11,TableHandbook[],B$2,FALSE)=0,"",VLOOKUP($A11,TableHandbook[],B$2,FALSE)),"")</f>
        <v/>
      </c>
      <c r="C11" s="63" t="str">
        <f>IFERROR(IF(VLOOKUP($A11,TableHandbook[],C$2,FALSE)=0,"",VLOOKUP($A11,TableHandbook[],C$2,FALSE)),"")</f>
        <v/>
      </c>
      <c r="D11" s="68" t="str">
        <f>IFERROR(IF(VLOOKUP($A11,TableHandbook[],D$2,FALSE)=0,"",VLOOKUP($A11,TableHandbook[],D$2,FALSE)),"")</f>
        <v/>
      </c>
      <c r="E11" s="63" t="str">
        <f>IF(OR(A11="",A11="--"),"",VLOOKUP($D$8,TableStudyPeriods[],2,FALSE))</f>
        <v/>
      </c>
      <c r="F11" s="62" t="str">
        <f>IFERROR(IF(VLOOKUP($A11,TableHandbook[],F$2,FALSE)=0,"",VLOOKUP($A11,TableHandbook[],F$2,FALSE)),"")</f>
        <v/>
      </c>
      <c r="G11" s="63" t="str">
        <f>IFERROR(IF(VLOOKUP($A11,TableHandbook[],G$2,FALSE)=0,"",VLOOKUP($A11,TableHandbook[],G$2,FALSE)),"")</f>
        <v/>
      </c>
      <c r="H11" s="71" t="str">
        <f>IFERROR(VLOOKUP($A11,TableHandbook[],H$2,FALSE),"")</f>
        <v/>
      </c>
      <c r="I11" s="228" t="str">
        <f>IFERROR(VLOOKUP($A11,TableHandbook[],I$2,FALSE),"")</f>
        <v/>
      </c>
      <c r="J11" s="63" t="str">
        <f>IFERROR(VLOOKUP($A11,TableHandbook[],J$2,FALSE),"")</f>
        <v/>
      </c>
      <c r="K11" s="72" t="str">
        <f>IFERROR(VLOOKUP($A11,TableHandbook[],K$2,FALSE),"")</f>
        <v/>
      </c>
      <c r="L11" s="69"/>
      <c r="M11" s="377">
        <v>5</v>
      </c>
      <c r="N11" s="185"/>
      <c r="O11" s="185"/>
    </row>
    <row r="12" spans="1:16" s="34" customFormat="1" ht="19.5" customHeight="1" x14ac:dyDescent="0.15">
      <c r="A12" s="67" t="str">
        <f>IFERROR(IF(HLOOKUP($L$5,RangeUnitSetsSec,M12,FALSE)=0,"",HLOOKUP($L$5,RangeUnitSetsSec,M12,FALSE)),"")</f>
        <v/>
      </c>
      <c r="B12" s="63" t="str">
        <f>IFERROR(IF(VLOOKUP($A12,TableHandbook[],B$2,FALSE)=0,"",VLOOKUP($A12,TableHandbook[],B$2,FALSE)),"")</f>
        <v/>
      </c>
      <c r="C12" s="63" t="str">
        <f>IFERROR(IF(VLOOKUP($A12,TableHandbook[],C$2,FALSE)=0,"",VLOOKUP($A12,TableHandbook[],C$2,FALSE)),"")</f>
        <v/>
      </c>
      <c r="D12" s="68"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1" t="str">
        <f>IFERROR(VLOOKUP($A12,TableHandbook[],H$2,FALSE),"")</f>
        <v/>
      </c>
      <c r="I12" s="228" t="str">
        <f>IFERROR(VLOOKUP($A12,TableHandbook[],I$2,FALSE),"")</f>
        <v/>
      </c>
      <c r="J12" s="63" t="str">
        <f>IFERROR(VLOOKUP($A12,TableHandbook[],J$2,FALSE),"")</f>
        <v/>
      </c>
      <c r="K12" s="72" t="str">
        <f>IFERROR(VLOOKUP($A12,TableHandbook[],K$2,FALSE),"")</f>
        <v/>
      </c>
      <c r="L12" s="69"/>
      <c r="M12" s="377">
        <v>6</v>
      </c>
      <c r="N12" s="185"/>
      <c r="O12" s="185"/>
    </row>
    <row r="13" spans="1:16" s="34" customFormat="1" ht="19.5" customHeight="1" x14ac:dyDescent="0.15">
      <c r="A13" s="67" t="str">
        <f>IFERROR(IF(HLOOKUP($L$5,RangeUnitSetsSec,M13,FALSE)=0,"",HLOOKUP($L$5,RangeUnitSetsSec,M13,FALSE)),"")</f>
        <v/>
      </c>
      <c r="B13" s="63" t="str">
        <f>IFERROR(IF(VLOOKUP($A13,TableHandbook[],B$2,FALSE)=0,"",VLOOKUP($A13,TableHandbook[],B$2,FALSE)),"")</f>
        <v/>
      </c>
      <c r="C13" s="63" t="str">
        <f>IFERROR(IF(VLOOKUP($A13,TableHandbook[],C$2,FALSE)=0,"",VLOOKUP($A13,TableHandbook[],C$2,FALSE)),"")</f>
        <v/>
      </c>
      <c r="D13" s="68" t="str">
        <f>IFERROR(IF(VLOOKUP($A13,TableHandbook[],D$2,FALSE)=0,"",VLOOKUP($A13,TableHandbook[],D$2,FALSE)),"")</f>
        <v/>
      </c>
      <c r="E13" s="63" t="str">
        <f>IF(A13="","",E12)</f>
        <v/>
      </c>
      <c r="F13" s="62" t="str">
        <f>IFERROR(IF(VLOOKUP($A13,TableHandbook[],F$2,FALSE)=0,"",VLOOKUP($A13,TableHandbook[],F$2,FALSE)),"")</f>
        <v/>
      </c>
      <c r="G13" s="63" t="str">
        <f>IFERROR(IF(VLOOKUP($A13,TableHandbook[],G$2,FALSE)=0,"",VLOOKUP($A13,TableHandbook[],G$2,FALSE)),"")</f>
        <v/>
      </c>
      <c r="H13" s="71" t="str">
        <f>IFERROR(VLOOKUP($A13,TableHandbook[],H$2,FALSE),"")</f>
        <v/>
      </c>
      <c r="I13" s="228" t="str">
        <f>IFERROR(VLOOKUP($A13,TableHandbook[],I$2,FALSE),"")</f>
        <v/>
      </c>
      <c r="J13" s="63" t="str">
        <f>IFERROR(VLOOKUP($A13,TableHandbook[],J$2,FALSE),"")</f>
        <v/>
      </c>
      <c r="K13" s="72" t="str">
        <f>IFERROR(VLOOKUP($A13,TableHandbook[],K$2,FALSE),"")</f>
        <v/>
      </c>
      <c r="L13" s="70"/>
      <c r="M13" s="377">
        <v>7</v>
      </c>
      <c r="N13" s="185"/>
      <c r="O13" s="185"/>
    </row>
    <row r="14" spans="1:16" s="34" customFormat="1" ht="19.5" customHeight="1" x14ac:dyDescent="0.15">
      <c r="A14" s="67" t="str">
        <f>IFERROR(IF(HLOOKUP($L$5,RangeUnitSetsSec,M14,FALSE)=0,"",HLOOKUP($L$5,RangeUnitSetsSec,M14,FALSE)),"")</f>
        <v/>
      </c>
      <c r="B14" s="63" t="str">
        <f>IFERROR(IF(VLOOKUP($A14,TableHandbook[],B$2,FALSE)=0,"",VLOOKUP($A14,TableHandbook[],B$2,FALSE)),"")</f>
        <v/>
      </c>
      <c r="C14" s="63" t="str">
        <f>IFERROR(IF(VLOOKUP($A14,TableHandbook[],C$2,FALSE)=0,"",VLOOKUP($A14,TableHandbook[],C$2,FALSE)),"")</f>
        <v/>
      </c>
      <c r="D14" s="68" t="str">
        <f>IFERROR(IF(VLOOKUP($A14,TableHandbook[],D$2,FALSE)=0,"",VLOOKUP($A14,TableHandbook[],D$2,FALSE)),"")</f>
        <v/>
      </c>
      <c r="E14" s="63" t="str">
        <f>IF(A14="","",E13)</f>
        <v/>
      </c>
      <c r="F14" s="62" t="str">
        <f>IFERROR(IF(VLOOKUP($A14,TableHandbook[],F$2,FALSE)=0,"",VLOOKUP($A14,TableHandbook[],F$2,FALSE)),"")</f>
        <v/>
      </c>
      <c r="G14" s="63" t="str">
        <f>IFERROR(IF(VLOOKUP($A14,TableHandbook[],G$2,FALSE)=0,"",VLOOKUP($A14,TableHandbook[],G$2,FALSE)),"")</f>
        <v/>
      </c>
      <c r="H14" s="71" t="str">
        <f>IFERROR(VLOOKUP($A14,TableHandbook[],H$2,FALSE),"")</f>
        <v/>
      </c>
      <c r="I14" s="228" t="str">
        <f>IFERROR(VLOOKUP($A14,TableHandbook[],I$2,FALSE),"")</f>
        <v/>
      </c>
      <c r="J14" s="63" t="str">
        <f>IFERROR(VLOOKUP($A14,TableHandbook[],J$2,FALSE),"")</f>
        <v/>
      </c>
      <c r="K14" s="72" t="str">
        <f>IFERROR(VLOOKUP($A14,TableHandbook[],K$2,FALSE),"")</f>
        <v/>
      </c>
      <c r="L14" s="69"/>
      <c r="M14" s="377">
        <v>8</v>
      </c>
      <c r="N14" s="185"/>
      <c r="O14" s="185"/>
    </row>
    <row r="15" spans="1:16" s="34" customFormat="1" ht="5.0999999999999996" customHeight="1" x14ac:dyDescent="0.15">
      <c r="A15" s="241"/>
      <c r="B15" s="242"/>
      <c r="C15" s="242"/>
      <c r="D15" s="243"/>
      <c r="E15" s="242"/>
      <c r="F15" s="244"/>
      <c r="G15" s="242"/>
      <c r="H15" s="245"/>
      <c r="I15" s="246"/>
      <c r="J15" s="242"/>
      <c r="K15" s="247"/>
      <c r="L15" s="248"/>
      <c r="M15" s="377"/>
      <c r="N15" s="185"/>
      <c r="O15" s="185"/>
      <c r="P15" s="185"/>
    </row>
    <row r="16" spans="1:16" s="34" customFormat="1" ht="20.100000000000001" customHeight="1" x14ac:dyDescent="0.15">
      <c r="A16" s="67" t="str">
        <f>IFERROR(IF(HLOOKUP($L$5,RangeUnitSetsSec,M16,FALSE)=0,"",HLOOKUP($L$5,RangeUnitSetsSec,M16,FALSE)),"")</f>
        <v/>
      </c>
      <c r="B16" s="65" t="str">
        <f>IFERROR(IF(VLOOKUP($A16,TableHandbook[],B$2,FALSE)=0,"",VLOOKUP($A16,TableHandbook[],B$2,FALSE)),"")</f>
        <v/>
      </c>
      <c r="C16" s="65" t="str">
        <f>IFERROR(IF(VLOOKUP($A16,TableHandbook[],C$2,FALSE)=0,"",VLOOKUP($A16,TableHandbook[],C$2,FALSE)),"")</f>
        <v/>
      </c>
      <c r="D16" s="68" t="str">
        <f>IFERROR(IF(VLOOKUP($A16,TableHandbook[],D$2,FALSE)=0,"",VLOOKUP($A16,TableHandbook[],D$2,FALSE)),"")</f>
        <v/>
      </c>
      <c r="E16" s="63" t="str">
        <f>IF(OR(A16="",A16="--"),"",VLOOKUP($D$8,TableStudyPeriods[],3,FALSE))</f>
        <v/>
      </c>
      <c r="F16" s="62" t="str">
        <f>IFERROR(IF(VLOOKUP($A16,TableHandbook[],F$2,FALSE)=0,"",VLOOKUP($A16,TableHandbook[],F$2,FALSE)),"")</f>
        <v/>
      </c>
      <c r="G16" s="65" t="str">
        <f>IFERROR(IF(VLOOKUP($A16,TableHandbook[],G$2,FALSE)=0,"",VLOOKUP($A16,TableHandbook[],G$2,FALSE)),"")</f>
        <v/>
      </c>
      <c r="H16" s="73" t="str">
        <f>IFERROR(VLOOKUP($A16,TableHandbook[],H$2,FALSE),"")</f>
        <v/>
      </c>
      <c r="I16" s="229" t="str">
        <f>IFERROR(VLOOKUP($A16,TableHandbook[],I$2,FALSE),"")</f>
        <v/>
      </c>
      <c r="J16" s="65" t="str">
        <f>IFERROR(VLOOKUP($A16,TableHandbook[],J$2,FALSE),"")</f>
        <v/>
      </c>
      <c r="K16" s="74" t="str">
        <f>IFERROR(VLOOKUP($A16,TableHandbook[],K$2,FALSE),"")</f>
        <v/>
      </c>
      <c r="L16" s="70"/>
      <c r="M16" s="377">
        <f>M14+1</f>
        <v>9</v>
      </c>
      <c r="N16" s="185"/>
      <c r="O16" s="185"/>
    </row>
    <row r="17" spans="1:16" s="38" customFormat="1" ht="20.100000000000001" customHeight="1" x14ac:dyDescent="0.15">
      <c r="A17" s="67" t="str">
        <f>IFERROR(IF(HLOOKUP($L$5,RangeUnitSetsSec,M17,FALSE)=0,"",HLOOKUP($L$5,RangeUnitSetsSec,M17,FALSE)),"")</f>
        <v/>
      </c>
      <c r="B17" s="65" t="str">
        <f>IFERROR(IF(VLOOKUP($A17,TableHandbook[],B$2,FALSE)=0,"",VLOOKUP($A17,TableHandbook[],B$2,FALSE)),"")</f>
        <v/>
      </c>
      <c r="C17" s="65" t="str">
        <f>IFERROR(IF(VLOOKUP($A17,TableHandbook[],C$2,FALSE)=0,"",VLOOKUP($A17,TableHandbook[],C$2,FALSE)),"")</f>
        <v/>
      </c>
      <c r="D17" s="68" t="str">
        <f>IFERROR(IF(VLOOKUP($A17,TableHandbook[],D$2,FALSE)=0,"",VLOOKUP($A17,TableHandbook[],D$2,FALSE)),"")</f>
        <v/>
      </c>
      <c r="E17" s="63" t="str">
        <f>IF(A17="","",E16)</f>
        <v/>
      </c>
      <c r="F17" s="62" t="str">
        <f>IFERROR(IF(VLOOKUP($A17,TableHandbook[],F$2,FALSE)=0,"",VLOOKUP($A17,TableHandbook[],F$2,FALSE)),"")</f>
        <v/>
      </c>
      <c r="G17" s="65" t="str">
        <f>IFERROR(IF(VLOOKUP($A17,TableHandbook[],G$2,FALSE)=0,"",VLOOKUP($A17,TableHandbook[],G$2,FALSE)),"")</f>
        <v/>
      </c>
      <c r="H17" s="73" t="str">
        <f>IFERROR(VLOOKUP($A17,TableHandbook[],H$2,FALSE),"")</f>
        <v/>
      </c>
      <c r="I17" s="229" t="str">
        <f>IFERROR(VLOOKUP($A17,TableHandbook[],I$2,FALSE),"")</f>
        <v/>
      </c>
      <c r="J17" s="65" t="str">
        <f>IFERROR(VLOOKUP($A17,TableHandbook[],J$2,FALSE),"")</f>
        <v/>
      </c>
      <c r="K17" s="74" t="str">
        <f>IFERROR(VLOOKUP($A17,TableHandbook[],K$2,FALSE),"")</f>
        <v/>
      </c>
      <c r="L17" s="70"/>
      <c r="M17" s="377">
        <f>M16+1</f>
        <v>10</v>
      </c>
      <c r="N17" s="187"/>
      <c r="O17" s="187"/>
    </row>
    <row r="18" spans="1:16" s="38" customFormat="1" ht="20.100000000000001" customHeight="1" x14ac:dyDescent="0.15">
      <c r="A18" s="164" t="str">
        <f>IFERROR(IF(HLOOKUP($L$5,RangeUnitSetsSec,M18,FALSE)=0,"",HLOOKUP($L$5,RangeUnitSetsSec,M18,FALSE)),"")</f>
        <v/>
      </c>
      <c r="B18" s="65" t="str">
        <f>IFERROR(IF(VLOOKUP($A18,TableHandbook[],B$2,FALSE)=0,"",VLOOKUP($A18,TableHandbook[],B$2,FALSE)),"")</f>
        <v/>
      </c>
      <c r="C18" s="65" t="str">
        <f>IFERROR(IF(VLOOKUP($A18,TableHandbook[],C$2,FALSE)=0,"",VLOOKUP($A18,TableHandbook[],C$2,FALSE)),"")</f>
        <v/>
      </c>
      <c r="D18" s="66" t="str">
        <f>IFERROR(IF(VLOOKUP($A18,TableHandbook[],D$2,FALSE)=0,"",VLOOKUP($A18,TableHandbook[],D$2,FALSE)),"")</f>
        <v/>
      </c>
      <c r="E18" s="65" t="str">
        <f>IF(A18="","",E17)</f>
        <v/>
      </c>
      <c r="F18" s="378" t="str">
        <f>IFERROR(IF(VLOOKUP($A18,TableHandbook[],F$2,FALSE)=0,"",VLOOKUP($A18,TableHandbook[],F$2,FALSE)),"")</f>
        <v/>
      </c>
      <c r="G18" s="65" t="str">
        <f>IFERROR(IF(VLOOKUP($A18,TableHandbook[],G$2,FALSE)=0,"",VLOOKUP($A18,TableHandbook[],G$2,FALSE)),"")</f>
        <v/>
      </c>
      <c r="H18" s="73" t="str">
        <f>IFERROR(VLOOKUP($A18,TableHandbook[],H$2,FALSE),"")</f>
        <v/>
      </c>
      <c r="I18" s="229" t="str">
        <f>IFERROR(VLOOKUP($A18,TableHandbook[],I$2,FALSE),"")</f>
        <v/>
      </c>
      <c r="J18" s="65" t="str">
        <f>IFERROR(VLOOKUP($A18,TableHandbook[],J$2,FALSE),"")</f>
        <v/>
      </c>
      <c r="K18" s="74" t="str">
        <f>IFERROR(VLOOKUP($A18,TableHandbook[],K$2,FALSE),"")</f>
        <v/>
      </c>
      <c r="L18" s="70"/>
      <c r="M18" s="377">
        <f t="shared" ref="M18:M19" si="0">M17+1</f>
        <v>11</v>
      </c>
      <c r="N18" s="187"/>
      <c r="O18" s="187"/>
    </row>
    <row r="19" spans="1:16" s="38" customFormat="1" ht="20.100000000000001" customHeight="1" x14ac:dyDescent="0.15">
      <c r="A19" s="164" t="str">
        <f>IFERROR(IF(HLOOKUP($L$5,RangeUnitSetsSec,M19,FALSE)=0,"",HLOOKUP($L$5,RangeUnitSetsSec,M19,FALSE)),"")</f>
        <v/>
      </c>
      <c r="B19" s="65" t="str">
        <f>IFERROR(IF(VLOOKUP($A19,TableHandbook[],B$2,FALSE)=0,"",VLOOKUP($A19,TableHandbook[],B$2,FALSE)),"")</f>
        <v/>
      </c>
      <c r="C19" s="65" t="str">
        <f>IFERROR(IF(VLOOKUP($A19,TableHandbook[],C$2,FALSE)=0,"",VLOOKUP($A19,TableHandbook[],C$2,FALSE)),"")</f>
        <v/>
      </c>
      <c r="D19" s="120" t="str">
        <f>IFERROR(IF(VLOOKUP($A19,TableHandbook[],D$2,FALSE)=0,"",VLOOKUP($A19,TableHandbook[],D$2,FALSE)),"")</f>
        <v/>
      </c>
      <c r="E19" s="65" t="str">
        <f>IF(A19="","",E18)</f>
        <v/>
      </c>
      <c r="F19" s="378" t="str">
        <f>IFERROR(IF(VLOOKUP($A19,TableHandbook[],F$2,FALSE)=0,"",VLOOKUP($A19,TableHandbook[],F$2,FALSE)),"")</f>
        <v/>
      </c>
      <c r="G19" s="65" t="str">
        <f>IFERROR(IF(VLOOKUP($A19,TableHandbook[],G$2,FALSE)=0,"",VLOOKUP($A19,TableHandbook[],G$2,FALSE)),"")</f>
        <v/>
      </c>
      <c r="H19" s="73" t="str">
        <f>IFERROR(VLOOKUP($A19,TableHandbook[],H$2,FALSE),"")</f>
        <v/>
      </c>
      <c r="I19" s="229" t="str">
        <f>IFERROR(VLOOKUP($A19,TableHandbook[],I$2,FALSE),"")</f>
        <v/>
      </c>
      <c r="J19" s="65" t="str">
        <f>IFERROR(VLOOKUP($A19,TableHandbook[],J$2,FALSE),"")</f>
        <v/>
      </c>
      <c r="K19" s="74" t="str">
        <f>IFERROR(VLOOKUP($A19,TableHandbook[],K$2,FALSE),"")</f>
        <v/>
      </c>
      <c r="L19" s="70"/>
      <c r="M19" s="377">
        <f t="shared" si="0"/>
        <v>12</v>
      </c>
      <c r="N19" s="187"/>
      <c r="O19" s="187"/>
    </row>
    <row r="20" spans="1:16" s="31" customFormat="1" ht="21" x14ac:dyDescent="0.25">
      <c r="A20" s="105" t="s">
        <v>28</v>
      </c>
      <c r="B20" s="105"/>
      <c r="C20" s="105"/>
      <c r="D20" s="121" t="s">
        <v>3</v>
      </c>
      <c r="E20" s="111" t="s">
        <v>18</v>
      </c>
      <c r="F20" s="105" t="s">
        <v>19</v>
      </c>
      <c r="G20" s="105" t="s">
        <v>20</v>
      </c>
      <c r="H20" s="379" t="str">
        <f>H$10</f>
        <v>Sem1 BEN</v>
      </c>
      <c r="I20" s="380" t="str">
        <f t="shared" ref="I20:L20" si="1">I$10</f>
        <v>Sem1 FO</v>
      </c>
      <c r="J20" s="111" t="str">
        <f t="shared" si="1"/>
        <v>Sem2 BEN</v>
      </c>
      <c r="K20" s="114" t="str">
        <f t="shared" si="1"/>
        <v>Sem2 FO</v>
      </c>
      <c r="L20" s="105" t="str">
        <f t="shared" si="1"/>
        <v>Notes / Progress</v>
      </c>
      <c r="M20" s="381"/>
      <c r="N20" s="183"/>
      <c r="O20" s="183"/>
    </row>
    <row r="21" spans="1:16" s="34" customFormat="1" ht="20.100000000000001" customHeight="1" x14ac:dyDescent="0.15">
      <c r="A21" s="67" t="str">
        <f>IFERROR(IF(HLOOKUP($L$5,RangeUnitSetsSec,M21,FALSE)=0,"",HLOOKUP($L$5,RangeUnitSetsSec,M21,FALSE)),"")</f>
        <v/>
      </c>
      <c r="B21" s="65" t="str">
        <f>IFERROR(IF(VLOOKUP($A21,TableHandbook[],B$2,FALSE)=0,"",VLOOKUP($A21,TableHandbook[],B$2,FALSE)),"")</f>
        <v/>
      </c>
      <c r="C21" s="65" t="str">
        <f>IFERROR(IF(VLOOKUP($A21,TableHandbook[],C$2,FALSE)=0,"",VLOOKUP($A21,TableHandbook[],C$2,FALSE)),"")</f>
        <v/>
      </c>
      <c r="D21" s="66" t="str">
        <f>IFERROR(IF(VLOOKUP($A21,TableHandbook[],D$2,FALSE)=0,"",VLOOKUP($A21,TableHandbook[],D$2,FALSE)),"")</f>
        <v/>
      </c>
      <c r="E21" s="65" t="str">
        <f>IF(OR(A21="",A21="--"),"",VLOOKUP($D$8,TableStudyPeriods[],2,FALSE))</f>
        <v/>
      </c>
      <c r="F21" s="62" t="str">
        <f>IFERROR(IF(VLOOKUP($A21,TableHandbook[],F$2,FALSE)=0,"",VLOOKUP($A21,TableHandbook[],F$2,FALSE)),"")</f>
        <v/>
      </c>
      <c r="G21" s="63" t="str">
        <f>IFERROR(IF(VLOOKUP($A21,TableHandbook[],G$2,FALSE)=0,"",VLOOKUP($A21,TableHandbook[],G$2,FALSE)),"")</f>
        <v/>
      </c>
      <c r="H21" s="73" t="str">
        <f>IFERROR(VLOOKUP($A21,TableHandbook[],H$2,FALSE),"")</f>
        <v/>
      </c>
      <c r="I21" s="229" t="str">
        <f>IFERROR(VLOOKUP($A21,TableHandbook[],I$2,FALSE),"")</f>
        <v/>
      </c>
      <c r="J21" s="65" t="str">
        <f>IFERROR(VLOOKUP($A21,TableHandbook[],J$2,FALSE),"")</f>
        <v/>
      </c>
      <c r="K21" s="74" t="str">
        <f>IFERROR(VLOOKUP($A21,TableHandbook[],K$2,FALSE),"")</f>
        <v/>
      </c>
      <c r="L21" s="70"/>
      <c r="M21" s="377">
        <f>M19+1</f>
        <v>13</v>
      </c>
      <c r="N21" s="185"/>
      <c r="O21" s="185"/>
    </row>
    <row r="22" spans="1:16" s="34" customFormat="1" ht="19.5" customHeight="1" x14ac:dyDescent="0.15">
      <c r="A22" s="164" t="str">
        <f>IFERROR(IF(HLOOKUP($L$5,RangeUnitSetsSec,M22,FALSE)=0,"",HLOOKUP($L$5,RangeUnitSetsSec,M22,FALSE)),"")</f>
        <v/>
      </c>
      <c r="B22" s="65" t="str">
        <f>IFERROR(IF(VLOOKUP($A22,TableHandbook[],B$2,FALSE)=0,"",VLOOKUP($A22,TableHandbook[],B$2,FALSE)),"")</f>
        <v/>
      </c>
      <c r="C22" s="65" t="str">
        <f>IFERROR(IF(VLOOKUP($A22,TableHandbook[],C$2,FALSE)=0,"",VLOOKUP($A22,TableHandbook[],C$2,FALSE)),"")</f>
        <v/>
      </c>
      <c r="D22" s="120" t="str">
        <f>IFERROR(IF(VLOOKUP($A22,TableHandbook[],D$2,FALSE)=0,"",VLOOKUP($A22,TableHandbook[],D$2,FALSE)),"")</f>
        <v/>
      </c>
      <c r="E22" s="65" t="str">
        <f>IF(A22="","",E21)</f>
        <v/>
      </c>
      <c r="F22" s="378" t="str">
        <f>IFERROR(IF(VLOOKUP($A22,TableHandbook[],F$2,FALSE)=0,"",VLOOKUP($A22,TableHandbook[],F$2,FALSE)),"")</f>
        <v/>
      </c>
      <c r="G22" s="65" t="str">
        <f>IFERROR(IF(VLOOKUP($A22,TableHandbook[],G$2,FALSE)=0,"",VLOOKUP($A22,TableHandbook[],G$2,FALSE)),"")</f>
        <v/>
      </c>
      <c r="H22" s="73" t="str">
        <f>IFERROR(VLOOKUP($A22,TableHandbook[],H$2,FALSE),"")</f>
        <v/>
      </c>
      <c r="I22" s="229" t="str">
        <f>IFERROR(VLOOKUP($A22,TableHandbook[],I$2,FALSE),"")</f>
        <v/>
      </c>
      <c r="J22" s="65" t="str">
        <f>IFERROR(VLOOKUP($A22,TableHandbook[],J$2,FALSE),"")</f>
        <v/>
      </c>
      <c r="K22" s="74" t="str">
        <f>IFERROR(VLOOKUP($A22,TableHandbook[],K$2,FALSE),"")</f>
        <v/>
      </c>
      <c r="L22" s="70"/>
      <c r="M22" s="377">
        <f>M21+1</f>
        <v>14</v>
      </c>
      <c r="N22" s="185"/>
      <c r="O22" s="185"/>
    </row>
    <row r="23" spans="1:16" s="34" customFormat="1" ht="20.100000000000001" customHeight="1" x14ac:dyDescent="0.15">
      <c r="A23" s="164" t="str">
        <f>IFERROR(IF(HLOOKUP($L$5,RangeUnitSetsSec,M23,FALSE)=0,"",HLOOKUP($L$5,RangeUnitSetsSec,M23,FALSE)),"")</f>
        <v/>
      </c>
      <c r="B23" s="65" t="str">
        <f>IFERROR(IF(VLOOKUP($A23,TableHandbook[],B$2,FALSE)=0,"",VLOOKUP($A23,TableHandbook[],B$2,FALSE)),"")</f>
        <v/>
      </c>
      <c r="C23" s="65" t="str">
        <f>IFERROR(IF(VLOOKUP($A23,TableHandbook[],C$2,FALSE)=0,"",VLOOKUP($A23,TableHandbook[],C$2,FALSE)),"")</f>
        <v/>
      </c>
      <c r="D23" s="120" t="str">
        <f>IFERROR(IF(VLOOKUP($A23,TableHandbook[],D$2,FALSE)=0,"",VLOOKUP($A23,TableHandbook[],D$2,FALSE)),"")</f>
        <v/>
      </c>
      <c r="E23" s="65" t="str">
        <f>IF(A23="","",E22)</f>
        <v/>
      </c>
      <c r="F23" s="378" t="str">
        <f>IFERROR(IF(VLOOKUP($A23,TableHandbook[],F$2,FALSE)=0,"",VLOOKUP($A23,TableHandbook[],F$2,FALSE)),"")</f>
        <v/>
      </c>
      <c r="G23" s="65" t="str">
        <f>IFERROR(IF(VLOOKUP($A23,TableHandbook[],G$2,FALSE)=0,"",VLOOKUP($A23,TableHandbook[],G$2,FALSE)),"")</f>
        <v/>
      </c>
      <c r="H23" s="73" t="str">
        <f>IFERROR(VLOOKUP($A23,TableHandbook[],H$2,FALSE),"")</f>
        <v/>
      </c>
      <c r="I23" s="229" t="str">
        <f>IFERROR(VLOOKUP($A23,TableHandbook[],I$2,FALSE),"")</f>
        <v/>
      </c>
      <c r="J23" s="65" t="str">
        <f>IFERROR(VLOOKUP($A23,TableHandbook[],J$2,FALSE),"")</f>
        <v/>
      </c>
      <c r="K23" s="74" t="str">
        <f>IFERROR(VLOOKUP($A23,TableHandbook[],K$2,FALSE),"")</f>
        <v/>
      </c>
      <c r="L23" s="70"/>
      <c r="M23" s="377">
        <f t="shared" ref="M23:M24" si="2">M22+1</f>
        <v>15</v>
      </c>
      <c r="N23" s="185"/>
      <c r="O23" s="185"/>
    </row>
    <row r="24" spans="1:16" s="34" customFormat="1" ht="20.100000000000001" customHeight="1" x14ac:dyDescent="0.15">
      <c r="A24" s="164" t="str">
        <f>IFERROR(IF(HLOOKUP($L$5,RangeUnitSetsSec,M24,FALSE)=0,"",HLOOKUP($L$5,RangeUnitSetsSec,M24,FALSE)),"")</f>
        <v/>
      </c>
      <c r="B24" s="65" t="str">
        <f>IFERROR(IF(VLOOKUP($A24,TableHandbook[],B$2,FALSE)=0,"",VLOOKUP($A24,TableHandbook[],B$2,FALSE)),"")</f>
        <v/>
      </c>
      <c r="C24" s="65" t="str">
        <f>IFERROR(IF(VLOOKUP($A24,TableHandbook[],C$2,FALSE)=0,"",VLOOKUP($A24,TableHandbook[],C$2,FALSE)),"")</f>
        <v/>
      </c>
      <c r="D24" s="120" t="str">
        <f>IFERROR(IF(VLOOKUP($A24,TableHandbook[],D$2,FALSE)=0,"",VLOOKUP($A24,TableHandbook[],D$2,FALSE)),"")</f>
        <v/>
      </c>
      <c r="E24" s="65" t="str">
        <f>IF(A24="","",E23)</f>
        <v/>
      </c>
      <c r="F24" s="378" t="str">
        <f>IFERROR(IF(VLOOKUP($A24,TableHandbook[],F$2,FALSE)=0,"",VLOOKUP($A24,TableHandbook[],F$2,FALSE)),"")</f>
        <v/>
      </c>
      <c r="G24" s="65" t="str">
        <f>IFERROR(IF(VLOOKUP($A24,TableHandbook[],G$2,FALSE)=0,"",VLOOKUP($A24,TableHandbook[],G$2,FALSE)),"")</f>
        <v/>
      </c>
      <c r="H24" s="73" t="str">
        <f>IFERROR(VLOOKUP($A24,TableHandbook[],H$2,FALSE),"")</f>
        <v/>
      </c>
      <c r="I24" s="229" t="str">
        <f>IFERROR(VLOOKUP($A24,TableHandbook[],I$2,FALSE),"")</f>
        <v/>
      </c>
      <c r="J24" s="65" t="str">
        <f>IFERROR(VLOOKUP($A24,TableHandbook[],J$2,FALSE),"")</f>
        <v/>
      </c>
      <c r="K24" s="74" t="str">
        <f>IFERROR(VLOOKUP($A24,TableHandbook[],K$2,FALSE),"")</f>
        <v/>
      </c>
      <c r="L24" s="70"/>
      <c r="M24" s="377">
        <f t="shared" si="2"/>
        <v>16</v>
      </c>
      <c r="N24" s="185"/>
      <c r="O24" s="185"/>
    </row>
    <row r="25" spans="1:16" s="34" customFormat="1" ht="5.0999999999999996" customHeight="1" x14ac:dyDescent="0.15">
      <c r="A25" s="241"/>
      <c r="B25" s="242"/>
      <c r="C25" s="242"/>
      <c r="D25" s="243"/>
      <c r="E25" s="242"/>
      <c r="F25" s="244"/>
      <c r="G25" s="242"/>
      <c r="H25" s="245"/>
      <c r="I25" s="246"/>
      <c r="J25" s="242"/>
      <c r="K25" s="247"/>
      <c r="L25" s="248"/>
      <c r="M25" s="377"/>
      <c r="N25" s="185"/>
      <c r="O25" s="185"/>
      <c r="P25" s="185"/>
    </row>
    <row r="26" spans="1:16" s="34" customFormat="1" ht="19.5" customHeight="1" x14ac:dyDescent="0.15">
      <c r="A26" s="67" t="str">
        <f>IFERROR(IF(HLOOKUP($L$5,RangeUnitSetsSec,M26,FALSE)=0,"",HLOOKUP($L$5,RangeUnitSetsSec,M26,FALSE)),"")</f>
        <v/>
      </c>
      <c r="B26" s="65" t="str">
        <f>IFERROR(IF(VLOOKUP($A26,TableHandbook[],B$2,FALSE)=0,"",VLOOKUP($A26,TableHandbook[],B$2,FALSE)),"")</f>
        <v/>
      </c>
      <c r="C26" s="65" t="str">
        <f>IFERROR(IF(VLOOKUP($A26,TableHandbook[],C$2,FALSE)=0,"",VLOOKUP($A26,TableHandbook[],C$2,FALSE)),"")</f>
        <v/>
      </c>
      <c r="D26" s="120" t="str">
        <f>IFERROR(IF(VLOOKUP($A26,TableHandbook[],D$2,FALSE)=0,"",VLOOKUP($A26,TableHandbook[],D$2,FALSE)),"")</f>
        <v/>
      </c>
      <c r="E26" s="65" t="str">
        <f>IF(OR(A26="",A26="--"),"",VLOOKUP($D$8,TableStudyPeriods[],3,FALSE))</f>
        <v/>
      </c>
      <c r="F26" s="62" t="str">
        <f>IFERROR(IF(VLOOKUP($A26,TableHandbook[],F$2,FALSE)=0,"",VLOOKUP($A26,TableHandbook[],F$2,FALSE)),"")</f>
        <v/>
      </c>
      <c r="G26" s="63" t="str">
        <f>IFERROR(IF(VLOOKUP($A26,TableHandbook[],G$2,FALSE)=0,"",VLOOKUP($A26,TableHandbook[],G$2,FALSE)),"")</f>
        <v/>
      </c>
      <c r="H26" s="73" t="str">
        <f>IFERROR(VLOOKUP($A26,TableHandbook[],H$2,FALSE),"")</f>
        <v/>
      </c>
      <c r="I26" s="229" t="str">
        <f>IFERROR(VLOOKUP($A26,TableHandbook[],I$2,FALSE),"")</f>
        <v/>
      </c>
      <c r="J26" s="65" t="str">
        <f>IFERROR(VLOOKUP($A26,TableHandbook[],J$2,FALSE),"")</f>
        <v/>
      </c>
      <c r="K26" s="74" t="str">
        <f>IFERROR(VLOOKUP($A26,TableHandbook[],K$2,FALSE),"")</f>
        <v/>
      </c>
      <c r="L26" s="70"/>
      <c r="M26" s="377">
        <f>M24+1</f>
        <v>17</v>
      </c>
      <c r="N26" s="185"/>
      <c r="O26" s="185"/>
    </row>
    <row r="27" spans="1:16" s="34" customFormat="1" ht="20.100000000000001" customHeight="1" x14ac:dyDescent="0.15">
      <c r="A27" s="164" t="str">
        <f>IFERROR(IF(HLOOKUP($L$5,RangeUnitSetsSec,M27,FALSE)=0,"",HLOOKUP($L$5,RangeUnitSetsSec,M27,FALSE)),"")</f>
        <v/>
      </c>
      <c r="B27" s="65" t="str">
        <f>IFERROR(IF(VLOOKUP($A27,TableHandbook[],B$2,FALSE)=0,"",VLOOKUP($A27,TableHandbook[],B$2,FALSE)),"")</f>
        <v/>
      </c>
      <c r="C27" s="65" t="str">
        <f>IFERROR(IF(VLOOKUP($A27,TableHandbook[],C$2,FALSE)=0,"",VLOOKUP($A27,TableHandbook[],C$2,FALSE)),"")</f>
        <v/>
      </c>
      <c r="D27" s="120" t="str">
        <f>IFERROR(IF(VLOOKUP($A27,TableHandbook[],D$2,FALSE)=0,"",VLOOKUP($A27,TableHandbook[],D$2,FALSE)),"")</f>
        <v/>
      </c>
      <c r="E27" s="65" t="str">
        <f>IF(A27="","",E26)</f>
        <v/>
      </c>
      <c r="F27" s="378" t="str">
        <f>IFERROR(IF(VLOOKUP($A27,TableHandbook[],F$2,FALSE)=0,"",VLOOKUP($A27,TableHandbook[],F$2,FALSE)),"")</f>
        <v/>
      </c>
      <c r="G27" s="65" t="str">
        <f>IFERROR(IF(VLOOKUP($A27,TableHandbook[],G$2,FALSE)=0,"",VLOOKUP($A27,TableHandbook[],G$2,FALSE)),"")</f>
        <v/>
      </c>
      <c r="H27" s="73" t="str">
        <f>IFERROR(VLOOKUP($A27,TableHandbook[],H$2,FALSE),"")</f>
        <v/>
      </c>
      <c r="I27" s="229" t="str">
        <f>IFERROR(VLOOKUP($A27,TableHandbook[],I$2,FALSE),"")</f>
        <v/>
      </c>
      <c r="J27" s="65" t="str">
        <f>IFERROR(VLOOKUP($A27,TableHandbook[],J$2,FALSE),"")</f>
        <v/>
      </c>
      <c r="K27" s="74" t="str">
        <f>IFERROR(VLOOKUP($A27,TableHandbook[],K$2,FALSE),"")</f>
        <v/>
      </c>
      <c r="L27" s="70"/>
      <c r="M27" s="377">
        <f>M26+1</f>
        <v>18</v>
      </c>
      <c r="N27" s="185"/>
      <c r="O27" s="185"/>
    </row>
    <row r="28" spans="1:16" s="38" customFormat="1" ht="20.100000000000001" customHeight="1" x14ac:dyDescent="0.15">
      <c r="A28" s="164" t="str">
        <f>IFERROR(IF(HLOOKUP($L$5,RangeUnitSetsSec,M28,FALSE)=0,"",HLOOKUP($L$5,RangeUnitSetsSec,M28,FALSE)),"")</f>
        <v/>
      </c>
      <c r="B28" s="65" t="str">
        <f>IFERROR(IF(VLOOKUP($A28,TableHandbook[],B$2,FALSE)=0,"",VLOOKUP($A28,TableHandbook[],B$2,FALSE)),"")</f>
        <v/>
      </c>
      <c r="C28" s="65" t="str">
        <f>IFERROR(IF(VLOOKUP($A28,TableHandbook[],C$2,FALSE)=0,"",VLOOKUP($A28,TableHandbook[],C$2,FALSE)),"")</f>
        <v/>
      </c>
      <c r="D28" s="120" t="str">
        <f>IFERROR(IF(VLOOKUP($A28,TableHandbook[],D$2,FALSE)=0,"",VLOOKUP($A28,TableHandbook[],D$2,FALSE)),"")</f>
        <v/>
      </c>
      <c r="E28" s="65" t="str">
        <f>IF(A28="","",E27)</f>
        <v/>
      </c>
      <c r="F28" s="378" t="str">
        <f>IFERROR(IF(VLOOKUP($A28,TableHandbook[],F$2,FALSE)=0,"",VLOOKUP($A28,TableHandbook[],F$2,FALSE)),"")</f>
        <v/>
      </c>
      <c r="G28" s="65" t="str">
        <f>IFERROR(IF(VLOOKUP($A28,TableHandbook[],G$2,FALSE)=0,"",VLOOKUP($A28,TableHandbook[],G$2,FALSE)),"")</f>
        <v/>
      </c>
      <c r="H28" s="73" t="str">
        <f>IFERROR(VLOOKUP($A28,TableHandbook[],H$2,FALSE),"")</f>
        <v/>
      </c>
      <c r="I28" s="229" t="str">
        <f>IFERROR(VLOOKUP($A28,TableHandbook[],I$2,FALSE),"")</f>
        <v/>
      </c>
      <c r="J28" s="65" t="str">
        <f>IFERROR(VLOOKUP($A28,TableHandbook[],J$2,FALSE),"")</f>
        <v/>
      </c>
      <c r="K28" s="74" t="str">
        <f>IFERROR(VLOOKUP($A28,TableHandbook[],K$2,FALSE),"")</f>
        <v/>
      </c>
      <c r="L28" s="70"/>
      <c r="M28" s="377">
        <f t="shared" ref="M28:M29" si="3">M27+1</f>
        <v>19</v>
      </c>
      <c r="N28" s="187"/>
      <c r="O28" s="187"/>
    </row>
    <row r="29" spans="1:16" s="38" customFormat="1" ht="20.100000000000001" customHeight="1" x14ac:dyDescent="0.15">
      <c r="A29" s="164" t="str">
        <f>IFERROR(IF(HLOOKUP($L$5,RangeUnitSetsSec,M29,FALSE)=0,"",HLOOKUP($L$5,RangeUnitSetsSec,M29,FALSE)),"")</f>
        <v/>
      </c>
      <c r="B29" s="65" t="str">
        <f>IFERROR(IF(VLOOKUP($A29,TableHandbook[],B$2,FALSE)=0,"",VLOOKUP($A29,TableHandbook[],B$2,FALSE)),"")</f>
        <v/>
      </c>
      <c r="C29" s="65" t="str">
        <f>IFERROR(IF(VLOOKUP($A29,TableHandbook[],C$2,FALSE)=0,"",VLOOKUP($A29,TableHandbook[],C$2,FALSE)),"")</f>
        <v/>
      </c>
      <c r="D29" s="120" t="str">
        <f>IFERROR(IF(VLOOKUP($A29,TableHandbook[],D$2,FALSE)=0,"",VLOOKUP($A29,TableHandbook[],D$2,FALSE)),"")</f>
        <v/>
      </c>
      <c r="E29" s="65" t="str">
        <f>IF(A29="","",E28)</f>
        <v/>
      </c>
      <c r="F29" s="378" t="str">
        <f>IFERROR(IF(VLOOKUP($A29,TableHandbook[],F$2,FALSE)=0,"",VLOOKUP($A29,TableHandbook[],F$2,FALSE)),"")</f>
        <v/>
      </c>
      <c r="G29" s="65" t="str">
        <f>IFERROR(IF(VLOOKUP($A29,TableHandbook[],G$2,FALSE)=0,"",VLOOKUP($A29,TableHandbook[],G$2,FALSE)),"")</f>
        <v/>
      </c>
      <c r="H29" s="73" t="str">
        <f>IFERROR(VLOOKUP($A29,TableHandbook[],H$2,FALSE),"")</f>
        <v/>
      </c>
      <c r="I29" s="229" t="str">
        <f>IFERROR(VLOOKUP($A29,TableHandbook[],I$2,FALSE),"")</f>
        <v/>
      </c>
      <c r="J29" s="65" t="str">
        <f>IFERROR(VLOOKUP($A29,TableHandbook[],J$2,FALSE),"")</f>
        <v/>
      </c>
      <c r="K29" s="74" t="str">
        <f>IFERROR(VLOOKUP($A29,TableHandbook[],K$2,FALSE),"")</f>
        <v/>
      </c>
      <c r="L29" s="70"/>
      <c r="M29" s="377">
        <f t="shared" si="3"/>
        <v>20</v>
      </c>
      <c r="N29" s="187"/>
      <c r="O29" s="187"/>
    </row>
    <row r="30" spans="1:16" s="31" customFormat="1" ht="21" x14ac:dyDescent="0.25">
      <c r="A30" s="105" t="s">
        <v>29</v>
      </c>
      <c r="B30" s="105"/>
      <c r="C30" s="105"/>
      <c r="D30" s="121" t="s">
        <v>3</v>
      </c>
      <c r="E30" s="111" t="s">
        <v>18</v>
      </c>
      <c r="F30" s="105" t="s">
        <v>19</v>
      </c>
      <c r="G30" s="105" t="s">
        <v>20</v>
      </c>
      <c r="H30" s="113" t="str">
        <f>H$10</f>
        <v>Sem1 BEN</v>
      </c>
      <c r="I30" s="227" t="str">
        <f t="shared" ref="I30:L30" si="4">I$10</f>
        <v>Sem1 FO</v>
      </c>
      <c r="J30" s="111" t="str">
        <f t="shared" si="4"/>
        <v>Sem2 BEN</v>
      </c>
      <c r="K30" s="114" t="str">
        <f t="shared" si="4"/>
        <v>Sem2 FO</v>
      </c>
      <c r="L30" s="105" t="str">
        <f t="shared" si="4"/>
        <v>Notes / Progress</v>
      </c>
      <c r="M30" s="381"/>
      <c r="N30" s="183"/>
      <c r="O30" s="183"/>
    </row>
    <row r="31" spans="1:16" s="34" customFormat="1" ht="20.100000000000001" customHeight="1" x14ac:dyDescent="0.15">
      <c r="A31" s="67" t="str">
        <f>IFERROR(IF(HLOOKUP($L$5,RangeUnitSetsSec,M31,FALSE)=0,"",HLOOKUP($L$5,RangeUnitSetsSec,M31,FALSE)),"")</f>
        <v/>
      </c>
      <c r="B31" s="65" t="str">
        <f>IFERROR(IF(VLOOKUP($A31,TableHandbook[],B$2,FALSE)=0,"",VLOOKUP($A31,TableHandbook[],B$2,FALSE)),"")</f>
        <v/>
      </c>
      <c r="C31" s="65" t="str">
        <f>IFERROR(IF(VLOOKUP($A31,TableHandbook[],C$2,FALSE)=0,"",VLOOKUP($A31,TableHandbook[],C$2,FALSE)),"")</f>
        <v/>
      </c>
      <c r="D31" s="120" t="str">
        <f>IFERROR(IF(VLOOKUP($A31,TableHandbook[],D$2,FALSE)=0,"",VLOOKUP($A31,TableHandbook[],D$2,FALSE)),"")</f>
        <v/>
      </c>
      <c r="E31" s="65" t="str">
        <f>IF(OR(A31="",A31="--"),"",VLOOKUP($D$8,TableStudyPeriods[],2,FALSE))</f>
        <v/>
      </c>
      <c r="F31" s="62" t="str">
        <f>IFERROR(IF(VLOOKUP($A31,TableHandbook[],F$2,FALSE)=0,"",VLOOKUP($A31,TableHandbook[],F$2,FALSE)),"")</f>
        <v/>
      </c>
      <c r="G31" s="63" t="str">
        <f>IFERROR(IF(VLOOKUP($A31,TableHandbook[],G$2,FALSE)=0,"",VLOOKUP($A31,TableHandbook[],G$2,FALSE)),"")</f>
        <v/>
      </c>
      <c r="H31" s="73" t="str">
        <f>IFERROR(VLOOKUP($A31,TableHandbook[],H$2,FALSE),"")</f>
        <v/>
      </c>
      <c r="I31" s="229" t="str">
        <f>IFERROR(VLOOKUP($A31,TableHandbook[],I$2,FALSE),"")</f>
        <v/>
      </c>
      <c r="J31" s="65" t="str">
        <f>IFERROR(VLOOKUP($A31,TableHandbook[],J$2,FALSE),"")</f>
        <v/>
      </c>
      <c r="K31" s="74" t="str">
        <f>IFERROR(VLOOKUP($A31,TableHandbook[],K$2,FALSE),"")</f>
        <v/>
      </c>
      <c r="L31" s="70"/>
      <c r="M31" s="377">
        <f>M29+1</f>
        <v>21</v>
      </c>
      <c r="N31" s="185"/>
      <c r="O31" s="185"/>
    </row>
    <row r="32" spans="1:16" s="34" customFormat="1" ht="19.5" customHeight="1" x14ac:dyDescent="0.15">
      <c r="A32" s="164" t="str">
        <f>IFERROR(IF(HLOOKUP($L$5,RangeUnitSetsSec,M32,FALSE)=0,"",HLOOKUP($L$5,RangeUnitSetsSec,M32,FALSE)),"")</f>
        <v/>
      </c>
      <c r="B32" s="65" t="str">
        <f>IFERROR(IF(VLOOKUP($A32,TableHandbook[],B$2,FALSE)=0,"",VLOOKUP($A32,TableHandbook[],B$2,FALSE)),"")</f>
        <v/>
      </c>
      <c r="C32" s="65" t="str">
        <f>IFERROR(IF(VLOOKUP($A32,TableHandbook[],C$2,FALSE)=0,"",VLOOKUP($A32,TableHandbook[],C$2,FALSE)),"")</f>
        <v/>
      </c>
      <c r="D32" s="120" t="str">
        <f>IFERROR(IF(VLOOKUP($A32,TableHandbook[],D$2,FALSE)=0,"",VLOOKUP($A32,TableHandbook[],D$2,FALSE)),"")</f>
        <v/>
      </c>
      <c r="E32" s="65" t="str">
        <f>IF(A32="","",E31)</f>
        <v/>
      </c>
      <c r="F32" s="378" t="str">
        <f>IFERROR(IF(VLOOKUP($A32,TableHandbook[],F$2,FALSE)=0,"",VLOOKUP($A32,TableHandbook[],F$2,FALSE)),"")</f>
        <v/>
      </c>
      <c r="G32" s="65" t="str">
        <f>IFERROR(IF(VLOOKUP($A32,TableHandbook[],G$2,FALSE)=0,"",VLOOKUP($A32,TableHandbook[],G$2,FALSE)),"")</f>
        <v/>
      </c>
      <c r="H32" s="73" t="str">
        <f>IFERROR(VLOOKUP($A32,TableHandbook[],H$2,FALSE),"")</f>
        <v/>
      </c>
      <c r="I32" s="229" t="str">
        <f>IFERROR(VLOOKUP($A32,TableHandbook[],I$2,FALSE),"")</f>
        <v/>
      </c>
      <c r="J32" s="65" t="str">
        <f>IFERROR(VLOOKUP($A32,TableHandbook[],J$2,FALSE),"")</f>
        <v/>
      </c>
      <c r="K32" s="74" t="str">
        <f>IFERROR(VLOOKUP($A32,TableHandbook[],K$2,FALSE),"")</f>
        <v/>
      </c>
      <c r="L32" s="70"/>
      <c r="M32" s="377">
        <f>M31+1</f>
        <v>22</v>
      </c>
      <c r="N32" s="185"/>
      <c r="O32" s="185"/>
    </row>
    <row r="33" spans="1:16" s="34" customFormat="1" ht="20.100000000000001" customHeight="1" x14ac:dyDescent="0.15">
      <c r="A33" s="164" t="str">
        <f>IFERROR(IF(HLOOKUP($L$5,RangeUnitSetsSec,M33,FALSE)=0,"",HLOOKUP($L$5,RangeUnitSetsSec,M33,FALSE)),"")</f>
        <v/>
      </c>
      <c r="B33" s="65" t="str">
        <f>IFERROR(IF(VLOOKUP($A33,TableHandbook[],B$2,FALSE)=0,"",VLOOKUP($A33,TableHandbook[],B$2,FALSE)),"")</f>
        <v/>
      </c>
      <c r="C33" s="65" t="str">
        <f>IFERROR(IF(VLOOKUP($A33,TableHandbook[],C$2,FALSE)=0,"",VLOOKUP($A33,TableHandbook[],C$2,FALSE)),"")</f>
        <v/>
      </c>
      <c r="D33" s="120" t="str">
        <f>IFERROR(IF(VLOOKUP($A33,TableHandbook[],D$2,FALSE)=0,"",VLOOKUP($A33,TableHandbook[],D$2,FALSE)),"")</f>
        <v/>
      </c>
      <c r="E33" s="65" t="str">
        <f>IF(A33="","",E32)</f>
        <v/>
      </c>
      <c r="F33" s="378" t="str">
        <f>IFERROR(IF(VLOOKUP($A33,TableHandbook[],F$2,FALSE)=0,"",VLOOKUP($A33,TableHandbook[],F$2,FALSE)),"")</f>
        <v/>
      </c>
      <c r="G33" s="65" t="str">
        <f>IFERROR(IF(VLOOKUP($A33,TableHandbook[],G$2,FALSE)=0,"",VLOOKUP($A33,TableHandbook[],G$2,FALSE)),"")</f>
        <v/>
      </c>
      <c r="H33" s="73" t="str">
        <f>IFERROR(VLOOKUP($A33,TableHandbook[],H$2,FALSE),"")</f>
        <v/>
      </c>
      <c r="I33" s="229" t="str">
        <f>IFERROR(VLOOKUP($A33,TableHandbook[],I$2,FALSE),"")</f>
        <v/>
      </c>
      <c r="J33" s="65" t="str">
        <f>IFERROR(VLOOKUP($A33,TableHandbook[],J$2,FALSE),"")</f>
        <v/>
      </c>
      <c r="K33" s="74" t="str">
        <f>IFERROR(VLOOKUP($A33,TableHandbook[],K$2,FALSE),"")</f>
        <v/>
      </c>
      <c r="L33" s="70"/>
      <c r="M33" s="377">
        <f t="shared" ref="M33:M34" si="5">M32+1</f>
        <v>23</v>
      </c>
      <c r="N33" s="185"/>
      <c r="O33" s="185"/>
    </row>
    <row r="34" spans="1:16" s="34" customFormat="1" ht="20.100000000000001" customHeight="1" x14ac:dyDescent="0.15">
      <c r="A34" s="164" t="str">
        <f>IFERROR(IF(HLOOKUP($L$5,RangeUnitSetsSec,M34,FALSE)=0,"",HLOOKUP($L$5,RangeUnitSetsSec,M34,FALSE)),"")</f>
        <v/>
      </c>
      <c r="B34" s="65" t="str">
        <f>IFERROR(IF(VLOOKUP($A34,TableHandbook[],B$2,FALSE)=0,"",VLOOKUP($A34,TableHandbook[],B$2,FALSE)),"")</f>
        <v/>
      </c>
      <c r="C34" s="65" t="str">
        <f>IFERROR(IF(VLOOKUP($A34,TableHandbook[],C$2,FALSE)=0,"",VLOOKUP($A34,TableHandbook[],C$2,FALSE)),"")</f>
        <v/>
      </c>
      <c r="D34" s="120" t="str">
        <f>IFERROR(IF(VLOOKUP($A34,TableHandbook[],D$2,FALSE)=0,"",VLOOKUP($A34,TableHandbook[],D$2,FALSE)),"")</f>
        <v/>
      </c>
      <c r="E34" s="65" t="str">
        <f>IF(A34="","",E33)</f>
        <v/>
      </c>
      <c r="F34" s="378" t="str">
        <f>IFERROR(IF(VLOOKUP($A34,TableHandbook[],F$2,FALSE)=0,"",VLOOKUP($A34,TableHandbook[],F$2,FALSE)),"")</f>
        <v/>
      </c>
      <c r="G34" s="65" t="str">
        <f>IFERROR(IF(VLOOKUP($A34,TableHandbook[],G$2,FALSE)=0,"",VLOOKUP($A34,TableHandbook[],G$2,FALSE)),"")</f>
        <v/>
      </c>
      <c r="H34" s="73" t="str">
        <f>IFERROR(VLOOKUP($A34,TableHandbook[],H$2,FALSE),"")</f>
        <v/>
      </c>
      <c r="I34" s="229" t="str">
        <f>IFERROR(VLOOKUP($A34,TableHandbook[],I$2,FALSE),"")</f>
        <v/>
      </c>
      <c r="J34" s="65" t="str">
        <f>IFERROR(VLOOKUP($A34,TableHandbook[],J$2,FALSE),"")</f>
        <v/>
      </c>
      <c r="K34" s="74" t="str">
        <f>IFERROR(VLOOKUP($A34,TableHandbook[],K$2,FALSE),"")</f>
        <v/>
      </c>
      <c r="L34" s="70"/>
      <c r="M34" s="377">
        <f t="shared" si="5"/>
        <v>24</v>
      </c>
      <c r="N34" s="185"/>
      <c r="O34" s="185"/>
    </row>
    <row r="35" spans="1:16" s="34" customFormat="1" ht="5.0999999999999996" customHeight="1" x14ac:dyDescent="0.15">
      <c r="A35" s="241"/>
      <c r="B35" s="242"/>
      <c r="C35" s="242"/>
      <c r="D35" s="243"/>
      <c r="E35" s="242"/>
      <c r="F35" s="244"/>
      <c r="G35" s="242"/>
      <c r="H35" s="245"/>
      <c r="I35" s="246"/>
      <c r="J35" s="242"/>
      <c r="K35" s="247"/>
      <c r="L35" s="248"/>
      <c r="M35" s="377"/>
      <c r="N35" s="185"/>
      <c r="O35" s="185"/>
      <c r="P35" s="185"/>
    </row>
    <row r="36" spans="1:16" s="34" customFormat="1" ht="20.100000000000001" customHeight="1" x14ac:dyDescent="0.15">
      <c r="A36" s="67" t="str">
        <f>IFERROR(IF(HLOOKUP($L$5,RangeUnitSetsSec,M36,FALSE)=0,"",HLOOKUP($L$5,RangeUnitSetsSec,M36,FALSE)),"")</f>
        <v/>
      </c>
      <c r="B36" s="65" t="str">
        <f>IFERROR(IF(VLOOKUP($A36,TableHandbook[],B$2,FALSE)=0,"",VLOOKUP($A36,TableHandbook[],B$2,FALSE)),"")</f>
        <v/>
      </c>
      <c r="C36" s="65" t="str">
        <f>IFERROR(IF(VLOOKUP($A36,TableHandbook[],C$2,FALSE)=0,"",VLOOKUP($A36,TableHandbook[],C$2,FALSE)),"")</f>
        <v/>
      </c>
      <c r="D36" s="120" t="str">
        <f>IFERROR(IF(VLOOKUP($A36,TableHandbook[],D$2,FALSE)=0,"",VLOOKUP($A36,TableHandbook[],D$2,FALSE)),"")</f>
        <v/>
      </c>
      <c r="E36" s="65" t="str">
        <f>IF(OR(A36="",A36="--"),"",VLOOKUP($D$8,TableStudyPeriods[],3,FALSE))</f>
        <v/>
      </c>
      <c r="F36" s="62" t="str">
        <f>IFERROR(IF(VLOOKUP($A36,TableHandbook[],F$2,FALSE)=0,"",VLOOKUP($A36,TableHandbook[],F$2,FALSE)),"")</f>
        <v/>
      </c>
      <c r="G36" s="63" t="str">
        <f>IFERROR(IF(VLOOKUP($A36,TableHandbook[],G$2,FALSE)=0,"",VLOOKUP($A36,TableHandbook[],G$2,FALSE)),"")</f>
        <v/>
      </c>
      <c r="H36" s="73" t="str">
        <f>IFERROR(VLOOKUP($A36,TableHandbook[],H$2,FALSE),"")</f>
        <v/>
      </c>
      <c r="I36" s="229" t="str">
        <f>IFERROR(VLOOKUP($A36,TableHandbook[],I$2,FALSE),"")</f>
        <v/>
      </c>
      <c r="J36" s="65" t="str">
        <f>IFERROR(VLOOKUP($A36,TableHandbook[],J$2,FALSE),"")</f>
        <v/>
      </c>
      <c r="K36" s="74" t="str">
        <f>IFERROR(VLOOKUP($A36,TableHandbook[],K$2,FALSE),"")</f>
        <v/>
      </c>
      <c r="L36" s="70"/>
      <c r="M36" s="377">
        <f>M34+1</f>
        <v>25</v>
      </c>
      <c r="N36" s="185"/>
      <c r="O36" s="185"/>
    </row>
    <row r="37" spans="1:16" s="34" customFormat="1" ht="20.100000000000001" customHeight="1" x14ac:dyDescent="0.15">
      <c r="A37" s="67" t="str">
        <f>IFERROR(IF(HLOOKUP($L$5,RangeUnitSetsSec,M37,FALSE)=0,"",HLOOKUP($L$5,RangeUnitSetsSec,M37,FALSE)),"")</f>
        <v/>
      </c>
      <c r="B37" s="65" t="str">
        <f>IFERROR(IF(VLOOKUP($A37,TableHandbook[],B$2,FALSE)=0,"",VLOOKUP($A37,TableHandbook[],B$2,FALSE)),"")</f>
        <v/>
      </c>
      <c r="C37" s="65" t="str">
        <f>IFERROR(IF(VLOOKUP($A37,TableHandbook[],C$2,FALSE)=0,"",VLOOKUP($A37,TableHandbook[],C$2,FALSE)),"")</f>
        <v/>
      </c>
      <c r="D37" s="120" t="str">
        <f>IFERROR(IF(VLOOKUP($A37,TableHandbook[],D$2,FALSE)=0,"",VLOOKUP($A37,TableHandbook[],D$2,FALSE)),"")</f>
        <v/>
      </c>
      <c r="E37" s="65" t="str">
        <f>IF(A37="","",E36)</f>
        <v/>
      </c>
      <c r="F37" s="62" t="str">
        <f>IFERROR(IF(VLOOKUP($A37,TableHandbook[],F$2,FALSE)=0,"",VLOOKUP($A37,TableHandbook[],F$2,FALSE)),"")</f>
        <v/>
      </c>
      <c r="G37" s="63" t="str">
        <f>IFERROR(IF(VLOOKUP($A37,TableHandbook[],G$2,FALSE)=0,"",VLOOKUP($A37,TableHandbook[],G$2,FALSE)),"")</f>
        <v/>
      </c>
      <c r="H37" s="73" t="str">
        <f>IFERROR(VLOOKUP($A37,TableHandbook[],H$2,FALSE),"")</f>
        <v/>
      </c>
      <c r="I37" s="229" t="str">
        <f>IFERROR(VLOOKUP($A37,TableHandbook[],I$2,FALSE),"")</f>
        <v/>
      </c>
      <c r="J37" s="65" t="str">
        <f>IFERROR(VLOOKUP($A37,TableHandbook[],J$2,FALSE),"")</f>
        <v/>
      </c>
      <c r="K37" s="74" t="str">
        <f>IFERROR(VLOOKUP($A37,TableHandbook[],K$2,FALSE),"")</f>
        <v/>
      </c>
      <c r="L37" s="70"/>
      <c r="M37" s="377">
        <f>M36+1</f>
        <v>26</v>
      </c>
      <c r="N37" s="185"/>
      <c r="O37" s="185"/>
    </row>
    <row r="38" spans="1:16" s="38" customFormat="1" ht="20.100000000000001" customHeight="1" x14ac:dyDescent="0.15">
      <c r="A38" s="164" t="str">
        <f>IFERROR(IF(HLOOKUP($L$5,RangeUnitSetsSec,M38,FALSE)=0,"",HLOOKUP($L$5,RangeUnitSetsSec,M38,FALSE)),"")</f>
        <v/>
      </c>
      <c r="B38" s="65" t="str">
        <f>IFERROR(IF(VLOOKUP($A38,TableHandbook[],B$2,FALSE)=0,"",VLOOKUP($A38,TableHandbook[],B$2,FALSE)),"")</f>
        <v/>
      </c>
      <c r="C38" s="65" t="str">
        <f>IFERROR(IF(VLOOKUP($A38,TableHandbook[],C$2,FALSE)=0,"",VLOOKUP($A38,TableHandbook[],C$2,FALSE)),"")</f>
        <v/>
      </c>
      <c r="D38" s="120" t="str">
        <f>IFERROR(IF(VLOOKUP($A38,TableHandbook[],D$2,FALSE)=0,"",VLOOKUP($A38,TableHandbook[],D$2,FALSE)),"")</f>
        <v/>
      </c>
      <c r="E38" s="65" t="str">
        <f>IF(A38="","",E37)</f>
        <v/>
      </c>
      <c r="F38" s="378" t="str">
        <f>IFERROR(IF(VLOOKUP($A38,TableHandbook[],F$2,FALSE)=0,"",VLOOKUP($A38,TableHandbook[],F$2,FALSE)),"")</f>
        <v/>
      </c>
      <c r="G38" s="65" t="str">
        <f>IFERROR(IF(VLOOKUP($A38,TableHandbook[],G$2,FALSE)=0,"",VLOOKUP($A38,TableHandbook[],G$2,FALSE)),"")</f>
        <v/>
      </c>
      <c r="H38" s="73" t="str">
        <f>IFERROR(VLOOKUP($A38,TableHandbook[],H$2,FALSE),"")</f>
        <v/>
      </c>
      <c r="I38" s="229" t="str">
        <f>IFERROR(VLOOKUP($A38,TableHandbook[],I$2,FALSE),"")</f>
        <v/>
      </c>
      <c r="J38" s="65" t="str">
        <f>IFERROR(VLOOKUP($A38,TableHandbook[],J$2,FALSE),"")</f>
        <v/>
      </c>
      <c r="K38" s="74" t="str">
        <f>IFERROR(VLOOKUP($A38,TableHandbook[],K$2,FALSE),"")</f>
        <v/>
      </c>
      <c r="L38" s="70"/>
      <c r="M38" s="377">
        <f t="shared" ref="M38:M39" si="6">M37+1</f>
        <v>27</v>
      </c>
      <c r="N38" s="187"/>
      <c r="O38" s="187"/>
    </row>
    <row r="39" spans="1:16" s="38" customFormat="1" ht="20.100000000000001" customHeight="1" x14ac:dyDescent="0.15">
      <c r="A39" s="164" t="str">
        <f>IFERROR(IF(HLOOKUP($L$5,RangeUnitSetsSec,M39,FALSE)=0,"",HLOOKUP($L$5,RangeUnitSetsSec,M39,FALSE)),"")</f>
        <v/>
      </c>
      <c r="B39" s="65" t="str">
        <f>IFERROR(IF(VLOOKUP($A39,TableHandbook[],B$2,FALSE)=0,"",VLOOKUP($A39,TableHandbook[],B$2,FALSE)),"")</f>
        <v/>
      </c>
      <c r="C39" s="65" t="str">
        <f>IFERROR(IF(VLOOKUP($A39,TableHandbook[],C$2,FALSE)=0,"",VLOOKUP($A39,TableHandbook[],C$2,FALSE)),"")</f>
        <v/>
      </c>
      <c r="D39" s="120" t="str">
        <f>IFERROR(IF(VLOOKUP($A39,TableHandbook[],D$2,FALSE)=0,"",VLOOKUP($A39,TableHandbook[],D$2,FALSE)),"")</f>
        <v/>
      </c>
      <c r="E39" s="65" t="str">
        <f>IF(A39="","",E38)</f>
        <v/>
      </c>
      <c r="F39" s="378" t="str">
        <f>IFERROR(IF(VLOOKUP($A39,TableHandbook[],F$2,FALSE)=0,"",VLOOKUP($A39,TableHandbook[],F$2,FALSE)),"")</f>
        <v/>
      </c>
      <c r="G39" s="65" t="str">
        <f>IFERROR(IF(VLOOKUP($A39,TableHandbook[],G$2,FALSE)=0,"",VLOOKUP($A39,TableHandbook[],G$2,FALSE)),"")</f>
        <v/>
      </c>
      <c r="H39" s="73" t="str">
        <f>IFERROR(VLOOKUP($A39,TableHandbook[],H$2,FALSE),"")</f>
        <v/>
      </c>
      <c r="I39" s="229" t="str">
        <f>IFERROR(VLOOKUP($A39,TableHandbook[],I$2,FALSE),"")</f>
        <v/>
      </c>
      <c r="J39" s="65" t="str">
        <f>IFERROR(VLOOKUP($A39,TableHandbook[],J$2,FALSE),"")</f>
        <v/>
      </c>
      <c r="K39" s="74" t="str">
        <f>IFERROR(VLOOKUP($A39,TableHandbook[],K$2,FALSE),"")</f>
        <v/>
      </c>
      <c r="L39" s="70"/>
      <c r="M39" s="377">
        <f t="shared" si="6"/>
        <v>28</v>
      </c>
      <c r="N39" s="187"/>
      <c r="O39" s="187"/>
    </row>
    <row r="40" spans="1:16" s="31" customFormat="1" ht="21" x14ac:dyDescent="0.25">
      <c r="A40" s="105" t="s">
        <v>36</v>
      </c>
      <c r="B40" s="105"/>
      <c r="C40" s="105"/>
      <c r="D40" s="121" t="s">
        <v>3</v>
      </c>
      <c r="E40" s="111" t="s">
        <v>18</v>
      </c>
      <c r="F40" s="105" t="s">
        <v>19</v>
      </c>
      <c r="G40" s="105" t="s">
        <v>20</v>
      </c>
      <c r="H40" s="113" t="str">
        <f>H$10</f>
        <v>Sem1 BEN</v>
      </c>
      <c r="I40" s="227" t="str">
        <f t="shared" ref="I40:L40" si="7">I$10</f>
        <v>Sem1 FO</v>
      </c>
      <c r="J40" s="111" t="str">
        <f t="shared" si="7"/>
        <v>Sem2 BEN</v>
      </c>
      <c r="K40" s="114" t="str">
        <f t="shared" si="7"/>
        <v>Sem2 FO</v>
      </c>
      <c r="L40" s="105" t="str">
        <f t="shared" si="7"/>
        <v>Notes / Progress</v>
      </c>
      <c r="M40" s="381"/>
      <c r="N40" s="183"/>
      <c r="O40" s="183"/>
    </row>
    <row r="41" spans="1:16" s="34" customFormat="1" ht="20.100000000000001" customHeight="1" x14ac:dyDescent="0.15">
      <c r="A41" s="67" t="str">
        <f>IFERROR(IF(HLOOKUP($L$5,RangeUnitSetsSec,M41,FALSE)=0,"",HLOOKUP($L$5,RangeUnitSetsSec,M41,FALSE)),"")</f>
        <v/>
      </c>
      <c r="B41" s="65" t="str">
        <f>IFERROR(IF(VLOOKUP($A41,TableHandbook[],B$2,FALSE)=0,"",VLOOKUP($A41,TableHandbook[],B$2,FALSE)),"")</f>
        <v/>
      </c>
      <c r="C41" s="65" t="str">
        <f>IFERROR(IF(VLOOKUP($A41,TableHandbook[],C$2,FALSE)=0,"",VLOOKUP($A41,TableHandbook[],C$2,FALSE)),"")</f>
        <v/>
      </c>
      <c r="D41" s="66" t="str">
        <f>IFERROR(IF(VLOOKUP($A41,TableHandbook[],D$2,FALSE)=0,"",VLOOKUP($A41,TableHandbook[],D$2,FALSE)),"")</f>
        <v/>
      </c>
      <c r="E41" s="65" t="str">
        <f>IF(OR(A41="",A41="--"),"",VLOOKUP($D$8,TableStudyPeriods[],2,FALSE))</f>
        <v/>
      </c>
      <c r="F41" s="62" t="str">
        <f>IFERROR(IF(VLOOKUP($A41,TableHandbook[],F$2,FALSE)=0,"",VLOOKUP($A41,TableHandbook[],F$2,FALSE)),"")</f>
        <v/>
      </c>
      <c r="G41" s="63" t="str">
        <f>IFERROR(IF(VLOOKUP($A41,TableHandbook[],G$2,FALSE)=0,"",VLOOKUP($A41,TableHandbook[],G$2,FALSE)),"")</f>
        <v/>
      </c>
      <c r="H41" s="73" t="str">
        <f>IFERROR(VLOOKUP($A41,TableHandbook[],H$2,FALSE),"")</f>
        <v/>
      </c>
      <c r="I41" s="229" t="str">
        <f>IFERROR(VLOOKUP($A41,TableHandbook[],I$2,FALSE),"")</f>
        <v/>
      </c>
      <c r="J41" s="65" t="str">
        <f>IFERROR(VLOOKUP($A41,TableHandbook[],J$2,FALSE),"")</f>
        <v/>
      </c>
      <c r="K41" s="74" t="str">
        <f>IFERROR(VLOOKUP($A41,TableHandbook[],K$2,FALSE),"")</f>
        <v/>
      </c>
      <c r="L41" s="70"/>
      <c r="M41" s="377">
        <f>M39+1</f>
        <v>29</v>
      </c>
      <c r="N41" s="185"/>
      <c r="O41" s="185"/>
    </row>
    <row r="42" spans="1:16" s="34" customFormat="1" ht="19.5" customHeight="1" x14ac:dyDescent="0.15">
      <c r="A42" s="67" t="str">
        <f>IFERROR(IF(HLOOKUP($L$5,RangeUnitSetsSec,M42,FALSE)=0,"",HLOOKUP($L$5,RangeUnitSetsSec,M42,FALSE)),"")</f>
        <v/>
      </c>
      <c r="B42" s="65" t="str">
        <f>IFERROR(IF(VLOOKUP($A42,TableHandbook[],B$2,FALSE)=0,"",VLOOKUP($A42,TableHandbook[],B$2,FALSE)),"")</f>
        <v/>
      </c>
      <c r="C42" s="65" t="str">
        <f>IFERROR(IF(VLOOKUP($A42,TableHandbook[],C$2,FALSE)=0,"",VLOOKUP($A42,TableHandbook[],C$2,FALSE)),"")</f>
        <v/>
      </c>
      <c r="D42" s="120" t="str">
        <f>IFERROR(IF(VLOOKUP($A42,TableHandbook[],D$2,FALSE)=0,"",VLOOKUP($A42,TableHandbook[],D$2,FALSE)),"")</f>
        <v/>
      </c>
      <c r="E42" s="65" t="str">
        <f>IF(A42="","",E41)</f>
        <v/>
      </c>
      <c r="F42" s="62" t="str">
        <f>IFERROR(IF(VLOOKUP($A42,TableHandbook[],F$2,FALSE)=0,"",VLOOKUP($A42,TableHandbook[],F$2,FALSE)),"")</f>
        <v/>
      </c>
      <c r="G42" s="63" t="str">
        <f>IFERROR(IF(VLOOKUP($A42,TableHandbook[],G$2,FALSE)=0,"",VLOOKUP($A42,TableHandbook[],G$2,FALSE)),"")</f>
        <v/>
      </c>
      <c r="H42" s="73" t="str">
        <f>IFERROR(VLOOKUP($A42,TableHandbook[],H$2,FALSE),"")</f>
        <v/>
      </c>
      <c r="I42" s="229" t="str">
        <f>IFERROR(VLOOKUP($A42,TableHandbook[],I$2,FALSE),"")</f>
        <v/>
      </c>
      <c r="J42" s="65" t="str">
        <f>IFERROR(VLOOKUP($A42,TableHandbook[],J$2,FALSE),"")</f>
        <v/>
      </c>
      <c r="K42" s="74" t="str">
        <f>IFERROR(VLOOKUP($A42,TableHandbook[],K$2,FALSE),"")</f>
        <v/>
      </c>
      <c r="L42" s="70"/>
      <c r="M42" s="377">
        <f>M41+1</f>
        <v>30</v>
      </c>
      <c r="N42" s="185"/>
      <c r="O42" s="185"/>
    </row>
    <row r="43" spans="1:16" s="34" customFormat="1" ht="20.100000000000001" customHeight="1" x14ac:dyDescent="0.15">
      <c r="A43" s="164" t="str">
        <f>IFERROR(IF(HLOOKUP($L$5,RangeUnitSetsSec,M43,FALSE)=0,"",HLOOKUP($L$5,RangeUnitSetsSec,M43,FALSE)),"")</f>
        <v/>
      </c>
      <c r="B43" s="65" t="str">
        <f>IFERROR(IF(VLOOKUP($A43,TableHandbook[],B$2,FALSE)=0,"",VLOOKUP($A43,TableHandbook[],B$2,FALSE)),"")</f>
        <v/>
      </c>
      <c r="C43" s="65" t="str">
        <f>IFERROR(IF(VLOOKUP($A43,TableHandbook[],C$2,FALSE)=0,"",VLOOKUP($A43,TableHandbook[],C$2,FALSE)),"")</f>
        <v/>
      </c>
      <c r="D43" s="120" t="str">
        <f>IFERROR(IF(VLOOKUP($A43,TableHandbook[],D$2,FALSE)=0,"",VLOOKUP($A43,TableHandbook[],D$2,FALSE)),"")</f>
        <v/>
      </c>
      <c r="E43" s="65" t="str">
        <f>IF(A43="","",E42)</f>
        <v/>
      </c>
      <c r="F43" s="378" t="str">
        <f>IFERROR(IF(VLOOKUP($A43,TableHandbook[],F$2,FALSE)=0,"",VLOOKUP($A43,TableHandbook[],F$2,FALSE)),"")</f>
        <v/>
      </c>
      <c r="G43" s="65" t="str">
        <f>IFERROR(IF(VLOOKUP($A43,TableHandbook[],G$2,FALSE)=0,"",VLOOKUP($A43,TableHandbook[],G$2,FALSE)),"")</f>
        <v/>
      </c>
      <c r="H43" s="73" t="str">
        <f>IFERROR(VLOOKUP($A43,TableHandbook[],H$2,FALSE),"")</f>
        <v/>
      </c>
      <c r="I43" s="229" t="str">
        <f>IFERROR(VLOOKUP($A43,TableHandbook[],I$2,FALSE),"")</f>
        <v/>
      </c>
      <c r="J43" s="65" t="str">
        <f>IFERROR(VLOOKUP($A43,TableHandbook[],J$2,FALSE),"")</f>
        <v/>
      </c>
      <c r="K43" s="74" t="str">
        <f>IFERROR(VLOOKUP($A43,TableHandbook[],K$2,FALSE),"")</f>
        <v/>
      </c>
      <c r="L43" s="70"/>
      <c r="M43" s="377">
        <f t="shared" ref="M43:M44" si="8">M42+1</f>
        <v>31</v>
      </c>
      <c r="N43" s="185"/>
      <c r="O43" s="185"/>
    </row>
    <row r="44" spans="1:16" s="34" customFormat="1" ht="20.100000000000001" customHeight="1" x14ac:dyDescent="0.15">
      <c r="A44" s="164" t="str">
        <f>IFERROR(IF(HLOOKUP($L$5,RangeUnitSetsSec,M44,FALSE)=0,"",HLOOKUP($L$5,RangeUnitSetsSec,M44,FALSE)),"")</f>
        <v/>
      </c>
      <c r="B44" s="65" t="str">
        <f>IFERROR(IF(VLOOKUP($A44,TableHandbook[],B$2,FALSE)=0,"",VLOOKUP($A44,TableHandbook[],B$2,FALSE)),"")</f>
        <v/>
      </c>
      <c r="C44" s="65" t="str">
        <f>IFERROR(IF(VLOOKUP($A44,TableHandbook[],C$2,FALSE)=0,"",VLOOKUP($A44,TableHandbook[],C$2,FALSE)),"")</f>
        <v/>
      </c>
      <c r="D44" s="120" t="str">
        <f>IFERROR(IF(VLOOKUP($A44,TableHandbook[],D$2,FALSE)=0,"",VLOOKUP($A44,TableHandbook[],D$2,FALSE)),"")</f>
        <v/>
      </c>
      <c r="E44" s="65" t="str">
        <f>IF(A44="","",E43)</f>
        <v/>
      </c>
      <c r="F44" s="378" t="str">
        <f>IFERROR(IF(VLOOKUP($A44,TableHandbook[],F$2,FALSE)=0,"",VLOOKUP($A44,TableHandbook[],F$2,FALSE)),"")</f>
        <v/>
      </c>
      <c r="G44" s="65" t="str">
        <f>IFERROR(IF(VLOOKUP($A44,TableHandbook[],G$2,FALSE)=0,"",VLOOKUP($A44,TableHandbook[],G$2,FALSE)),"")</f>
        <v/>
      </c>
      <c r="H44" s="73" t="str">
        <f>IFERROR(VLOOKUP($A44,TableHandbook[],H$2,FALSE),"")</f>
        <v/>
      </c>
      <c r="I44" s="229" t="str">
        <f>IFERROR(VLOOKUP($A44,TableHandbook[],I$2,FALSE),"")</f>
        <v/>
      </c>
      <c r="J44" s="65" t="str">
        <f>IFERROR(VLOOKUP($A44,TableHandbook[],J$2,FALSE),"")</f>
        <v/>
      </c>
      <c r="K44" s="74" t="str">
        <f>IFERROR(VLOOKUP($A44,TableHandbook[],K$2,FALSE),"")</f>
        <v/>
      </c>
      <c r="L44" s="70"/>
      <c r="M44" s="377">
        <f t="shared" si="8"/>
        <v>32</v>
      </c>
      <c r="N44" s="185"/>
      <c r="O44" s="185"/>
    </row>
    <row r="45" spans="1:16" s="34" customFormat="1" ht="5.0999999999999996" customHeight="1" x14ac:dyDescent="0.15">
      <c r="A45" s="241"/>
      <c r="B45" s="242"/>
      <c r="C45" s="242"/>
      <c r="D45" s="243"/>
      <c r="E45" s="242"/>
      <c r="F45" s="244"/>
      <c r="G45" s="242"/>
      <c r="H45" s="245"/>
      <c r="I45" s="246"/>
      <c r="J45" s="242"/>
      <c r="K45" s="247"/>
      <c r="L45" s="248"/>
      <c r="M45" s="377"/>
      <c r="N45" s="185"/>
      <c r="O45" s="185"/>
      <c r="P45" s="185"/>
    </row>
    <row r="46" spans="1:16" s="34" customFormat="1" ht="20.100000000000001" customHeight="1" x14ac:dyDescent="0.15">
      <c r="A46" s="67" t="str">
        <f>IFERROR(IF(HLOOKUP($L$5,RangeUnitSetsSec,M46,FALSE)=0,"",HLOOKUP($L$5,RangeUnitSetsSec,M46,FALSE)),"")</f>
        <v/>
      </c>
      <c r="B46" s="65" t="str">
        <f>IFERROR(IF(VLOOKUP($A46,TableHandbook[],B$2,FALSE)=0,"",VLOOKUP($A46,TableHandbook[],B$2,FALSE)),"")</f>
        <v/>
      </c>
      <c r="C46" s="65" t="str">
        <f>IFERROR(IF(VLOOKUP($A46,TableHandbook[],C$2,FALSE)=0,"",VLOOKUP($A46,TableHandbook[],C$2,FALSE)),"")</f>
        <v/>
      </c>
      <c r="D46" s="120" t="str">
        <f>IFERROR(IF(VLOOKUP($A46,TableHandbook[],D$2,FALSE)=0,"",VLOOKUP($A46,TableHandbook[],D$2,FALSE)),"")</f>
        <v/>
      </c>
      <c r="E46" s="65"/>
      <c r="F46" s="62" t="str">
        <f>IFERROR(IF(VLOOKUP($A46,TableHandbook[],F$2,FALSE)=0,"",VLOOKUP($A46,TableHandbook[],F$2,FALSE)),"")</f>
        <v/>
      </c>
      <c r="G46" s="63" t="str">
        <f>IFERROR(IF(VLOOKUP($A46,TableHandbook[],G$2,FALSE)=0,"",VLOOKUP($A46,TableHandbook[],G$2,FALSE)),"")</f>
        <v/>
      </c>
      <c r="H46" s="71" t="str">
        <f>IFERROR(VLOOKUP($A46,TableHandbook[],H$2,FALSE),"")</f>
        <v/>
      </c>
      <c r="I46" s="228" t="str">
        <f>IFERROR(VLOOKUP($A46,TableHandbook[],I$2,FALSE),"")</f>
        <v/>
      </c>
      <c r="J46" s="63" t="str">
        <f>IFERROR(VLOOKUP($A46,TableHandbook[],J$2,FALSE),"")</f>
        <v/>
      </c>
      <c r="K46" s="72" t="str">
        <f>IFERROR(VLOOKUP($A46,TableHandbook[],K$2,FALSE),"")</f>
        <v/>
      </c>
      <c r="L46" s="69"/>
      <c r="M46" s="377">
        <v>33</v>
      </c>
      <c r="N46" s="185"/>
      <c r="O46" s="185"/>
    </row>
    <row r="47" spans="1:16" s="34" customFormat="1" ht="20.100000000000001" customHeight="1" x14ac:dyDescent="0.15">
      <c r="A47" s="67" t="str">
        <f>IFERROR(IF(HLOOKUP($L$5,RangeUnitSetsSec,M47,FALSE)=0,"",HLOOKUP($L$5,RangeUnitSetsSec,M47,FALSE)),"")</f>
        <v/>
      </c>
      <c r="B47" s="65" t="str">
        <f>IFERROR(IF(VLOOKUP($A47,TableHandbook[],B$2,FALSE)=0,"",VLOOKUP($A47,TableHandbook[],B$2,FALSE)),"")</f>
        <v/>
      </c>
      <c r="C47" s="65" t="str">
        <f>IFERROR(IF(VLOOKUP($A47,TableHandbook[],C$2,FALSE)=0,"",VLOOKUP($A47,TableHandbook[],C$2,FALSE)),"")</f>
        <v/>
      </c>
      <c r="D47" s="120" t="str">
        <f>IFERROR(IF(VLOOKUP($A47,TableHandbook[],D$2,FALSE)=0,"",VLOOKUP($A47,TableHandbook[],D$2,FALSE)),"")</f>
        <v/>
      </c>
      <c r="E47" s="65"/>
      <c r="F47" s="62" t="str">
        <f>IFERROR(IF(VLOOKUP($A47,TableHandbook[],F$2,FALSE)=0,"",VLOOKUP($A47,TableHandbook[],F$2,FALSE)),"")</f>
        <v/>
      </c>
      <c r="G47" s="63" t="str">
        <f>IFERROR(IF(VLOOKUP($A47,TableHandbook[],G$2,FALSE)=0,"",VLOOKUP($A47,TableHandbook[],G$2,FALSE)),"")</f>
        <v/>
      </c>
      <c r="H47" s="71" t="str">
        <f>IFERROR(VLOOKUP($A47,TableHandbook[],H$2,FALSE),"")</f>
        <v/>
      </c>
      <c r="I47" s="228" t="str">
        <f>IFERROR(VLOOKUP($A47,TableHandbook[],I$2,FALSE),"")</f>
        <v/>
      </c>
      <c r="J47" s="63" t="str">
        <f>IFERROR(VLOOKUP($A47,TableHandbook[],J$2,FALSE),"")</f>
        <v/>
      </c>
      <c r="K47" s="72" t="str">
        <f>IFERROR(VLOOKUP($A47,TableHandbook[],K$2,FALSE),"")</f>
        <v/>
      </c>
      <c r="L47" s="69"/>
      <c r="M47" s="377">
        <v>34</v>
      </c>
      <c r="N47" s="185"/>
      <c r="O47" s="185"/>
    </row>
    <row r="48" spans="1:16" s="46" customFormat="1" ht="13.9" customHeight="1" x14ac:dyDescent="0.2">
      <c r="A48" s="47"/>
      <c r="B48" s="47"/>
      <c r="C48" s="47"/>
      <c r="D48" s="48"/>
      <c r="E48" s="48"/>
      <c r="F48" s="43"/>
      <c r="G48" s="43"/>
      <c r="H48" s="43"/>
      <c r="I48" s="43"/>
      <c r="J48" s="43"/>
      <c r="K48" s="43"/>
      <c r="L48" s="257"/>
      <c r="M48" s="382"/>
      <c r="N48" s="188"/>
      <c r="O48" s="188"/>
    </row>
    <row r="49" spans="1:13" ht="16.5" x14ac:dyDescent="0.25">
      <c r="A49" s="383" t="str">
        <f>CONCATENATE("Alternate Core / Option Units - ",D6)</f>
        <v>Alternate Core / Option Units - Choose your Major first (drop-down list)</v>
      </c>
      <c r="B49" s="384"/>
      <c r="C49" s="384"/>
      <c r="D49" s="385"/>
      <c r="E49" s="386"/>
      <c r="F49" s="386"/>
      <c r="G49" s="386"/>
      <c r="H49" s="387" t="str">
        <f>H9</f>
        <v>2025 Availabilities</v>
      </c>
      <c r="I49" s="388"/>
      <c r="J49" s="388"/>
      <c r="K49" s="383"/>
      <c r="L49" s="389"/>
      <c r="M49" s="390"/>
    </row>
    <row r="50" spans="1:13" s="50" customFormat="1" ht="21" x14ac:dyDescent="0.25">
      <c r="A50" s="391"/>
      <c r="B50" s="392"/>
      <c r="C50" s="392"/>
      <c r="D50" s="393" t="s">
        <v>3</v>
      </c>
      <c r="E50" s="392"/>
      <c r="F50" s="392" t="s">
        <v>19</v>
      </c>
      <c r="G50" s="392" t="s">
        <v>20</v>
      </c>
      <c r="H50" s="394" t="str">
        <f>H$10</f>
        <v>Sem1 BEN</v>
      </c>
      <c r="I50" s="395" t="str">
        <f t="shared" ref="I50:L50" si="9">I$10</f>
        <v>Sem1 FO</v>
      </c>
      <c r="J50" s="396" t="str">
        <f t="shared" si="9"/>
        <v>Sem2 BEN</v>
      </c>
      <c r="K50" s="396" t="str">
        <f t="shared" si="9"/>
        <v>Sem2 FO</v>
      </c>
      <c r="L50" s="397" t="str">
        <f t="shared" si="9"/>
        <v>Notes / Progress</v>
      </c>
      <c r="M50" s="390"/>
    </row>
    <row r="51" spans="1:13" x14ac:dyDescent="0.25">
      <c r="A51" s="51" t="str">
        <f t="shared" ref="A51:A71" si="10">IFERROR(IF(HLOOKUP($L$6,RangeMajorsSec,M51,FALSE)=0,"",HLOOKUP($L$6,RangeMajorsSec,M51,FALSE)),"")</f>
        <v/>
      </c>
      <c r="B51" s="52" t="str">
        <f>IFERROR(IF(VLOOKUP($A51,TableHandbook[],B$2,FALSE)=0,"",VLOOKUP($A51,TableHandbook[],B$2,FALSE)),"")</f>
        <v/>
      </c>
      <c r="C51" s="53" t="str">
        <f>IFERROR(IF(VLOOKUP($A51,TableHandbook[],C$2,FALSE)=0,"",VLOOKUP($A51,TableHandbook[],C$2,FALSE)),"")</f>
        <v/>
      </c>
      <c r="D51" s="54" t="str">
        <f>IFERROR(IF(VLOOKUP($A51,TableHandbook[],D$2,FALSE)=0,"",VLOOKUP($A51,TableHandbook[],D$2,FALSE)),"")</f>
        <v/>
      </c>
      <c r="E51" s="54"/>
      <c r="F51" s="292" t="str">
        <f>IFERROR(IF(VLOOKUP($A51,TableHandbook[],F$2,FALSE)=0,"",VLOOKUP($A51,TableHandbook[],F$2,FALSE)),"")</f>
        <v/>
      </c>
      <c r="G51" s="55" t="str">
        <f>IFERROR(IF(VLOOKUP($A51,TableHandbook[],G$2,FALSE)=0,"",VLOOKUP($A51,TableHandbook[],G$2,FALSE)),"")</f>
        <v/>
      </c>
      <c r="H51" s="73" t="str">
        <f>IFERROR(VLOOKUP($A51,TableHandbook[],H$2,FALSE),"")</f>
        <v/>
      </c>
      <c r="I51" s="229" t="str">
        <f>IFERROR(VLOOKUP($A51,TableHandbook[],I$2,FALSE),"")</f>
        <v/>
      </c>
      <c r="J51" s="65" t="str">
        <f>IFERROR(VLOOKUP($A51,TableHandbook[],J$2,FALSE),"")</f>
        <v/>
      </c>
      <c r="K51" s="74" t="str">
        <f>IFERROR(VLOOKUP($A51,TableHandbook[],K$2,FALSE),"")</f>
        <v/>
      </c>
      <c r="L51" s="70"/>
      <c r="M51" s="398">
        <v>11</v>
      </c>
    </row>
    <row r="52" spans="1:13" x14ac:dyDescent="0.25">
      <c r="A52" s="51" t="str">
        <f t="shared" si="10"/>
        <v/>
      </c>
      <c r="B52" s="52" t="str">
        <f>IFERROR(IF(VLOOKUP($A52,TableHandbook[],2,FALSE)=0,"",VLOOKUP($A52,TableHandbook[],2,FALSE)),"")</f>
        <v/>
      </c>
      <c r="C52" s="53" t="str">
        <f>IFERROR(IF(VLOOKUP($A52,TableHandbook[],3,FALSE)=0,"",VLOOKUP($A52,TableHandbook[],3,FALSE)),"")</f>
        <v/>
      </c>
      <c r="D52" s="53" t="str">
        <f>IFERROR(IF(VLOOKUP($A52,TableHandbook[],4,FALSE)=0,"",VLOOKUP($A52,TableHandbook[],4,FALSE)),"")</f>
        <v/>
      </c>
      <c r="E52" s="54"/>
      <c r="F52" s="292" t="str">
        <f>IFERROR(IF(VLOOKUP($A52,TableHandbook[],6,FALSE)=0,"",VLOOKUP($A52,TableHandbook[],6,FALSE)),"")</f>
        <v/>
      </c>
      <c r="G52" s="55" t="str">
        <f>IFERROR(IF(VLOOKUP($A52,TableHandbook[],5,FALSE)=0,"",VLOOKUP($A52,TableHandbook[],5,FALSE)),"")</f>
        <v/>
      </c>
      <c r="H52" s="73" t="str">
        <f>IFERROR(VLOOKUP($A52,TableHandbook[],H$2,FALSE),"")</f>
        <v/>
      </c>
      <c r="I52" s="229" t="str">
        <f>IFERROR(VLOOKUP($A52,TableHandbook[],I$2,FALSE),"")</f>
        <v/>
      </c>
      <c r="J52" s="65" t="str">
        <f>IFERROR(VLOOKUP($A52,TableHandbook[],J$2,FALSE),"")</f>
        <v/>
      </c>
      <c r="K52" s="74" t="str">
        <f>IFERROR(VLOOKUP($A52,TableHandbook[],K$2,FALSE),"")</f>
        <v/>
      </c>
      <c r="L52" s="70"/>
      <c r="M52" s="398">
        <v>12</v>
      </c>
    </row>
    <row r="53" spans="1:13" x14ac:dyDescent="0.25">
      <c r="A53" s="51" t="str">
        <f t="shared" si="10"/>
        <v/>
      </c>
      <c r="B53" s="52" t="str">
        <f>IFERROR(IF(VLOOKUP($A53,TableHandbook[],2,FALSE)=0,"",VLOOKUP($A53,TableHandbook[],2,FALSE)),"")</f>
        <v/>
      </c>
      <c r="C53" s="53" t="str">
        <f>IFERROR(IF(VLOOKUP($A53,TableHandbook[],3,FALSE)=0,"",VLOOKUP($A53,TableHandbook[],3,FALSE)),"")</f>
        <v/>
      </c>
      <c r="D53" s="53" t="str">
        <f>IFERROR(IF(VLOOKUP($A53,TableHandbook[],4,FALSE)=0,"",VLOOKUP($A53,TableHandbook[],4,FALSE)),"")</f>
        <v/>
      </c>
      <c r="E53" s="54"/>
      <c r="F53" s="292" t="str">
        <f>IFERROR(IF(VLOOKUP($A53,TableHandbook[],6,FALSE)=0,"",VLOOKUP($A53,TableHandbook[],6,FALSE)),"")</f>
        <v/>
      </c>
      <c r="G53" s="55" t="str">
        <f>IFERROR(IF(VLOOKUP($A53,TableHandbook[],5,FALSE)=0,"",VLOOKUP($A53,TableHandbook[],5,FALSE)),"")</f>
        <v/>
      </c>
      <c r="H53" s="73" t="str">
        <f>IFERROR(VLOOKUP($A53,TableHandbook[],H$2,FALSE),"")</f>
        <v/>
      </c>
      <c r="I53" s="229" t="str">
        <f>IFERROR(VLOOKUP($A53,TableHandbook[],I$2,FALSE),"")</f>
        <v/>
      </c>
      <c r="J53" s="65" t="str">
        <f>IFERROR(VLOOKUP($A53,TableHandbook[],J$2,FALSE),"")</f>
        <v/>
      </c>
      <c r="K53" s="74" t="str">
        <f>IFERROR(VLOOKUP($A53,TableHandbook[],K$2,FALSE),"")</f>
        <v/>
      </c>
      <c r="L53" s="70"/>
      <c r="M53" s="398">
        <v>13</v>
      </c>
    </row>
    <row r="54" spans="1:13" x14ac:dyDescent="0.25">
      <c r="A54" s="51" t="str">
        <f t="shared" si="10"/>
        <v/>
      </c>
      <c r="B54" s="52" t="str">
        <f>IFERROR(IF(VLOOKUP($A54,TableHandbook[],2,FALSE)=0,"",VLOOKUP($A54,TableHandbook[],2,FALSE)),"")</f>
        <v/>
      </c>
      <c r="C54" s="53" t="str">
        <f>IFERROR(IF(VLOOKUP($A54,TableHandbook[],3,FALSE)=0,"",VLOOKUP($A54,TableHandbook[],3,FALSE)),"")</f>
        <v/>
      </c>
      <c r="D54" s="53" t="str">
        <f>IFERROR(IF(VLOOKUP($A54,TableHandbook[],4,FALSE)=0,"",VLOOKUP($A54,TableHandbook[],4,FALSE)),"")</f>
        <v/>
      </c>
      <c r="E54" s="54"/>
      <c r="F54" s="292" t="str">
        <f>IFERROR(IF(VLOOKUP($A54,TableHandbook[],6,FALSE)=0,"",VLOOKUP($A54,TableHandbook[],6,FALSE)),"")</f>
        <v/>
      </c>
      <c r="G54" s="55" t="str">
        <f>IFERROR(IF(VLOOKUP($A54,TableHandbook[],5,FALSE)=0,"",VLOOKUP($A54,TableHandbook[],5,FALSE)),"")</f>
        <v/>
      </c>
      <c r="H54" s="73" t="str">
        <f>IFERROR(VLOOKUP($A54,TableHandbook[],H$2,FALSE),"")</f>
        <v/>
      </c>
      <c r="I54" s="229" t="str">
        <f>IFERROR(VLOOKUP($A54,TableHandbook[],I$2,FALSE),"")</f>
        <v/>
      </c>
      <c r="J54" s="65" t="str">
        <f>IFERROR(VLOOKUP($A54,TableHandbook[],J$2,FALSE),"")</f>
        <v/>
      </c>
      <c r="K54" s="74" t="str">
        <f>IFERROR(VLOOKUP($A54,TableHandbook[],K$2,FALSE),"")</f>
        <v/>
      </c>
      <c r="L54" s="70"/>
      <c r="M54" s="398">
        <v>14</v>
      </c>
    </row>
    <row r="55" spans="1:13" x14ac:dyDescent="0.25">
      <c r="A55" s="51" t="str">
        <f t="shared" si="10"/>
        <v/>
      </c>
      <c r="B55" s="52" t="str">
        <f>IFERROR(IF(VLOOKUP($A55,TableHandbook[],2,FALSE)=0,"",VLOOKUP($A55,TableHandbook[],2,FALSE)),"")</f>
        <v/>
      </c>
      <c r="C55" s="53" t="str">
        <f>IFERROR(IF(VLOOKUP($A55,TableHandbook[],3,FALSE)=0,"",VLOOKUP($A55,TableHandbook[],3,FALSE)),"")</f>
        <v/>
      </c>
      <c r="D55" s="53" t="str">
        <f>IFERROR(IF(VLOOKUP($A55,TableHandbook[],4,FALSE)=0,"",VLOOKUP($A55,TableHandbook[],4,FALSE)),"")</f>
        <v/>
      </c>
      <c r="E55" s="54"/>
      <c r="F55" s="292" t="str">
        <f>IFERROR(IF(VLOOKUP($A55,TableHandbook[],6,FALSE)=0,"",VLOOKUP($A55,TableHandbook[],6,FALSE)),"")</f>
        <v/>
      </c>
      <c r="G55" s="55" t="str">
        <f>IFERROR(IF(VLOOKUP($A55,TableHandbook[],5,FALSE)=0,"",VLOOKUP($A55,TableHandbook[],5,FALSE)),"")</f>
        <v/>
      </c>
      <c r="H55" s="73" t="str">
        <f>IFERROR(VLOOKUP($A55,TableHandbook[],H$2,FALSE),"")</f>
        <v/>
      </c>
      <c r="I55" s="229" t="str">
        <f>IFERROR(VLOOKUP($A55,TableHandbook[],I$2,FALSE),"")</f>
        <v/>
      </c>
      <c r="J55" s="65" t="str">
        <f>IFERROR(VLOOKUP($A55,TableHandbook[],J$2,FALSE),"")</f>
        <v/>
      </c>
      <c r="K55" s="74" t="str">
        <f>IFERROR(VLOOKUP($A55,TableHandbook[],K$2,FALSE),"")</f>
        <v/>
      </c>
      <c r="L55" s="70"/>
      <c r="M55" s="398">
        <v>15</v>
      </c>
    </row>
    <row r="56" spans="1:13" x14ac:dyDescent="0.25">
      <c r="A56" s="51" t="str">
        <f t="shared" si="10"/>
        <v/>
      </c>
      <c r="B56" s="52" t="str">
        <f>IFERROR(IF(VLOOKUP($A56,TableHandbook[],2,FALSE)=0,"",VLOOKUP($A56,TableHandbook[],2,FALSE)),"")</f>
        <v/>
      </c>
      <c r="C56" s="53" t="str">
        <f>IFERROR(IF(VLOOKUP($A56,TableHandbook[],3,FALSE)=0,"",VLOOKUP($A56,TableHandbook[],3,FALSE)),"")</f>
        <v/>
      </c>
      <c r="D56" s="53" t="str">
        <f>IFERROR(IF(VLOOKUP($A56,TableHandbook[],4,FALSE)=0,"",VLOOKUP($A56,TableHandbook[],4,FALSE)),"")</f>
        <v/>
      </c>
      <c r="E56" s="54"/>
      <c r="F56" s="292" t="str">
        <f>IFERROR(IF(VLOOKUP($A56,TableHandbook[],6,FALSE)=0,"",VLOOKUP($A56,TableHandbook[],6,FALSE)),"")</f>
        <v/>
      </c>
      <c r="G56" s="55" t="str">
        <f>IFERROR(IF(VLOOKUP($A56,TableHandbook[],5,FALSE)=0,"",VLOOKUP($A56,TableHandbook[],5,FALSE)),"")</f>
        <v/>
      </c>
      <c r="H56" s="73" t="str">
        <f>IFERROR(VLOOKUP($A56,TableHandbook[],H$2,FALSE),"")</f>
        <v/>
      </c>
      <c r="I56" s="229" t="str">
        <f>IFERROR(VLOOKUP($A56,TableHandbook[],I$2,FALSE),"")</f>
        <v/>
      </c>
      <c r="J56" s="65" t="str">
        <f>IFERROR(VLOOKUP($A56,TableHandbook[],J$2,FALSE),"")</f>
        <v/>
      </c>
      <c r="K56" s="74" t="str">
        <f>IFERROR(VLOOKUP($A56,TableHandbook[],K$2,FALSE),"")</f>
        <v/>
      </c>
      <c r="L56" s="70"/>
      <c r="M56" s="398">
        <v>16</v>
      </c>
    </row>
    <row r="57" spans="1:13" x14ac:dyDescent="0.25">
      <c r="A57" s="51" t="str">
        <f t="shared" si="10"/>
        <v/>
      </c>
      <c r="B57" s="52" t="str">
        <f>IFERROR(IF(VLOOKUP($A57,TableHandbook[],2,FALSE)=0,"",VLOOKUP($A57,TableHandbook[],2,FALSE)),"")</f>
        <v/>
      </c>
      <c r="C57" s="53" t="str">
        <f>IFERROR(IF(VLOOKUP($A57,TableHandbook[],3,FALSE)=0,"",VLOOKUP($A57,TableHandbook[],3,FALSE)),"")</f>
        <v/>
      </c>
      <c r="D57" s="53" t="str">
        <f>IFERROR(IF(VLOOKUP($A57,TableHandbook[],4,FALSE)=0,"",VLOOKUP($A57,TableHandbook[],4,FALSE)),"")</f>
        <v/>
      </c>
      <c r="E57" s="54"/>
      <c r="F57" s="292" t="str">
        <f>IFERROR(IF(VLOOKUP($A57,TableHandbook[],6,FALSE)=0,"",VLOOKUP($A57,TableHandbook[],6,FALSE)),"")</f>
        <v/>
      </c>
      <c r="G57" s="55" t="str">
        <f>IFERROR(IF(VLOOKUP($A57,TableHandbook[],5,FALSE)=0,"",VLOOKUP($A57,TableHandbook[],5,FALSE)),"")</f>
        <v/>
      </c>
      <c r="H57" s="73" t="str">
        <f>IFERROR(VLOOKUP($A57,TableHandbook[],H$2,FALSE),"")</f>
        <v/>
      </c>
      <c r="I57" s="229" t="str">
        <f>IFERROR(VLOOKUP($A57,TableHandbook[],I$2,FALSE),"")</f>
        <v/>
      </c>
      <c r="J57" s="65" t="str">
        <f>IFERROR(VLOOKUP($A57,TableHandbook[],J$2,FALSE),"")</f>
        <v/>
      </c>
      <c r="K57" s="74" t="str">
        <f>IFERROR(VLOOKUP($A57,TableHandbook[],K$2,FALSE),"")</f>
        <v/>
      </c>
      <c r="L57" s="70"/>
      <c r="M57" s="398">
        <v>17</v>
      </c>
    </row>
    <row r="58" spans="1:13" x14ac:dyDescent="0.25">
      <c r="A58" s="51" t="str">
        <f t="shared" si="10"/>
        <v/>
      </c>
      <c r="B58" s="52" t="str">
        <f>IFERROR(IF(VLOOKUP($A58,TableHandbook[],2,FALSE)=0,"",VLOOKUP($A58,TableHandbook[],2,FALSE)),"")</f>
        <v/>
      </c>
      <c r="C58" s="53" t="str">
        <f>IFERROR(IF(VLOOKUP($A58,TableHandbook[],3,FALSE)=0,"",VLOOKUP($A58,TableHandbook[],3,FALSE)),"")</f>
        <v/>
      </c>
      <c r="D58" s="53" t="str">
        <f>IFERROR(IF(VLOOKUP($A58,TableHandbook[],4,FALSE)=0,"",VLOOKUP($A58,TableHandbook[],4,FALSE)),"")</f>
        <v/>
      </c>
      <c r="E58" s="54"/>
      <c r="F58" s="292" t="str">
        <f>IFERROR(IF(VLOOKUP($A58,TableHandbook[],6,FALSE)=0,"",VLOOKUP($A58,TableHandbook[],6,FALSE)),"")</f>
        <v/>
      </c>
      <c r="G58" s="55" t="str">
        <f>IFERROR(IF(VLOOKUP($A58,TableHandbook[],5,FALSE)=0,"",VLOOKUP($A58,TableHandbook[],5,FALSE)),"")</f>
        <v/>
      </c>
      <c r="H58" s="73" t="str">
        <f>IFERROR(VLOOKUP($A58,TableHandbook[],H$2,FALSE),"")</f>
        <v/>
      </c>
      <c r="I58" s="229" t="str">
        <f>IFERROR(VLOOKUP($A58,TableHandbook[],I$2,FALSE),"")</f>
        <v/>
      </c>
      <c r="J58" s="65" t="str">
        <f>IFERROR(VLOOKUP($A58,TableHandbook[],J$2,FALSE),"")</f>
        <v/>
      </c>
      <c r="K58" s="74" t="str">
        <f>IFERROR(VLOOKUP($A58,TableHandbook[],K$2,FALSE),"")</f>
        <v/>
      </c>
      <c r="L58" s="70"/>
      <c r="M58" s="398">
        <v>18</v>
      </c>
    </row>
    <row r="59" spans="1:13" x14ac:dyDescent="0.25">
      <c r="A59" s="51" t="str">
        <f t="shared" si="10"/>
        <v/>
      </c>
      <c r="B59" s="52" t="str">
        <f>IFERROR(IF(VLOOKUP($A59,TableHandbook[],2,FALSE)=0,"",VLOOKUP($A59,TableHandbook[],2,FALSE)),"")</f>
        <v/>
      </c>
      <c r="C59" s="53" t="str">
        <f>IFERROR(IF(VLOOKUP($A59,TableHandbook[],3,FALSE)=0,"",VLOOKUP($A59,TableHandbook[],3,FALSE)),"")</f>
        <v/>
      </c>
      <c r="D59" s="53" t="str">
        <f>IFERROR(IF(VLOOKUP($A59,TableHandbook[],4,FALSE)=0,"",VLOOKUP($A59,TableHandbook[],4,FALSE)),"")</f>
        <v/>
      </c>
      <c r="E59" s="54"/>
      <c r="F59" s="292" t="str">
        <f>IFERROR(IF(VLOOKUP($A59,TableHandbook[],6,FALSE)=0,"",VLOOKUP($A59,TableHandbook[],6,FALSE)),"")</f>
        <v/>
      </c>
      <c r="G59" s="55" t="str">
        <f>IFERROR(IF(VLOOKUP($A59,TableHandbook[],5,FALSE)=0,"",VLOOKUP($A59,TableHandbook[],5,FALSE)),"")</f>
        <v/>
      </c>
      <c r="H59" s="73" t="str">
        <f>IFERROR(VLOOKUP($A59,TableHandbook[],H$2,FALSE),"")</f>
        <v/>
      </c>
      <c r="I59" s="229" t="str">
        <f>IFERROR(VLOOKUP($A59,TableHandbook[],I$2,FALSE),"")</f>
        <v/>
      </c>
      <c r="J59" s="65" t="str">
        <f>IFERROR(VLOOKUP($A59,TableHandbook[],J$2,FALSE),"")</f>
        <v/>
      </c>
      <c r="K59" s="74" t="str">
        <f>IFERROR(VLOOKUP($A59,TableHandbook[],K$2,FALSE),"")</f>
        <v/>
      </c>
      <c r="L59" s="70"/>
      <c r="M59" s="398">
        <v>19</v>
      </c>
    </row>
    <row r="60" spans="1:13" x14ac:dyDescent="0.25">
      <c r="A60" s="51" t="str">
        <f t="shared" si="10"/>
        <v/>
      </c>
      <c r="B60" s="52" t="str">
        <f>IFERROR(IF(VLOOKUP($A60,TableHandbook[],2,FALSE)=0,"",VLOOKUP($A60,TableHandbook[],2,FALSE)),"")</f>
        <v/>
      </c>
      <c r="C60" s="53" t="str">
        <f>IFERROR(IF(VLOOKUP($A60,TableHandbook[],3,FALSE)=0,"",VLOOKUP($A60,TableHandbook[],3,FALSE)),"")</f>
        <v/>
      </c>
      <c r="D60" s="53" t="str">
        <f>IFERROR(IF(VLOOKUP($A60,TableHandbook[],4,FALSE)=0,"",VLOOKUP($A60,TableHandbook[],4,FALSE)),"")</f>
        <v/>
      </c>
      <c r="E60" s="54"/>
      <c r="F60" s="292" t="str">
        <f>IFERROR(IF(VLOOKUP($A60,TableHandbook[],6,FALSE)=0,"",VLOOKUP($A60,TableHandbook[],6,FALSE)),"")</f>
        <v/>
      </c>
      <c r="G60" s="55" t="str">
        <f>IFERROR(IF(VLOOKUP($A60,TableHandbook[],5,FALSE)=0,"",VLOOKUP($A60,TableHandbook[],5,FALSE)),"")</f>
        <v/>
      </c>
      <c r="H60" s="73" t="str">
        <f>IFERROR(VLOOKUP($A60,TableHandbook[],H$2,FALSE),"")</f>
        <v/>
      </c>
      <c r="I60" s="229" t="str">
        <f>IFERROR(VLOOKUP($A60,TableHandbook[],I$2,FALSE),"")</f>
        <v/>
      </c>
      <c r="J60" s="65" t="str">
        <f>IFERROR(VLOOKUP($A60,TableHandbook[],J$2,FALSE),"")</f>
        <v/>
      </c>
      <c r="K60" s="74" t="str">
        <f>IFERROR(VLOOKUP($A60,TableHandbook[],K$2,FALSE),"")</f>
        <v/>
      </c>
      <c r="L60" s="70"/>
      <c r="M60" s="398">
        <v>20</v>
      </c>
    </row>
    <row r="61" spans="1:13" x14ac:dyDescent="0.25">
      <c r="A61" s="51" t="str">
        <f t="shared" si="10"/>
        <v/>
      </c>
      <c r="B61" s="52" t="str">
        <f>IFERROR(IF(VLOOKUP($A61,TableHandbook[],2,FALSE)=0,"",VLOOKUP($A61,TableHandbook[],2,FALSE)),"")</f>
        <v/>
      </c>
      <c r="C61" s="53" t="str">
        <f>IFERROR(IF(VLOOKUP($A61,TableHandbook[],3,FALSE)=0,"",VLOOKUP($A61,TableHandbook[],3,FALSE)),"")</f>
        <v/>
      </c>
      <c r="D61" s="53" t="str">
        <f>IFERROR(IF(VLOOKUP($A61,TableHandbook[],4,FALSE)=0,"",VLOOKUP($A61,TableHandbook[],4,FALSE)),"")</f>
        <v/>
      </c>
      <c r="E61" s="54"/>
      <c r="F61" s="292" t="str">
        <f>IFERROR(IF(VLOOKUP($A61,TableHandbook[],6,FALSE)=0,"",VLOOKUP($A61,TableHandbook[],6,FALSE)),"")</f>
        <v/>
      </c>
      <c r="G61" s="55" t="str">
        <f>IFERROR(IF(VLOOKUP($A61,TableHandbook[],5,FALSE)=0,"",VLOOKUP($A61,TableHandbook[],5,FALSE)),"")</f>
        <v/>
      </c>
      <c r="H61" s="73" t="str">
        <f>IFERROR(VLOOKUP($A61,TableHandbook[],H$2,FALSE),"")</f>
        <v/>
      </c>
      <c r="I61" s="229" t="str">
        <f>IFERROR(VLOOKUP($A61,TableHandbook[],I$2,FALSE),"")</f>
        <v/>
      </c>
      <c r="J61" s="65" t="str">
        <f>IFERROR(VLOOKUP($A61,TableHandbook[],J$2,FALSE),"")</f>
        <v/>
      </c>
      <c r="K61" s="74" t="str">
        <f>IFERROR(VLOOKUP($A61,TableHandbook[],K$2,FALSE),"")</f>
        <v/>
      </c>
      <c r="L61" s="70"/>
      <c r="M61" s="398">
        <v>21</v>
      </c>
    </row>
    <row r="62" spans="1:13" x14ac:dyDescent="0.25">
      <c r="A62" s="51" t="str">
        <f t="shared" si="10"/>
        <v/>
      </c>
      <c r="B62" s="52" t="str">
        <f>IFERROR(IF(VLOOKUP($A62,TableHandbook[],2,FALSE)=0,"",VLOOKUP($A62,TableHandbook[],2,FALSE)),"")</f>
        <v/>
      </c>
      <c r="C62" s="53" t="str">
        <f>IFERROR(IF(VLOOKUP($A62,TableHandbook[],3,FALSE)=0,"",VLOOKUP($A62,TableHandbook[],3,FALSE)),"")</f>
        <v/>
      </c>
      <c r="D62" s="53" t="str">
        <f>IFERROR(IF(VLOOKUP($A62,TableHandbook[],4,FALSE)=0,"",VLOOKUP($A62,TableHandbook[],4,FALSE)),"")</f>
        <v/>
      </c>
      <c r="E62" s="54"/>
      <c r="F62" s="292" t="str">
        <f>IFERROR(IF(VLOOKUP($A62,TableHandbook[],6,FALSE)=0,"",VLOOKUP($A62,TableHandbook[],6,FALSE)),"")</f>
        <v/>
      </c>
      <c r="G62" s="55" t="str">
        <f>IFERROR(IF(VLOOKUP($A62,TableHandbook[],5,FALSE)=0,"",VLOOKUP($A62,TableHandbook[],5,FALSE)),"")</f>
        <v/>
      </c>
      <c r="H62" s="73" t="str">
        <f>IFERROR(VLOOKUP($A62,TableHandbook[],H$2,FALSE),"")</f>
        <v/>
      </c>
      <c r="I62" s="229" t="str">
        <f>IFERROR(VLOOKUP($A62,TableHandbook[],I$2,FALSE),"")</f>
        <v/>
      </c>
      <c r="J62" s="65" t="str">
        <f>IFERROR(VLOOKUP($A62,TableHandbook[],J$2,FALSE),"")</f>
        <v/>
      </c>
      <c r="K62" s="74" t="str">
        <f>IFERROR(VLOOKUP($A62,TableHandbook[],K$2,FALSE),"")</f>
        <v/>
      </c>
      <c r="L62" s="70"/>
      <c r="M62" s="398">
        <v>22</v>
      </c>
    </row>
    <row r="63" spans="1:13" x14ac:dyDescent="0.25">
      <c r="A63" s="51" t="str">
        <f t="shared" si="10"/>
        <v/>
      </c>
      <c r="B63" s="52" t="str">
        <f>IFERROR(IF(VLOOKUP($A63,TableHandbook[],2,FALSE)=0,"",VLOOKUP($A63,TableHandbook[],2,FALSE)),"")</f>
        <v/>
      </c>
      <c r="C63" s="53" t="str">
        <f>IFERROR(IF(VLOOKUP($A63,TableHandbook[],3,FALSE)=0,"",VLOOKUP($A63,TableHandbook[],3,FALSE)),"")</f>
        <v/>
      </c>
      <c r="D63" s="53" t="str">
        <f>IFERROR(IF(VLOOKUP($A63,TableHandbook[],4,FALSE)=0,"",VLOOKUP($A63,TableHandbook[],4,FALSE)),"")</f>
        <v/>
      </c>
      <c r="E63" s="54"/>
      <c r="F63" s="292" t="str">
        <f>IFERROR(IF(VLOOKUP($A63,TableHandbook[],6,FALSE)=0,"",VLOOKUP($A63,TableHandbook[],6,FALSE)),"")</f>
        <v/>
      </c>
      <c r="G63" s="55" t="str">
        <f>IFERROR(IF(VLOOKUP($A63,TableHandbook[],5,FALSE)=0,"",VLOOKUP($A63,TableHandbook[],5,FALSE)),"")</f>
        <v/>
      </c>
      <c r="H63" s="73" t="str">
        <f>IFERROR(VLOOKUP($A63,TableHandbook[],H$2,FALSE),"")</f>
        <v/>
      </c>
      <c r="I63" s="229" t="str">
        <f>IFERROR(VLOOKUP($A63,TableHandbook[],I$2,FALSE),"")</f>
        <v/>
      </c>
      <c r="J63" s="65" t="str">
        <f>IFERROR(VLOOKUP($A63,TableHandbook[],J$2,FALSE),"")</f>
        <v/>
      </c>
      <c r="K63" s="74" t="str">
        <f>IFERROR(VLOOKUP($A63,TableHandbook[],K$2,FALSE),"")</f>
        <v/>
      </c>
      <c r="L63" s="70"/>
      <c r="M63" s="398">
        <v>23</v>
      </c>
    </row>
    <row r="64" spans="1:13" x14ac:dyDescent="0.25">
      <c r="A64" s="51" t="str">
        <f t="shared" si="10"/>
        <v/>
      </c>
      <c r="B64" s="52" t="str">
        <f>IFERROR(IF(VLOOKUP($A64,TableHandbook[],2,FALSE)=0,"",VLOOKUP($A64,TableHandbook[],2,FALSE)),"")</f>
        <v/>
      </c>
      <c r="C64" s="53" t="str">
        <f>IFERROR(IF(VLOOKUP($A64,TableHandbook[],3,FALSE)=0,"",VLOOKUP($A64,TableHandbook[],3,FALSE)),"")</f>
        <v/>
      </c>
      <c r="D64" s="53" t="str">
        <f>IFERROR(IF(VLOOKUP($A64,TableHandbook[],4,FALSE)=0,"",VLOOKUP($A64,TableHandbook[],4,FALSE)),"")</f>
        <v/>
      </c>
      <c r="E64" s="54"/>
      <c r="F64" s="292" t="str">
        <f>IFERROR(IF(VLOOKUP($A64,TableHandbook[],6,FALSE)=0,"",VLOOKUP($A64,TableHandbook[],6,FALSE)),"")</f>
        <v/>
      </c>
      <c r="G64" s="55" t="str">
        <f>IFERROR(IF(VLOOKUP($A64,TableHandbook[],5,FALSE)=0,"",VLOOKUP($A64,TableHandbook[],5,FALSE)),"")</f>
        <v/>
      </c>
      <c r="H64" s="73" t="str">
        <f>IFERROR(VLOOKUP($A64,TableHandbook[],H$2,FALSE),"")</f>
        <v/>
      </c>
      <c r="I64" s="229" t="str">
        <f>IFERROR(VLOOKUP($A64,TableHandbook[],I$2,FALSE),"")</f>
        <v/>
      </c>
      <c r="J64" s="65" t="str">
        <f>IFERROR(VLOOKUP($A64,TableHandbook[],J$2,FALSE),"")</f>
        <v/>
      </c>
      <c r="K64" s="74" t="str">
        <f>IFERROR(VLOOKUP($A64,TableHandbook[],K$2,FALSE),"")</f>
        <v/>
      </c>
      <c r="L64" s="70"/>
      <c r="M64" s="398">
        <v>24</v>
      </c>
    </row>
    <row r="65" spans="1:15" x14ac:dyDescent="0.25">
      <c r="A65" s="51" t="str">
        <f t="shared" si="10"/>
        <v/>
      </c>
      <c r="B65" s="52" t="str">
        <f>IFERROR(IF(VLOOKUP($A65,TableHandbook[],2,FALSE)=0,"",VLOOKUP($A65,TableHandbook[],2,FALSE)),"")</f>
        <v/>
      </c>
      <c r="C65" s="53" t="str">
        <f>IFERROR(IF(VLOOKUP($A65,TableHandbook[],3,FALSE)=0,"",VLOOKUP($A65,TableHandbook[],3,FALSE)),"")</f>
        <v/>
      </c>
      <c r="D65" s="53" t="str">
        <f>IFERROR(IF(VLOOKUP($A65,TableHandbook[],4,FALSE)=0,"",VLOOKUP($A65,TableHandbook[],4,FALSE)),"")</f>
        <v/>
      </c>
      <c r="E65" s="54"/>
      <c r="F65" s="292" t="str">
        <f>IFERROR(IF(VLOOKUP($A65,TableHandbook[],6,FALSE)=0,"",VLOOKUP($A65,TableHandbook[],6,FALSE)),"")</f>
        <v/>
      </c>
      <c r="G65" s="55" t="str">
        <f>IFERROR(IF(VLOOKUP($A65,TableHandbook[],5,FALSE)=0,"",VLOOKUP($A65,TableHandbook[],5,FALSE)),"")</f>
        <v/>
      </c>
      <c r="H65" s="73" t="str">
        <f>IFERROR(VLOOKUP($A65,TableHandbook[],H$2,FALSE),"")</f>
        <v/>
      </c>
      <c r="I65" s="229" t="str">
        <f>IFERROR(VLOOKUP($A65,TableHandbook[],I$2,FALSE),"")</f>
        <v/>
      </c>
      <c r="J65" s="65" t="str">
        <f>IFERROR(VLOOKUP($A65,TableHandbook[],J$2,FALSE),"")</f>
        <v/>
      </c>
      <c r="K65" s="74" t="str">
        <f>IFERROR(VLOOKUP($A65,TableHandbook[],K$2,FALSE),"")</f>
        <v/>
      </c>
      <c r="L65" s="70"/>
      <c r="M65" s="398">
        <v>25</v>
      </c>
    </row>
    <row r="66" spans="1:15" x14ac:dyDescent="0.25">
      <c r="A66" s="51" t="str">
        <f t="shared" si="10"/>
        <v/>
      </c>
      <c r="B66" s="52" t="str">
        <f>IFERROR(IF(VLOOKUP($A66,TableHandbook[],2,FALSE)=0,"",VLOOKUP($A66,TableHandbook[],2,FALSE)),"")</f>
        <v/>
      </c>
      <c r="C66" s="53" t="str">
        <f>IFERROR(IF(VLOOKUP($A66,TableHandbook[],3,FALSE)=0,"",VLOOKUP($A66,TableHandbook[],3,FALSE)),"")</f>
        <v/>
      </c>
      <c r="D66" s="53" t="str">
        <f>IFERROR(IF(VLOOKUP($A66,TableHandbook[],4,FALSE)=0,"",VLOOKUP($A66,TableHandbook[],4,FALSE)),"")</f>
        <v/>
      </c>
      <c r="E66" s="54"/>
      <c r="F66" s="292" t="str">
        <f>IFERROR(IF(VLOOKUP($A66,TableHandbook[],6,FALSE)=0,"",VLOOKUP($A66,TableHandbook[],6,FALSE)),"")</f>
        <v/>
      </c>
      <c r="G66" s="55" t="str">
        <f>IFERROR(IF(VLOOKUP($A66,TableHandbook[],5,FALSE)=0,"",VLOOKUP($A66,TableHandbook[],5,FALSE)),"")</f>
        <v/>
      </c>
      <c r="H66" s="73" t="str">
        <f>IFERROR(VLOOKUP($A66,TableHandbook[],H$2,FALSE),"")</f>
        <v/>
      </c>
      <c r="I66" s="229" t="str">
        <f>IFERROR(VLOOKUP($A66,TableHandbook[],I$2,FALSE),"")</f>
        <v/>
      </c>
      <c r="J66" s="65" t="str">
        <f>IFERROR(VLOOKUP($A66,TableHandbook[],J$2,FALSE),"")</f>
        <v/>
      </c>
      <c r="K66" s="74" t="str">
        <f>IFERROR(VLOOKUP($A66,TableHandbook[],K$2,FALSE),"")</f>
        <v/>
      </c>
      <c r="L66" s="70"/>
      <c r="M66" s="398">
        <v>26</v>
      </c>
    </row>
    <row r="67" spans="1:15" x14ac:dyDescent="0.25">
      <c r="A67" s="51" t="str">
        <f t="shared" si="10"/>
        <v/>
      </c>
      <c r="B67" s="52" t="str">
        <f>IFERROR(IF(VLOOKUP($A67,TableHandbook[],2,FALSE)=0,"",VLOOKUP($A67,TableHandbook[],2,FALSE)),"")</f>
        <v/>
      </c>
      <c r="C67" s="53" t="str">
        <f>IFERROR(IF(VLOOKUP($A67,TableHandbook[],3,FALSE)=0,"",VLOOKUP($A67,TableHandbook[],3,FALSE)),"")</f>
        <v/>
      </c>
      <c r="D67" s="53" t="str">
        <f>IFERROR(IF(VLOOKUP($A67,TableHandbook[],4,FALSE)=0,"",VLOOKUP($A67,TableHandbook[],4,FALSE)),"")</f>
        <v/>
      </c>
      <c r="E67" s="54"/>
      <c r="F67" s="292" t="str">
        <f>IFERROR(IF(VLOOKUP($A67,TableHandbook[],6,FALSE)=0,"",VLOOKUP($A67,TableHandbook[],6,FALSE)),"")</f>
        <v/>
      </c>
      <c r="G67" s="55" t="str">
        <f>IFERROR(IF(VLOOKUP($A67,TableHandbook[],5,FALSE)=0,"",VLOOKUP($A67,TableHandbook[],5,FALSE)),"")</f>
        <v/>
      </c>
      <c r="H67" s="73" t="str">
        <f>IFERROR(VLOOKUP($A67,TableHandbook[],H$2,FALSE),"")</f>
        <v/>
      </c>
      <c r="I67" s="229" t="str">
        <f>IFERROR(VLOOKUP($A67,TableHandbook[],I$2,FALSE),"")</f>
        <v/>
      </c>
      <c r="J67" s="65" t="str">
        <f>IFERROR(VLOOKUP($A67,TableHandbook[],J$2,FALSE),"")</f>
        <v/>
      </c>
      <c r="K67" s="74" t="str">
        <f>IFERROR(VLOOKUP($A67,TableHandbook[],K$2,FALSE),"")</f>
        <v/>
      </c>
      <c r="L67" s="70"/>
      <c r="M67" s="398">
        <v>27</v>
      </c>
    </row>
    <row r="68" spans="1:15" x14ac:dyDescent="0.25">
      <c r="A68" s="51" t="str">
        <f t="shared" si="10"/>
        <v/>
      </c>
      <c r="B68" s="52" t="str">
        <f>IFERROR(IF(VLOOKUP($A68,TableHandbook[],2,FALSE)=0,"",VLOOKUP($A68,TableHandbook[],2,FALSE)),"")</f>
        <v/>
      </c>
      <c r="C68" s="53" t="str">
        <f>IFERROR(IF(VLOOKUP($A68,TableHandbook[],3,FALSE)=0,"",VLOOKUP($A68,TableHandbook[],3,FALSE)),"")</f>
        <v/>
      </c>
      <c r="D68" s="53" t="str">
        <f>IFERROR(IF(VLOOKUP($A68,TableHandbook[],4,FALSE)=0,"",VLOOKUP($A68,TableHandbook[],4,FALSE)),"")</f>
        <v/>
      </c>
      <c r="E68" s="54"/>
      <c r="F68" s="292" t="str">
        <f>IFERROR(IF(VLOOKUP($A68,TableHandbook[],6,FALSE)=0,"",VLOOKUP($A68,TableHandbook[],6,FALSE)),"")</f>
        <v/>
      </c>
      <c r="G68" s="55" t="str">
        <f>IFERROR(IF(VLOOKUP($A68,TableHandbook[],5,FALSE)=0,"",VLOOKUP($A68,TableHandbook[],5,FALSE)),"")</f>
        <v/>
      </c>
      <c r="H68" s="73" t="str">
        <f>IFERROR(VLOOKUP($A68,TableHandbook[],H$2,FALSE),"")</f>
        <v/>
      </c>
      <c r="I68" s="229" t="str">
        <f>IFERROR(VLOOKUP($A68,TableHandbook[],I$2,FALSE),"")</f>
        <v/>
      </c>
      <c r="J68" s="65" t="str">
        <f>IFERROR(VLOOKUP($A68,TableHandbook[],J$2,FALSE),"")</f>
        <v/>
      </c>
      <c r="K68" s="74" t="str">
        <f>IFERROR(VLOOKUP($A68,TableHandbook[],K$2,FALSE),"")</f>
        <v/>
      </c>
      <c r="L68" s="70"/>
      <c r="M68" s="398">
        <v>28</v>
      </c>
    </row>
    <row r="69" spans="1:15" x14ac:dyDescent="0.25">
      <c r="A69" s="51" t="str">
        <f t="shared" si="10"/>
        <v/>
      </c>
      <c r="B69" s="52" t="str">
        <f>IFERROR(IF(VLOOKUP($A69,TableHandbook[],2,FALSE)=0,"",VLOOKUP($A69,TableHandbook[],2,FALSE)),"")</f>
        <v/>
      </c>
      <c r="C69" s="53" t="str">
        <f>IFERROR(IF(VLOOKUP($A69,TableHandbook[],3,FALSE)=0,"",VLOOKUP($A69,TableHandbook[],3,FALSE)),"")</f>
        <v/>
      </c>
      <c r="D69" s="53" t="str">
        <f>IFERROR(IF(VLOOKUP($A69,TableHandbook[],4,FALSE)=0,"",VLOOKUP($A69,TableHandbook[],4,FALSE)),"")</f>
        <v/>
      </c>
      <c r="E69" s="54"/>
      <c r="F69" s="292" t="str">
        <f>IFERROR(IF(VLOOKUP($A69,TableHandbook[],6,FALSE)=0,"",VLOOKUP($A69,TableHandbook[],6,FALSE)),"")</f>
        <v/>
      </c>
      <c r="G69" s="55" t="str">
        <f>IFERROR(IF(VLOOKUP($A69,TableHandbook[],5,FALSE)=0,"",VLOOKUP($A69,TableHandbook[],5,FALSE)),"")</f>
        <v/>
      </c>
      <c r="H69" s="73" t="str">
        <f>IFERROR(VLOOKUP($A69,TableHandbook[],H$2,FALSE),"")</f>
        <v/>
      </c>
      <c r="I69" s="229" t="str">
        <f>IFERROR(VLOOKUP($A69,TableHandbook[],I$2,FALSE),"")</f>
        <v/>
      </c>
      <c r="J69" s="65" t="str">
        <f>IFERROR(VLOOKUP($A69,TableHandbook[],J$2,FALSE),"")</f>
        <v/>
      </c>
      <c r="K69" s="74" t="str">
        <f>IFERROR(VLOOKUP($A69,TableHandbook[],K$2,FALSE),"")</f>
        <v/>
      </c>
      <c r="L69" s="70"/>
      <c r="M69" s="398">
        <v>29</v>
      </c>
    </row>
    <row r="70" spans="1:15" x14ac:dyDescent="0.25">
      <c r="A70" s="51" t="str">
        <f t="shared" si="10"/>
        <v/>
      </c>
      <c r="B70" s="52" t="str">
        <f>IFERROR(IF(VLOOKUP($A70,TableHandbook[],2,FALSE)=0,"",VLOOKUP($A70,TableHandbook[],2,FALSE)),"")</f>
        <v/>
      </c>
      <c r="C70" s="53" t="str">
        <f>IFERROR(IF(VLOOKUP($A70,TableHandbook[],3,FALSE)=0,"",VLOOKUP($A70,TableHandbook[],3,FALSE)),"")</f>
        <v/>
      </c>
      <c r="D70" s="53" t="str">
        <f>IFERROR(IF(VLOOKUP($A70,TableHandbook[],4,FALSE)=0,"",VLOOKUP($A70,TableHandbook[],4,FALSE)),"")</f>
        <v/>
      </c>
      <c r="E70" s="54"/>
      <c r="F70" s="292" t="str">
        <f>IFERROR(IF(VLOOKUP($A70,TableHandbook[],6,FALSE)=0,"",VLOOKUP($A70,TableHandbook[],6,FALSE)),"")</f>
        <v/>
      </c>
      <c r="G70" s="55" t="str">
        <f>IFERROR(IF(VLOOKUP($A70,TableHandbook[],5,FALSE)=0,"",VLOOKUP($A70,TableHandbook[],5,FALSE)),"")</f>
        <v/>
      </c>
      <c r="H70" s="73" t="str">
        <f>IFERROR(VLOOKUP($A70,TableHandbook[],H$2,FALSE),"")</f>
        <v/>
      </c>
      <c r="I70" s="229" t="str">
        <f>IFERROR(VLOOKUP($A70,TableHandbook[],I$2,FALSE),"")</f>
        <v/>
      </c>
      <c r="J70" s="65" t="str">
        <f>IFERROR(VLOOKUP($A70,TableHandbook[],J$2,FALSE),"")</f>
        <v/>
      </c>
      <c r="K70" s="74" t="str">
        <f>IFERROR(VLOOKUP($A70,TableHandbook[],K$2,FALSE),"")</f>
        <v/>
      </c>
      <c r="L70" s="70"/>
      <c r="M70" s="398">
        <v>30</v>
      </c>
    </row>
    <row r="71" spans="1:15" x14ac:dyDescent="0.25">
      <c r="A71" s="51" t="str">
        <f t="shared" si="10"/>
        <v/>
      </c>
      <c r="B71" s="52" t="str">
        <f>IFERROR(IF(VLOOKUP($A71,TableHandbook[],2,FALSE)=0,"",VLOOKUP($A71,TableHandbook[],2,FALSE)),"")</f>
        <v/>
      </c>
      <c r="C71" s="53" t="str">
        <f>IFERROR(IF(VLOOKUP($A71,TableHandbook[],3,FALSE)=0,"",VLOOKUP($A71,TableHandbook[],3,FALSE)),"")</f>
        <v/>
      </c>
      <c r="D71" s="53" t="str">
        <f>IFERROR(IF(VLOOKUP($A71,TableHandbook[],4,FALSE)=0,"",VLOOKUP($A71,TableHandbook[],4,FALSE)),"")</f>
        <v/>
      </c>
      <c r="E71" s="54"/>
      <c r="F71" s="292" t="str">
        <f>IFERROR(IF(VLOOKUP($A71,TableHandbook[],6,FALSE)=0,"",VLOOKUP($A71,TableHandbook[],6,FALSE)),"")</f>
        <v/>
      </c>
      <c r="G71" s="55" t="str">
        <f>IFERROR(IF(VLOOKUP($A71,TableHandbook[],5,FALSE)=0,"",VLOOKUP($A71,TableHandbook[],5,FALSE)),"")</f>
        <v/>
      </c>
      <c r="H71" s="73" t="str">
        <f>IFERROR(VLOOKUP($A71,TableHandbook[],H$2,FALSE),"")</f>
        <v/>
      </c>
      <c r="I71" s="229" t="str">
        <f>IFERROR(VLOOKUP($A71,TableHandbook[],I$2,FALSE),"")</f>
        <v/>
      </c>
      <c r="J71" s="65" t="str">
        <f>IFERROR(VLOOKUP($A71,TableHandbook[],J$2,FALSE),"")</f>
        <v/>
      </c>
      <c r="K71" s="74" t="str">
        <f>IFERROR(VLOOKUP($A71,TableHandbook[],K$2,FALSE),"")</f>
        <v/>
      </c>
      <c r="L71" s="70"/>
      <c r="M71" s="398">
        <v>31</v>
      </c>
    </row>
    <row r="72" spans="1:15" s="46" customFormat="1" ht="13.9" customHeight="1" x14ac:dyDescent="0.2">
      <c r="A72" s="47"/>
      <c r="B72" s="47"/>
      <c r="C72" s="47"/>
      <c r="D72" s="48"/>
      <c r="E72" s="48"/>
      <c r="F72" s="43"/>
      <c r="G72" s="43"/>
      <c r="H72" s="43"/>
      <c r="I72" s="43"/>
      <c r="J72" s="43"/>
      <c r="K72" s="43"/>
      <c r="L72" s="43"/>
      <c r="M72" s="382"/>
      <c r="N72" s="188"/>
      <c r="O72" s="188"/>
    </row>
    <row r="73" spans="1:15" ht="32.25" customHeight="1" x14ac:dyDescent="0.25">
      <c r="A73" s="443" t="s">
        <v>31</v>
      </c>
      <c r="B73" s="443"/>
      <c r="C73" s="443"/>
      <c r="D73" s="443"/>
      <c r="E73" s="443"/>
      <c r="F73" s="443"/>
      <c r="G73" s="443"/>
      <c r="H73" s="443"/>
      <c r="I73" s="443"/>
      <c r="J73" s="443"/>
      <c r="K73" s="443"/>
      <c r="L73" s="443"/>
    </row>
    <row r="74" spans="1:15" s="41" customFormat="1" ht="24.95" customHeight="1" x14ac:dyDescent="0.3">
      <c r="A74" s="88" t="s">
        <v>32</v>
      </c>
      <c r="B74" s="88"/>
      <c r="C74" s="88"/>
      <c r="D74" s="89"/>
      <c r="E74" s="89"/>
      <c r="F74" s="89"/>
      <c r="G74" s="89"/>
      <c r="H74" s="89"/>
      <c r="I74" s="89"/>
      <c r="J74" s="89"/>
      <c r="K74" s="89"/>
      <c r="L74" s="89"/>
      <c r="M74" s="189"/>
      <c r="N74" s="189"/>
      <c r="O74" s="189"/>
    </row>
    <row r="75" spans="1:15" ht="15" customHeight="1" x14ac:dyDescent="0.25">
      <c r="A75" s="42" t="s">
        <v>33</v>
      </c>
      <c r="B75" s="42"/>
      <c r="C75" s="42"/>
      <c r="D75" s="42"/>
      <c r="E75" s="56"/>
      <c r="F75" s="43"/>
      <c r="G75" s="57"/>
      <c r="H75" s="57"/>
      <c r="I75" s="57"/>
      <c r="J75" s="57"/>
      <c r="K75" s="57"/>
      <c r="L75" s="57" t="s">
        <v>34</v>
      </c>
    </row>
    <row r="76" spans="1:15" ht="15" customHeight="1" x14ac:dyDescent="0.25">
      <c r="A76"/>
      <c r="B76"/>
      <c r="C76"/>
      <c r="D76"/>
      <c r="E76"/>
      <c r="F76"/>
      <c r="G76"/>
      <c r="H76"/>
      <c r="I76"/>
      <c r="J76"/>
      <c r="K76"/>
      <c r="L76"/>
    </row>
    <row r="77" spans="1:15" ht="16.5" x14ac:dyDescent="0.25">
      <c r="A77" s="399" t="str">
        <f>CONCATENATE("Alternate Core / Option Units - ",D7)</f>
        <v>Alternate Core / Option Units - Choose your Teaching Area Stream second (drop-down list)</v>
      </c>
      <c r="B77" s="400"/>
      <c r="C77" s="400"/>
      <c r="D77" s="401"/>
      <c r="E77" s="402"/>
      <c r="F77" s="402"/>
      <c r="G77" s="402"/>
      <c r="H77" s="403" t="str">
        <f>H9</f>
        <v>2025 Availabilities</v>
      </c>
      <c r="I77" s="404"/>
      <c r="J77" s="404"/>
      <c r="K77" s="399"/>
      <c r="L77" s="405"/>
      <c r="M77" s="390"/>
    </row>
    <row r="78" spans="1:15" s="50" customFormat="1" ht="21" x14ac:dyDescent="0.25">
      <c r="A78" s="406"/>
      <c r="B78" s="406"/>
      <c r="C78" s="406"/>
      <c r="D78" s="407" t="s">
        <v>3</v>
      </c>
      <c r="E78" s="406"/>
      <c r="F78" s="406" t="s">
        <v>19</v>
      </c>
      <c r="G78" s="406" t="s">
        <v>20</v>
      </c>
      <c r="H78" s="408" t="str">
        <f>H$10</f>
        <v>Sem1 BEN</v>
      </c>
      <c r="I78" s="409" t="str">
        <f t="shared" ref="I78:L78" si="11">I$10</f>
        <v>Sem1 FO</v>
      </c>
      <c r="J78" s="410" t="str">
        <f t="shared" si="11"/>
        <v>Sem2 BEN</v>
      </c>
      <c r="K78" s="410" t="str">
        <f t="shared" si="11"/>
        <v>Sem2 FO</v>
      </c>
      <c r="L78" s="411" t="str">
        <f t="shared" si="11"/>
        <v>Notes / Progress</v>
      </c>
      <c r="M78" s="390"/>
    </row>
    <row r="79" spans="1:15" x14ac:dyDescent="0.25">
      <c r="A79" s="51" t="str">
        <f t="shared" ref="A79:A107" si="12">IFERROR(IF(HLOOKUP($L$7,RangeStreamsSec,M79,FALSE)=0,"",HLOOKUP($L$7,RangeStreamsSec,M79,FALSE)),"")</f>
        <v/>
      </c>
      <c r="B79" s="52" t="str">
        <f>IFERROR(IF(VLOOKUP($A79,TableHandbook[],B$2,FALSE)=0,"",VLOOKUP($A79,TableHandbook[],B$2,FALSE)),"")</f>
        <v/>
      </c>
      <c r="C79" s="53" t="str">
        <f>IFERROR(IF(VLOOKUP($A79,TableHandbook[],C$2,FALSE)=0,"",VLOOKUP($A79,TableHandbook[],C$2,FALSE)),"")</f>
        <v/>
      </c>
      <c r="D79" s="54" t="str">
        <f>IFERROR(IF(VLOOKUP($A79,TableHandbook[],D$2,FALSE)=0,"",VLOOKUP($A79,TableHandbook[],D$2,FALSE)),"")</f>
        <v/>
      </c>
      <c r="E79" s="54"/>
      <c r="F79" s="291" t="str">
        <f>IFERROR(IF(VLOOKUP($A79,TableHandbook[],F$2,FALSE)=0,"",VLOOKUP($A79,TableHandbook[],F$2,FALSE)),"")</f>
        <v/>
      </c>
      <c r="G79" s="55" t="str">
        <f>IFERROR(IF(VLOOKUP($A79,TableHandbook[],G$2,FALSE)=0,"",VLOOKUP($A79,TableHandbook[],G$2,FALSE)),"")</f>
        <v/>
      </c>
      <c r="H79" s="73" t="str">
        <f>IFERROR(VLOOKUP($A79,TableHandbook[],H$2,FALSE),"")</f>
        <v/>
      </c>
      <c r="I79" s="229" t="str">
        <f>IFERROR(VLOOKUP($A79,TableHandbook[],I$2,FALSE),"")</f>
        <v/>
      </c>
      <c r="J79" s="65" t="str">
        <f>IFERROR(VLOOKUP($A79,TableHandbook[],J$2,FALSE),"")</f>
        <v/>
      </c>
      <c r="K79" s="74" t="str">
        <f>IFERROR(VLOOKUP($A79,TableHandbook[],K$2,FALSE),"")</f>
        <v/>
      </c>
      <c r="L79" s="70"/>
      <c r="M79" s="412">
        <v>8</v>
      </c>
    </row>
    <row r="80" spans="1:15" x14ac:dyDescent="0.25">
      <c r="A80" s="51" t="str">
        <f t="shared" si="12"/>
        <v/>
      </c>
      <c r="B80" s="52" t="str">
        <f>IFERROR(IF(VLOOKUP($A80,TableHandbook[],2,FALSE)=0,"",VLOOKUP($A80,TableHandbook[],2,FALSE)),"")</f>
        <v/>
      </c>
      <c r="C80" s="53" t="str">
        <f>IFERROR(IF(VLOOKUP($A80,TableHandbook[],3,FALSE)=0,"",VLOOKUP($A80,TableHandbook[],3,FALSE)),"")</f>
        <v/>
      </c>
      <c r="D80" s="53" t="str">
        <f>IFERROR(IF(VLOOKUP($A80,TableHandbook[],4,FALSE)=0,"",VLOOKUP($A80,TableHandbook[],4,FALSE)),"")</f>
        <v/>
      </c>
      <c r="E80" s="54"/>
      <c r="F80" s="291" t="str">
        <f>IFERROR(IF(VLOOKUP($A80,TableHandbook[],6,FALSE)=0,"",VLOOKUP($A80,TableHandbook[],6,FALSE)),"")</f>
        <v/>
      </c>
      <c r="G80" s="55" t="str">
        <f>IFERROR(IF(VLOOKUP($A80,TableHandbook[],5,FALSE)=0,"",VLOOKUP($A80,TableHandbook[],5,FALSE)),"")</f>
        <v/>
      </c>
      <c r="H80" s="73" t="str">
        <f>IFERROR(VLOOKUP($A80,TableHandbook[],H$2,FALSE),"")</f>
        <v/>
      </c>
      <c r="I80" s="229" t="str">
        <f>IFERROR(VLOOKUP($A80,TableHandbook[],I$2,FALSE),"")</f>
        <v/>
      </c>
      <c r="J80" s="65" t="str">
        <f>IFERROR(VLOOKUP($A80,TableHandbook[],J$2,FALSE),"")</f>
        <v/>
      </c>
      <c r="K80" s="74" t="str">
        <f>IFERROR(VLOOKUP($A80,TableHandbook[],K$2,FALSE),"")</f>
        <v/>
      </c>
      <c r="L80" s="70"/>
      <c r="M80" s="412">
        <v>9</v>
      </c>
    </row>
    <row r="81" spans="1:13" x14ac:dyDescent="0.25">
      <c r="A81" s="51" t="str">
        <f t="shared" si="12"/>
        <v/>
      </c>
      <c r="B81" s="52" t="str">
        <f>IFERROR(IF(VLOOKUP($A81,TableHandbook[],2,FALSE)=0,"",VLOOKUP($A81,TableHandbook[],2,FALSE)),"")</f>
        <v/>
      </c>
      <c r="C81" s="53" t="str">
        <f>IFERROR(IF(VLOOKUP($A81,TableHandbook[],3,FALSE)=0,"",VLOOKUP($A81,TableHandbook[],3,FALSE)),"")</f>
        <v/>
      </c>
      <c r="D81" s="53" t="str">
        <f>IFERROR(IF(VLOOKUP($A81,TableHandbook[],4,FALSE)=0,"",VLOOKUP($A81,TableHandbook[],4,FALSE)),"")</f>
        <v/>
      </c>
      <c r="E81" s="54"/>
      <c r="F81" s="291" t="str">
        <f>IFERROR(IF(VLOOKUP($A81,TableHandbook[],6,FALSE)=0,"",VLOOKUP($A81,TableHandbook[],6,FALSE)),"")</f>
        <v/>
      </c>
      <c r="G81" s="55" t="str">
        <f>IFERROR(IF(VLOOKUP($A81,TableHandbook[],5,FALSE)=0,"",VLOOKUP($A81,TableHandbook[],5,FALSE)),"")</f>
        <v/>
      </c>
      <c r="H81" s="73" t="str">
        <f>IFERROR(VLOOKUP($A81,TableHandbook[],H$2,FALSE),"")</f>
        <v/>
      </c>
      <c r="I81" s="229" t="str">
        <f>IFERROR(VLOOKUP($A81,TableHandbook[],I$2,FALSE),"")</f>
        <v/>
      </c>
      <c r="J81" s="65" t="str">
        <f>IFERROR(VLOOKUP($A81,TableHandbook[],J$2,FALSE),"")</f>
        <v/>
      </c>
      <c r="K81" s="74" t="str">
        <f>IFERROR(VLOOKUP($A81,TableHandbook[],K$2,FALSE),"")</f>
        <v/>
      </c>
      <c r="L81" s="70"/>
      <c r="M81" s="412">
        <v>10</v>
      </c>
    </row>
    <row r="82" spans="1:13" x14ac:dyDescent="0.25">
      <c r="A82" s="51" t="str">
        <f t="shared" si="12"/>
        <v/>
      </c>
      <c r="B82" s="52" t="str">
        <f>IFERROR(IF(VLOOKUP($A82,TableHandbook[],2,FALSE)=0,"",VLOOKUP($A82,TableHandbook[],2,FALSE)),"")</f>
        <v/>
      </c>
      <c r="C82" s="53" t="str">
        <f>IFERROR(IF(VLOOKUP($A82,TableHandbook[],3,FALSE)=0,"",VLOOKUP($A82,TableHandbook[],3,FALSE)),"")</f>
        <v/>
      </c>
      <c r="D82" s="53" t="str">
        <f>IFERROR(IF(VLOOKUP($A82,TableHandbook[],4,FALSE)=0,"",VLOOKUP($A82,TableHandbook[],4,FALSE)),"")</f>
        <v/>
      </c>
      <c r="E82" s="54"/>
      <c r="F82" s="291" t="str">
        <f>IFERROR(IF(VLOOKUP($A82,TableHandbook[],6,FALSE)=0,"",VLOOKUP($A82,TableHandbook[],6,FALSE)),"")</f>
        <v/>
      </c>
      <c r="G82" s="55" t="str">
        <f>IFERROR(IF(VLOOKUP($A82,TableHandbook[],5,FALSE)=0,"",VLOOKUP($A82,TableHandbook[],5,FALSE)),"")</f>
        <v/>
      </c>
      <c r="H82" s="73" t="str">
        <f>IFERROR(VLOOKUP($A82,TableHandbook[],H$2,FALSE),"")</f>
        <v/>
      </c>
      <c r="I82" s="229" t="str">
        <f>IFERROR(VLOOKUP($A82,TableHandbook[],I$2,FALSE),"")</f>
        <v/>
      </c>
      <c r="J82" s="65" t="str">
        <f>IFERROR(VLOOKUP($A82,TableHandbook[],J$2,FALSE),"")</f>
        <v/>
      </c>
      <c r="K82" s="74" t="str">
        <f>IFERROR(VLOOKUP($A82,TableHandbook[],K$2,FALSE),"")</f>
        <v/>
      </c>
      <c r="L82" s="70"/>
      <c r="M82" s="412">
        <v>11</v>
      </c>
    </row>
    <row r="83" spans="1:13" x14ac:dyDescent="0.25">
      <c r="A83" s="51" t="str">
        <f t="shared" si="12"/>
        <v/>
      </c>
      <c r="B83" s="52" t="str">
        <f>IFERROR(IF(VLOOKUP($A83,TableHandbook[],2,FALSE)=0,"",VLOOKUP($A83,TableHandbook[],2,FALSE)),"")</f>
        <v/>
      </c>
      <c r="C83" s="53" t="str">
        <f>IFERROR(IF(VLOOKUP($A83,TableHandbook[],3,FALSE)=0,"",VLOOKUP($A83,TableHandbook[],3,FALSE)),"")</f>
        <v/>
      </c>
      <c r="D83" s="53" t="str">
        <f>IFERROR(IF(VLOOKUP($A83,TableHandbook[],4,FALSE)=0,"",VLOOKUP($A83,TableHandbook[],4,FALSE)),"")</f>
        <v/>
      </c>
      <c r="E83" s="54"/>
      <c r="F83" s="291" t="str">
        <f>IFERROR(IF(VLOOKUP($A83,TableHandbook[],6,FALSE)=0,"",VLOOKUP($A83,TableHandbook[],6,FALSE)),"")</f>
        <v/>
      </c>
      <c r="G83" s="55" t="str">
        <f>IFERROR(IF(VLOOKUP($A83,TableHandbook[],5,FALSE)=0,"",VLOOKUP($A83,TableHandbook[],5,FALSE)),"")</f>
        <v/>
      </c>
      <c r="H83" s="73" t="str">
        <f>IFERROR(VLOOKUP($A83,TableHandbook[],H$2,FALSE),"")</f>
        <v/>
      </c>
      <c r="I83" s="229" t="str">
        <f>IFERROR(VLOOKUP($A83,TableHandbook[],I$2,FALSE),"")</f>
        <v/>
      </c>
      <c r="J83" s="65" t="str">
        <f>IFERROR(VLOOKUP($A83,TableHandbook[],J$2,FALSE),"")</f>
        <v/>
      </c>
      <c r="K83" s="74" t="str">
        <f>IFERROR(VLOOKUP($A83,TableHandbook[],K$2,FALSE),"")</f>
        <v/>
      </c>
      <c r="L83" s="70"/>
      <c r="M83" s="412">
        <v>12</v>
      </c>
    </row>
    <row r="84" spans="1:13" x14ac:dyDescent="0.25">
      <c r="A84" s="51" t="str">
        <f t="shared" si="12"/>
        <v/>
      </c>
      <c r="B84" s="52" t="str">
        <f>IFERROR(IF(VLOOKUP($A84,TableHandbook[],2,FALSE)=0,"",VLOOKUP($A84,TableHandbook[],2,FALSE)),"")</f>
        <v/>
      </c>
      <c r="C84" s="53" t="str">
        <f>IFERROR(IF(VLOOKUP($A84,TableHandbook[],3,FALSE)=0,"",VLOOKUP($A84,TableHandbook[],3,FALSE)),"")</f>
        <v/>
      </c>
      <c r="D84" s="53" t="str">
        <f>IFERROR(IF(VLOOKUP($A84,TableHandbook[],4,FALSE)=0,"",VLOOKUP($A84,TableHandbook[],4,FALSE)),"")</f>
        <v/>
      </c>
      <c r="E84" s="53"/>
      <c r="F84" s="291" t="str">
        <f>IFERROR(IF(VLOOKUP($A84,TableHandbook[],6,FALSE)=0,"",VLOOKUP($A84,TableHandbook[],6,FALSE)),"")</f>
        <v/>
      </c>
      <c r="G84" s="83" t="str">
        <f>IFERROR(IF(VLOOKUP($A84,TableHandbook[],5,FALSE)=0,"",VLOOKUP($A84,TableHandbook[],5,FALSE)),"")</f>
        <v/>
      </c>
      <c r="H84" s="73" t="str">
        <f>IFERROR(VLOOKUP($A84,TableHandbook[],H$2,FALSE),"")</f>
        <v/>
      </c>
      <c r="I84" s="229" t="str">
        <f>IFERROR(VLOOKUP($A84,TableHandbook[],I$2,FALSE),"")</f>
        <v/>
      </c>
      <c r="J84" s="65" t="str">
        <f>IFERROR(VLOOKUP($A84,TableHandbook[],J$2,FALSE),"")</f>
        <v/>
      </c>
      <c r="K84" s="74" t="str">
        <f>IFERROR(VLOOKUP($A84,TableHandbook[],K$2,FALSE),"")</f>
        <v/>
      </c>
      <c r="L84" s="70"/>
      <c r="M84" s="412">
        <v>13</v>
      </c>
    </row>
    <row r="85" spans="1:13" x14ac:dyDescent="0.25">
      <c r="A85" s="51" t="str">
        <f t="shared" si="12"/>
        <v/>
      </c>
      <c r="B85" s="52" t="str">
        <f>IFERROR(IF(VLOOKUP($A85,TableHandbook[],2,FALSE)=0,"",VLOOKUP($A85,TableHandbook[],2,FALSE)),"")</f>
        <v/>
      </c>
      <c r="C85" s="53" t="str">
        <f>IFERROR(IF(VLOOKUP($A85,TableHandbook[],3,FALSE)=0,"",VLOOKUP($A85,TableHandbook[],3,FALSE)),"")</f>
        <v/>
      </c>
      <c r="D85" s="53" t="str">
        <f>IFERROR(IF(VLOOKUP($A85,TableHandbook[],4,FALSE)=0,"",VLOOKUP($A85,TableHandbook[],4,FALSE)),"")</f>
        <v/>
      </c>
      <c r="E85" s="54"/>
      <c r="F85" s="291" t="str">
        <f>IFERROR(IF(VLOOKUP($A85,TableHandbook[],6,FALSE)=0,"",VLOOKUP($A85,TableHandbook[],6,FALSE)),"")</f>
        <v/>
      </c>
      <c r="G85" s="55" t="str">
        <f>IFERROR(IF(VLOOKUP($A85,TableHandbook[],5,FALSE)=0,"",VLOOKUP($A85,TableHandbook[],5,FALSE)),"")</f>
        <v/>
      </c>
      <c r="H85" s="71" t="str">
        <f>IFERROR(VLOOKUP($A85,TableHandbook[],H$2,FALSE),"")</f>
        <v/>
      </c>
      <c r="I85" s="228" t="str">
        <f>IFERROR(VLOOKUP($A85,TableHandbook[],I$2,FALSE),"")</f>
        <v/>
      </c>
      <c r="J85" s="63" t="str">
        <f>IFERROR(VLOOKUP($A85,TableHandbook[],J$2,FALSE),"")</f>
        <v/>
      </c>
      <c r="K85" s="72" t="str">
        <f>IFERROR(VLOOKUP($A85,TableHandbook[],K$2,FALSE),"")</f>
        <v/>
      </c>
      <c r="L85" s="69"/>
      <c r="M85" s="412">
        <v>14</v>
      </c>
    </row>
    <row r="86" spans="1:13" x14ac:dyDescent="0.25">
      <c r="A86" s="51" t="str">
        <f t="shared" si="12"/>
        <v/>
      </c>
      <c r="B86" s="52" t="str">
        <f>IFERROR(IF(VLOOKUP($A86,TableHandbook[],2,FALSE)=0,"",VLOOKUP($A86,TableHandbook[],2,FALSE)),"")</f>
        <v/>
      </c>
      <c r="C86" s="53" t="str">
        <f>IFERROR(IF(VLOOKUP($A86,TableHandbook[],3,FALSE)=0,"",VLOOKUP($A86,TableHandbook[],3,FALSE)),"")</f>
        <v/>
      </c>
      <c r="D86" s="53" t="str">
        <f>IFERROR(IF(VLOOKUP($A86,TableHandbook[],4,FALSE)=0,"",VLOOKUP($A86,TableHandbook[],4,FALSE)),"")</f>
        <v/>
      </c>
      <c r="E86" s="54"/>
      <c r="F86" s="291" t="str">
        <f>IFERROR(IF(VLOOKUP($A86,TableHandbook[],6,FALSE)=0,"",VLOOKUP($A86,TableHandbook[],6,FALSE)),"")</f>
        <v/>
      </c>
      <c r="G86" s="55" t="str">
        <f>IFERROR(IF(VLOOKUP($A86,TableHandbook[],5,FALSE)=0,"",VLOOKUP($A86,TableHandbook[],5,FALSE)),"")</f>
        <v/>
      </c>
      <c r="H86" s="71" t="str">
        <f>IFERROR(VLOOKUP($A86,TableHandbook[],H$2,FALSE),"")</f>
        <v/>
      </c>
      <c r="I86" s="228" t="str">
        <f>IFERROR(VLOOKUP($A86,TableHandbook[],I$2,FALSE),"")</f>
        <v/>
      </c>
      <c r="J86" s="63" t="str">
        <f>IFERROR(VLOOKUP($A86,TableHandbook[],J$2,FALSE),"")</f>
        <v/>
      </c>
      <c r="K86" s="72" t="str">
        <f>IFERROR(VLOOKUP($A86,TableHandbook[],K$2,FALSE),"")</f>
        <v/>
      </c>
      <c r="L86" s="70"/>
      <c r="M86" s="412">
        <v>15</v>
      </c>
    </row>
    <row r="87" spans="1:13" x14ac:dyDescent="0.25">
      <c r="A87" s="51" t="str">
        <f t="shared" si="12"/>
        <v/>
      </c>
      <c r="B87" s="52" t="str">
        <f>IFERROR(IF(VLOOKUP($A87,TableHandbook[],2,FALSE)=0,"",VLOOKUP($A87,TableHandbook[],2,FALSE)),"")</f>
        <v/>
      </c>
      <c r="C87" s="53" t="str">
        <f>IFERROR(IF(VLOOKUP($A87,TableHandbook[],3,FALSE)=0,"",VLOOKUP($A87,TableHandbook[],3,FALSE)),"")</f>
        <v/>
      </c>
      <c r="D87" s="53" t="str">
        <f>IFERROR(IF(VLOOKUP($A87,TableHandbook[],4,FALSE)=0,"",VLOOKUP($A87,TableHandbook[],4,FALSE)),"")</f>
        <v/>
      </c>
      <c r="E87" s="54"/>
      <c r="F87" s="291" t="str">
        <f>IFERROR(IF(VLOOKUP($A87,TableHandbook[],6,FALSE)=0,"",VLOOKUP($A87,TableHandbook[],6,FALSE)),"")</f>
        <v/>
      </c>
      <c r="G87" s="55" t="str">
        <f>IFERROR(IF(VLOOKUP($A87,TableHandbook[],5,FALSE)=0,"",VLOOKUP($A87,TableHandbook[],5,FALSE)),"")</f>
        <v/>
      </c>
      <c r="H87" s="71" t="str">
        <f>IFERROR(VLOOKUP($A87,TableHandbook[],H$2,FALSE),"")</f>
        <v/>
      </c>
      <c r="I87" s="228" t="str">
        <f>IFERROR(VLOOKUP($A87,TableHandbook[],I$2,FALSE),"")</f>
        <v/>
      </c>
      <c r="J87" s="63" t="str">
        <f>IFERROR(VLOOKUP($A87,TableHandbook[],J$2,FALSE),"")</f>
        <v/>
      </c>
      <c r="K87" s="72" t="str">
        <f>IFERROR(VLOOKUP($A87,TableHandbook[],K$2,FALSE),"")</f>
        <v/>
      </c>
      <c r="L87" s="70"/>
      <c r="M87" s="412">
        <v>16</v>
      </c>
    </row>
    <row r="88" spans="1:13" x14ac:dyDescent="0.25">
      <c r="A88" s="51" t="str">
        <f t="shared" si="12"/>
        <v/>
      </c>
      <c r="B88" s="52" t="str">
        <f>IFERROR(IF(VLOOKUP($A88,TableHandbook[],2,FALSE)=0,"",VLOOKUP($A88,TableHandbook[],2,FALSE)),"")</f>
        <v/>
      </c>
      <c r="C88" s="53" t="str">
        <f>IFERROR(IF(VLOOKUP($A88,TableHandbook[],3,FALSE)=0,"",VLOOKUP($A88,TableHandbook[],3,FALSE)),"")</f>
        <v/>
      </c>
      <c r="D88" s="53" t="str">
        <f>IFERROR(IF(VLOOKUP($A88,TableHandbook[],4,FALSE)=0,"",VLOOKUP($A88,TableHandbook[],4,FALSE)),"")</f>
        <v/>
      </c>
      <c r="E88" s="53"/>
      <c r="F88" s="291" t="str">
        <f>IFERROR(IF(VLOOKUP($A88,TableHandbook[],6,FALSE)=0,"",VLOOKUP($A88,TableHandbook[],6,FALSE)),"")</f>
        <v/>
      </c>
      <c r="G88" s="55" t="str">
        <f>IFERROR(IF(VLOOKUP($A88,TableHandbook[],5,FALSE)=0,"",VLOOKUP($A88,TableHandbook[],5,FALSE)),"")</f>
        <v/>
      </c>
      <c r="H88" s="71" t="str">
        <f>IFERROR(VLOOKUP($A88,TableHandbook[],H$2,FALSE),"")</f>
        <v/>
      </c>
      <c r="I88" s="228" t="str">
        <f>IFERROR(VLOOKUP($A88,TableHandbook[],I$2,FALSE),"")</f>
        <v/>
      </c>
      <c r="J88" s="63" t="str">
        <f>IFERROR(VLOOKUP($A88,TableHandbook[],J$2,FALSE),"")</f>
        <v/>
      </c>
      <c r="K88" s="72" t="str">
        <f>IFERROR(VLOOKUP($A88,TableHandbook[],K$2,FALSE),"")</f>
        <v/>
      </c>
      <c r="L88" s="70"/>
      <c r="M88" s="412">
        <v>17</v>
      </c>
    </row>
    <row r="89" spans="1:13" x14ac:dyDescent="0.25">
      <c r="A89" s="51" t="str">
        <f t="shared" si="12"/>
        <v/>
      </c>
      <c r="B89" s="52" t="str">
        <f>IFERROR(IF(VLOOKUP($A89,TableHandbook[],2,FALSE)=0,"",VLOOKUP($A89,TableHandbook[],2,FALSE)),"")</f>
        <v/>
      </c>
      <c r="C89" s="53" t="str">
        <f>IFERROR(IF(VLOOKUP($A89,TableHandbook[],3,FALSE)=0,"",VLOOKUP($A89,TableHandbook[],3,FALSE)),"")</f>
        <v/>
      </c>
      <c r="D89" s="53" t="str">
        <f>IFERROR(IF(VLOOKUP($A89,TableHandbook[],4,FALSE)=0,"",VLOOKUP($A89,TableHandbook[],4,FALSE)),"")</f>
        <v/>
      </c>
      <c r="E89" s="53"/>
      <c r="F89" s="291" t="str">
        <f>IFERROR(IF(VLOOKUP($A89,TableHandbook[],6,FALSE)=0,"",VLOOKUP($A89,TableHandbook[],6,FALSE)),"")</f>
        <v/>
      </c>
      <c r="G89" s="55" t="str">
        <f>IFERROR(IF(VLOOKUP($A89,TableHandbook[],5,FALSE)=0,"",VLOOKUP($A89,TableHandbook[],5,FALSE)),"")</f>
        <v/>
      </c>
      <c r="H89" s="71" t="str">
        <f>IFERROR(VLOOKUP($A89,TableHandbook[],H$2,FALSE),"")</f>
        <v/>
      </c>
      <c r="I89" s="228" t="str">
        <f>IFERROR(VLOOKUP($A89,TableHandbook[],I$2,FALSE),"")</f>
        <v/>
      </c>
      <c r="J89" s="63" t="str">
        <f>IFERROR(VLOOKUP($A89,TableHandbook[],J$2,FALSE),"")</f>
        <v/>
      </c>
      <c r="K89" s="72" t="str">
        <f>IFERROR(VLOOKUP($A89,TableHandbook[],K$2,FALSE),"")</f>
        <v/>
      </c>
      <c r="L89" s="70"/>
      <c r="M89" s="412">
        <v>18</v>
      </c>
    </row>
    <row r="90" spans="1:13" x14ac:dyDescent="0.25">
      <c r="A90" s="51" t="str">
        <f t="shared" si="12"/>
        <v/>
      </c>
      <c r="B90" s="52" t="str">
        <f>IFERROR(IF(VLOOKUP($A90,TableHandbook[],2,FALSE)=0,"",VLOOKUP($A90,TableHandbook[],2,FALSE)),"")</f>
        <v/>
      </c>
      <c r="C90" s="53" t="str">
        <f>IFERROR(IF(VLOOKUP($A90,TableHandbook[],3,FALSE)=0,"",VLOOKUP($A90,TableHandbook[],3,FALSE)),"")</f>
        <v/>
      </c>
      <c r="D90" s="53" t="str">
        <f>IFERROR(IF(VLOOKUP($A90,TableHandbook[],4,FALSE)=0,"",VLOOKUP($A90,TableHandbook[],4,FALSE)),"")</f>
        <v/>
      </c>
      <c r="E90" s="53"/>
      <c r="F90" s="291" t="str">
        <f>IFERROR(IF(VLOOKUP($A90,TableHandbook[],6,FALSE)=0,"",VLOOKUP($A90,TableHandbook[],6,FALSE)),"")</f>
        <v/>
      </c>
      <c r="G90" s="55" t="str">
        <f>IFERROR(IF(VLOOKUP($A90,TableHandbook[],5,FALSE)=0,"",VLOOKUP($A90,TableHandbook[],5,FALSE)),"")</f>
        <v/>
      </c>
      <c r="H90" s="71" t="str">
        <f>IFERROR(VLOOKUP($A90,TableHandbook[],H$2,FALSE),"")</f>
        <v/>
      </c>
      <c r="I90" s="228" t="str">
        <f>IFERROR(VLOOKUP($A90,TableHandbook[],I$2,FALSE),"")</f>
        <v/>
      </c>
      <c r="J90" s="63" t="str">
        <f>IFERROR(VLOOKUP($A90,TableHandbook[],J$2,FALSE),"")</f>
        <v/>
      </c>
      <c r="K90" s="72" t="str">
        <f>IFERROR(VLOOKUP($A90,TableHandbook[],K$2,FALSE),"")</f>
        <v/>
      </c>
      <c r="L90" s="70"/>
      <c r="M90" s="412">
        <v>19</v>
      </c>
    </row>
    <row r="91" spans="1:13" x14ac:dyDescent="0.25">
      <c r="A91" s="51" t="str">
        <f t="shared" si="12"/>
        <v/>
      </c>
      <c r="B91" s="52" t="str">
        <f>IFERROR(IF(VLOOKUP($A91,TableHandbook[],2,FALSE)=0,"",VLOOKUP($A91,TableHandbook[],2,FALSE)),"")</f>
        <v/>
      </c>
      <c r="C91" s="53" t="str">
        <f>IFERROR(IF(VLOOKUP($A91,TableHandbook[],3,FALSE)=0,"",VLOOKUP($A91,TableHandbook[],3,FALSE)),"")</f>
        <v/>
      </c>
      <c r="D91" s="53" t="str">
        <f>IFERROR(IF(VLOOKUP($A91,TableHandbook[],4,FALSE)=0,"",VLOOKUP($A91,TableHandbook[],4,FALSE)),"")</f>
        <v/>
      </c>
      <c r="E91" s="53"/>
      <c r="F91" s="291" t="str">
        <f>IFERROR(IF(VLOOKUP($A91,TableHandbook[],6,FALSE)=0,"",VLOOKUP($A91,TableHandbook[],6,FALSE)),"")</f>
        <v/>
      </c>
      <c r="G91" s="55" t="str">
        <f>IFERROR(IF(VLOOKUP($A91,TableHandbook[],5,FALSE)=0,"",VLOOKUP($A91,TableHandbook[],5,FALSE)),"")</f>
        <v/>
      </c>
      <c r="H91" s="71" t="str">
        <f>IFERROR(VLOOKUP($A91,TableHandbook[],H$2,FALSE),"")</f>
        <v/>
      </c>
      <c r="I91" s="228" t="str">
        <f>IFERROR(VLOOKUP($A91,TableHandbook[],I$2,FALSE),"")</f>
        <v/>
      </c>
      <c r="J91" s="63" t="str">
        <f>IFERROR(VLOOKUP($A91,TableHandbook[],J$2,FALSE),"")</f>
        <v/>
      </c>
      <c r="K91" s="72" t="str">
        <f>IFERROR(VLOOKUP($A91,TableHandbook[],K$2,FALSE),"")</f>
        <v/>
      </c>
      <c r="L91" s="70"/>
      <c r="M91" s="412">
        <v>20</v>
      </c>
    </row>
    <row r="92" spans="1:13" x14ac:dyDescent="0.25">
      <c r="A92" s="51" t="str">
        <f t="shared" si="12"/>
        <v/>
      </c>
      <c r="B92" s="52" t="str">
        <f>IFERROR(IF(VLOOKUP($A92,TableHandbook[],2,FALSE)=0,"",VLOOKUP($A92,TableHandbook[],2,FALSE)),"")</f>
        <v/>
      </c>
      <c r="C92" s="53" t="str">
        <f>IFERROR(IF(VLOOKUP($A92,TableHandbook[],3,FALSE)=0,"",VLOOKUP($A92,TableHandbook[],3,FALSE)),"")</f>
        <v/>
      </c>
      <c r="D92" s="53" t="str">
        <f>IFERROR(IF(VLOOKUP($A92,TableHandbook[],4,FALSE)=0,"",VLOOKUP($A92,TableHandbook[],4,FALSE)),"")</f>
        <v/>
      </c>
      <c r="E92" s="53"/>
      <c r="F92" s="291" t="str">
        <f>IFERROR(IF(VLOOKUP($A92,TableHandbook[],6,FALSE)=0,"",VLOOKUP($A92,TableHandbook[],6,FALSE)),"")</f>
        <v/>
      </c>
      <c r="G92" s="55" t="str">
        <f>IFERROR(IF(VLOOKUP($A92,TableHandbook[],5,FALSE)=0,"",VLOOKUP($A92,TableHandbook[],5,FALSE)),"")</f>
        <v/>
      </c>
      <c r="H92" s="71" t="str">
        <f>IFERROR(VLOOKUP($A92,TableHandbook[],H$2,FALSE),"")</f>
        <v/>
      </c>
      <c r="I92" s="228" t="str">
        <f>IFERROR(VLOOKUP($A92,TableHandbook[],I$2,FALSE),"")</f>
        <v/>
      </c>
      <c r="J92" s="63" t="str">
        <f>IFERROR(VLOOKUP($A92,TableHandbook[],J$2,FALSE),"")</f>
        <v/>
      </c>
      <c r="K92" s="72" t="str">
        <f>IFERROR(VLOOKUP($A92,TableHandbook[],K$2,FALSE),"")</f>
        <v/>
      </c>
      <c r="L92" s="70"/>
      <c r="M92" s="412">
        <v>21</v>
      </c>
    </row>
    <row r="93" spans="1:13" x14ac:dyDescent="0.25">
      <c r="A93" s="51" t="str">
        <f t="shared" si="12"/>
        <v/>
      </c>
      <c r="B93" s="52" t="str">
        <f>IFERROR(IF(VLOOKUP($A93,TableHandbook[],2,FALSE)=0,"",VLOOKUP($A93,TableHandbook[],2,FALSE)),"")</f>
        <v/>
      </c>
      <c r="C93" s="53" t="str">
        <f>IFERROR(IF(VLOOKUP($A93,TableHandbook[],3,FALSE)=0,"",VLOOKUP($A93,TableHandbook[],3,FALSE)),"")</f>
        <v/>
      </c>
      <c r="D93" s="53" t="str">
        <f>IFERROR(IF(VLOOKUP($A93,TableHandbook[],4,FALSE)=0,"",VLOOKUP($A93,TableHandbook[],4,FALSE)),"")</f>
        <v/>
      </c>
      <c r="E93" s="53"/>
      <c r="F93" s="291" t="str">
        <f>IFERROR(IF(VLOOKUP($A93,TableHandbook[],6,FALSE)=0,"",VLOOKUP($A93,TableHandbook[],6,FALSE)),"")</f>
        <v/>
      </c>
      <c r="G93" s="55" t="str">
        <f>IFERROR(IF(VLOOKUP($A93,TableHandbook[],5,FALSE)=0,"",VLOOKUP($A93,TableHandbook[],5,FALSE)),"")</f>
        <v/>
      </c>
      <c r="H93" s="71" t="str">
        <f>IFERROR(VLOOKUP($A93,TableHandbook[],H$2,FALSE),"")</f>
        <v/>
      </c>
      <c r="I93" s="228" t="str">
        <f>IFERROR(VLOOKUP($A93,TableHandbook[],I$2,FALSE),"")</f>
        <v/>
      </c>
      <c r="J93" s="63" t="str">
        <f>IFERROR(VLOOKUP($A93,TableHandbook[],J$2,FALSE),"")</f>
        <v/>
      </c>
      <c r="K93" s="72" t="str">
        <f>IFERROR(VLOOKUP($A93,TableHandbook[],K$2,FALSE),"")</f>
        <v/>
      </c>
      <c r="L93" s="70"/>
      <c r="M93" s="412">
        <v>22</v>
      </c>
    </row>
    <row r="94" spans="1:13" x14ac:dyDescent="0.25">
      <c r="A94" s="51" t="str">
        <f t="shared" si="12"/>
        <v/>
      </c>
      <c r="B94" s="52" t="str">
        <f>IFERROR(IF(VLOOKUP($A94,TableHandbook[],2,FALSE)=0,"",VLOOKUP($A94,TableHandbook[],2,FALSE)),"")</f>
        <v/>
      </c>
      <c r="C94" s="53" t="str">
        <f>IFERROR(IF(VLOOKUP($A94,TableHandbook[],3,FALSE)=0,"",VLOOKUP($A94,TableHandbook[],3,FALSE)),"")</f>
        <v/>
      </c>
      <c r="D94" s="53" t="str">
        <f>IFERROR(IF(VLOOKUP($A94,TableHandbook[],4,FALSE)=0,"",VLOOKUP($A94,TableHandbook[],4,FALSE)),"")</f>
        <v/>
      </c>
      <c r="E94" s="53"/>
      <c r="F94" s="291" t="str">
        <f>IFERROR(IF(VLOOKUP($A94,TableHandbook[],6,FALSE)=0,"",VLOOKUP($A94,TableHandbook[],6,FALSE)),"")</f>
        <v/>
      </c>
      <c r="G94" s="55" t="str">
        <f>IFERROR(IF(VLOOKUP($A94,TableHandbook[],5,FALSE)=0,"",VLOOKUP($A94,TableHandbook[],5,FALSE)),"")</f>
        <v/>
      </c>
      <c r="H94" s="71" t="str">
        <f>IFERROR(VLOOKUP($A94,TableHandbook[],H$2,FALSE),"")</f>
        <v/>
      </c>
      <c r="I94" s="228" t="str">
        <f>IFERROR(VLOOKUP($A94,TableHandbook[],I$2,FALSE),"")</f>
        <v/>
      </c>
      <c r="J94" s="63" t="str">
        <f>IFERROR(VLOOKUP($A94,TableHandbook[],J$2,FALSE),"")</f>
        <v/>
      </c>
      <c r="K94" s="72" t="str">
        <f>IFERROR(VLOOKUP($A94,TableHandbook[],K$2,FALSE),"")</f>
        <v/>
      </c>
      <c r="L94" s="70"/>
      <c r="M94" s="412">
        <v>23</v>
      </c>
    </row>
    <row r="95" spans="1:13" x14ac:dyDescent="0.25">
      <c r="A95" s="51" t="str">
        <f t="shared" si="12"/>
        <v/>
      </c>
      <c r="B95" s="52" t="str">
        <f>IFERROR(IF(VLOOKUP($A95,TableHandbook[],2,FALSE)=0,"",VLOOKUP($A95,TableHandbook[],2,FALSE)),"")</f>
        <v/>
      </c>
      <c r="C95" s="53" t="str">
        <f>IFERROR(IF(VLOOKUP($A95,TableHandbook[],3,FALSE)=0,"",VLOOKUP($A95,TableHandbook[],3,FALSE)),"")</f>
        <v/>
      </c>
      <c r="D95" s="53" t="str">
        <f>IFERROR(IF(VLOOKUP($A95,TableHandbook[],4,FALSE)=0,"",VLOOKUP($A95,TableHandbook[],4,FALSE)),"")</f>
        <v/>
      </c>
      <c r="E95" s="53"/>
      <c r="F95" s="291" t="str">
        <f>IFERROR(IF(VLOOKUP($A95,TableHandbook[],6,FALSE)=0,"",VLOOKUP($A95,TableHandbook[],6,FALSE)),"")</f>
        <v/>
      </c>
      <c r="G95" s="55" t="str">
        <f>IFERROR(IF(VLOOKUP($A95,TableHandbook[],5,FALSE)=0,"",VLOOKUP($A95,TableHandbook[],5,FALSE)),"")</f>
        <v/>
      </c>
      <c r="H95" s="71" t="str">
        <f>IFERROR(VLOOKUP($A95,TableHandbook[],H$2,FALSE),"")</f>
        <v/>
      </c>
      <c r="I95" s="228" t="str">
        <f>IFERROR(VLOOKUP($A95,TableHandbook[],I$2,FALSE),"")</f>
        <v/>
      </c>
      <c r="J95" s="63" t="str">
        <f>IFERROR(VLOOKUP($A95,TableHandbook[],J$2,FALSE),"")</f>
        <v/>
      </c>
      <c r="K95" s="72" t="str">
        <f>IFERROR(VLOOKUP($A95,TableHandbook[],K$2,FALSE),"")</f>
        <v/>
      </c>
      <c r="L95" s="70"/>
      <c r="M95" s="412">
        <v>24</v>
      </c>
    </row>
    <row r="96" spans="1:13" x14ac:dyDescent="0.25">
      <c r="A96" s="51" t="str">
        <f t="shared" si="12"/>
        <v/>
      </c>
      <c r="B96" s="52" t="str">
        <f>IFERROR(IF(VLOOKUP($A96,TableHandbook[],2,FALSE)=0,"",VLOOKUP($A96,TableHandbook[],2,FALSE)),"")</f>
        <v/>
      </c>
      <c r="C96" s="53" t="str">
        <f>IFERROR(IF(VLOOKUP($A96,TableHandbook[],3,FALSE)=0,"",VLOOKUP($A96,TableHandbook[],3,FALSE)),"")</f>
        <v/>
      </c>
      <c r="D96" s="53" t="str">
        <f>IFERROR(IF(VLOOKUP($A96,TableHandbook[],4,FALSE)=0,"",VLOOKUP($A96,TableHandbook[],4,FALSE)),"")</f>
        <v/>
      </c>
      <c r="E96" s="53"/>
      <c r="F96" s="291" t="str">
        <f>IFERROR(IF(VLOOKUP($A96,TableHandbook[],6,FALSE)=0,"",VLOOKUP($A96,TableHandbook[],6,FALSE)),"")</f>
        <v/>
      </c>
      <c r="G96" s="55" t="str">
        <f>IFERROR(IF(VLOOKUP($A96,TableHandbook[],5,FALSE)=0,"",VLOOKUP($A96,TableHandbook[],5,FALSE)),"")</f>
        <v/>
      </c>
      <c r="H96" s="71" t="str">
        <f>IFERROR(VLOOKUP($A96,TableHandbook[],H$2,FALSE),"")</f>
        <v/>
      </c>
      <c r="I96" s="228" t="str">
        <f>IFERROR(VLOOKUP($A96,TableHandbook[],I$2,FALSE),"")</f>
        <v/>
      </c>
      <c r="J96" s="63" t="str">
        <f>IFERROR(VLOOKUP($A96,TableHandbook[],J$2,FALSE),"")</f>
        <v/>
      </c>
      <c r="K96" s="72" t="str">
        <f>IFERROR(VLOOKUP($A96,TableHandbook[],K$2,FALSE),"")</f>
        <v/>
      </c>
      <c r="L96" s="70"/>
      <c r="M96" s="412">
        <v>25</v>
      </c>
    </row>
    <row r="97" spans="1:15" x14ac:dyDescent="0.25">
      <c r="A97" s="51" t="str">
        <f t="shared" si="12"/>
        <v/>
      </c>
      <c r="B97" s="52" t="str">
        <f>IFERROR(IF(VLOOKUP($A97,TableHandbook[],2,FALSE)=0,"",VLOOKUP($A97,TableHandbook[],2,FALSE)),"")</f>
        <v/>
      </c>
      <c r="C97" s="53" t="str">
        <f>IFERROR(IF(VLOOKUP($A97,TableHandbook[],3,FALSE)=0,"",VLOOKUP($A97,TableHandbook[],3,FALSE)),"")</f>
        <v/>
      </c>
      <c r="D97" s="53" t="str">
        <f>IFERROR(IF(VLOOKUP($A97,TableHandbook[],4,FALSE)=0,"",VLOOKUP($A97,TableHandbook[],4,FALSE)),"")</f>
        <v/>
      </c>
      <c r="E97" s="53"/>
      <c r="F97" s="291" t="str">
        <f>IFERROR(IF(VLOOKUP($A97,TableHandbook[],6,FALSE)=0,"",VLOOKUP($A97,TableHandbook[],6,FALSE)),"")</f>
        <v/>
      </c>
      <c r="G97" s="55" t="str">
        <f>IFERROR(IF(VLOOKUP($A97,TableHandbook[],5,FALSE)=0,"",VLOOKUP($A97,TableHandbook[],5,FALSE)),"")</f>
        <v/>
      </c>
      <c r="H97" s="71" t="str">
        <f>IFERROR(VLOOKUP($A97,TableHandbook[],H$2,FALSE),"")</f>
        <v/>
      </c>
      <c r="I97" s="228" t="str">
        <f>IFERROR(VLOOKUP($A97,TableHandbook[],I$2,FALSE),"")</f>
        <v/>
      </c>
      <c r="J97" s="63" t="str">
        <f>IFERROR(VLOOKUP($A97,TableHandbook[],J$2,FALSE),"")</f>
        <v/>
      </c>
      <c r="K97" s="72" t="str">
        <f>IFERROR(VLOOKUP($A97,TableHandbook[],K$2,FALSE),"")</f>
        <v/>
      </c>
      <c r="L97" s="70"/>
      <c r="M97" s="412">
        <v>26</v>
      </c>
    </row>
    <row r="98" spans="1:15" x14ac:dyDescent="0.25">
      <c r="A98" s="51" t="str">
        <f t="shared" si="12"/>
        <v/>
      </c>
      <c r="B98" s="52" t="str">
        <f>IFERROR(IF(VLOOKUP($A98,TableHandbook[],2,FALSE)=0,"",VLOOKUP($A98,TableHandbook[],2,FALSE)),"")</f>
        <v/>
      </c>
      <c r="C98" s="53" t="str">
        <f>IFERROR(IF(VLOOKUP($A98,TableHandbook[],3,FALSE)=0,"",VLOOKUP($A98,TableHandbook[],3,FALSE)),"")</f>
        <v/>
      </c>
      <c r="D98" s="53" t="str">
        <f>IFERROR(IF(VLOOKUP($A98,TableHandbook[],4,FALSE)=0,"",VLOOKUP($A98,TableHandbook[],4,FALSE)),"")</f>
        <v/>
      </c>
      <c r="E98" s="53"/>
      <c r="F98" s="291" t="str">
        <f>IFERROR(IF(VLOOKUP($A98,TableHandbook[],6,FALSE)=0,"",VLOOKUP($A98,TableHandbook[],6,FALSE)),"")</f>
        <v/>
      </c>
      <c r="G98" s="55" t="str">
        <f>IFERROR(IF(VLOOKUP($A98,TableHandbook[],5,FALSE)=0,"",VLOOKUP($A98,TableHandbook[],5,FALSE)),"")</f>
        <v/>
      </c>
      <c r="H98" s="71" t="str">
        <f>IFERROR(VLOOKUP($A98,TableHandbook[],H$2,FALSE),"")</f>
        <v/>
      </c>
      <c r="I98" s="228" t="str">
        <f>IFERROR(VLOOKUP($A98,TableHandbook[],I$2,FALSE),"")</f>
        <v/>
      </c>
      <c r="J98" s="63" t="str">
        <f>IFERROR(VLOOKUP($A98,TableHandbook[],J$2,FALSE),"")</f>
        <v/>
      </c>
      <c r="K98" s="72" t="str">
        <f>IFERROR(VLOOKUP($A98,TableHandbook[],K$2,FALSE),"")</f>
        <v/>
      </c>
      <c r="L98" s="70"/>
      <c r="M98" s="412">
        <v>27</v>
      </c>
    </row>
    <row r="99" spans="1:15" x14ac:dyDescent="0.25">
      <c r="A99" s="51" t="str">
        <f t="shared" si="12"/>
        <v/>
      </c>
      <c r="B99" s="52" t="str">
        <f>IFERROR(IF(VLOOKUP($A99,TableHandbook[],2,FALSE)=0,"",VLOOKUP($A99,TableHandbook[],2,FALSE)),"")</f>
        <v/>
      </c>
      <c r="C99" s="53" t="str">
        <f>IFERROR(IF(VLOOKUP($A99,TableHandbook[],3,FALSE)=0,"",VLOOKUP($A99,TableHandbook[],3,FALSE)),"")</f>
        <v/>
      </c>
      <c r="D99" s="53" t="str">
        <f>IFERROR(IF(VLOOKUP($A99,TableHandbook[],4,FALSE)=0,"",VLOOKUP($A99,TableHandbook[],4,FALSE)),"")</f>
        <v/>
      </c>
      <c r="E99" s="53"/>
      <c r="F99" s="291" t="str">
        <f>IFERROR(IF(VLOOKUP($A99,TableHandbook[],6,FALSE)=0,"",VLOOKUP($A99,TableHandbook[],6,FALSE)),"")</f>
        <v/>
      </c>
      <c r="G99" s="55" t="str">
        <f>IFERROR(IF(VLOOKUP($A99,TableHandbook[],5,FALSE)=0,"",VLOOKUP($A99,TableHandbook[],5,FALSE)),"")</f>
        <v/>
      </c>
      <c r="H99" s="71" t="str">
        <f>IFERROR(VLOOKUP($A99,TableHandbook[],H$2,FALSE),"")</f>
        <v/>
      </c>
      <c r="I99" s="228" t="str">
        <f>IFERROR(VLOOKUP($A99,TableHandbook[],I$2,FALSE),"")</f>
        <v/>
      </c>
      <c r="J99" s="63" t="str">
        <f>IFERROR(VLOOKUP($A99,TableHandbook[],J$2,FALSE),"")</f>
        <v/>
      </c>
      <c r="K99" s="72" t="str">
        <f>IFERROR(VLOOKUP($A99,TableHandbook[],K$2,FALSE),"")</f>
        <v/>
      </c>
      <c r="L99" s="70"/>
      <c r="M99" s="412">
        <v>28</v>
      </c>
    </row>
    <row r="100" spans="1:15" x14ac:dyDescent="0.25">
      <c r="A100" s="51" t="str">
        <f t="shared" si="12"/>
        <v/>
      </c>
      <c r="B100" s="52" t="str">
        <f>IFERROR(IF(VLOOKUP($A100,TableHandbook[],2,FALSE)=0,"",VLOOKUP($A100,TableHandbook[],2,FALSE)),"")</f>
        <v/>
      </c>
      <c r="C100" s="53" t="str">
        <f>IFERROR(IF(VLOOKUP($A100,TableHandbook[],3,FALSE)=0,"",VLOOKUP($A100,TableHandbook[],3,FALSE)),"")</f>
        <v/>
      </c>
      <c r="D100" s="53" t="str">
        <f>IFERROR(IF(VLOOKUP($A100,TableHandbook[],4,FALSE)=0,"",VLOOKUP($A100,TableHandbook[],4,FALSE)),"")</f>
        <v/>
      </c>
      <c r="E100" s="53"/>
      <c r="F100" s="291" t="str">
        <f>IFERROR(IF(VLOOKUP($A100,TableHandbook[],6,FALSE)=0,"",VLOOKUP($A100,TableHandbook[],6,FALSE)),"")</f>
        <v/>
      </c>
      <c r="G100" s="55" t="str">
        <f>IFERROR(IF(VLOOKUP($A100,TableHandbook[],5,FALSE)=0,"",VLOOKUP($A100,TableHandbook[],5,FALSE)),"")</f>
        <v/>
      </c>
      <c r="H100" s="71" t="str">
        <f>IFERROR(VLOOKUP($A100,TableHandbook[],H$2,FALSE),"")</f>
        <v/>
      </c>
      <c r="I100" s="228" t="str">
        <f>IFERROR(VLOOKUP($A100,TableHandbook[],I$2,FALSE),"")</f>
        <v/>
      </c>
      <c r="J100" s="63" t="str">
        <f>IFERROR(VLOOKUP($A100,TableHandbook[],J$2,FALSE),"")</f>
        <v/>
      </c>
      <c r="K100" s="72" t="str">
        <f>IFERROR(VLOOKUP($A100,TableHandbook[],K$2,FALSE),"")</f>
        <v/>
      </c>
      <c r="L100" s="70"/>
      <c r="M100" s="412">
        <v>29</v>
      </c>
    </row>
    <row r="101" spans="1:15" x14ac:dyDescent="0.25">
      <c r="A101" s="51" t="str">
        <f t="shared" si="12"/>
        <v/>
      </c>
      <c r="B101" s="52" t="str">
        <f>IFERROR(IF(VLOOKUP($A101,TableHandbook[],2,FALSE)=0,"",VLOOKUP($A101,TableHandbook[],2,FALSE)),"")</f>
        <v/>
      </c>
      <c r="C101" s="53" t="str">
        <f>IFERROR(IF(VLOOKUP($A101,TableHandbook[],3,FALSE)=0,"",VLOOKUP($A101,TableHandbook[],3,FALSE)),"")</f>
        <v/>
      </c>
      <c r="D101" s="53" t="str">
        <f>IFERROR(IF(VLOOKUP($A101,TableHandbook[],4,FALSE)=0,"",VLOOKUP($A101,TableHandbook[],4,FALSE)),"")</f>
        <v/>
      </c>
      <c r="E101" s="53"/>
      <c r="F101" s="291" t="str">
        <f>IFERROR(IF(VLOOKUP($A101,TableHandbook[],6,FALSE)=0,"",VLOOKUP($A101,TableHandbook[],6,FALSE)),"")</f>
        <v/>
      </c>
      <c r="G101" s="55" t="str">
        <f>IFERROR(IF(VLOOKUP($A101,TableHandbook[],5,FALSE)=0,"",VLOOKUP($A101,TableHandbook[],5,FALSE)),"")</f>
        <v/>
      </c>
      <c r="H101" s="71" t="str">
        <f>IFERROR(VLOOKUP($A101,TableHandbook[],H$2,FALSE),"")</f>
        <v/>
      </c>
      <c r="I101" s="228" t="str">
        <f>IFERROR(VLOOKUP($A101,TableHandbook[],I$2,FALSE),"")</f>
        <v/>
      </c>
      <c r="J101" s="63" t="str">
        <f>IFERROR(VLOOKUP($A101,TableHandbook[],J$2,FALSE),"")</f>
        <v/>
      </c>
      <c r="K101" s="72" t="str">
        <f>IFERROR(VLOOKUP($A101,TableHandbook[],K$2,FALSE),"")</f>
        <v/>
      </c>
      <c r="L101" s="70"/>
      <c r="M101" s="412">
        <v>30</v>
      </c>
    </row>
    <row r="102" spans="1:15" x14ac:dyDescent="0.25">
      <c r="A102" s="51" t="str">
        <f t="shared" si="12"/>
        <v/>
      </c>
      <c r="B102" s="52" t="str">
        <f>IFERROR(IF(VLOOKUP($A102,TableHandbook[],2,FALSE)=0,"",VLOOKUP($A102,TableHandbook[],2,FALSE)),"")</f>
        <v/>
      </c>
      <c r="C102" s="53" t="str">
        <f>IFERROR(IF(VLOOKUP($A102,TableHandbook[],3,FALSE)=0,"",VLOOKUP($A102,TableHandbook[],3,FALSE)),"")</f>
        <v/>
      </c>
      <c r="D102" s="53" t="str">
        <f>IFERROR(IF(VLOOKUP($A102,TableHandbook[],4,FALSE)=0,"",VLOOKUP($A102,TableHandbook[],4,FALSE)),"")</f>
        <v/>
      </c>
      <c r="E102" s="53"/>
      <c r="F102" s="291" t="str">
        <f>IFERROR(IF(VLOOKUP($A102,TableHandbook[],6,FALSE)=0,"",VLOOKUP($A102,TableHandbook[],6,FALSE)),"")</f>
        <v/>
      </c>
      <c r="G102" s="55" t="str">
        <f>IFERROR(IF(VLOOKUP($A102,TableHandbook[],5,FALSE)=0,"",VLOOKUP($A102,TableHandbook[],5,FALSE)),"")</f>
        <v/>
      </c>
      <c r="H102" s="71" t="str">
        <f>IFERROR(VLOOKUP($A102,TableHandbook[],H$2,FALSE),"")</f>
        <v/>
      </c>
      <c r="I102" s="228" t="str">
        <f>IFERROR(VLOOKUP($A102,TableHandbook[],I$2,FALSE),"")</f>
        <v/>
      </c>
      <c r="J102" s="63" t="str">
        <f>IFERROR(VLOOKUP($A102,TableHandbook[],J$2,FALSE),"")</f>
        <v/>
      </c>
      <c r="K102" s="72" t="str">
        <f>IFERROR(VLOOKUP($A102,TableHandbook[],K$2,FALSE),"")</f>
        <v/>
      </c>
      <c r="L102" s="70"/>
      <c r="M102" s="412">
        <v>31</v>
      </c>
    </row>
    <row r="103" spans="1:15" x14ac:dyDescent="0.25">
      <c r="A103" s="51" t="str">
        <f t="shared" si="12"/>
        <v/>
      </c>
      <c r="B103" s="52" t="str">
        <f>IFERROR(IF(VLOOKUP($A103,TableHandbook[],2,FALSE)=0,"",VLOOKUP($A103,TableHandbook[],2,FALSE)),"")</f>
        <v/>
      </c>
      <c r="C103" s="53" t="str">
        <f>IFERROR(IF(VLOOKUP($A103,TableHandbook[],3,FALSE)=0,"",VLOOKUP($A103,TableHandbook[],3,FALSE)),"")</f>
        <v/>
      </c>
      <c r="D103" s="53" t="str">
        <f>IFERROR(IF(VLOOKUP($A103,TableHandbook[],4,FALSE)=0,"",VLOOKUP($A103,TableHandbook[],4,FALSE)),"")</f>
        <v/>
      </c>
      <c r="E103" s="53"/>
      <c r="F103" s="291" t="str">
        <f>IFERROR(IF(VLOOKUP($A103,TableHandbook[],6,FALSE)=0,"",VLOOKUP($A103,TableHandbook[],6,FALSE)),"")</f>
        <v/>
      </c>
      <c r="G103" s="55" t="str">
        <f>IFERROR(IF(VLOOKUP($A103,TableHandbook[],5,FALSE)=0,"",VLOOKUP($A103,TableHandbook[],5,FALSE)),"")</f>
        <v/>
      </c>
      <c r="H103" s="71" t="str">
        <f>IFERROR(VLOOKUP($A103,TableHandbook[],H$2,FALSE),"")</f>
        <v/>
      </c>
      <c r="I103" s="228" t="str">
        <f>IFERROR(VLOOKUP($A103,TableHandbook[],I$2,FALSE),"")</f>
        <v/>
      </c>
      <c r="J103" s="63" t="str">
        <f>IFERROR(VLOOKUP($A103,TableHandbook[],J$2,FALSE),"")</f>
        <v/>
      </c>
      <c r="K103" s="72" t="str">
        <f>IFERROR(VLOOKUP($A103,TableHandbook[],K$2,FALSE),"")</f>
        <v/>
      </c>
      <c r="L103" s="70"/>
      <c r="M103" s="412">
        <v>32</v>
      </c>
    </row>
    <row r="104" spans="1:15" x14ac:dyDescent="0.25">
      <c r="A104" s="51" t="str">
        <f t="shared" si="12"/>
        <v/>
      </c>
      <c r="B104" s="52" t="str">
        <f>IFERROR(IF(VLOOKUP($A104,TableHandbook[],2,FALSE)=0,"",VLOOKUP($A104,TableHandbook[],2,FALSE)),"")</f>
        <v/>
      </c>
      <c r="C104" s="53" t="str">
        <f>IFERROR(IF(VLOOKUP($A104,TableHandbook[],3,FALSE)=0,"",VLOOKUP($A104,TableHandbook[],3,FALSE)),"")</f>
        <v/>
      </c>
      <c r="D104" s="53" t="str">
        <f>IFERROR(IF(VLOOKUP($A104,TableHandbook[],4,FALSE)=0,"",VLOOKUP($A104,TableHandbook[],4,FALSE)),"")</f>
        <v/>
      </c>
      <c r="E104" s="53"/>
      <c r="F104" s="291" t="str">
        <f>IFERROR(IF(VLOOKUP($A104,TableHandbook[],6,FALSE)=0,"",VLOOKUP($A104,TableHandbook[],6,FALSE)),"")</f>
        <v/>
      </c>
      <c r="G104" s="55" t="str">
        <f>IFERROR(IF(VLOOKUP($A104,TableHandbook[],5,FALSE)=0,"",VLOOKUP($A104,TableHandbook[],5,FALSE)),"")</f>
        <v/>
      </c>
      <c r="H104" s="71" t="str">
        <f>IFERROR(VLOOKUP($A104,TableHandbook[],H$2,FALSE),"")</f>
        <v/>
      </c>
      <c r="I104" s="228" t="str">
        <f>IFERROR(VLOOKUP($A104,TableHandbook[],I$2,FALSE),"")</f>
        <v/>
      </c>
      <c r="J104" s="63" t="str">
        <f>IFERROR(VLOOKUP($A104,TableHandbook[],J$2,FALSE),"")</f>
        <v/>
      </c>
      <c r="K104" s="72" t="str">
        <f>IFERROR(VLOOKUP($A104,TableHandbook[],K$2,FALSE),"")</f>
        <v/>
      </c>
      <c r="L104" s="70"/>
      <c r="M104" s="412">
        <v>33</v>
      </c>
    </row>
    <row r="105" spans="1:15" x14ac:dyDescent="0.25">
      <c r="A105" s="51" t="str">
        <f t="shared" si="12"/>
        <v/>
      </c>
      <c r="B105" s="52" t="str">
        <f>IFERROR(IF(VLOOKUP($A105,TableHandbook[],2,FALSE)=0,"",VLOOKUP($A105,TableHandbook[],2,FALSE)),"")</f>
        <v/>
      </c>
      <c r="C105" s="53" t="str">
        <f>IFERROR(IF(VLOOKUP($A105,TableHandbook[],3,FALSE)=0,"",VLOOKUP($A105,TableHandbook[],3,FALSE)),"")</f>
        <v/>
      </c>
      <c r="D105" s="53" t="str">
        <f>IFERROR(IF(VLOOKUP($A105,TableHandbook[],4,FALSE)=0,"",VLOOKUP($A105,TableHandbook[],4,FALSE)),"")</f>
        <v/>
      </c>
      <c r="E105" s="53"/>
      <c r="F105" s="291" t="str">
        <f>IFERROR(IF(VLOOKUP($A105,TableHandbook[],6,FALSE)=0,"",VLOOKUP($A105,TableHandbook[],6,FALSE)),"")</f>
        <v/>
      </c>
      <c r="G105" s="55" t="str">
        <f>IFERROR(IF(VLOOKUP($A105,TableHandbook[],5,FALSE)=0,"",VLOOKUP($A105,TableHandbook[],5,FALSE)),"")</f>
        <v/>
      </c>
      <c r="H105" s="71" t="str">
        <f>IFERROR(VLOOKUP($A105,TableHandbook[],H$2,FALSE),"")</f>
        <v/>
      </c>
      <c r="I105" s="228" t="str">
        <f>IFERROR(VLOOKUP($A105,TableHandbook[],I$2,FALSE),"")</f>
        <v/>
      </c>
      <c r="J105" s="63" t="str">
        <f>IFERROR(VLOOKUP($A105,TableHandbook[],J$2,FALSE),"")</f>
        <v/>
      </c>
      <c r="K105" s="72" t="str">
        <f>IFERROR(VLOOKUP($A105,TableHandbook[],K$2,FALSE),"")</f>
        <v/>
      </c>
      <c r="L105" s="70"/>
      <c r="M105" s="412">
        <v>34</v>
      </c>
    </row>
    <row r="106" spans="1:15" x14ac:dyDescent="0.25">
      <c r="A106" s="51" t="str">
        <f t="shared" si="12"/>
        <v/>
      </c>
      <c r="B106" s="52" t="str">
        <f>IFERROR(IF(VLOOKUP($A106,TableHandbook[],2,FALSE)=0,"",VLOOKUP($A106,TableHandbook[],2,FALSE)),"")</f>
        <v/>
      </c>
      <c r="C106" s="53" t="str">
        <f>IFERROR(IF(VLOOKUP($A106,TableHandbook[],3,FALSE)=0,"",VLOOKUP($A106,TableHandbook[],3,FALSE)),"")</f>
        <v/>
      </c>
      <c r="D106" s="53" t="str">
        <f>IFERROR(IF(VLOOKUP($A106,TableHandbook[],4,FALSE)=0,"",VLOOKUP($A106,TableHandbook[],4,FALSE)),"")</f>
        <v/>
      </c>
      <c r="E106" s="53"/>
      <c r="F106" s="291" t="str">
        <f>IFERROR(IF(VLOOKUP($A106,TableHandbook[],6,FALSE)=0,"",VLOOKUP($A106,TableHandbook[],6,FALSE)),"")</f>
        <v/>
      </c>
      <c r="G106" s="55" t="str">
        <f>IFERROR(IF(VLOOKUP($A106,TableHandbook[],5,FALSE)=0,"",VLOOKUP($A106,TableHandbook[],5,FALSE)),"")</f>
        <v/>
      </c>
      <c r="H106" s="71" t="str">
        <f>IFERROR(VLOOKUP($A106,TableHandbook[],H$2,FALSE),"")</f>
        <v/>
      </c>
      <c r="I106" s="228" t="str">
        <f>IFERROR(VLOOKUP($A106,TableHandbook[],I$2,FALSE),"")</f>
        <v/>
      </c>
      <c r="J106" s="63" t="str">
        <f>IFERROR(VLOOKUP($A106,TableHandbook[],J$2,FALSE),"")</f>
        <v/>
      </c>
      <c r="K106" s="72" t="str">
        <f>IFERROR(VLOOKUP($A106,TableHandbook[],K$2,FALSE),"")</f>
        <v/>
      </c>
      <c r="L106" s="70"/>
      <c r="M106" s="412">
        <v>35</v>
      </c>
    </row>
    <row r="107" spans="1:15" x14ac:dyDescent="0.25">
      <c r="A107" s="51" t="str">
        <f t="shared" si="12"/>
        <v/>
      </c>
      <c r="B107" s="52" t="str">
        <f>IFERROR(IF(VLOOKUP($A107,TableHandbook[],2,FALSE)=0,"",VLOOKUP($A107,TableHandbook[],2,FALSE)),"")</f>
        <v/>
      </c>
      <c r="C107" s="53" t="str">
        <f>IFERROR(IF(VLOOKUP($A107,TableHandbook[],3,FALSE)=0,"",VLOOKUP($A107,TableHandbook[],3,FALSE)),"")</f>
        <v/>
      </c>
      <c r="D107" s="53" t="str">
        <f>IFERROR(IF(VLOOKUP($A107,TableHandbook[],4,FALSE)=0,"",VLOOKUP($A107,TableHandbook[],4,FALSE)),"")</f>
        <v/>
      </c>
      <c r="E107" s="53"/>
      <c r="F107" s="291" t="str">
        <f>IFERROR(IF(VLOOKUP($A107,TableHandbook[],6,FALSE)=0,"",VLOOKUP($A107,TableHandbook[],6,FALSE)),"")</f>
        <v/>
      </c>
      <c r="G107" s="55" t="str">
        <f>IFERROR(IF(VLOOKUP($A107,TableHandbook[],5,FALSE)=0,"",VLOOKUP($A107,TableHandbook[],5,FALSE)),"")</f>
        <v/>
      </c>
      <c r="H107" s="71" t="str">
        <f>IFERROR(VLOOKUP($A107,TableHandbook[],H$2,FALSE),"")</f>
        <v/>
      </c>
      <c r="I107" s="228" t="str">
        <f>IFERROR(VLOOKUP($A107,TableHandbook[],I$2,FALSE),"")</f>
        <v/>
      </c>
      <c r="J107" s="63" t="str">
        <f>IFERROR(VLOOKUP($A107,TableHandbook[],J$2,FALSE),"")</f>
        <v/>
      </c>
      <c r="K107" s="72" t="str">
        <f>IFERROR(VLOOKUP($A107,TableHandbook[],K$2,FALSE),"")</f>
        <v/>
      </c>
      <c r="L107" s="70"/>
      <c r="M107" s="412">
        <v>36</v>
      </c>
    </row>
    <row r="108" spans="1:15" ht="32.25" customHeight="1" x14ac:dyDescent="0.25">
      <c r="A108" s="443" t="s">
        <v>31</v>
      </c>
      <c r="B108" s="443"/>
      <c r="C108" s="443"/>
      <c r="D108" s="443"/>
      <c r="E108" s="443"/>
      <c r="F108" s="443"/>
      <c r="G108" s="443"/>
      <c r="H108" s="443"/>
      <c r="I108" s="443"/>
      <c r="J108" s="443"/>
      <c r="K108" s="443"/>
      <c r="L108" s="443"/>
    </row>
    <row r="109" spans="1:15" s="41" customFormat="1" ht="24.95" customHeight="1" x14ac:dyDescent="0.3">
      <c r="A109" s="88" t="s">
        <v>32</v>
      </c>
      <c r="B109" s="88"/>
      <c r="C109" s="88"/>
      <c r="D109" s="89"/>
      <c r="E109" s="89"/>
      <c r="F109" s="89"/>
      <c r="G109" s="89"/>
      <c r="H109" s="89"/>
      <c r="I109" s="89"/>
      <c r="J109" s="89"/>
      <c r="K109" s="89"/>
      <c r="L109" s="89"/>
      <c r="M109" s="189"/>
      <c r="N109" s="189"/>
      <c r="O109" s="189"/>
    </row>
    <row r="110" spans="1:15" ht="15" customHeight="1" x14ac:dyDescent="0.25">
      <c r="A110" s="42" t="s">
        <v>33</v>
      </c>
      <c r="B110" s="42"/>
      <c r="C110" s="42"/>
      <c r="D110" s="42"/>
      <c r="E110" s="56"/>
      <c r="F110" s="43"/>
      <c r="G110" s="57"/>
      <c r="H110" s="57"/>
      <c r="I110" s="57"/>
      <c r="J110" s="57"/>
      <c r="K110" s="57"/>
      <c r="L110" s="57" t="s">
        <v>34</v>
      </c>
    </row>
  </sheetData>
  <sheetProtection algorithmName="SHA-512" hashValue="zo9xkpllHb//HU7xTtxYZPiLILkI158JAYXb2+sq9yA8E9yO9fwoYAqJR/xV9ifOzBnoxjnubUWaolORE20DQw==" saltValue="46NMKCzhhYnHlfh9BNWjBA==" spinCount="100000" sheet="1" objects="1" scenarios="1" formatCells="0" formatColumns="0" formatRows="0"/>
  <mergeCells count="3">
    <mergeCell ref="A3:D3"/>
    <mergeCell ref="A108:L108"/>
    <mergeCell ref="A73:L73"/>
  </mergeCells>
  <conditionalFormatting sqref="A51:L71 A77:L77 A78:G78 A79:L107">
    <cfRule type="expression" dxfId="176" priority="11">
      <formula>LEFT($D51,5)="Study"</formula>
    </cfRule>
  </conditionalFormatting>
  <conditionalFormatting sqref="A51:L71 A79:L107 A77:L77 A78:G78">
    <cfRule type="expression" dxfId="175" priority="10">
      <formula>RIGHT($D51,7)="Options"</formula>
    </cfRule>
  </conditionalFormatting>
  <conditionalFormatting sqref="A51:L71 A79:L107">
    <cfRule type="expression" dxfId="174" priority="9">
      <formula>$A51=""</formula>
    </cfRule>
  </conditionalFormatting>
  <conditionalFormatting sqref="D5:D8">
    <cfRule type="containsText" dxfId="173" priority="12" operator="containsText" text="Choose">
      <formula>NOT(ISERROR(SEARCH("Choose",D5)))</formula>
    </cfRule>
  </conditionalFormatting>
  <conditionalFormatting sqref="H11:K47">
    <cfRule type="expression" dxfId="172" priority="1">
      <formula>$E11=LEFT(H$10,4)</formula>
    </cfRule>
  </conditionalFormatting>
  <dataValidations count="2">
    <dataValidation type="list" allowBlank="1" showInputMessage="1" showErrorMessage="1" sqref="L25 L15 L35 L45" xr:uid="{00000000-0002-0000-0400-000000000000}"/>
    <dataValidation type="list" showInputMessage="1" showErrorMessage="1" sqref="D7" xr:uid="{00000000-0002-0000-0400-000001000000}">
      <formula1>INDIRECT($L$8)</formula1>
    </dataValidation>
  </dataValidations>
  <hyperlinks>
    <hyperlink ref="A109:L109" r:id="rId1" display="If you have any queries about your course, please contact Curtin Connect." xr:uid="{00000000-0004-0000-0400-000000000000}"/>
    <hyperlink ref="A74:L74" r:id="rId2" display="If you have any queries about your course, please contact Curtin Connect." xr:uid="{00000000-0004-0000-0400-000001000000}"/>
  </hyperlinks>
  <printOptions horizontalCentered="1"/>
  <pageMargins left="0.31496062992125984" right="0.31496062992125984" top="0.39370078740157483" bottom="0.39370078740157483" header="0.19685039370078741" footer="0.19685039370078741"/>
  <pageSetup paperSize="9" scale="59" fitToHeight="0" orientation="portrait" r:id="rId3"/>
  <rowBreaks count="1" manualBreakCount="1">
    <brk id="76" max="13" man="1"/>
  </rowBreaks>
  <ignoredErrors>
    <ignoredError sqref="E11:E30 E41:E44 E31:E39" formula="1"/>
  </ignoredErrors>
  <drawing r:id="rId4"/>
  <extLst>
    <ext xmlns:x14="http://schemas.microsoft.com/office/spreadsheetml/2009/9/main" uri="{CCE6A557-97BC-4b89-ADB6-D9C93CAAB3DF}">
      <x14:dataValidations xmlns:xm="http://schemas.microsoft.com/office/excel/2006/main" count="2">
        <x14:dataValidation type="list" showInputMessage="1" showErrorMessage="1" xr:uid="{00000000-0002-0000-0400-000002000000}">
          <x14:formula1>
            <xm:f>UnitsetsSecondary!$A$7:$A$22</xm:f>
          </x14:formula1>
          <xm:sqref>D6</xm:sqref>
        </x14:dataValidation>
        <x14:dataValidation type="list" allowBlank="1" showInputMessage="1" showErrorMessage="1" xr:uid="{00000000-0002-0000-0400-000003000000}">
          <x14:formula1>
            <xm:f>Unitsets!$A$23:$A$25</xm:f>
          </x14:formula1>
          <xm:sqref>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pageSetUpPr fitToPage="1"/>
  </sheetPr>
  <dimension ref="A1:P75"/>
  <sheetViews>
    <sheetView showGridLines="0" topLeftCell="A3" zoomScaleNormal="100" workbookViewId="0">
      <selection activeCell="D6" sqref="D6"/>
    </sheetView>
  </sheetViews>
  <sheetFormatPr defaultColWidth="9" defaultRowHeight="15" x14ac:dyDescent="0.25"/>
  <cols>
    <col min="1" max="1" width="11.375" style="22" customWidth="1"/>
    <col min="2" max="2" width="3.25" style="22" customWidth="1"/>
    <col min="3" max="3" width="5.875" style="22" customWidth="1"/>
    <col min="4" max="4" width="56" style="21" bestFit="1" customWidth="1"/>
    <col min="5" max="5" width="7" style="21" customWidth="1"/>
    <col min="6" max="6" width="23.25" style="21" customWidth="1"/>
    <col min="7" max="7" width="5.625" style="21" customWidth="1"/>
    <col min="8" max="11" width="4.375" style="21" customWidth="1"/>
    <col min="12" max="12" width="18.625" style="21" customWidth="1"/>
    <col min="13" max="13" width="2.375" style="21" hidden="1" customWidth="1"/>
    <col min="14" max="16384" width="9" style="21"/>
  </cols>
  <sheetData>
    <row r="1" spans="1:16" hidden="1" x14ac:dyDescent="0.25">
      <c r="A1" s="101" t="s">
        <v>0</v>
      </c>
      <c r="B1" s="101" t="s">
        <v>1</v>
      </c>
      <c r="C1" s="101" t="s">
        <v>2</v>
      </c>
      <c r="D1" s="102" t="s">
        <v>3</v>
      </c>
      <c r="E1" s="102"/>
      <c r="F1" s="102" t="s">
        <v>4</v>
      </c>
      <c r="G1" s="102" t="s">
        <v>5</v>
      </c>
      <c r="H1" s="102" t="s">
        <v>6</v>
      </c>
      <c r="I1" s="102"/>
      <c r="J1" s="102"/>
      <c r="K1" s="102"/>
      <c r="L1" s="102" t="s">
        <v>7</v>
      </c>
    </row>
    <row r="2" spans="1:16" hidden="1" x14ac:dyDescent="0.25">
      <c r="A2" s="100"/>
      <c r="B2" s="100">
        <v>2</v>
      </c>
      <c r="C2" s="100">
        <v>3</v>
      </c>
      <c r="D2" s="100">
        <v>4</v>
      </c>
      <c r="E2" s="100"/>
      <c r="F2" s="100">
        <v>6</v>
      </c>
      <c r="G2" s="100">
        <v>5</v>
      </c>
      <c r="H2" s="100">
        <v>7</v>
      </c>
      <c r="I2" s="100">
        <v>8</v>
      </c>
      <c r="J2" s="100">
        <v>10</v>
      </c>
      <c r="K2" s="100">
        <v>11</v>
      </c>
      <c r="L2" s="100"/>
    </row>
    <row r="3" spans="1:16" ht="39.950000000000003" customHeight="1" x14ac:dyDescent="0.25">
      <c r="A3" s="442" t="s">
        <v>8</v>
      </c>
      <c r="B3" s="442"/>
      <c r="C3" s="442"/>
      <c r="D3" s="442"/>
      <c r="E3" s="168"/>
      <c r="F3" s="168"/>
      <c r="G3" s="168"/>
      <c r="H3" s="168"/>
      <c r="I3" s="168"/>
      <c r="J3" s="168"/>
      <c r="K3" s="168"/>
      <c r="L3" s="168"/>
    </row>
    <row r="4" spans="1:16" ht="26.25" x14ac:dyDescent="0.25">
      <c r="A4" s="234"/>
      <c r="B4" s="235"/>
      <c r="C4" s="235"/>
      <c r="D4" s="236"/>
      <c r="E4" s="237" t="s">
        <v>209</v>
      </c>
      <c r="F4" s="235"/>
      <c r="G4" s="238"/>
      <c r="H4" s="238"/>
      <c r="I4" s="238"/>
      <c r="J4" s="238"/>
      <c r="K4" s="238"/>
      <c r="L4" s="238"/>
    </row>
    <row r="5" spans="1:16" ht="20.100000000000001" customHeight="1" x14ac:dyDescent="0.25">
      <c r="B5" s="23"/>
      <c r="C5" s="86" t="s">
        <v>10</v>
      </c>
      <c r="D5" s="160" t="s">
        <v>82</v>
      </c>
      <c r="E5" s="24"/>
      <c r="F5" s="86" t="s">
        <v>12</v>
      </c>
      <c r="G5" s="24" t="str">
        <f>IFERROR(CONCATENATE(VLOOKUP(D5,TableCourses[],2,FALSE)," ",VLOOKUP(D5,TableCourses[],3,FALSE)),"")</f>
        <v>B-EDSC v.5</v>
      </c>
      <c r="H5" s="24"/>
      <c r="I5" s="24"/>
      <c r="J5" s="24"/>
      <c r="K5" s="24"/>
      <c r="L5" s="265" t="e">
        <f>CONCATENATE(VLOOKUP(D5,TableCourseSecondary[],2,FALSE),VLOOKUP(D8,TableStudyPeriods[],2,FALSE))</f>
        <v>#N/A</v>
      </c>
    </row>
    <row r="6" spans="1:16" ht="20.100000000000001" customHeight="1" x14ac:dyDescent="0.25">
      <c r="B6" s="23"/>
      <c r="C6" s="86" t="s">
        <v>202</v>
      </c>
      <c r="D6" s="193" t="s">
        <v>756</v>
      </c>
      <c r="E6" s="24"/>
      <c r="F6" s="86" t="s">
        <v>211</v>
      </c>
      <c r="G6" s="24" t="str">
        <f>IFERROR(CONCATENATE(VLOOKUP(D6,TableMajors[],2,FALSE)," ",VLOOKUP(D6,TableMajors[],3,FALSE)),"")</f>
        <v/>
      </c>
      <c r="H6" s="24"/>
      <c r="I6" s="24"/>
      <c r="J6" s="24"/>
      <c r="L6" s="265" t="e">
        <f>CONCATENATE(VLOOKUP(D6,TableMajors[],2,FALSE),VLOOKUP(D8,TableStudyPeriods[],2,FALSE))</f>
        <v>#N/A</v>
      </c>
    </row>
    <row r="7" spans="1:16" ht="20.100000000000001" customHeight="1" x14ac:dyDescent="0.25">
      <c r="B7" s="23"/>
      <c r="C7" s="375" t="s">
        <v>212</v>
      </c>
      <c r="D7" s="413" t="s">
        <v>213</v>
      </c>
      <c r="E7" s="24"/>
      <c r="F7" s="86" t="s">
        <v>214</v>
      </c>
      <c r="G7" s="24" t="str">
        <f>IFERROR(CONCATENATE(VLOOKUP(D7,TableStreams[],2,FALSE)," ",VLOOKUP(D7,TableStreams[],3,FALSE)),"")</f>
        <v>STRU-MATHM v.3</v>
      </c>
      <c r="H7" s="24"/>
      <c r="I7" s="24"/>
      <c r="J7" s="24"/>
      <c r="K7" s="414"/>
      <c r="L7" s="265" t="e">
        <f>IF(OR(LEFT(L6,10)="MJRU-HLTPE",LEFT(L6,10)="MJRU-SCIPH"),L6,CONCATENATE(VLOOKUP(D7,TableStreams[],2,FALSE),VLOOKUP(D8,TableStudyPeriods[],2,FALSE)))</f>
        <v>#N/A</v>
      </c>
    </row>
    <row r="8" spans="1:16" ht="20.100000000000001" customHeight="1" x14ac:dyDescent="0.25">
      <c r="A8" s="25"/>
      <c r="B8" s="26"/>
      <c r="C8" s="86" t="s">
        <v>13</v>
      </c>
      <c r="D8" s="190" t="s">
        <v>136</v>
      </c>
      <c r="E8" s="27"/>
      <c r="F8" s="86" t="s">
        <v>15</v>
      </c>
      <c r="G8" s="24" t="str">
        <f>IFERROR(VLOOKUP($D$5,TableCourses[],7,FALSE),"")</f>
        <v xml:space="preserve">800 credit points required </v>
      </c>
      <c r="H8" s="182"/>
      <c r="I8" s="182"/>
      <c r="J8" s="182"/>
      <c r="K8" s="182"/>
      <c r="L8" s="376" t="s">
        <v>215</v>
      </c>
    </row>
    <row r="9" spans="1:16" s="31" customFormat="1" ht="14.1" customHeight="1" x14ac:dyDescent="0.25">
      <c r="A9" s="105"/>
      <c r="B9" s="105"/>
      <c r="C9" s="105"/>
      <c r="D9" s="106"/>
      <c r="E9" s="107"/>
      <c r="F9" s="105"/>
      <c r="G9" s="105"/>
      <c r="H9" s="167" t="s">
        <v>16</v>
      </c>
      <c r="I9" s="108"/>
      <c r="J9" s="108"/>
      <c r="K9" s="109"/>
      <c r="L9" s="107"/>
      <c r="M9" s="183"/>
      <c r="N9" s="183"/>
      <c r="O9" s="183"/>
    </row>
    <row r="10" spans="1:16" s="31" customFormat="1" ht="21" x14ac:dyDescent="0.25">
      <c r="A10" s="105" t="s">
        <v>17</v>
      </c>
      <c r="B10" s="105"/>
      <c r="C10" s="105"/>
      <c r="D10" s="106" t="s">
        <v>3</v>
      </c>
      <c r="E10" s="111" t="s">
        <v>18</v>
      </c>
      <c r="F10" s="105" t="s">
        <v>19</v>
      </c>
      <c r="G10" s="105" t="s">
        <v>20</v>
      </c>
      <c r="H10" s="113" t="s">
        <v>21</v>
      </c>
      <c r="I10" s="227" t="s">
        <v>22</v>
      </c>
      <c r="J10" s="111" t="s">
        <v>24</v>
      </c>
      <c r="K10" s="114" t="s">
        <v>25</v>
      </c>
      <c r="L10" s="105" t="s">
        <v>27</v>
      </c>
      <c r="M10" s="183"/>
      <c r="N10" s="183"/>
      <c r="O10" s="183"/>
    </row>
    <row r="11" spans="1:16" s="34" customFormat="1" ht="20.100000000000001" customHeight="1" x14ac:dyDescent="0.15">
      <c r="A11" s="67" t="str">
        <f>IFERROR(IF(HLOOKUP($L$5,RangeUnitSetsSec,M11,FALSE)=0,"",HLOOKUP($L$5,RangeUnitSetsSec,M11,FALSE)),"")</f>
        <v/>
      </c>
      <c r="B11" s="63" t="str">
        <f>IFERROR(IF(VLOOKUP($A11,TableHandbook[],B$2,FALSE)=0,"",VLOOKUP($A11,TableHandbook[],B$2,FALSE)),"")</f>
        <v/>
      </c>
      <c r="C11" s="63" t="str">
        <f>IFERROR(IF(VLOOKUP($A11,TableHandbook[],C$2,FALSE)=0,"",VLOOKUP($A11,TableHandbook[],C$2,FALSE)),"")</f>
        <v/>
      </c>
      <c r="D11" s="68" t="str">
        <f>IFERROR(IF(VLOOKUP($A11,TableHandbook[],D$2,FALSE)=0,"",VLOOKUP($A11,TableHandbook[],D$2,FALSE)),"")</f>
        <v/>
      </c>
      <c r="E11" s="63" t="str">
        <f>IF(OR(A11="",A11="--"),"",VLOOKUP($D$8,TableStudyPeriods[],2,FALSE))</f>
        <v/>
      </c>
      <c r="F11" s="62" t="str">
        <f>IFERROR(IF(VLOOKUP($A11,TableHandbook[],F$2,FALSE)=0,"",VLOOKUP($A11,TableHandbook[],F$2,FALSE)),"")</f>
        <v/>
      </c>
      <c r="G11" s="63" t="str">
        <f>IFERROR(IF(VLOOKUP($A11,TableHandbook[],G$2,FALSE)=0,"",VLOOKUP($A11,TableHandbook[],G$2,FALSE)),"")</f>
        <v/>
      </c>
      <c r="H11" s="71" t="str">
        <f>IFERROR(VLOOKUP($A11,TableHandbook[],H$2,FALSE),"")</f>
        <v/>
      </c>
      <c r="I11" s="228" t="str">
        <f>IFERROR(VLOOKUP($A11,TableHandbook[],I$2,FALSE),"")</f>
        <v/>
      </c>
      <c r="J11" s="63" t="str">
        <f>IFERROR(VLOOKUP($A11,TableHandbook[],J$2,FALSE),"")</f>
        <v/>
      </c>
      <c r="K11" s="72" t="str">
        <f>IFERROR(VLOOKUP($A11,TableHandbook[],K$2,FALSE),"")</f>
        <v/>
      </c>
      <c r="L11" s="69"/>
      <c r="M11" s="377">
        <v>5</v>
      </c>
      <c r="N11" s="185"/>
      <c r="O11" s="185"/>
    </row>
    <row r="12" spans="1:16" s="34" customFormat="1" ht="20.100000000000001" customHeight="1" x14ac:dyDescent="0.15">
      <c r="A12" s="67" t="str">
        <f>IFERROR(IF(HLOOKUP($L$5,RangeUnitSetsSec,M12,FALSE)=0,"",HLOOKUP($L$5,RangeUnitSetsSec,M12,FALSE)),"")</f>
        <v/>
      </c>
      <c r="B12" s="63" t="str">
        <f>IFERROR(IF(VLOOKUP($A12,TableHandbook[],B$2,FALSE)=0,"",VLOOKUP($A12,TableHandbook[],B$2,FALSE)),"")</f>
        <v/>
      </c>
      <c r="C12" s="63" t="str">
        <f>IFERROR(IF(VLOOKUP($A12,TableHandbook[],C$2,FALSE)=0,"",VLOOKUP($A12,TableHandbook[],C$2,FALSE)),"")</f>
        <v/>
      </c>
      <c r="D12" s="68"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1" t="str">
        <f>IFERROR(VLOOKUP($A12,TableHandbook[],H$2,FALSE),"")</f>
        <v/>
      </c>
      <c r="I12" s="228" t="str">
        <f>IFERROR(VLOOKUP($A12,TableHandbook[],I$2,FALSE),"")</f>
        <v/>
      </c>
      <c r="J12" s="63" t="str">
        <f>IFERROR(VLOOKUP($A12,TableHandbook[],J$2,FALSE),"")</f>
        <v/>
      </c>
      <c r="K12" s="72" t="str">
        <f>IFERROR(VLOOKUP($A12,TableHandbook[],K$2,FALSE),"")</f>
        <v/>
      </c>
      <c r="L12" s="69"/>
      <c r="M12" s="377">
        <v>6</v>
      </c>
      <c r="N12" s="185"/>
      <c r="O12" s="185"/>
    </row>
    <row r="13" spans="1:16" s="34" customFormat="1" ht="20.100000000000001" customHeight="1" x14ac:dyDescent="0.15">
      <c r="A13" s="67" t="str">
        <f>IFERROR(IF(HLOOKUP($L$5,RangeUnitSetsSec,M13,FALSE)=0,"",HLOOKUP($L$5,RangeUnitSetsSec,M13,FALSE)),"")</f>
        <v/>
      </c>
      <c r="B13" s="63" t="str">
        <f>IFERROR(IF(VLOOKUP($A13,TableHandbook[],B$2,FALSE)=0,"",VLOOKUP($A13,TableHandbook[],B$2,FALSE)),"")</f>
        <v/>
      </c>
      <c r="C13" s="63" t="str">
        <f>IFERROR(IF(VLOOKUP($A13,TableHandbook[],C$2,FALSE)=0,"",VLOOKUP($A13,TableHandbook[],C$2,FALSE)),"")</f>
        <v/>
      </c>
      <c r="D13" s="68" t="str">
        <f>IFERROR(IF(VLOOKUP($A13,TableHandbook[],D$2,FALSE)=0,"",VLOOKUP($A13,TableHandbook[],D$2,FALSE)),"")</f>
        <v/>
      </c>
      <c r="E13" s="63" t="str">
        <f>IF(A13="","",E12)</f>
        <v/>
      </c>
      <c r="F13" s="62" t="str">
        <f>IFERROR(IF(VLOOKUP($A13,TableHandbook[],F$2,FALSE)=0,"",VLOOKUP($A13,TableHandbook[],F$2,FALSE)),"")</f>
        <v/>
      </c>
      <c r="G13" s="63" t="str">
        <f>IFERROR(IF(VLOOKUP($A13,TableHandbook[],G$2,FALSE)=0,"",VLOOKUP($A13,TableHandbook[],G$2,FALSE)),"")</f>
        <v/>
      </c>
      <c r="H13" s="71" t="str">
        <f>IFERROR(VLOOKUP($A13,TableHandbook[],H$2,FALSE),"")</f>
        <v/>
      </c>
      <c r="I13" s="228" t="str">
        <f>IFERROR(VLOOKUP($A13,TableHandbook[],I$2,FALSE),"")</f>
        <v/>
      </c>
      <c r="J13" s="63" t="str">
        <f>IFERROR(VLOOKUP($A13,TableHandbook[],J$2,FALSE),"")</f>
        <v/>
      </c>
      <c r="K13" s="72" t="str">
        <f>IFERROR(VLOOKUP($A13,TableHandbook[],K$2,FALSE),"")</f>
        <v/>
      </c>
      <c r="L13" s="70"/>
      <c r="M13" s="377">
        <v>7</v>
      </c>
      <c r="N13" s="185"/>
      <c r="O13" s="185"/>
    </row>
    <row r="14" spans="1:16" s="34" customFormat="1" ht="20.100000000000001" customHeight="1" x14ac:dyDescent="0.15">
      <c r="A14" s="67" t="str">
        <f>IFERROR(IF(HLOOKUP($L$5,RangeUnitSetsSec,M14,FALSE)=0,"",HLOOKUP($L$5,RangeUnitSetsSec,M14,FALSE)),"")</f>
        <v/>
      </c>
      <c r="B14" s="63" t="str">
        <f>IFERROR(IF(VLOOKUP($A14,TableHandbook[],B$2,FALSE)=0,"",VLOOKUP($A14,TableHandbook[],B$2,FALSE)),"")</f>
        <v/>
      </c>
      <c r="C14" s="63" t="str">
        <f>IFERROR(IF(VLOOKUP($A14,TableHandbook[],C$2,FALSE)=0,"",VLOOKUP($A14,TableHandbook[],C$2,FALSE)),"")</f>
        <v/>
      </c>
      <c r="D14" s="68" t="str">
        <f>IFERROR(IF(VLOOKUP($A14,TableHandbook[],D$2,FALSE)=0,"",VLOOKUP($A14,TableHandbook[],D$2,FALSE)),"")</f>
        <v/>
      </c>
      <c r="E14" s="63" t="str">
        <f>IF(A14="","",E13)</f>
        <v/>
      </c>
      <c r="F14" s="62" t="str">
        <f>IFERROR(IF(VLOOKUP($A14,TableHandbook[],F$2,FALSE)=0,"",VLOOKUP($A14,TableHandbook[],F$2,FALSE)),"")</f>
        <v/>
      </c>
      <c r="G14" s="63" t="str">
        <f>IFERROR(IF(VLOOKUP($A14,TableHandbook[],G$2,FALSE)=0,"",VLOOKUP($A14,TableHandbook[],G$2,FALSE)),"")</f>
        <v/>
      </c>
      <c r="H14" s="71" t="str">
        <f>IFERROR(VLOOKUP($A14,TableHandbook[],H$2,FALSE),"")</f>
        <v/>
      </c>
      <c r="I14" s="228" t="str">
        <f>IFERROR(VLOOKUP($A14,TableHandbook[],I$2,FALSE),"")</f>
        <v/>
      </c>
      <c r="J14" s="63" t="str">
        <f>IFERROR(VLOOKUP($A14,TableHandbook[],J$2,FALSE),"")</f>
        <v/>
      </c>
      <c r="K14" s="72" t="str">
        <f>IFERROR(VLOOKUP($A14,TableHandbook[],K$2,FALSE),"")</f>
        <v/>
      </c>
      <c r="L14" s="69"/>
      <c r="M14" s="377">
        <v>8</v>
      </c>
      <c r="N14" s="185"/>
      <c r="O14" s="185"/>
    </row>
    <row r="15" spans="1:16" s="34" customFormat="1" ht="5.0999999999999996" customHeight="1" x14ac:dyDescent="0.15">
      <c r="A15" s="415"/>
      <c r="B15" s="416"/>
      <c r="C15" s="416"/>
      <c r="D15" s="417"/>
      <c r="E15" s="416"/>
      <c r="F15" s="418"/>
      <c r="G15" s="416"/>
      <c r="H15" s="419"/>
      <c r="I15" s="420"/>
      <c r="J15" s="416"/>
      <c r="K15" s="421"/>
      <c r="L15" s="441"/>
      <c r="M15" s="377"/>
      <c r="N15" s="185"/>
      <c r="O15" s="185"/>
      <c r="P15" s="185"/>
    </row>
    <row r="16" spans="1:16" s="34" customFormat="1" ht="20.100000000000001" customHeight="1" x14ac:dyDescent="0.15">
      <c r="A16" s="67" t="str">
        <f>IFERROR(IF(HLOOKUP($L$5,RangeUnitSetsSec,M16,FALSE)=0,"",HLOOKUP($L$5,RangeUnitSetsSec,M16,FALSE)),"")</f>
        <v/>
      </c>
      <c r="B16" s="65" t="str">
        <f>IFERROR(IF(VLOOKUP($A16,TableHandbook[],B$2,FALSE)=0,"",VLOOKUP($A16,TableHandbook[],B$2,FALSE)),"")</f>
        <v/>
      </c>
      <c r="C16" s="65" t="str">
        <f>IFERROR(IF(VLOOKUP($A16,TableHandbook[],C$2,FALSE)=0,"",VLOOKUP($A16,TableHandbook[],C$2,FALSE)),"")</f>
        <v/>
      </c>
      <c r="D16" s="68" t="str">
        <f>IFERROR(IF(VLOOKUP($A16,TableHandbook[],D$2,FALSE)=0,"",VLOOKUP($A16,TableHandbook[],D$2,FALSE)),"")</f>
        <v/>
      </c>
      <c r="E16" s="63" t="str">
        <f>IF(OR(A16="",A16="--"),"",VLOOKUP($D$8,TableStudyPeriods[],3,FALSE))</f>
        <v/>
      </c>
      <c r="F16" s="62" t="str">
        <f>IFERROR(IF(VLOOKUP($A16,TableHandbook[],F$2,FALSE)=0,"",VLOOKUP($A16,TableHandbook[],F$2,FALSE)),"")</f>
        <v/>
      </c>
      <c r="G16" s="65" t="str">
        <f>IFERROR(IF(VLOOKUP($A16,TableHandbook[],G$2,FALSE)=0,"",VLOOKUP($A16,TableHandbook[],G$2,FALSE)),"")</f>
        <v/>
      </c>
      <c r="H16" s="73" t="str">
        <f>IFERROR(VLOOKUP($A16,TableHandbook[],H$2,FALSE),"")</f>
        <v/>
      </c>
      <c r="I16" s="229" t="str">
        <f>IFERROR(VLOOKUP($A16,TableHandbook[],I$2,FALSE),"")</f>
        <v/>
      </c>
      <c r="J16" s="65" t="str">
        <f>IFERROR(VLOOKUP($A16,TableHandbook[],J$2,FALSE),"")</f>
        <v/>
      </c>
      <c r="K16" s="74" t="str">
        <f>IFERROR(VLOOKUP($A16,TableHandbook[],K$2,FALSE),"")</f>
        <v/>
      </c>
      <c r="L16" s="70"/>
      <c r="M16" s="377">
        <v>9</v>
      </c>
      <c r="N16" s="185"/>
      <c r="O16" s="185"/>
    </row>
    <row r="17" spans="1:16" s="38" customFormat="1" ht="20.100000000000001" customHeight="1" x14ac:dyDescent="0.15">
      <c r="A17" s="67" t="str">
        <f>IFERROR(IF(HLOOKUP($L$5,RangeUnitSetsSec,M17,FALSE)=0,"",HLOOKUP($L$5,RangeUnitSetsSec,M17,FALSE)),"")</f>
        <v/>
      </c>
      <c r="B17" s="65" t="str">
        <f>IFERROR(IF(VLOOKUP($A17,TableHandbook[],B$2,FALSE)=0,"",VLOOKUP($A17,TableHandbook[],B$2,FALSE)),"")</f>
        <v/>
      </c>
      <c r="C17" s="65" t="str">
        <f>IFERROR(IF(VLOOKUP($A17,TableHandbook[],C$2,FALSE)=0,"",VLOOKUP($A17,TableHandbook[],C$2,FALSE)),"")</f>
        <v/>
      </c>
      <c r="D17" s="68" t="str">
        <f>IFERROR(IF(VLOOKUP($A17,TableHandbook[],D$2,FALSE)=0,"",VLOOKUP($A17,TableHandbook[],D$2,FALSE)),"")</f>
        <v/>
      </c>
      <c r="E17" s="63" t="str">
        <f>IF(A17="","",E16)</f>
        <v/>
      </c>
      <c r="F17" s="62" t="str">
        <f>IFERROR(IF(VLOOKUP($A17,TableHandbook[],F$2,FALSE)=0,"",VLOOKUP($A17,TableHandbook[],F$2,FALSE)),"")</f>
        <v/>
      </c>
      <c r="G17" s="65" t="str">
        <f>IFERROR(IF(VLOOKUP($A17,TableHandbook[],G$2,FALSE)=0,"",VLOOKUP($A17,TableHandbook[],G$2,FALSE)),"")</f>
        <v/>
      </c>
      <c r="H17" s="73" t="str">
        <f>IFERROR(VLOOKUP($A17,TableHandbook[],H$2,FALSE),"")</f>
        <v/>
      </c>
      <c r="I17" s="229" t="str">
        <f>IFERROR(VLOOKUP($A17,TableHandbook[],I$2,FALSE),"")</f>
        <v/>
      </c>
      <c r="J17" s="65" t="str">
        <f>IFERROR(VLOOKUP($A17,TableHandbook[],J$2,FALSE),"")</f>
        <v/>
      </c>
      <c r="K17" s="74" t="str">
        <f>IFERROR(VLOOKUP($A17,TableHandbook[],K$2,FALSE),"")</f>
        <v/>
      </c>
      <c r="L17" s="70"/>
      <c r="M17" s="377">
        <v>10</v>
      </c>
      <c r="N17" s="187"/>
      <c r="O17" s="187"/>
    </row>
    <row r="18" spans="1:16" s="38" customFormat="1" ht="20.100000000000001" customHeight="1" x14ac:dyDescent="0.15">
      <c r="A18" s="422" t="str">
        <f>IFERROR(IF(HLOOKUP($L$6,RangeMajorsSec,M18,FALSE)=0,"",HLOOKUP($L$6,RangeMajorsSec,M18,FALSE)),"")</f>
        <v/>
      </c>
      <c r="B18" s="423" t="str">
        <f>IFERROR(IF(VLOOKUP($A18,TableHandbook[],B$2,FALSE)=0,"",VLOOKUP($A18,TableHandbook[],B$2,FALSE)),"")</f>
        <v/>
      </c>
      <c r="C18" s="423" t="str">
        <f>IFERROR(IF(VLOOKUP($A18,TableHandbook[],C$2,FALSE)=0,"",VLOOKUP($A18,TableHandbook[],C$2,FALSE)),"")</f>
        <v/>
      </c>
      <c r="D18" s="424" t="str">
        <f>IFERROR(IF(VLOOKUP($A18,TableHandbook[],D$2,FALSE)=0,"",VLOOKUP($A18,TableHandbook[],D$2,FALSE)),"")</f>
        <v/>
      </c>
      <c r="E18" s="423" t="str">
        <f>IF(A18="","",E17)</f>
        <v/>
      </c>
      <c r="F18" s="425" t="str">
        <f>IFERROR(IF(VLOOKUP($A18,TableHandbook[],F$2,FALSE)=0,"",VLOOKUP($A18,TableHandbook[],F$2,FALSE)),"")</f>
        <v/>
      </c>
      <c r="G18" s="423" t="str">
        <f>IFERROR(IF(VLOOKUP($A18,TableHandbook[],G$2,FALSE)=0,"",VLOOKUP($A18,TableHandbook[],G$2,FALSE)),"")</f>
        <v/>
      </c>
      <c r="H18" s="73" t="str">
        <f>IFERROR(VLOOKUP($A18,TableHandbook[],H$2,FALSE),"")</f>
        <v/>
      </c>
      <c r="I18" s="229" t="str">
        <f>IFERROR(VLOOKUP($A18,TableHandbook[],I$2,FALSE),"")</f>
        <v/>
      </c>
      <c r="J18" s="65" t="str">
        <f>IFERROR(VLOOKUP($A18,TableHandbook[],J$2,FALSE),"")</f>
        <v/>
      </c>
      <c r="K18" s="74" t="str">
        <f>IFERROR(VLOOKUP($A18,TableHandbook[],K$2,FALSE),"")</f>
        <v/>
      </c>
      <c r="L18" s="70"/>
      <c r="M18" s="398">
        <v>2</v>
      </c>
      <c r="N18" s="187"/>
      <c r="O18" s="187"/>
    </row>
    <row r="19" spans="1:16" s="38" customFormat="1" ht="20.100000000000001" customHeight="1" x14ac:dyDescent="0.15">
      <c r="A19" s="426" t="str">
        <f>IFERROR(IF(HLOOKUP($L$7,RangeMathNoMethods,M19,FALSE)=0,"",HLOOKUP($L$7,RangeMathNoMethods,M19,FALSE)),"")</f>
        <v/>
      </c>
      <c r="B19" s="427" t="str">
        <f>IFERROR(IF(VLOOKUP($A19,TableHandbook[],B$2,FALSE)=0,"",VLOOKUP($A19,TableHandbook[],B$2,FALSE)),"")</f>
        <v/>
      </c>
      <c r="C19" s="427" t="str">
        <f>IFERROR(IF(VLOOKUP($A19,TableHandbook[],C$2,FALSE)=0,"",VLOOKUP($A19,TableHandbook[],C$2,FALSE)),"")</f>
        <v/>
      </c>
      <c r="D19" s="428" t="str">
        <f>IFERROR(IF(VLOOKUP($A19,TableHandbook[],D$2,FALSE)=0,"",VLOOKUP($A19,TableHandbook[],D$2,FALSE)),"")</f>
        <v/>
      </c>
      <c r="E19" s="427" t="str">
        <f>IF(A19="","",E18)</f>
        <v/>
      </c>
      <c r="F19" s="429" t="str">
        <f>IFERROR(IF(VLOOKUP($A19,TableHandbook[],F$2,FALSE)=0,"",VLOOKUP($A19,TableHandbook[],F$2,FALSE)),"")</f>
        <v/>
      </c>
      <c r="G19" s="427" t="str">
        <f>IFERROR(IF(VLOOKUP($A19,TableHandbook[],G$2,FALSE)=0,"",VLOOKUP($A19,TableHandbook[],G$2,FALSE)),"")</f>
        <v/>
      </c>
      <c r="H19" s="73" t="str">
        <f>IFERROR(VLOOKUP($A19,TableHandbook[],H$2,FALSE),"")</f>
        <v/>
      </c>
      <c r="I19" s="229" t="str">
        <f>IFERROR(VLOOKUP($A19,TableHandbook[],I$2,FALSE),"")</f>
        <v/>
      </c>
      <c r="J19" s="65" t="str">
        <f>IFERROR(VLOOKUP($A19,TableHandbook[],J$2,FALSE),"")</f>
        <v/>
      </c>
      <c r="K19" s="74" t="str">
        <f>IFERROR(VLOOKUP($A19,TableHandbook[],K$2,FALSE),"")</f>
        <v/>
      </c>
      <c r="L19" s="70"/>
      <c r="M19" s="430">
        <v>2</v>
      </c>
      <c r="N19" s="187"/>
      <c r="O19" s="187"/>
    </row>
    <row r="20" spans="1:16" s="31" customFormat="1" ht="21" x14ac:dyDescent="0.25">
      <c r="A20" s="105" t="s">
        <v>28</v>
      </c>
      <c r="B20" s="105"/>
      <c r="C20" s="105"/>
      <c r="D20" s="121" t="s">
        <v>3</v>
      </c>
      <c r="E20" s="111" t="s">
        <v>18</v>
      </c>
      <c r="F20" s="105" t="s">
        <v>19</v>
      </c>
      <c r="G20" s="105" t="s">
        <v>20</v>
      </c>
      <c r="H20" s="113" t="str">
        <f>H$10</f>
        <v>Sem1 BEN</v>
      </c>
      <c r="I20" s="227" t="str">
        <f t="shared" ref="I20:L20" si="0">I$10</f>
        <v>Sem1 FO</v>
      </c>
      <c r="J20" s="111" t="str">
        <f t="shared" si="0"/>
        <v>Sem2 BEN</v>
      </c>
      <c r="K20" s="114" t="str">
        <f t="shared" si="0"/>
        <v>Sem2 FO</v>
      </c>
      <c r="L20" s="105" t="str">
        <f t="shared" si="0"/>
        <v>Notes / Progress</v>
      </c>
      <c r="M20" s="431"/>
      <c r="N20" s="183"/>
      <c r="O20" s="183"/>
    </row>
    <row r="21" spans="1:16" s="34" customFormat="1" ht="20.100000000000001" customHeight="1" x14ac:dyDescent="0.15">
      <c r="A21" s="67" t="str">
        <f>IFERROR(IF(HLOOKUP($L$5,RangeUnitSetsSec,M21,FALSE)=0,"",HLOOKUP($L$5,RangeUnitSetsSec,M21,FALSE)),"")</f>
        <v/>
      </c>
      <c r="B21" s="65" t="str">
        <f>IFERROR(IF(VLOOKUP($A21,TableHandbook[],B$2,FALSE)=0,"",VLOOKUP($A21,TableHandbook[],B$2,FALSE)),"")</f>
        <v/>
      </c>
      <c r="C21" s="65" t="str">
        <f>IFERROR(IF(VLOOKUP($A21,TableHandbook[],C$2,FALSE)=0,"",VLOOKUP($A21,TableHandbook[],C$2,FALSE)),"")</f>
        <v/>
      </c>
      <c r="D21" s="66" t="str">
        <f>IFERROR(IF(VLOOKUP($A21,TableHandbook[],D$2,FALSE)=0,"",VLOOKUP($A21,TableHandbook[],D$2,FALSE)),"")</f>
        <v/>
      </c>
      <c r="E21" s="65" t="str">
        <f>IF(OR(A21="",A21="--"),"",VLOOKUP($D$8,TableStudyPeriods[],2,FALSE))</f>
        <v/>
      </c>
      <c r="F21" s="62" t="str">
        <f>IFERROR(IF(VLOOKUP($A21,TableHandbook[],F$2,FALSE)=0,"",VLOOKUP($A21,TableHandbook[],F$2,FALSE)),"")</f>
        <v/>
      </c>
      <c r="G21" s="63" t="str">
        <f>IFERROR(IF(VLOOKUP($A21,TableHandbook[],G$2,FALSE)=0,"",VLOOKUP($A21,TableHandbook[],G$2,FALSE)),"")</f>
        <v/>
      </c>
      <c r="H21" s="71" t="str">
        <f>IFERROR(VLOOKUP($A21,TableHandbook[],H$2,FALSE),"")</f>
        <v/>
      </c>
      <c r="I21" s="228" t="str">
        <f>IFERROR(VLOOKUP($A21,TableHandbook[],I$2,FALSE),"")</f>
        <v/>
      </c>
      <c r="J21" s="63" t="str">
        <f>IFERROR(VLOOKUP($A21,TableHandbook[],J$2,FALSE),"")</f>
        <v/>
      </c>
      <c r="K21" s="72" t="str">
        <f>IFERROR(VLOOKUP($A21,TableHandbook[],K$2,FALSE),"")</f>
        <v/>
      </c>
      <c r="L21" s="69"/>
      <c r="M21" s="377">
        <v>13</v>
      </c>
      <c r="N21" s="185"/>
      <c r="O21" s="185"/>
    </row>
    <row r="22" spans="1:16" s="34" customFormat="1" ht="19.5" customHeight="1" x14ac:dyDescent="0.15">
      <c r="A22" s="422" t="str">
        <f>IFERROR(IF(HLOOKUP($L$6,RangeMajorsSec,M22,FALSE)=0,"",HLOOKUP($L$6,RangeMajorsSec,M22,FALSE)),"")</f>
        <v/>
      </c>
      <c r="B22" s="423" t="str">
        <f>IFERROR(IF(VLOOKUP($A22,TableHandbook[],B$2,FALSE)=0,"",VLOOKUP($A22,TableHandbook[],B$2,FALSE)),"")</f>
        <v/>
      </c>
      <c r="C22" s="423" t="str">
        <f>IFERROR(IF(VLOOKUP($A22,TableHandbook[],C$2,FALSE)=0,"",VLOOKUP($A22,TableHandbook[],C$2,FALSE)),"")</f>
        <v/>
      </c>
      <c r="D22" s="432" t="str">
        <f>IFERROR(IF(VLOOKUP($A22,TableHandbook[],D$2,FALSE)=0,"",VLOOKUP($A22,TableHandbook[],D$2,FALSE)),"")</f>
        <v/>
      </c>
      <c r="E22" s="423" t="str">
        <f>IF(A22="","",E21)</f>
        <v/>
      </c>
      <c r="F22" s="425" t="str">
        <f>IFERROR(IF(VLOOKUP($A22,TableHandbook[],F$2,FALSE)=0,"",VLOOKUP($A22,TableHandbook[],F$2,FALSE)),"")</f>
        <v/>
      </c>
      <c r="G22" s="423" t="str">
        <f>IFERROR(IF(VLOOKUP($A22,TableHandbook[],G$2,FALSE)=0,"",VLOOKUP($A22,TableHandbook[],G$2,FALSE)),"")</f>
        <v/>
      </c>
      <c r="H22" s="73" t="str">
        <f>IFERROR(VLOOKUP($A22,TableHandbook[],H$2,FALSE),"")</f>
        <v/>
      </c>
      <c r="I22" s="229" t="str">
        <f>IFERROR(VLOOKUP($A22,TableHandbook[],I$2,FALSE),"")</f>
        <v/>
      </c>
      <c r="J22" s="65" t="str">
        <f>IFERROR(VLOOKUP($A22,TableHandbook[],J$2,FALSE),"")</f>
        <v/>
      </c>
      <c r="K22" s="74" t="str">
        <f>IFERROR(VLOOKUP($A22,TableHandbook[],K$2,FALSE),"")</f>
        <v/>
      </c>
      <c r="L22" s="70"/>
      <c r="M22" s="398">
        <v>3</v>
      </c>
      <c r="N22" s="185"/>
      <c r="O22" s="185"/>
    </row>
    <row r="23" spans="1:16" s="34" customFormat="1" ht="20.100000000000001" customHeight="1" x14ac:dyDescent="0.15">
      <c r="A23" s="422" t="str">
        <f>IFERROR(IF(HLOOKUP($L$6,RangeMajorsSec,M23,FALSE)=0,"",HLOOKUP($L$6,RangeMajorsSec,M23,FALSE)),"")</f>
        <v/>
      </c>
      <c r="B23" s="423" t="str">
        <f>IFERROR(IF(VLOOKUP($A23,TableHandbook[],B$2,FALSE)=0,"",VLOOKUP($A23,TableHandbook[],B$2,FALSE)),"")</f>
        <v/>
      </c>
      <c r="C23" s="423" t="str">
        <f>IFERROR(IF(VLOOKUP($A23,TableHandbook[],C$2,FALSE)=0,"",VLOOKUP($A23,TableHandbook[],C$2,FALSE)),"")</f>
        <v/>
      </c>
      <c r="D23" s="432" t="str">
        <f>IFERROR(IF(VLOOKUP($A23,TableHandbook[],D$2,FALSE)=0,"",VLOOKUP($A23,TableHandbook[],D$2,FALSE)),"")</f>
        <v/>
      </c>
      <c r="E23" s="423" t="str">
        <f>IF(A23="","",E22)</f>
        <v/>
      </c>
      <c r="F23" s="425" t="str">
        <f>IFERROR(IF(VLOOKUP($A23,TableHandbook[],F$2,FALSE)=0,"",VLOOKUP($A23,TableHandbook[],F$2,FALSE)),"")</f>
        <v/>
      </c>
      <c r="G23" s="423" t="str">
        <f>IFERROR(IF(VLOOKUP($A23,TableHandbook[],G$2,FALSE)=0,"",VLOOKUP($A23,TableHandbook[],G$2,FALSE)),"")</f>
        <v/>
      </c>
      <c r="H23" s="73" t="str">
        <f>IFERROR(VLOOKUP($A23,TableHandbook[],H$2,FALSE),"")</f>
        <v/>
      </c>
      <c r="I23" s="229" t="str">
        <f>IFERROR(VLOOKUP($A23,TableHandbook[],I$2,FALSE),"")</f>
        <v/>
      </c>
      <c r="J23" s="65" t="str">
        <f>IFERROR(VLOOKUP($A23,TableHandbook[],J$2,FALSE),"")</f>
        <v/>
      </c>
      <c r="K23" s="74" t="str">
        <f>IFERROR(VLOOKUP($A23,TableHandbook[],K$2,FALSE),"")</f>
        <v/>
      </c>
      <c r="L23" s="70"/>
      <c r="M23" s="398">
        <v>4</v>
      </c>
      <c r="N23" s="185"/>
      <c r="O23" s="185"/>
    </row>
    <row r="24" spans="1:16" s="34" customFormat="1" ht="20.100000000000001" customHeight="1" x14ac:dyDescent="0.15">
      <c r="A24" s="426" t="str">
        <f>IFERROR(IF(HLOOKUP($L$7,RangeMathNoMethods,M24,FALSE)=0,"",HLOOKUP($L$7,RangeMathNoMethods,M24,FALSE)),"")</f>
        <v/>
      </c>
      <c r="B24" s="427" t="str">
        <f>IFERROR(IF(VLOOKUP($A24,TableHandbook[],B$2,FALSE)=0,"",VLOOKUP($A24,TableHandbook[],B$2,FALSE)),"")</f>
        <v/>
      </c>
      <c r="C24" s="427" t="str">
        <f>IFERROR(IF(VLOOKUP($A24,TableHandbook[],C$2,FALSE)=0,"",VLOOKUP($A24,TableHandbook[],C$2,FALSE)),"")</f>
        <v/>
      </c>
      <c r="D24" s="428" t="str">
        <f>IFERROR(IF(VLOOKUP($A24,TableHandbook[],D$2,FALSE)=0,"",VLOOKUP($A24,TableHandbook[],D$2,FALSE)),"")</f>
        <v/>
      </c>
      <c r="E24" s="427" t="str">
        <f>IF(A24="","",E23)</f>
        <v/>
      </c>
      <c r="F24" s="429" t="str">
        <f>IFERROR(IF(VLOOKUP($A24,TableHandbook[],F$2,FALSE)=0,"",VLOOKUP($A24,TableHandbook[],F$2,FALSE)),"")</f>
        <v/>
      </c>
      <c r="G24" s="427" t="str">
        <f>IFERROR(IF(VLOOKUP($A24,TableHandbook[],G$2,FALSE)=0,"",VLOOKUP($A24,TableHandbook[],G$2,FALSE)),"")</f>
        <v/>
      </c>
      <c r="H24" s="73" t="str">
        <f>IFERROR(VLOOKUP($A24,TableHandbook[],H$2,FALSE),"")</f>
        <v/>
      </c>
      <c r="I24" s="229" t="str">
        <f>IFERROR(VLOOKUP($A24,TableHandbook[],I$2,FALSE),"")</f>
        <v/>
      </c>
      <c r="J24" s="65" t="str">
        <f>IFERROR(VLOOKUP($A24,TableHandbook[],J$2,FALSE),"")</f>
        <v/>
      </c>
      <c r="K24" s="74" t="str">
        <f>IFERROR(VLOOKUP($A24,TableHandbook[],K$2,FALSE),"")</f>
        <v/>
      </c>
      <c r="L24" s="70"/>
      <c r="M24" s="430">
        <v>3</v>
      </c>
      <c r="N24" s="185"/>
      <c r="O24" s="185"/>
    </row>
    <row r="25" spans="1:16" s="34" customFormat="1" ht="5.0999999999999996" customHeight="1" x14ac:dyDescent="0.15">
      <c r="A25" s="415"/>
      <c r="B25" s="416"/>
      <c r="C25" s="416"/>
      <c r="D25" s="417"/>
      <c r="E25" s="416"/>
      <c r="F25" s="418"/>
      <c r="G25" s="416"/>
      <c r="H25" s="419"/>
      <c r="I25" s="420"/>
      <c r="J25" s="416"/>
      <c r="K25" s="421"/>
      <c r="L25" s="441"/>
      <c r="M25" s="377"/>
      <c r="N25" s="185"/>
      <c r="O25" s="185"/>
      <c r="P25" s="185"/>
    </row>
    <row r="26" spans="1:16" s="34" customFormat="1" ht="20.100000000000001" customHeight="1" x14ac:dyDescent="0.15">
      <c r="A26" s="67" t="str">
        <f>IFERROR(IF(HLOOKUP($L$5,RangeUnitSetsSec,M26,FALSE)=0,"",HLOOKUP($L$5,RangeUnitSetsSec,M26,FALSE)),"")</f>
        <v/>
      </c>
      <c r="B26" s="65" t="str">
        <f>IFERROR(IF(VLOOKUP($A26,TableHandbook[],B$2,FALSE)=0,"",VLOOKUP($A26,TableHandbook[],B$2,FALSE)),"")</f>
        <v/>
      </c>
      <c r="C26" s="65" t="str">
        <f>IFERROR(IF(VLOOKUP($A26,TableHandbook[],C$2,FALSE)=0,"",VLOOKUP($A26,TableHandbook[],C$2,FALSE)),"")</f>
        <v/>
      </c>
      <c r="D26" s="120" t="str">
        <f>IFERROR(IF(VLOOKUP($A26,TableHandbook[],D$2,FALSE)=0,"",VLOOKUP($A26,TableHandbook[],D$2,FALSE)),"")</f>
        <v/>
      </c>
      <c r="E26" s="65" t="str">
        <f>IF(OR(A26="",A26="--"),"",VLOOKUP($D$8,TableStudyPeriods[],3,FALSE))</f>
        <v/>
      </c>
      <c r="F26" s="62" t="str">
        <f>IFERROR(IF(VLOOKUP($A26,TableHandbook[],F$2,FALSE)=0,"",VLOOKUP($A26,TableHandbook[],F$2,FALSE)),"")</f>
        <v/>
      </c>
      <c r="G26" s="63" t="str">
        <f>IFERROR(IF(VLOOKUP($A26,TableHandbook[],G$2,FALSE)=0,"",VLOOKUP($A26,TableHandbook[],G$2,FALSE)),"")</f>
        <v/>
      </c>
      <c r="H26" s="73" t="str">
        <f>IFERROR(VLOOKUP($A26,TableHandbook[],H$2,FALSE),"")</f>
        <v/>
      </c>
      <c r="I26" s="229" t="str">
        <f>IFERROR(VLOOKUP($A26,TableHandbook[],I$2,FALSE),"")</f>
        <v/>
      </c>
      <c r="J26" s="65" t="str">
        <f>IFERROR(VLOOKUP($A26,TableHandbook[],J$2,FALSE),"")</f>
        <v/>
      </c>
      <c r="K26" s="74" t="str">
        <f>IFERROR(VLOOKUP($A26,TableHandbook[],K$2,FALSE),"")</f>
        <v/>
      </c>
      <c r="L26" s="70"/>
      <c r="M26" s="377">
        <v>17</v>
      </c>
      <c r="N26" s="185"/>
      <c r="O26" s="185"/>
    </row>
    <row r="27" spans="1:16" s="34" customFormat="1" ht="20.100000000000001" customHeight="1" x14ac:dyDescent="0.15">
      <c r="A27" s="422" t="str">
        <f>IFERROR(IF(HLOOKUP($L$6,RangeMajorsSec,M27,FALSE)=0,"",HLOOKUP($L$6,RangeMajorsSec,M27,FALSE)),"")</f>
        <v/>
      </c>
      <c r="B27" s="423" t="str">
        <f>IFERROR(IF(VLOOKUP($A27,TableHandbook[],B$2,FALSE)=0,"",VLOOKUP($A27,TableHandbook[],B$2,FALSE)),"")</f>
        <v/>
      </c>
      <c r="C27" s="423" t="str">
        <f>IFERROR(IF(VLOOKUP($A27,TableHandbook[],C$2,FALSE)=0,"",VLOOKUP($A27,TableHandbook[],C$2,FALSE)),"")</f>
        <v/>
      </c>
      <c r="D27" s="432" t="str">
        <f>IFERROR(IF(VLOOKUP($A27,TableHandbook[],D$2,FALSE)=0,"",VLOOKUP($A27,TableHandbook[],D$2,FALSE)),"")</f>
        <v/>
      </c>
      <c r="E27" s="423" t="str">
        <f>IF(A27="","",E26)</f>
        <v/>
      </c>
      <c r="F27" s="425" t="str">
        <f>IFERROR(IF(VLOOKUP($A27,TableHandbook[],F$2,FALSE)=0,"",VLOOKUP($A27,TableHandbook[],F$2,FALSE)),"")</f>
        <v/>
      </c>
      <c r="G27" s="423" t="str">
        <f>IFERROR(IF(VLOOKUP($A27,TableHandbook[],G$2,FALSE)=0,"",VLOOKUP($A27,TableHandbook[],G$2,FALSE)),"")</f>
        <v/>
      </c>
      <c r="H27" s="73" t="str">
        <f>IFERROR(VLOOKUP($A27,TableHandbook[],H$2,FALSE),"")</f>
        <v/>
      </c>
      <c r="I27" s="229" t="str">
        <f>IFERROR(VLOOKUP($A27,TableHandbook[],I$2,FALSE),"")</f>
        <v/>
      </c>
      <c r="J27" s="65" t="str">
        <f>IFERROR(VLOOKUP($A27,TableHandbook[],J$2,FALSE),"")</f>
        <v/>
      </c>
      <c r="K27" s="74" t="str">
        <f>IFERROR(VLOOKUP($A27,TableHandbook[],K$2,FALSE),"")</f>
        <v/>
      </c>
      <c r="L27" s="70"/>
      <c r="M27" s="398">
        <v>5</v>
      </c>
      <c r="N27" s="185"/>
      <c r="O27" s="185"/>
    </row>
    <row r="28" spans="1:16" s="38" customFormat="1" ht="20.100000000000001" customHeight="1" x14ac:dyDescent="0.15">
      <c r="A28" s="422" t="str">
        <f>IFERROR(IF(HLOOKUP($L$6,RangeMajorsSec,M28,FALSE)=0,"",HLOOKUP($L$6,RangeMajorsSec,M28,FALSE)),"")</f>
        <v/>
      </c>
      <c r="B28" s="423" t="str">
        <f>IFERROR(IF(VLOOKUP($A28,TableHandbook[],B$2,FALSE)=0,"",VLOOKUP($A28,TableHandbook[],B$2,FALSE)),"")</f>
        <v/>
      </c>
      <c r="C28" s="423" t="str">
        <f>IFERROR(IF(VLOOKUP($A28,TableHandbook[],C$2,FALSE)=0,"",VLOOKUP($A28,TableHandbook[],C$2,FALSE)),"")</f>
        <v/>
      </c>
      <c r="D28" s="432" t="str">
        <f>IFERROR(IF(VLOOKUP($A28,TableHandbook[],D$2,FALSE)=0,"",VLOOKUP($A28,TableHandbook[],D$2,FALSE)),"")</f>
        <v/>
      </c>
      <c r="E28" s="423" t="str">
        <f>IF(A28="","",E27)</f>
        <v/>
      </c>
      <c r="F28" s="425" t="str">
        <f>IFERROR(IF(VLOOKUP($A28,TableHandbook[],F$2,FALSE)=0,"",VLOOKUP($A28,TableHandbook[],F$2,FALSE)),"")</f>
        <v/>
      </c>
      <c r="G28" s="423" t="str">
        <f>IFERROR(IF(VLOOKUP($A28,TableHandbook[],G$2,FALSE)=0,"",VLOOKUP($A28,TableHandbook[],G$2,FALSE)),"")</f>
        <v/>
      </c>
      <c r="H28" s="73" t="str">
        <f>IFERROR(VLOOKUP($A28,TableHandbook[],H$2,FALSE),"")</f>
        <v/>
      </c>
      <c r="I28" s="229" t="str">
        <f>IFERROR(VLOOKUP($A28,TableHandbook[],I$2,FALSE),"")</f>
        <v/>
      </c>
      <c r="J28" s="65" t="str">
        <f>IFERROR(VLOOKUP($A28,TableHandbook[],J$2,FALSE),"")</f>
        <v/>
      </c>
      <c r="K28" s="74" t="str">
        <f>IFERROR(VLOOKUP($A28,TableHandbook[],K$2,FALSE),"")</f>
        <v/>
      </c>
      <c r="L28" s="70"/>
      <c r="M28" s="398">
        <v>6</v>
      </c>
      <c r="N28" s="187"/>
      <c r="O28" s="187"/>
    </row>
    <row r="29" spans="1:16" s="38" customFormat="1" ht="20.100000000000001" customHeight="1" x14ac:dyDescent="0.15">
      <c r="A29" s="426" t="str">
        <f>IFERROR(IF(HLOOKUP($L$7,RangeMathNoMethods,M29,FALSE)=0,"",HLOOKUP($L$7,RangeMathNoMethods,M29,FALSE)),"")</f>
        <v/>
      </c>
      <c r="B29" s="433" t="str">
        <f>IFERROR(IF(VLOOKUP($A29,TableHandbook[],B$2,FALSE)=0,"",VLOOKUP($A29,TableHandbook[],B$2,FALSE)),"")</f>
        <v/>
      </c>
      <c r="C29" s="433" t="str">
        <f>IFERROR(IF(VLOOKUP($A29,TableHandbook[],C$2,FALSE)=0,"",VLOOKUP($A29,TableHandbook[],C$2,FALSE)),"")</f>
        <v/>
      </c>
      <c r="D29" s="434" t="str">
        <f>IFERROR(IF(VLOOKUP($A29,TableHandbook[],D$2,FALSE)=0,"",VLOOKUP($A29,TableHandbook[],D$2,FALSE)),"")</f>
        <v/>
      </c>
      <c r="E29" s="433" t="str">
        <f>IF(A29="","",E28)</f>
        <v/>
      </c>
      <c r="F29" s="435" t="str">
        <f>IFERROR(IF(VLOOKUP($A29,TableHandbook[],F$2,FALSE)=0,"",VLOOKUP($A29,TableHandbook[],F$2,FALSE)),"")</f>
        <v/>
      </c>
      <c r="G29" s="433" t="str">
        <f>IFERROR(IF(VLOOKUP($A29,TableHandbook[],G$2,FALSE)=0,"",VLOOKUP($A29,TableHandbook[],G$2,FALSE)),"")</f>
        <v/>
      </c>
      <c r="H29" s="436" t="str">
        <f>IFERROR(VLOOKUP($A29,TableHandbook[],H$2,FALSE),"")</f>
        <v/>
      </c>
      <c r="I29" s="437" t="str">
        <f>IFERROR(VLOOKUP($A29,TableHandbook[],I$2,FALSE),"")</f>
        <v/>
      </c>
      <c r="J29" s="55" t="str">
        <f>IFERROR(VLOOKUP($A29,TableHandbook[],J$2,FALSE),"")</f>
        <v/>
      </c>
      <c r="K29" s="438" t="str">
        <f>IFERROR(VLOOKUP($A29,TableHandbook[],K$2,FALSE),"")</f>
        <v/>
      </c>
      <c r="L29" s="373"/>
      <c r="M29" s="430">
        <v>4</v>
      </c>
      <c r="N29" s="187"/>
      <c r="O29" s="187"/>
    </row>
    <row r="30" spans="1:16" s="31" customFormat="1" ht="21" x14ac:dyDescent="0.25">
      <c r="A30" s="105" t="s">
        <v>29</v>
      </c>
      <c r="B30" s="105"/>
      <c r="C30" s="105"/>
      <c r="D30" s="121" t="s">
        <v>3</v>
      </c>
      <c r="E30" s="111" t="s">
        <v>18</v>
      </c>
      <c r="F30" s="105" t="s">
        <v>19</v>
      </c>
      <c r="G30" s="105" t="s">
        <v>20</v>
      </c>
      <c r="H30" s="113" t="str">
        <f>H$10</f>
        <v>Sem1 BEN</v>
      </c>
      <c r="I30" s="227" t="str">
        <f t="shared" ref="I30:L30" si="1">I$10</f>
        <v>Sem1 FO</v>
      </c>
      <c r="J30" s="111" t="str">
        <f t="shared" si="1"/>
        <v>Sem2 BEN</v>
      </c>
      <c r="K30" s="114" t="str">
        <f t="shared" si="1"/>
        <v>Sem2 FO</v>
      </c>
      <c r="L30" s="105" t="str">
        <f t="shared" si="1"/>
        <v>Notes / Progress</v>
      </c>
      <c r="M30" s="431"/>
      <c r="N30" s="183"/>
      <c r="O30" s="183"/>
    </row>
    <row r="31" spans="1:16" s="34" customFormat="1" ht="20.100000000000001" customHeight="1" x14ac:dyDescent="0.15">
      <c r="A31" s="164" t="str">
        <f>IFERROR(IF(HLOOKUP($L$5,RangeUnitSetsSec,M31,FALSE)=0,"",HLOOKUP($L$5,RangeUnitSetsSec,M31,FALSE)),"")</f>
        <v/>
      </c>
      <c r="B31" s="65" t="str">
        <f>IFERROR(IF(VLOOKUP($A31,TableHandbook[],B$2,FALSE)=0,"",VLOOKUP($A31,TableHandbook[],B$2,FALSE)),"")</f>
        <v/>
      </c>
      <c r="C31" s="65" t="str">
        <f>IFERROR(IF(VLOOKUP($A31,TableHandbook[],C$2,FALSE)=0,"",VLOOKUP($A31,TableHandbook[],C$2,FALSE)),"")</f>
        <v/>
      </c>
      <c r="D31" s="66" t="str">
        <f>IFERROR(IF(VLOOKUP($A31,TableHandbook[],D$2,FALSE)=0,"",VLOOKUP($A31,TableHandbook[],D$2,FALSE)),"")</f>
        <v/>
      </c>
      <c r="E31" s="65" t="str">
        <f>IF(OR(A31="",A31="--"),"",VLOOKUP($D$8,TableStudyPeriods[],2,FALSE))</f>
        <v/>
      </c>
      <c r="F31" s="378" t="str">
        <f>IFERROR(IF(VLOOKUP($A31,TableHandbook[],F$2,FALSE)=0,"",VLOOKUP($A31,TableHandbook[],F$2,FALSE)),"")</f>
        <v/>
      </c>
      <c r="G31" s="65" t="str">
        <f>IFERROR(IF(VLOOKUP($A31,TableHandbook[],G$2,FALSE)=0,"",VLOOKUP($A31,TableHandbook[],G$2,FALSE)),"")</f>
        <v/>
      </c>
      <c r="H31" s="73" t="str">
        <f>IFERROR(VLOOKUP($A31,TableHandbook[],H$2,FALSE),"")</f>
        <v/>
      </c>
      <c r="I31" s="229" t="str">
        <f>IFERROR(VLOOKUP($A31,TableHandbook[],I$2,FALSE),"")</f>
        <v/>
      </c>
      <c r="J31" s="65" t="str">
        <f>IFERROR(VLOOKUP($A31,TableHandbook[],J$2,FALSE),"")</f>
        <v/>
      </c>
      <c r="K31" s="74" t="str">
        <f>IFERROR(VLOOKUP($A31,TableHandbook[],K$2,FALSE),"")</f>
        <v/>
      </c>
      <c r="L31" s="70"/>
      <c r="M31" s="377">
        <v>21</v>
      </c>
      <c r="N31" s="185"/>
      <c r="O31" s="185"/>
    </row>
    <row r="32" spans="1:16" s="34" customFormat="1" ht="19.5" customHeight="1" x14ac:dyDescent="0.15">
      <c r="A32" s="422" t="str">
        <f>IFERROR(IF(HLOOKUP($L$6,RangeMajorsSec,M32,FALSE)=0,"",HLOOKUP($L$6,RangeMajorsSec,M32,FALSE)),"")</f>
        <v/>
      </c>
      <c r="B32" s="423" t="str">
        <f>IFERROR(IF(VLOOKUP($A32,TableHandbook[],B$2,FALSE)=0,"",VLOOKUP($A32,TableHandbook[],B$2,FALSE)),"")</f>
        <v/>
      </c>
      <c r="C32" s="423" t="str">
        <f>IFERROR(IF(VLOOKUP($A32,TableHandbook[],C$2,FALSE)=0,"",VLOOKUP($A32,TableHandbook[],C$2,FALSE)),"")</f>
        <v/>
      </c>
      <c r="D32" s="432" t="str">
        <f>IFERROR(IF(VLOOKUP($A32,TableHandbook[],D$2,FALSE)=0,"",VLOOKUP($A32,TableHandbook[],D$2,FALSE)),"")</f>
        <v/>
      </c>
      <c r="E32" s="423" t="str">
        <f>IF(A32="","",E31)</f>
        <v/>
      </c>
      <c r="F32" s="425" t="str">
        <f>IFERROR(IF(VLOOKUP($A32,TableHandbook[],F$2,FALSE)=0,"",VLOOKUP($A32,TableHandbook[],F$2,FALSE)),"")</f>
        <v/>
      </c>
      <c r="G32" s="423" t="str">
        <f>IFERROR(IF(VLOOKUP($A32,TableHandbook[],G$2,FALSE)=0,"",VLOOKUP($A32,TableHandbook[],G$2,FALSE)),"")</f>
        <v/>
      </c>
      <c r="H32" s="73" t="str">
        <f>IFERROR(VLOOKUP($A32,TableHandbook[],H$2,FALSE),"")</f>
        <v/>
      </c>
      <c r="I32" s="229" t="str">
        <f>IFERROR(VLOOKUP($A32,TableHandbook[],I$2,FALSE),"")</f>
        <v/>
      </c>
      <c r="J32" s="65" t="str">
        <f>IFERROR(VLOOKUP($A32,TableHandbook[],J$2,FALSE),"")</f>
        <v/>
      </c>
      <c r="K32" s="74" t="str">
        <f>IFERROR(VLOOKUP($A32,TableHandbook[],K$2,FALSE),"")</f>
        <v/>
      </c>
      <c r="L32" s="70"/>
      <c r="M32" s="398">
        <v>7</v>
      </c>
      <c r="N32" s="185"/>
      <c r="O32" s="185"/>
    </row>
    <row r="33" spans="1:16" s="34" customFormat="1" ht="20.100000000000001" customHeight="1" x14ac:dyDescent="0.15">
      <c r="A33" s="426" t="str">
        <f>IFERROR(IF(HLOOKUP($L$7,RangeMathNoMethods,M33,FALSE)=0,"",HLOOKUP($L$7,RangeMathNoMethods,M33,FALSE)),"")</f>
        <v/>
      </c>
      <c r="B33" s="433" t="str">
        <f>IFERROR(IF(VLOOKUP($A33,TableHandbook[],B$2,FALSE)=0,"",VLOOKUP($A33,TableHandbook[],B$2,FALSE)),"")</f>
        <v/>
      </c>
      <c r="C33" s="433" t="str">
        <f>IFERROR(IF(VLOOKUP($A33,TableHandbook[],C$2,FALSE)=0,"",VLOOKUP($A33,TableHandbook[],C$2,FALSE)),"")</f>
        <v/>
      </c>
      <c r="D33" s="434" t="str">
        <f>IFERROR(IF(VLOOKUP($A33,TableHandbook[],D$2,FALSE)=0,"",VLOOKUP($A33,TableHandbook[],D$2,FALSE)),"")</f>
        <v/>
      </c>
      <c r="E33" s="433" t="str">
        <f>IF(A33="","",E32)</f>
        <v/>
      </c>
      <c r="F33" s="435" t="str">
        <f>IFERROR(IF(VLOOKUP($A33,TableHandbook[],F$2,FALSE)=0,"",VLOOKUP($A33,TableHandbook[],F$2,FALSE)),"")</f>
        <v/>
      </c>
      <c r="G33" s="433" t="str">
        <f>IFERROR(IF(VLOOKUP($A33,TableHandbook[],G$2,FALSE)=0,"",VLOOKUP($A33,TableHandbook[],G$2,FALSE)),"")</f>
        <v/>
      </c>
      <c r="H33" s="436" t="str">
        <f>IFERROR(VLOOKUP($A33,TableHandbook[],H$2,FALSE),"")</f>
        <v/>
      </c>
      <c r="I33" s="437" t="str">
        <f>IFERROR(VLOOKUP($A33,TableHandbook[],I$2,FALSE),"")</f>
        <v/>
      </c>
      <c r="J33" s="55" t="str">
        <f>IFERROR(VLOOKUP($A33,TableHandbook[],J$2,FALSE),"")</f>
        <v/>
      </c>
      <c r="K33" s="438" t="str">
        <f>IFERROR(VLOOKUP($A33,TableHandbook[],K$2,FALSE),"")</f>
        <v/>
      </c>
      <c r="L33" s="373"/>
      <c r="M33" s="430">
        <v>5</v>
      </c>
      <c r="N33" s="185"/>
      <c r="O33" s="185"/>
    </row>
    <row r="34" spans="1:16" s="34" customFormat="1" ht="20.100000000000001" customHeight="1" x14ac:dyDescent="0.15">
      <c r="A34" s="426" t="str">
        <f>IFERROR(IF(HLOOKUP($L$7,RangeMathNoMethods,M34,FALSE)=0,"",HLOOKUP($L$7,RangeMathNoMethods,M34,FALSE)),"")</f>
        <v/>
      </c>
      <c r="B34" s="433" t="str">
        <f>IFERROR(IF(VLOOKUP($A34,TableHandbook[],B$2,FALSE)=0,"",VLOOKUP($A34,TableHandbook[],B$2,FALSE)),"")</f>
        <v/>
      </c>
      <c r="C34" s="433" t="str">
        <f>IFERROR(IF(VLOOKUP($A34,TableHandbook[],C$2,FALSE)=0,"",VLOOKUP($A34,TableHandbook[],C$2,FALSE)),"")</f>
        <v/>
      </c>
      <c r="D34" s="434" t="str">
        <f>IFERROR(IF(VLOOKUP($A34,TableHandbook[],D$2,FALSE)=0,"",VLOOKUP($A34,TableHandbook[],D$2,FALSE)),"")</f>
        <v/>
      </c>
      <c r="E34" s="433" t="str">
        <f>IF(A34="","",E33)</f>
        <v/>
      </c>
      <c r="F34" s="435" t="str">
        <f>IFERROR(IF(VLOOKUP($A34,TableHandbook[],F$2,FALSE)=0,"",VLOOKUP($A34,TableHandbook[],F$2,FALSE)),"")</f>
        <v/>
      </c>
      <c r="G34" s="433" t="str">
        <f>IFERROR(IF(VLOOKUP($A34,TableHandbook[],G$2,FALSE)=0,"",VLOOKUP($A34,TableHandbook[],G$2,FALSE)),"")</f>
        <v/>
      </c>
      <c r="H34" s="436" t="str">
        <f>IFERROR(VLOOKUP($A34,TableHandbook[],H$2,FALSE),"")</f>
        <v/>
      </c>
      <c r="I34" s="437" t="str">
        <f>IFERROR(VLOOKUP($A34,TableHandbook[],I$2,FALSE),"")</f>
        <v/>
      </c>
      <c r="J34" s="55" t="str">
        <f>IFERROR(VLOOKUP($A34,TableHandbook[],J$2,FALSE),"")</f>
        <v/>
      </c>
      <c r="K34" s="438" t="str">
        <f>IFERROR(VLOOKUP($A34,TableHandbook[],K$2,FALSE),"")</f>
        <v/>
      </c>
      <c r="L34" s="373"/>
      <c r="M34" s="430">
        <v>6</v>
      </c>
      <c r="N34" s="185"/>
      <c r="O34" s="185"/>
    </row>
    <row r="35" spans="1:16" s="34" customFormat="1" ht="5.0999999999999996" customHeight="1" x14ac:dyDescent="0.15">
      <c r="A35" s="415"/>
      <c r="B35" s="416"/>
      <c r="C35" s="416"/>
      <c r="D35" s="417"/>
      <c r="E35" s="416"/>
      <c r="F35" s="418"/>
      <c r="G35" s="416"/>
      <c r="H35" s="419"/>
      <c r="I35" s="420"/>
      <c r="J35" s="416"/>
      <c r="K35" s="421"/>
      <c r="L35" s="441"/>
      <c r="M35" s="377"/>
      <c r="N35" s="185"/>
      <c r="O35" s="185"/>
      <c r="P35" s="185"/>
    </row>
    <row r="36" spans="1:16" s="34" customFormat="1" ht="20.100000000000001" customHeight="1" x14ac:dyDescent="0.15">
      <c r="A36" s="67" t="str">
        <f>IFERROR(IF(HLOOKUP($L$5,RangeUnitSetsSec,M36,FALSE)=0,"",HLOOKUP($L$5,RangeUnitSetsSec,M36,FALSE)),"")</f>
        <v/>
      </c>
      <c r="B36" s="65" t="str">
        <f>IFERROR(IF(VLOOKUP($A36,TableHandbook[],B$2,FALSE)=0,"",VLOOKUP($A36,TableHandbook[],B$2,FALSE)),"")</f>
        <v/>
      </c>
      <c r="C36" s="65" t="str">
        <f>IFERROR(IF(VLOOKUP($A36,TableHandbook[],C$2,FALSE)=0,"",VLOOKUP($A36,TableHandbook[],C$2,FALSE)),"")</f>
        <v/>
      </c>
      <c r="D36" s="120" t="str">
        <f>IFERROR(IF(VLOOKUP($A36,TableHandbook[],D$2,FALSE)=0,"",VLOOKUP($A36,TableHandbook[],D$2,FALSE)),"")</f>
        <v/>
      </c>
      <c r="E36" s="65" t="str">
        <f>IF(OR(A36="",A36="--"),"",VLOOKUP($D$8,TableStudyPeriods[],3,FALSE))</f>
        <v/>
      </c>
      <c r="F36" s="62" t="str">
        <f>IFERROR(IF(VLOOKUP($A36,TableHandbook[],F$2,FALSE)=0,"",VLOOKUP($A36,TableHandbook[],F$2,FALSE)),"")</f>
        <v/>
      </c>
      <c r="G36" s="63" t="str">
        <f>IFERROR(IF(VLOOKUP($A36,TableHandbook[],G$2,FALSE)=0,"",VLOOKUP($A36,TableHandbook[],G$2,FALSE)),"")</f>
        <v/>
      </c>
      <c r="H36" s="73" t="str">
        <f>IFERROR(VLOOKUP($A36,TableHandbook[],H$2,FALSE),"")</f>
        <v/>
      </c>
      <c r="I36" s="229" t="str">
        <f>IFERROR(VLOOKUP($A36,TableHandbook[],I$2,FALSE),"")</f>
        <v/>
      </c>
      <c r="J36" s="65" t="str">
        <f>IFERROR(VLOOKUP($A36,TableHandbook[],J$2,FALSE),"")</f>
        <v/>
      </c>
      <c r="K36" s="74" t="str">
        <f>IFERROR(VLOOKUP($A36,TableHandbook[],K$2,FALSE),"")</f>
        <v/>
      </c>
      <c r="L36" s="70"/>
      <c r="M36" s="377">
        <v>25</v>
      </c>
      <c r="N36" s="185"/>
      <c r="O36" s="185"/>
    </row>
    <row r="37" spans="1:16" s="34" customFormat="1" ht="20.100000000000001" customHeight="1" x14ac:dyDescent="0.15">
      <c r="A37" s="67" t="str">
        <f>IFERROR(IF(HLOOKUP($L$5,RangeUnitSetsSec,M37,FALSE)=0,"",HLOOKUP($L$5,RangeUnitSetsSec,M37,FALSE)),"")</f>
        <v/>
      </c>
      <c r="B37" s="65" t="str">
        <f>IFERROR(IF(VLOOKUP($A37,TableHandbook[],B$2,FALSE)=0,"",VLOOKUP($A37,TableHandbook[],B$2,FALSE)),"")</f>
        <v/>
      </c>
      <c r="C37" s="65" t="str">
        <f>IFERROR(IF(VLOOKUP($A37,TableHandbook[],C$2,FALSE)=0,"",VLOOKUP($A37,TableHandbook[],C$2,FALSE)),"")</f>
        <v/>
      </c>
      <c r="D37" s="120" t="str">
        <f>IFERROR(IF(VLOOKUP($A37,TableHandbook[],D$2,FALSE)=0,"",VLOOKUP($A37,TableHandbook[],D$2,FALSE)),"")</f>
        <v/>
      </c>
      <c r="E37" s="65" t="str">
        <f>IF(A37="","",E36)</f>
        <v/>
      </c>
      <c r="F37" s="62" t="str">
        <f>IFERROR(IF(VLOOKUP($A37,TableHandbook[],F$2,FALSE)=0,"",VLOOKUP($A37,TableHandbook[],F$2,FALSE)),"")</f>
        <v/>
      </c>
      <c r="G37" s="63" t="str">
        <f>IFERROR(IF(VLOOKUP($A37,TableHandbook[],G$2,FALSE)=0,"",VLOOKUP($A37,TableHandbook[],G$2,FALSE)),"")</f>
        <v/>
      </c>
      <c r="H37" s="73" t="str">
        <f>IFERROR(VLOOKUP($A37,TableHandbook[],H$2,FALSE),"")</f>
        <v/>
      </c>
      <c r="I37" s="229" t="str">
        <f>IFERROR(VLOOKUP($A37,TableHandbook[],I$2,FALSE),"")</f>
        <v/>
      </c>
      <c r="J37" s="65" t="str">
        <f>IFERROR(VLOOKUP($A37,TableHandbook[],J$2,FALSE),"")</f>
        <v/>
      </c>
      <c r="K37" s="74" t="str">
        <f>IFERROR(VLOOKUP($A37,TableHandbook[],K$2,FALSE),"")</f>
        <v/>
      </c>
      <c r="L37" s="70"/>
      <c r="M37" s="377">
        <v>26</v>
      </c>
      <c r="N37" s="185"/>
      <c r="O37" s="185"/>
    </row>
    <row r="38" spans="1:16" s="38" customFormat="1" ht="20.100000000000001" customHeight="1" x14ac:dyDescent="0.15">
      <c r="A38" s="422" t="str">
        <f>IFERROR(IF(HLOOKUP($L$6,RangeMajorsSec,M38,FALSE)=0,"",HLOOKUP($L$6,RangeMajorsSec,M38,FALSE)),"")</f>
        <v/>
      </c>
      <c r="B38" s="423" t="str">
        <f>IFERROR(IF(VLOOKUP($A38,TableHandbook[],B$2,FALSE)=0,"",VLOOKUP($A38,TableHandbook[],B$2,FALSE)),"")</f>
        <v/>
      </c>
      <c r="C38" s="423" t="str">
        <f>IFERROR(IF(VLOOKUP($A38,TableHandbook[],C$2,FALSE)=0,"",VLOOKUP($A38,TableHandbook[],C$2,FALSE)),"")</f>
        <v/>
      </c>
      <c r="D38" s="432" t="str">
        <f>IFERROR(IF(VLOOKUP($A38,TableHandbook[],D$2,FALSE)=0,"",VLOOKUP($A38,TableHandbook[],D$2,FALSE)),"")</f>
        <v/>
      </c>
      <c r="E38" s="423" t="str">
        <f>IF(A38="","",E37)</f>
        <v/>
      </c>
      <c r="F38" s="425" t="str">
        <f>IFERROR(IF(VLOOKUP($A38,TableHandbook[],F$2,FALSE)=0,"",VLOOKUP($A38,TableHandbook[],F$2,FALSE)),"")</f>
        <v/>
      </c>
      <c r="G38" s="423" t="str">
        <f>IFERROR(IF(VLOOKUP($A38,TableHandbook[],G$2,FALSE)=0,"",VLOOKUP($A38,TableHandbook[],G$2,FALSE)),"")</f>
        <v/>
      </c>
      <c r="H38" s="73" t="str">
        <f>IFERROR(VLOOKUP($A38,TableHandbook[],H$2,FALSE),"")</f>
        <v/>
      </c>
      <c r="I38" s="229" t="str">
        <f>IFERROR(VLOOKUP($A38,TableHandbook[],I$2,FALSE),"")</f>
        <v/>
      </c>
      <c r="J38" s="65" t="str">
        <f>IFERROR(VLOOKUP($A38,TableHandbook[],J$2,FALSE),"")</f>
        <v/>
      </c>
      <c r="K38" s="74" t="str">
        <f>IFERROR(VLOOKUP($A38,TableHandbook[],K$2,FALSE),"")</f>
        <v/>
      </c>
      <c r="L38" s="70"/>
      <c r="M38" s="398">
        <v>8</v>
      </c>
      <c r="N38" s="187"/>
      <c r="O38" s="187"/>
    </row>
    <row r="39" spans="1:16" s="38" customFormat="1" ht="20.100000000000001" customHeight="1" x14ac:dyDescent="0.15">
      <c r="A39" s="426" t="str">
        <f>IFERROR(IF(HLOOKUP($L$7,RangeMathNoMethods,M39,FALSE)=0,"",HLOOKUP($L$7,RangeMathNoMethods,M39,FALSE)),"")</f>
        <v/>
      </c>
      <c r="B39" s="433" t="str">
        <f>IFERROR(IF(VLOOKUP($A39,TableHandbook[],B$2,FALSE)=0,"",VLOOKUP($A39,TableHandbook[],B$2,FALSE)),"")</f>
        <v/>
      </c>
      <c r="C39" s="433" t="str">
        <f>IFERROR(IF(VLOOKUP($A39,TableHandbook[],C$2,FALSE)=0,"",VLOOKUP($A39,TableHandbook[],C$2,FALSE)),"")</f>
        <v/>
      </c>
      <c r="D39" s="434" t="str">
        <f>IFERROR(IF(VLOOKUP($A39,TableHandbook[],D$2,FALSE)=0,"",VLOOKUP($A39,TableHandbook[],D$2,FALSE)),"")</f>
        <v/>
      </c>
      <c r="E39" s="433" t="str">
        <f>IF(A39="","",E38)</f>
        <v/>
      </c>
      <c r="F39" s="435" t="str">
        <f>IFERROR(IF(VLOOKUP($A39,TableHandbook[],F$2,FALSE)=0,"",VLOOKUP($A39,TableHandbook[],F$2,FALSE)),"")</f>
        <v/>
      </c>
      <c r="G39" s="433" t="str">
        <f>IFERROR(IF(VLOOKUP($A39,TableHandbook[],G$2,FALSE)=0,"",VLOOKUP($A39,TableHandbook[],G$2,FALSE)),"")</f>
        <v/>
      </c>
      <c r="H39" s="436" t="str">
        <f>IFERROR(VLOOKUP($A39,TableHandbook[],H$2,FALSE),"")</f>
        <v/>
      </c>
      <c r="I39" s="437" t="str">
        <f>IFERROR(VLOOKUP($A39,TableHandbook[],I$2,FALSE),"")</f>
        <v/>
      </c>
      <c r="J39" s="55" t="str">
        <f>IFERROR(VLOOKUP($A39,TableHandbook[],J$2,FALSE),"")</f>
        <v/>
      </c>
      <c r="K39" s="438" t="str">
        <f>IFERROR(VLOOKUP($A39,TableHandbook[],K$2,FALSE),"")</f>
        <v/>
      </c>
      <c r="L39" s="373"/>
      <c r="M39" s="430">
        <v>7</v>
      </c>
      <c r="N39" s="187"/>
      <c r="O39" s="187"/>
    </row>
    <row r="40" spans="1:16" s="31" customFormat="1" ht="21" x14ac:dyDescent="0.25">
      <c r="A40" s="105" t="s">
        <v>36</v>
      </c>
      <c r="B40" s="105"/>
      <c r="C40" s="105"/>
      <c r="D40" s="121" t="s">
        <v>3</v>
      </c>
      <c r="E40" s="111" t="s">
        <v>18</v>
      </c>
      <c r="F40" s="105" t="s">
        <v>19</v>
      </c>
      <c r="G40" s="105" t="s">
        <v>20</v>
      </c>
      <c r="H40" s="113" t="str">
        <f>H$10</f>
        <v>Sem1 BEN</v>
      </c>
      <c r="I40" s="227" t="str">
        <f t="shared" ref="I40:L40" si="2">I$10</f>
        <v>Sem1 FO</v>
      </c>
      <c r="J40" s="111" t="str">
        <f t="shared" si="2"/>
        <v>Sem2 BEN</v>
      </c>
      <c r="K40" s="114" t="str">
        <f t="shared" si="2"/>
        <v>Sem2 FO</v>
      </c>
      <c r="L40" s="105" t="str">
        <f t="shared" si="2"/>
        <v>Notes / Progress</v>
      </c>
      <c r="M40" s="439"/>
      <c r="N40" s="183"/>
      <c r="O40" s="183"/>
    </row>
    <row r="41" spans="1:16" s="34" customFormat="1" ht="20.100000000000001" customHeight="1" x14ac:dyDescent="0.15">
      <c r="A41" s="67" t="str">
        <f>IFERROR(IF(HLOOKUP($L$5,RangeUnitSetsSec,M41,FALSE)=0,"",HLOOKUP($L$5,RangeUnitSetsSec,M41,FALSE)),"")</f>
        <v/>
      </c>
      <c r="B41" s="65" t="str">
        <f>IFERROR(IF(VLOOKUP($A41,TableHandbook[],B$2,FALSE)=0,"",VLOOKUP($A41,TableHandbook[],B$2,FALSE)),"")</f>
        <v/>
      </c>
      <c r="C41" s="65" t="str">
        <f>IFERROR(IF(VLOOKUP($A41,TableHandbook[],C$2,FALSE)=0,"",VLOOKUP($A41,TableHandbook[],C$2,FALSE)),"")</f>
        <v/>
      </c>
      <c r="D41" s="66" t="str">
        <f>IFERROR(IF(VLOOKUP($A41,TableHandbook[],D$2,FALSE)=0,"",VLOOKUP($A41,TableHandbook[],D$2,FALSE)),"")</f>
        <v/>
      </c>
      <c r="E41" s="65" t="str">
        <f>IF(OR(A41="",A41="--"),"",VLOOKUP($D$8,TableStudyPeriods[],2,FALSE))</f>
        <v/>
      </c>
      <c r="F41" s="62" t="str">
        <f>IFERROR(IF(VLOOKUP($A41,TableHandbook[],F$2,FALSE)=0,"",VLOOKUP($A41,TableHandbook[],F$2,FALSE)),"")</f>
        <v/>
      </c>
      <c r="G41" s="63" t="str">
        <f>IFERROR(IF(VLOOKUP($A41,TableHandbook[],G$2,FALSE)=0,"",VLOOKUP($A41,TableHandbook[],G$2,FALSE)),"")</f>
        <v/>
      </c>
      <c r="H41" s="73" t="str">
        <f>IFERROR(VLOOKUP($A41,TableHandbook[],H$2,FALSE),"")</f>
        <v/>
      </c>
      <c r="I41" s="229" t="str">
        <f>IFERROR(VLOOKUP($A41,TableHandbook[],I$2,FALSE),"")</f>
        <v/>
      </c>
      <c r="J41" s="65" t="str">
        <f>IFERROR(VLOOKUP($A41,TableHandbook[],J$2,FALSE),"")</f>
        <v/>
      </c>
      <c r="K41" s="74" t="str">
        <f>IFERROR(VLOOKUP($A41,TableHandbook[],K$2,FALSE),"")</f>
        <v/>
      </c>
      <c r="L41" s="70"/>
      <c r="M41" s="377">
        <v>29</v>
      </c>
      <c r="N41" s="185"/>
      <c r="O41" s="185"/>
    </row>
    <row r="42" spans="1:16" s="34" customFormat="1" ht="19.5" customHeight="1" x14ac:dyDescent="0.15">
      <c r="A42" s="67" t="str">
        <f>IFERROR(IF(HLOOKUP($L$5,RangeUnitSetsSec,M42,FALSE)=0,"",HLOOKUP($L$5,RangeUnitSetsSec,M42,FALSE)),"")</f>
        <v/>
      </c>
      <c r="B42" s="65" t="str">
        <f>IFERROR(IF(VLOOKUP($A42,TableHandbook[],B$2,FALSE)=0,"",VLOOKUP($A42,TableHandbook[],B$2,FALSE)),"")</f>
        <v/>
      </c>
      <c r="C42" s="65" t="str">
        <f>IFERROR(IF(VLOOKUP($A42,TableHandbook[],C$2,FALSE)=0,"",VLOOKUP($A42,TableHandbook[],C$2,FALSE)),"")</f>
        <v/>
      </c>
      <c r="D42" s="120" t="str">
        <f>IFERROR(IF(VLOOKUP($A42,TableHandbook[],D$2,FALSE)=0,"",VLOOKUP($A42,TableHandbook[],D$2,FALSE)),"")</f>
        <v/>
      </c>
      <c r="E42" s="65" t="str">
        <f>IF(A42="","",E41)</f>
        <v/>
      </c>
      <c r="F42" s="62" t="str">
        <f>IFERROR(IF(VLOOKUP($A42,TableHandbook[],F$2,FALSE)=0,"",VLOOKUP($A42,TableHandbook[],F$2,FALSE)),"")</f>
        <v/>
      </c>
      <c r="G42" s="63" t="str">
        <f>IFERROR(IF(VLOOKUP($A42,TableHandbook[],G$2,FALSE)=0,"",VLOOKUP($A42,TableHandbook[],G$2,FALSE)),"")</f>
        <v/>
      </c>
      <c r="H42" s="73" t="str">
        <f>IFERROR(VLOOKUP($A42,TableHandbook[],H$2,FALSE),"")</f>
        <v/>
      </c>
      <c r="I42" s="229" t="str">
        <f>IFERROR(VLOOKUP($A42,TableHandbook[],I$2,FALSE),"")</f>
        <v/>
      </c>
      <c r="J42" s="65" t="str">
        <f>IFERROR(VLOOKUP($A42,TableHandbook[],J$2,FALSE),"")</f>
        <v/>
      </c>
      <c r="K42" s="74" t="str">
        <f>IFERROR(VLOOKUP($A42,TableHandbook[],K$2,FALSE),"")</f>
        <v/>
      </c>
      <c r="L42" s="70"/>
      <c r="M42" s="377">
        <v>30</v>
      </c>
      <c r="N42" s="185"/>
      <c r="O42" s="185"/>
    </row>
    <row r="43" spans="1:16" s="34" customFormat="1" ht="20.100000000000001" customHeight="1" x14ac:dyDescent="0.15">
      <c r="A43" s="422" t="str">
        <f>IFERROR(IF(HLOOKUP($L$6,RangeMajorsSec,M43,FALSE)=0,"",HLOOKUP($L$6,RangeMajorsSec,M43,FALSE)),"")</f>
        <v/>
      </c>
      <c r="B43" s="423" t="str">
        <f>IFERROR(IF(VLOOKUP($A43,TableHandbook[],B$2,FALSE)=0,"",VLOOKUP($A43,TableHandbook[],B$2,FALSE)),"")</f>
        <v/>
      </c>
      <c r="C43" s="423" t="str">
        <f>IFERROR(IF(VLOOKUP($A43,TableHandbook[],C$2,FALSE)=0,"",VLOOKUP($A43,TableHandbook[],C$2,FALSE)),"")</f>
        <v/>
      </c>
      <c r="D43" s="432" t="str">
        <f>IFERROR(IF(VLOOKUP($A43,TableHandbook[],D$2,FALSE)=0,"",VLOOKUP($A43,TableHandbook[],D$2,FALSE)),"")</f>
        <v/>
      </c>
      <c r="E43" s="423" t="str">
        <f>IF(A43="","",E42)</f>
        <v/>
      </c>
      <c r="F43" s="425" t="str">
        <f>IFERROR(IF(VLOOKUP($A43,TableHandbook[],F$2,FALSE)=0,"",VLOOKUP($A43,TableHandbook[],F$2,FALSE)),"")</f>
        <v/>
      </c>
      <c r="G43" s="423" t="str">
        <f>IFERROR(IF(VLOOKUP($A43,TableHandbook[],G$2,FALSE)=0,"",VLOOKUP($A43,TableHandbook[],G$2,FALSE)),"")</f>
        <v/>
      </c>
      <c r="H43" s="73" t="str">
        <f>IFERROR(VLOOKUP($A43,TableHandbook[],H$2,FALSE),"")</f>
        <v/>
      </c>
      <c r="I43" s="229" t="str">
        <f>IFERROR(VLOOKUP($A43,TableHandbook[],I$2,FALSE),"")</f>
        <v/>
      </c>
      <c r="J43" s="65" t="str">
        <f>IFERROR(VLOOKUP($A43,TableHandbook[],J$2,FALSE),"")</f>
        <v/>
      </c>
      <c r="K43" s="74" t="str">
        <f>IFERROR(VLOOKUP($A43,TableHandbook[],K$2,FALSE),"")</f>
        <v/>
      </c>
      <c r="L43" s="70"/>
      <c r="M43" s="398">
        <v>9</v>
      </c>
      <c r="N43" s="185"/>
      <c r="O43" s="185"/>
    </row>
    <row r="44" spans="1:16" s="34" customFormat="1" ht="20.100000000000001" customHeight="1" x14ac:dyDescent="0.15">
      <c r="A44" s="426" t="str">
        <f>IFERROR(IF(HLOOKUP($L$7,RangeMathNoMethods,M44,FALSE)=0,"",HLOOKUP($L$7,RangeMathNoMethods,M44,FALSE)),"")</f>
        <v/>
      </c>
      <c r="B44" s="433" t="str">
        <f>IFERROR(IF(VLOOKUP($A44,TableHandbook[],B$2,FALSE)=0,"",VLOOKUP($A44,TableHandbook[],B$2,FALSE)),"")</f>
        <v/>
      </c>
      <c r="C44" s="433" t="str">
        <f>IFERROR(IF(VLOOKUP($A44,TableHandbook[],C$2,FALSE)=0,"",VLOOKUP($A44,TableHandbook[],C$2,FALSE)),"")</f>
        <v/>
      </c>
      <c r="D44" s="434" t="str">
        <f>IFERROR(IF(VLOOKUP($A44,TableHandbook[],D$2,FALSE)=0,"",VLOOKUP($A44,TableHandbook[],D$2,FALSE)),"")</f>
        <v/>
      </c>
      <c r="E44" s="433" t="str">
        <f>IF(A44="","",E43)</f>
        <v/>
      </c>
      <c r="F44" s="435" t="str">
        <f>IFERROR(IF(VLOOKUP($A44,TableHandbook[],F$2,FALSE)=0,"",VLOOKUP($A44,TableHandbook[],F$2,FALSE)),"")</f>
        <v/>
      </c>
      <c r="G44" s="433" t="str">
        <f>IFERROR(IF(VLOOKUP($A44,TableHandbook[],G$2,FALSE)=0,"",VLOOKUP($A44,TableHandbook[],G$2,FALSE)),"")</f>
        <v/>
      </c>
      <c r="H44" s="436" t="str">
        <f>IFERROR(VLOOKUP($A44,TableHandbook[],H$2,FALSE),"")</f>
        <v/>
      </c>
      <c r="I44" s="437" t="str">
        <f>IFERROR(VLOOKUP($A44,TableHandbook[],I$2,FALSE),"")</f>
        <v/>
      </c>
      <c r="J44" s="55" t="str">
        <f>IFERROR(VLOOKUP($A44,TableHandbook[],J$2,FALSE),"")</f>
        <v/>
      </c>
      <c r="K44" s="438" t="str">
        <f>IFERROR(VLOOKUP($A44,TableHandbook[],K$2,FALSE),"")</f>
        <v/>
      </c>
      <c r="L44" s="373"/>
      <c r="M44" s="430">
        <v>8</v>
      </c>
      <c r="N44" s="185"/>
      <c r="O44" s="185"/>
    </row>
    <row r="45" spans="1:16" s="34" customFormat="1" ht="5.0999999999999996" customHeight="1" x14ac:dyDescent="0.15">
      <c r="A45" s="415"/>
      <c r="B45" s="416"/>
      <c r="C45" s="416"/>
      <c r="D45" s="417"/>
      <c r="E45" s="416"/>
      <c r="F45" s="418"/>
      <c r="G45" s="416"/>
      <c r="H45" s="419"/>
      <c r="I45" s="420"/>
      <c r="J45" s="416"/>
      <c r="K45" s="421"/>
      <c r="L45" s="441"/>
      <c r="M45" s="377"/>
      <c r="N45" s="185"/>
      <c r="O45" s="185"/>
      <c r="P45" s="185"/>
    </row>
    <row r="46" spans="1:16" s="34" customFormat="1" ht="20.100000000000001" customHeight="1" x14ac:dyDescent="0.15">
      <c r="A46" s="67" t="str">
        <f>IFERROR(IF(HLOOKUP($L$5,RangeUnitSetsSec,M46,FALSE)=0,"",HLOOKUP($L$5,RangeUnitSetsSec,M46,FALSE)),"")</f>
        <v/>
      </c>
      <c r="B46" s="65" t="str">
        <f>IFERROR(IF(VLOOKUP($A46,TableHandbook[],B$2,FALSE)=0,"",VLOOKUP($A46,TableHandbook[],B$2,FALSE)),"")</f>
        <v/>
      </c>
      <c r="C46" s="65" t="str">
        <f>IFERROR(IF(VLOOKUP($A46,TableHandbook[],C$2,FALSE)=0,"",VLOOKUP($A46,TableHandbook[],C$2,FALSE)),"")</f>
        <v/>
      </c>
      <c r="D46" s="120" t="str">
        <f>IFERROR(IF(VLOOKUP($A46,TableHandbook[],D$2,FALSE)=0,"",VLOOKUP($A46,TableHandbook[],D$2,FALSE)),"")</f>
        <v/>
      </c>
      <c r="E46" s="65"/>
      <c r="F46" s="62" t="str">
        <f>IFERROR(IF(VLOOKUP($A46,TableHandbook[],F$2,FALSE)=0,"",VLOOKUP($A46,TableHandbook[],F$2,FALSE)),"")</f>
        <v/>
      </c>
      <c r="G46" s="63" t="str">
        <f>IFERROR(IF(VLOOKUP($A46,TableHandbook[],G$2,FALSE)=0,"",VLOOKUP($A46,TableHandbook[],G$2,FALSE)),"")</f>
        <v/>
      </c>
      <c r="H46" s="71" t="str">
        <f>IFERROR(VLOOKUP($A46,TableHandbook[],H$2,FALSE),"")</f>
        <v/>
      </c>
      <c r="I46" s="228" t="str">
        <f>IFERROR(VLOOKUP($A46,TableHandbook[],I$2,FALSE),"")</f>
        <v/>
      </c>
      <c r="J46" s="63" t="str">
        <f>IFERROR(VLOOKUP($A46,TableHandbook[],J$2,FALSE),"")</f>
        <v/>
      </c>
      <c r="K46" s="72" t="str">
        <f>IFERROR(VLOOKUP($A46,TableHandbook[],K$2,FALSE),"")</f>
        <v/>
      </c>
      <c r="L46" s="69"/>
      <c r="M46" s="377">
        <v>33</v>
      </c>
      <c r="N46" s="185"/>
      <c r="O46" s="185"/>
    </row>
    <row r="47" spans="1:16" s="34" customFormat="1" ht="20.100000000000001" customHeight="1" x14ac:dyDescent="0.15">
      <c r="A47" s="67" t="str">
        <f>IFERROR(IF(HLOOKUP($L$5,RangeUnitSetsSec,M47,FALSE)=0,"",HLOOKUP($L$5,RangeUnitSetsSec,M47,FALSE)),"")</f>
        <v/>
      </c>
      <c r="B47" s="65" t="str">
        <f>IFERROR(IF(VLOOKUP($A47,TableHandbook[],B$2,FALSE)=0,"",VLOOKUP($A47,TableHandbook[],B$2,FALSE)),"")</f>
        <v/>
      </c>
      <c r="C47" s="65" t="str">
        <f>IFERROR(IF(VLOOKUP($A47,TableHandbook[],C$2,FALSE)=0,"",VLOOKUP($A47,TableHandbook[],C$2,FALSE)),"")</f>
        <v/>
      </c>
      <c r="D47" s="120" t="str">
        <f>IFERROR(IF(VLOOKUP($A47,TableHandbook[],D$2,FALSE)=0,"",VLOOKUP($A47,TableHandbook[],D$2,FALSE)),"")</f>
        <v/>
      </c>
      <c r="E47" s="65"/>
      <c r="F47" s="62" t="str">
        <f>IFERROR(IF(VLOOKUP($A47,TableHandbook[],F$2,FALSE)=0,"",VLOOKUP($A47,TableHandbook[],F$2,FALSE)),"")</f>
        <v/>
      </c>
      <c r="G47" s="63" t="str">
        <f>IFERROR(IF(VLOOKUP($A47,TableHandbook[],G$2,FALSE)=0,"",VLOOKUP($A47,TableHandbook[],G$2,FALSE)),"")</f>
        <v/>
      </c>
      <c r="H47" s="71" t="str">
        <f>IFERROR(VLOOKUP($A47,TableHandbook[],H$2,FALSE),"")</f>
        <v/>
      </c>
      <c r="I47" s="228" t="str">
        <f>IFERROR(VLOOKUP($A47,TableHandbook[],I$2,FALSE),"")</f>
        <v/>
      </c>
      <c r="J47" s="63" t="str">
        <f>IFERROR(VLOOKUP($A47,TableHandbook[],J$2,FALSE),"")</f>
        <v/>
      </c>
      <c r="K47" s="72" t="str">
        <f>IFERROR(VLOOKUP($A47,TableHandbook[],K$2,FALSE),"")</f>
        <v/>
      </c>
      <c r="L47" s="69"/>
      <c r="M47" s="377">
        <v>34</v>
      </c>
      <c r="N47" s="185"/>
      <c r="O47" s="185"/>
    </row>
    <row r="48" spans="1:16" s="46" customFormat="1" ht="13.9" customHeight="1" x14ac:dyDescent="0.2">
      <c r="A48" s="47"/>
      <c r="B48" s="47"/>
      <c r="C48" s="47"/>
      <c r="D48" s="48"/>
      <c r="E48" s="48"/>
      <c r="F48" s="43"/>
      <c r="G48" s="43"/>
      <c r="H48" s="43"/>
      <c r="I48" s="43"/>
      <c r="J48" s="43"/>
      <c r="K48" s="43"/>
      <c r="L48" s="43"/>
      <c r="M48" s="382"/>
      <c r="N48" s="188"/>
      <c r="O48" s="188"/>
    </row>
    <row r="49" spans="1:13" ht="16.5" x14ac:dyDescent="0.25">
      <c r="A49" s="169" t="s">
        <v>216</v>
      </c>
      <c r="B49" s="170"/>
      <c r="C49" s="170"/>
      <c r="D49" s="171"/>
      <c r="E49" s="172"/>
      <c r="F49" s="172"/>
      <c r="G49" s="172"/>
      <c r="H49" s="173" t="str">
        <f>H9</f>
        <v>2025 Availabilities</v>
      </c>
      <c r="I49" s="174"/>
      <c r="J49" s="174"/>
      <c r="K49" s="169"/>
      <c r="L49" s="440"/>
      <c r="M49" s="390"/>
    </row>
    <row r="50" spans="1:13" s="50" customFormat="1" ht="21" x14ac:dyDescent="0.25">
      <c r="A50" s="175"/>
      <c r="B50" s="175"/>
      <c r="C50" s="175"/>
      <c r="D50" s="176" t="s">
        <v>3</v>
      </c>
      <c r="E50" s="175"/>
      <c r="F50" s="175" t="s">
        <v>19</v>
      </c>
      <c r="G50" s="175" t="s">
        <v>20</v>
      </c>
      <c r="H50" s="230" t="str">
        <f>H$10</f>
        <v>Sem1 BEN</v>
      </c>
      <c r="I50" s="231" t="str">
        <f t="shared" ref="I50:L50" si="3">I$10</f>
        <v>Sem1 FO</v>
      </c>
      <c r="J50" s="177" t="str">
        <f t="shared" si="3"/>
        <v>Sem2 BEN</v>
      </c>
      <c r="K50" s="177" t="str">
        <f t="shared" si="3"/>
        <v>Sem2 FO</v>
      </c>
      <c r="L50" s="240" t="str">
        <f t="shared" si="3"/>
        <v>Notes / Progress</v>
      </c>
      <c r="M50" s="390"/>
    </row>
    <row r="51" spans="1:13" x14ac:dyDescent="0.25">
      <c r="A51" s="51" t="str">
        <f t="shared" ref="A51" si="4">IFERROR(IF(HLOOKUP($L$6,RangeMajorsSec,M51,FALSE)=0,"",HLOOKUP($L$6,RangeMajorsSec,M51,FALSE)),"")</f>
        <v/>
      </c>
      <c r="B51" s="52" t="str">
        <f>IFERROR(IF(VLOOKUP($A51,TableHandbook[],B$2,FALSE)=0,"",VLOOKUP($A51,TableHandbook[],B$2,FALSE)),"")</f>
        <v/>
      </c>
      <c r="C51" s="53" t="str">
        <f>IFERROR(IF(VLOOKUP($A51,TableHandbook[],C$2,FALSE)=0,"",VLOOKUP($A51,TableHandbook[],C$2,FALSE)),"")</f>
        <v/>
      </c>
      <c r="D51" s="54" t="str">
        <f>IFERROR(IF(VLOOKUP($A51,TableHandbook[],D$2,FALSE)=0,"",VLOOKUP($A51,TableHandbook[],D$2,FALSE)),"")</f>
        <v/>
      </c>
      <c r="E51" s="54"/>
      <c r="F51" s="291" t="str">
        <f>IFERROR(IF(VLOOKUP($A51,TableHandbook[],F$2,FALSE)=0,"",VLOOKUP($A51,TableHandbook[],F$2,FALSE)),"")</f>
        <v/>
      </c>
      <c r="G51" s="55" t="str">
        <f>IFERROR(IF(VLOOKUP($A51,TableHandbook[],G$2,FALSE)=0,"",VLOOKUP($A51,TableHandbook[],G$2,FALSE)),"")</f>
        <v/>
      </c>
      <c r="H51" s="73" t="str">
        <f>IFERROR(VLOOKUP($A51,TableHandbook[],H$2,FALSE),"")</f>
        <v/>
      </c>
      <c r="I51" s="229" t="str">
        <f>IFERROR(VLOOKUP($A51,TableHandbook[],I$2,FALSE),"")</f>
        <v/>
      </c>
      <c r="J51" s="65" t="str">
        <f>IFERROR(VLOOKUP($A51,TableHandbook[],J$2,FALSE),"")</f>
        <v/>
      </c>
      <c r="K51" s="74" t="str">
        <f>IFERROR(VLOOKUP($A51,TableHandbook[],K$2,FALSE),"")</f>
        <v/>
      </c>
      <c r="L51" s="70"/>
      <c r="M51" s="398">
        <v>11</v>
      </c>
    </row>
    <row r="52" spans="1:13" x14ac:dyDescent="0.25">
      <c r="A52" s="51" t="str">
        <f t="shared" ref="A52:A71" si="5">IFERROR(IF(HLOOKUP($L$6,RangeMajorsSec,M52,FALSE)=0,"",HLOOKUP($L$6,RangeMajorsSec,M52,FALSE)),"")</f>
        <v/>
      </c>
      <c r="B52" s="52" t="str">
        <f>IFERROR(IF(VLOOKUP($A52,TableHandbook[],B$2,FALSE)=0,"",VLOOKUP($A52,TableHandbook[],B$2,FALSE)),"")</f>
        <v/>
      </c>
      <c r="C52" s="53" t="str">
        <f>IFERROR(IF(VLOOKUP($A52,TableHandbook[],C$2,FALSE)=0,"",VLOOKUP($A52,TableHandbook[],C$2,FALSE)),"")</f>
        <v/>
      </c>
      <c r="D52" s="53" t="str">
        <f>IFERROR(IF(VLOOKUP($A52,TableHandbook[],D$2,FALSE)=0,"",VLOOKUP($A52,TableHandbook[],D$2,FALSE)),"")</f>
        <v/>
      </c>
      <c r="E52" s="54"/>
      <c r="F52" s="291" t="str">
        <f>IFERROR(IF(VLOOKUP($A52,TableHandbook[],F$2,FALSE)=0,"",VLOOKUP($A52,TableHandbook[],F$2,FALSE)),"")</f>
        <v/>
      </c>
      <c r="G52" s="55" t="str">
        <f>IFERROR(IF(VLOOKUP($A52,TableHandbook[],G$2,FALSE)=0,"",VLOOKUP($A52,TableHandbook[],G$2,FALSE)),"")</f>
        <v/>
      </c>
      <c r="H52" s="73" t="str">
        <f>IFERROR(VLOOKUP($A52,TableHandbook[],H$2,FALSE),"")</f>
        <v/>
      </c>
      <c r="I52" s="229" t="str">
        <f>IFERROR(VLOOKUP($A52,TableHandbook[],I$2,FALSE),"")</f>
        <v/>
      </c>
      <c r="J52" s="65" t="str">
        <f>IFERROR(VLOOKUP($A52,TableHandbook[],J$2,FALSE),"")</f>
        <v/>
      </c>
      <c r="K52" s="74" t="str">
        <f>IFERROR(VLOOKUP($A52,TableHandbook[],K$2,FALSE),"")</f>
        <v/>
      </c>
      <c r="L52" s="70"/>
      <c r="M52" s="398">
        <v>12</v>
      </c>
    </row>
    <row r="53" spans="1:13" x14ac:dyDescent="0.25">
      <c r="A53" s="51" t="str">
        <f t="shared" si="5"/>
        <v/>
      </c>
      <c r="B53" s="52" t="str">
        <f>IFERROR(IF(VLOOKUP($A53,TableHandbook[],B$2,FALSE)=0,"",VLOOKUP($A53,TableHandbook[],B$2,FALSE)),"")</f>
        <v/>
      </c>
      <c r="C53" s="53" t="str">
        <f>IFERROR(IF(VLOOKUP($A53,TableHandbook[],C$2,FALSE)=0,"",VLOOKUP($A53,TableHandbook[],C$2,FALSE)),"")</f>
        <v/>
      </c>
      <c r="D53" s="53" t="str">
        <f>IFERROR(IF(VLOOKUP($A53,TableHandbook[],D$2,FALSE)=0,"",VLOOKUP($A53,TableHandbook[],D$2,FALSE)),"")</f>
        <v/>
      </c>
      <c r="E53" s="54"/>
      <c r="F53" s="291" t="str">
        <f>IFERROR(IF(VLOOKUP($A53,TableHandbook[],F$2,FALSE)=0,"",VLOOKUP($A53,TableHandbook[],F$2,FALSE)),"")</f>
        <v/>
      </c>
      <c r="G53" s="55" t="str">
        <f>IFERROR(IF(VLOOKUP($A53,TableHandbook[],G$2,FALSE)=0,"",VLOOKUP($A53,TableHandbook[],G$2,FALSE)),"")</f>
        <v/>
      </c>
      <c r="H53" s="73" t="str">
        <f>IFERROR(VLOOKUP($A53,TableHandbook[],H$2,FALSE),"")</f>
        <v/>
      </c>
      <c r="I53" s="229" t="str">
        <f>IFERROR(VLOOKUP($A53,TableHandbook[],I$2,FALSE),"")</f>
        <v/>
      </c>
      <c r="J53" s="65" t="str">
        <f>IFERROR(VLOOKUP($A53,TableHandbook[],J$2,FALSE),"")</f>
        <v/>
      </c>
      <c r="K53" s="74" t="str">
        <f>IFERROR(VLOOKUP($A53,TableHandbook[],K$2,FALSE),"")</f>
        <v/>
      </c>
      <c r="L53" s="70"/>
      <c r="M53" s="398">
        <v>13</v>
      </c>
    </row>
    <row r="54" spans="1:13" x14ac:dyDescent="0.25">
      <c r="A54" s="51" t="str">
        <f t="shared" si="5"/>
        <v/>
      </c>
      <c r="B54" s="52" t="str">
        <f>IFERROR(IF(VLOOKUP($A54,TableHandbook[],B$2,FALSE)=0,"",VLOOKUP($A54,TableHandbook[],B$2,FALSE)),"")</f>
        <v/>
      </c>
      <c r="C54" s="53" t="str">
        <f>IFERROR(IF(VLOOKUP($A54,TableHandbook[],C$2,FALSE)=0,"",VLOOKUP($A54,TableHandbook[],C$2,FALSE)),"")</f>
        <v/>
      </c>
      <c r="D54" s="53" t="str">
        <f>IFERROR(IF(VLOOKUP($A54,TableHandbook[],D$2,FALSE)=0,"",VLOOKUP($A54,TableHandbook[],D$2,FALSE)),"")</f>
        <v/>
      </c>
      <c r="E54" s="54"/>
      <c r="F54" s="291" t="str">
        <f>IFERROR(IF(VLOOKUP($A54,TableHandbook[],F$2,FALSE)=0,"",VLOOKUP($A54,TableHandbook[],F$2,FALSE)),"")</f>
        <v/>
      </c>
      <c r="G54" s="55" t="str">
        <f>IFERROR(IF(VLOOKUP($A54,TableHandbook[],G$2,FALSE)=0,"",VLOOKUP($A54,TableHandbook[],G$2,FALSE)),"")</f>
        <v/>
      </c>
      <c r="H54" s="73" t="str">
        <f>IFERROR(VLOOKUP($A54,TableHandbook[],H$2,FALSE),"")</f>
        <v/>
      </c>
      <c r="I54" s="229" t="str">
        <f>IFERROR(VLOOKUP($A54,TableHandbook[],I$2,FALSE),"")</f>
        <v/>
      </c>
      <c r="J54" s="65" t="str">
        <f>IFERROR(VLOOKUP($A54,TableHandbook[],J$2,FALSE),"")</f>
        <v/>
      </c>
      <c r="K54" s="74" t="str">
        <f>IFERROR(VLOOKUP($A54,TableHandbook[],K$2,FALSE),"")</f>
        <v/>
      </c>
      <c r="L54" s="70"/>
      <c r="M54" s="398">
        <v>14</v>
      </c>
    </row>
    <row r="55" spans="1:13" x14ac:dyDescent="0.25">
      <c r="A55" s="51" t="str">
        <f t="shared" si="5"/>
        <v/>
      </c>
      <c r="B55" s="52" t="str">
        <f>IFERROR(IF(VLOOKUP($A55,TableHandbook[],B$2,FALSE)=0,"",VLOOKUP($A55,TableHandbook[],B$2,FALSE)),"")</f>
        <v/>
      </c>
      <c r="C55" s="53" t="str">
        <f>IFERROR(IF(VLOOKUP($A55,TableHandbook[],C$2,FALSE)=0,"",VLOOKUP($A55,TableHandbook[],C$2,FALSE)),"")</f>
        <v/>
      </c>
      <c r="D55" s="53" t="str">
        <f>IFERROR(IF(VLOOKUP($A55,TableHandbook[],D$2,FALSE)=0,"",VLOOKUP($A55,TableHandbook[],D$2,FALSE)),"")</f>
        <v/>
      </c>
      <c r="E55" s="54"/>
      <c r="F55" s="291" t="str">
        <f>IFERROR(IF(VLOOKUP($A55,TableHandbook[],F$2,FALSE)=0,"",VLOOKUP($A55,TableHandbook[],F$2,FALSE)),"")</f>
        <v/>
      </c>
      <c r="G55" s="55" t="str">
        <f>IFERROR(IF(VLOOKUP($A55,TableHandbook[],G$2,FALSE)=0,"",VLOOKUP($A55,TableHandbook[],G$2,FALSE)),"")</f>
        <v/>
      </c>
      <c r="H55" s="73" t="str">
        <f>IFERROR(VLOOKUP($A55,TableHandbook[],H$2,FALSE),"")</f>
        <v/>
      </c>
      <c r="I55" s="229" t="str">
        <f>IFERROR(VLOOKUP($A55,TableHandbook[],I$2,FALSE),"")</f>
        <v/>
      </c>
      <c r="J55" s="65" t="str">
        <f>IFERROR(VLOOKUP($A55,TableHandbook[],J$2,FALSE),"")</f>
        <v/>
      </c>
      <c r="K55" s="74" t="str">
        <f>IFERROR(VLOOKUP($A55,TableHandbook[],K$2,FALSE),"")</f>
        <v/>
      </c>
      <c r="L55" s="70"/>
      <c r="M55" s="398">
        <v>15</v>
      </c>
    </row>
    <row r="56" spans="1:13" x14ac:dyDescent="0.25">
      <c r="A56" s="51" t="str">
        <f t="shared" si="5"/>
        <v/>
      </c>
      <c r="B56" s="52" t="str">
        <f>IFERROR(IF(VLOOKUP($A56,TableHandbook[],B$2,FALSE)=0,"",VLOOKUP($A56,TableHandbook[],B$2,FALSE)),"")</f>
        <v/>
      </c>
      <c r="C56" s="53" t="str">
        <f>IFERROR(IF(VLOOKUP($A56,TableHandbook[],C$2,FALSE)=0,"",VLOOKUP($A56,TableHandbook[],C$2,FALSE)),"")</f>
        <v/>
      </c>
      <c r="D56" s="53" t="str">
        <f>IFERROR(IF(VLOOKUP($A56,TableHandbook[],D$2,FALSE)=0,"",VLOOKUP($A56,TableHandbook[],D$2,FALSE)),"")</f>
        <v/>
      </c>
      <c r="E56" s="54"/>
      <c r="F56" s="291" t="str">
        <f>IFERROR(IF(VLOOKUP($A56,TableHandbook[],F$2,FALSE)=0,"",VLOOKUP($A56,TableHandbook[],F$2,FALSE)),"")</f>
        <v/>
      </c>
      <c r="G56" s="55" t="str">
        <f>IFERROR(IF(VLOOKUP($A56,TableHandbook[],G$2,FALSE)=0,"",VLOOKUP($A56,TableHandbook[],G$2,FALSE)),"")</f>
        <v/>
      </c>
      <c r="H56" s="73" t="str">
        <f>IFERROR(VLOOKUP($A56,TableHandbook[],H$2,FALSE),"")</f>
        <v/>
      </c>
      <c r="I56" s="229" t="str">
        <f>IFERROR(VLOOKUP($A56,TableHandbook[],I$2,FALSE),"")</f>
        <v/>
      </c>
      <c r="J56" s="65" t="str">
        <f>IFERROR(VLOOKUP($A56,TableHandbook[],J$2,FALSE),"")</f>
        <v/>
      </c>
      <c r="K56" s="74" t="str">
        <f>IFERROR(VLOOKUP($A56,TableHandbook[],K$2,FALSE),"")</f>
        <v/>
      </c>
      <c r="L56" s="70"/>
      <c r="M56" s="398">
        <v>16</v>
      </c>
    </row>
    <row r="57" spans="1:13" x14ac:dyDescent="0.25">
      <c r="A57" s="51" t="str">
        <f t="shared" si="5"/>
        <v/>
      </c>
      <c r="B57" s="52" t="str">
        <f>IFERROR(IF(VLOOKUP($A57,TableHandbook[],B$2,FALSE)=0,"",VLOOKUP($A57,TableHandbook[],B$2,FALSE)),"")</f>
        <v/>
      </c>
      <c r="C57" s="53" t="str">
        <f>IFERROR(IF(VLOOKUP($A57,TableHandbook[],C$2,FALSE)=0,"",VLOOKUP($A57,TableHandbook[],C$2,FALSE)),"")</f>
        <v/>
      </c>
      <c r="D57" s="53" t="str">
        <f>IFERROR(IF(VLOOKUP($A57,TableHandbook[],D$2,FALSE)=0,"",VLOOKUP($A57,TableHandbook[],D$2,FALSE)),"")</f>
        <v/>
      </c>
      <c r="E57" s="54"/>
      <c r="F57" s="291" t="str">
        <f>IFERROR(IF(VLOOKUP($A57,TableHandbook[],F$2,FALSE)=0,"",VLOOKUP($A57,TableHandbook[],F$2,FALSE)),"")</f>
        <v/>
      </c>
      <c r="G57" s="55" t="str">
        <f>IFERROR(IF(VLOOKUP($A57,TableHandbook[],G$2,FALSE)=0,"",VLOOKUP($A57,TableHandbook[],G$2,FALSE)),"")</f>
        <v/>
      </c>
      <c r="H57" s="73" t="str">
        <f>IFERROR(VLOOKUP($A57,TableHandbook[],H$2,FALSE),"")</f>
        <v/>
      </c>
      <c r="I57" s="229" t="str">
        <f>IFERROR(VLOOKUP($A57,TableHandbook[],I$2,FALSE),"")</f>
        <v/>
      </c>
      <c r="J57" s="65" t="str">
        <f>IFERROR(VLOOKUP($A57,TableHandbook[],J$2,FALSE),"")</f>
        <v/>
      </c>
      <c r="K57" s="74" t="str">
        <f>IFERROR(VLOOKUP($A57,TableHandbook[],K$2,FALSE),"")</f>
        <v/>
      </c>
      <c r="L57" s="70"/>
      <c r="M57" s="398">
        <v>17</v>
      </c>
    </row>
    <row r="58" spans="1:13" x14ac:dyDescent="0.25">
      <c r="A58" s="51" t="str">
        <f t="shared" si="5"/>
        <v/>
      </c>
      <c r="B58" s="52" t="str">
        <f>IFERROR(IF(VLOOKUP($A58,TableHandbook[],B$2,FALSE)=0,"",VLOOKUP($A58,TableHandbook[],B$2,FALSE)),"")</f>
        <v/>
      </c>
      <c r="C58" s="53" t="str">
        <f>IFERROR(IF(VLOOKUP($A58,TableHandbook[],C$2,FALSE)=0,"",VLOOKUP($A58,TableHandbook[],C$2,FALSE)),"")</f>
        <v/>
      </c>
      <c r="D58" s="53" t="str">
        <f>IFERROR(IF(VLOOKUP($A58,TableHandbook[],D$2,FALSE)=0,"",VLOOKUP($A58,TableHandbook[],D$2,FALSE)),"")</f>
        <v/>
      </c>
      <c r="E58" s="54"/>
      <c r="F58" s="291" t="str">
        <f>IFERROR(IF(VLOOKUP($A58,TableHandbook[],F$2,FALSE)=0,"",VLOOKUP($A58,TableHandbook[],F$2,FALSE)),"")</f>
        <v/>
      </c>
      <c r="G58" s="55" t="str">
        <f>IFERROR(IF(VLOOKUP($A58,TableHandbook[],G$2,FALSE)=0,"",VLOOKUP($A58,TableHandbook[],G$2,FALSE)),"")</f>
        <v/>
      </c>
      <c r="H58" s="73" t="str">
        <f>IFERROR(VLOOKUP($A58,TableHandbook[],H$2,FALSE),"")</f>
        <v/>
      </c>
      <c r="I58" s="229" t="str">
        <f>IFERROR(VLOOKUP($A58,TableHandbook[],I$2,FALSE),"")</f>
        <v/>
      </c>
      <c r="J58" s="65" t="str">
        <f>IFERROR(VLOOKUP($A58,TableHandbook[],J$2,FALSE),"")</f>
        <v/>
      </c>
      <c r="K58" s="74" t="str">
        <f>IFERROR(VLOOKUP($A58,TableHandbook[],K$2,FALSE),"")</f>
        <v/>
      </c>
      <c r="L58" s="70"/>
      <c r="M58" s="398">
        <v>18</v>
      </c>
    </row>
    <row r="59" spans="1:13" x14ac:dyDescent="0.25">
      <c r="A59" s="51" t="str">
        <f t="shared" si="5"/>
        <v/>
      </c>
      <c r="B59" s="52" t="str">
        <f>IFERROR(IF(VLOOKUP($A59,TableHandbook[],B$2,FALSE)=0,"",VLOOKUP($A59,TableHandbook[],B$2,FALSE)),"")</f>
        <v/>
      </c>
      <c r="C59" s="53" t="str">
        <f>IFERROR(IF(VLOOKUP($A59,TableHandbook[],C$2,FALSE)=0,"",VLOOKUP($A59,TableHandbook[],C$2,FALSE)),"")</f>
        <v/>
      </c>
      <c r="D59" s="53" t="str">
        <f>IFERROR(IF(VLOOKUP($A59,TableHandbook[],D$2,FALSE)=0,"",VLOOKUP($A59,TableHandbook[],D$2,FALSE)),"")</f>
        <v/>
      </c>
      <c r="E59" s="54"/>
      <c r="F59" s="291" t="str">
        <f>IFERROR(IF(VLOOKUP($A59,TableHandbook[],F$2,FALSE)=0,"",VLOOKUP($A59,TableHandbook[],F$2,FALSE)),"")</f>
        <v/>
      </c>
      <c r="G59" s="55" t="str">
        <f>IFERROR(IF(VLOOKUP($A59,TableHandbook[],G$2,FALSE)=0,"",VLOOKUP($A59,TableHandbook[],G$2,FALSE)),"")</f>
        <v/>
      </c>
      <c r="H59" s="73" t="str">
        <f>IFERROR(VLOOKUP($A59,TableHandbook[],H$2,FALSE),"")</f>
        <v/>
      </c>
      <c r="I59" s="229" t="str">
        <f>IFERROR(VLOOKUP($A59,TableHandbook[],I$2,FALSE),"")</f>
        <v/>
      </c>
      <c r="J59" s="65" t="str">
        <f>IFERROR(VLOOKUP($A59,TableHandbook[],J$2,FALSE),"")</f>
        <v/>
      </c>
      <c r="K59" s="74" t="str">
        <f>IFERROR(VLOOKUP($A59,TableHandbook[],K$2,FALSE),"")</f>
        <v/>
      </c>
      <c r="L59" s="70"/>
      <c r="M59" s="398">
        <v>19</v>
      </c>
    </row>
    <row r="60" spans="1:13" x14ac:dyDescent="0.25">
      <c r="A60" s="51" t="str">
        <f t="shared" si="5"/>
        <v/>
      </c>
      <c r="B60" s="52" t="str">
        <f>IFERROR(IF(VLOOKUP($A60,TableHandbook[],B$2,FALSE)=0,"",VLOOKUP($A60,TableHandbook[],B$2,FALSE)),"")</f>
        <v/>
      </c>
      <c r="C60" s="53" t="str">
        <f>IFERROR(IF(VLOOKUP($A60,TableHandbook[],C$2,FALSE)=0,"",VLOOKUP($A60,TableHandbook[],C$2,FALSE)),"")</f>
        <v/>
      </c>
      <c r="D60" s="53" t="str">
        <f>IFERROR(IF(VLOOKUP($A60,TableHandbook[],D$2,FALSE)=0,"",VLOOKUP($A60,TableHandbook[],D$2,FALSE)),"")</f>
        <v/>
      </c>
      <c r="E60" s="54"/>
      <c r="F60" s="291" t="str">
        <f>IFERROR(IF(VLOOKUP($A60,TableHandbook[],F$2,FALSE)=0,"",VLOOKUP($A60,TableHandbook[],F$2,FALSE)),"")</f>
        <v/>
      </c>
      <c r="G60" s="55" t="str">
        <f>IFERROR(IF(VLOOKUP($A60,TableHandbook[],G$2,FALSE)=0,"",VLOOKUP($A60,TableHandbook[],G$2,FALSE)),"")</f>
        <v/>
      </c>
      <c r="H60" s="73" t="str">
        <f>IFERROR(VLOOKUP($A60,TableHandbook[],H$2,FALSE),"")</f>
        <v/>
      </c>
      <c r="I60" s="229" t="str">
        <f>IFERROR(VLOOKUP($A60,TableHandbook[],I$2,FALSE),"")</f>
        <v/>
      </c>
      <c r="J60" s="65" t="str">
        <f>IFERROR(VLOOKUP($A60,TableHandbook[],J$2,FALSE),"")</f>
        <v/>
      </c>
      <c r="K60" s="74" t="str">
        <f>IFERROR(VLOOKUP($A60,TableHandbook[],K$2,FALSE),"")</f>
        <v/>
      </c>
      <c r="L60" s="70"/>
      <c r="M60" s="398">
        <v>20</v>
      </c>
    </row>
    <row r="61" spans="1:13" x14ac:dyDescent="0.25">
      <c r="A61" s="51" t="str">
        <f t="shared" si="5"/>
        <v/>
      </c>
      <c r="B61" s="52" t="str">
        <f>IFERROR(IF(VLOOKUP($A61,TableHandbook[],B$2,FALSE)=0,"",VLOOKUP($A61,TableHandbook[],B$2,FALSE)),"")</f>
        <v/>
      </c>
      <c r="C61" s="53" t="str">
        <f>IFERROR(IF(VLOOKUP($A61,TableHandbook[],C$2,FALSE)=0,"",VLOOKUP($A61,TableHandbook[],C$2,FALSE)),"")</f>
        <v/>
      </c>
      <c r="D61" s="53" t="str">
        <f>IFERROR(IF(VLOOKUP($A61,TableHandbook[],D$2,FALSE)=0,"",VLOOKUP($A61,TableHandbook[],D$2,FALSE)),"")</f>
        <v/>
      </c>
      <c r="E61" s="54"/>
      <c r="F61" s="291" t="str">
        <f>IFERROR(IF(VLOOKUP($A61,TableHandbook[],F$2,FALSE)=0,"",VLOOKUP($A61,TableHandbook[],F$2,FALSE)),"")</f>
        <v/>
      </c>
      <c r="G61" s="55" t="str">
        <f>IFERROR(IF(VLOOKUP($A61,TableHandbook[],G$2,FALSE)=0,"",VLOOKUP($A61,TableHandbook[],G$2,FALSE)),"")</f>
        <v/>
      </c>
      <c r="H61" s="73" t="str">
        <f>IFERROR(VLOOKUP($A61,TableHandbook[],H$2,FALSE),"")</f>
        <v/>
      </c>
      <c r="I61" s="229" t="str">
        <f>IFERROR(VLOOKUP($A61,TableHandbook[],I$2,FALSE),"")</f>
        <v/>
      </c>
      <c r="J61" s="65" t="str">
        <f>IFERROR(VLOOKUP($A61,TableHandbook[],J$2,FALSE),"")</f>
        <v/>
      </c>
      <c r="K61" s="74" t="str">
        <f>IFERROR(VLOOKUP($A61,TableHandbook[],K$2,FALSE),"")</f>
        <v/>
      </c>
      <c r="L61" s="70"/>
      <c r="M61" s="398">
        <v>21</v>
      </c>
    </row>
    <row r="62" spans="1:13" x14ac:dyDescent="0.25">
      <c r="A62" s="51" t="str">
        <f t="shared" si="5"/>
        <v/>
      </c>
      <c r="B62" s="52" t="str">
        <f>IFERROR(IF(VLOOKUP($A62,TableHandbook[],B$2,FALSE)=0,"",VLOOKUP($A62,TableHandbook[],B$2,FALSE)),"")</f>
        <v/>
      </c>
      <c r="C62" s="53" t="str">
        <f>IFERROR(IF(VLOOKUP($A62,TableHandbook[],C$2,FALSE)=0,"",VLOOKUP($A62,TableHandbook[],C$2,FALSE)),"")</f>
        <v/>
      </c>
      <c r="D62" s="53" t="str">
        <f>IFERROR(IF(VLOOKUP($A62,TableHandbook[],D$2,FALSE)=0,"",VLOOKUP($A62,TableHandbook[],D$2,FALSE)),"")</f>
        <v/>
      </c>
      <c r="E62" s="54"/>
      <c r="F62" s="291" t="str">
        <f>IFERROR(IF(VLOOKUP($A62,TableHandbook[],F$2,FALSE)=0,"",VLOOKUP($A62,TableHandbook[],F$2,FALSE)),"")</f>
        <v/>
      </c>
      <c r="G62" s="55" t="str">
        <f>IFERROR(IF(VLOOKUP($A62,TableHandbook[],G$2,FALSE)=0,"",VLOOKUP($A62,TableHandbook[],G$2,FALSE)),"")</f>
        <v/>
      </c>
      <c r="H62" s="73" t="str">
        <f>IFERROR(VLOOKUP($A62,TableHandbook[],H$2,FALSE),"")</f>
        <v/>
      </c>
      <c r="I62" s="229" t="str">
        <f>IFERROR(VLOOKUP($A62,TableHandbook[],I$2,FALSE),"")</f>
        <v/>
      </c>
      <c r="J62" s="65" t="str">
        <f>IFERROR(VLOOKUP($A62,TableHandbook[],J$2,FALSE),"")</f>
        <v/>
      </c>
      <c r="K62" s="74" t="str">
        <f>IFERROR(VLOOKUP($A62,TableHandbook[],K$2,FALSE),"")</f>
        <v/>
      </c>
      <c r="L62" s="70"/>
      <c r="M62" s="398">
        <v>22</v>
      </c>
    </row>
    <row r="63" spans="1:13" x14ac:dyDescent="0.25">
      <c r="A63" s="51" t="str">
        <f t="shared" si="5"/>
        <v/>
      </c>
      <c r="B63" s="52" t="str">
        <f>IFERROR(IF(VLOOKUP($A63,TableHandbook[],B$2,FALSE)=0,"",VLOOKUP($A63,TableHandbook[],B$2,FALSE)),"")</f>
        <v/>
      </c>
      <c r="C63" s="53" t="str">
        <f>IFERROR(IF(VLOOKUP($A63,TableHandbook[],C$2,FALSE)=0,"",VLOOKUP($A63,TableHandbook[],C$2,FALSE)),"")</f>
        <v/>
      </c>
      <c r="D63" s="53" t="str">
        <f>IFERROR(IF(VLOOKUP($A63,TableHandbook[],D$2,FALSE)=0,"",VLOOKUP($A63,TableHandbook[],D$2,FALSE)),"")</f>
        <v/>
      </c>
      <c r="E63" s="54"/>
      <c r="F63" s="291" t="str">
        <f>IFERROR(IF(VLOOKUP($A63,TableHandbook[],F$2,FALSE)=0,"",VLOOKUP($A63,TableHandbook[],F$2,FALSE)),"")</f>
        <v/>
      </c>
      <c r="G63" s="55" t="str">
        <f>IFERROR(IF(VLOOKUP($A63,TableHandbook[],G$2,FALSE)=0,"",VLOOKUP($A63,TableHandbook[],G$2,FALSE)),"")</f>
        <v/>
      </c>
      <c r="H63" s="73" t="str">
        <f>IFERROR(VLOOKUP($A63,TableHandbook[],H$2,FALSE),"")</f>
        <v/>
      </c>
      <c r="I63" s="229" t="str">
        <f>IFERROR(VLOOKUP($A63,TableHandbook[],I$2,FALSE),"")</f>
        <v/>
      </c>
      <c r="J63" s="65" t="str">
        <f>IFERROR(VLOOKUP($A63,TableHandbook[],J$2,FALSE),"")</f>
        <v/>
      </c>
      <c r="K63" s="74" t="str">
        <f>IFERROR(VLOOKUP($A63,TableHandbook[],K$2,FALSE),"")</f>
        <v/>
      </c>
      <c r="L63" s="70"/>
      <c r="M63" s="398">
        <v>23</v>
      </c>
    </row>
    <row r="64" spans="1:13" x14ac:dyDescent="0.25">
      <c r="A64" s="51" t="str">
        <f t="shared" si="5"/>
        <v/>
      </c>
      <c r="B64" s="52" t="str">
        <f>IFERROR(IF(VLOOKUP($A64,TableHandbook[],B$2,FALSE)=0,"",VLOOKUP($A64,TableHandbook[],B$2,FALSE)),"")</f>
        <v/>
      </c>
      <c r="C64" s="53" t="str">
        <f>IFERROR(IF(VLOOKUP($A64,TableHandbook[],C$2,FALSE)=0,"",VLOOKUP($A64,TableHandbook[],C$2,FALSE)),"")</f>
        <v/>
      </c>
      <c r="D64" s="53" t="str">
        <f>IFERROR(IF(VLOOKUP($A64,TableHandbook[],D$2,FALSE)=0,"",VLOOKUP($A64,TableHandbook[],D$2,FALSE)),"")</f>
        <v/>
      </c>
      <c r="E64" s="54"/>
      <c r="F64" s="291" t="str">
        <f>IFERROR(IF(VLOOKUP($A64,TableHandbook[],F$2,FALSE)=0,"",VLOOKUP($A64,TableHandbook[],F$2,FALSE)),"")</f>
        <v/>
      </c>
      <c r="G64" s="55" t="str">
        <f>IFERROR(IF(VLOOKUP($A64,TableHandbook[],G$2,FALSE)=0,"",VLOOKUP($A64,TableHandbook[],G$2,FALSE)),"")</f>
        <v/>
      </c>
      <c r="H64" s="73" t="str">
        <f>IFERROR(VLOOKUP($A64,TableHandbook[],H$2,FALSE),"")</f>
        <v/>
      </c>
      <c r="I64" s="229" t="str">
        <f>IFERROR(VLOOKUP($A64,TableHandbook[],I$2,FALSE),"")</f>
        <v/>
      </c>
      <c r="J64" s="65" t="str">
        <f>IFERROR(VLOOKUP($A64,TableHandbook[],J$2,FALSE),"")</f>
        <v/>
      </c>
      <c r="K64" s="74" t="str">
        <f>IFERROR(VLOOKUP($A64,TableHandbook[],K$2,FALSE),"")</f>
        <v/>
      </c>
      <c r="L64" s="70"/>
      <c r="M64" s="398">
        <v>24</v>
      </c>
    </row>
    <row r="65" spans="1:15" x14ac:dyDescent="0.25">
      <c r="A65" s="51" t="str">
        <f t="shared" si="5"/>
        <v/>
      </c>
      <c r="B65" s="52" t="str">
        <f>IFERROR(IF(VLOOKUP($A65,TableHandbook[],B$2,FALSE)=0,"",VLOOKUP($A65,TableHandbook[],B$2,FALSE)),"")</f>
        <v/>
      </c>
      <c r="C65" s="53" t="str">
        <f>IFERROR(IF(VLOOKUP($A65,TableHandbook[],C$2,FALSE)=0,"",VLOOKUP($A65,TableHandbook[],C$2,FALSE)),"")</f>
        <v/>
      </c>
      <c r="D65" s="53" t="str">
        <f>IFERROR(IF(VLOOKUP($A65,TableHandbook[],D$2,FALSE)=0,"",VLOOKUP($A65,TableHandbook[],D$2,FALSE)),"")</f>
        <v/>
      </c>
      <c r="E65" s="54"/>
      <c r="F65" s="291" t="str">
        <f>IFERROR(IF(VLOOKUP($A65,TableHandbook[],F$2,FALSE)=0,"",VLOOKUP($A65,TableHandbook[],F$2,FALSE)),"")</f>
        <v/>
      </c>
      <c r="G65" s="55" t="str">
        <f>IFERROR(IF(VLOOKUP($A65,TableHandbook[],G$2,FALSE)=0,"",VLOOKUP($A65,TableHandbook[],G$2,FALSE)),"")</f>
        <v/>
      </c>
      <c r="H65" s="73" t="str">
        <f>IFERROR(VLOOKUP($A65,TableHandbook[],H$2,FALSE),"")</f>
        <v/>
      </c>
      <c r="I65" s="229" t="str">
        <f>IFERROR(VLOOKUP($A65,TableHandbook[],I$2,FALSE),"")</f>
        <v/>
      </c>
      <c r="J65" s="65" t="str">
        <f>IFERROR(VLOOKUP($A65,TableHandbook[],J$2,FALSE),"")</f>
        <v/>
      </c>
      <c r="K65" s="74" t="str">
        <f>IFERROR(VLOOKUP($A65,TableHandbook[],K$2,FALSE),"")</f>
        <v/>
      </c>
      <c r="L65" s="70"/>
      <c r="M65" s="398">
        <v>25</v>
      </c>
    </row>
    <row r="66" spans="1:15" x14ac:dyDescent="0.25">
      <c r="A66" s="51" t="str">
        <f t="shared" si="5"/>
        <v/>
      </c>
      <c r="B66" s="52" t="str">
        <f>IFERROR(IF(VLOOKUP($A66,TableHandbook[],B$2,FALSE)=0,"",VLOOKUP($A66,TableHandbook[],B$2,FALSE)),"")</f>
        <v/>
      </c>
      <c r="C66" s="53" t="str">
        <f>IFERROR(IF(VLOOKUP($A66,TableHandbook[],C$2,FALSE)=0,"",VLOOKUP($A66,TableHandbook[],C$2,FALSE)),"")</f>
        <v/>
      </c>
      <c r="D66" s="53" t="str">
        <f>IFERROR(IF(VLOOKUP($A66,TableHandbook[],D$2,FALSE)=0,"",VLOOKUP($A66,TableHandbook[],D$2,FALSE)),"")</f>
        <v/>
      </c>
      <c r="E66" s="54"/>
      <c r="F66" s="291" t="str">
        <f>IFERROR(IF(VLOOKUP($A66,TableHandbook[],F$2,FALSE)=0,"",VLOOKUP($A66,TableHandbook[],F$2,FALSE)),"")</f>
        <v/>
      </c>
      <c r="G66" s="55" t="str">
        <f>IFERROR(IF(VLOOKUP($A66,TableHandbook[],G$2,FALSE)=0,"",VLOOKUP($A66,TableHandbook[],G$2,FALSE)),"")</f>
        <v/>
      </c>
      <c r="H66" s="73" t="str">
        <f>IFERROR(VLOOKUP($A66,TableHandbook[],H$2,FALSE),"")</f>
        <v/>
      </c>
      <c r="I66" s="229" t="str">
        <f>IFERROR(VLOOKUP($A66,TableHandbook[],I$2,FALSE),"")</f>
        <v/>
      </c>
      <c r="J66" s="65" t="str">
        <f>IFERROR(VLOOKUP($A66,TableHandbook[],J$2,FALSE),"")</f>
        <v/>
      </c>
      <c r="K66" s="74" t="str">
        <f>IFERROR(VLOOKUP($A66,TableHandbook[],K$2,FALSE),"")</f>
        <v/>
      </c>
      <c r="L66" s="70"/>
      <c r="M66" s="398">
        <v>26</v>
      </c>
    </row>
    <row r="67" spans="1:15" x14ac:dyDescent="0.25">
      <c r="A67" s="51" t="str">
        <f t="shared" si="5"/>
        <v/>
      </c>
      <c r="B67" s="52" t="str">
        <f>IFERROR(IF(VLOOKUP($A67,TableHandbook[],B$2,FALSE)=0,"",VLOOKUP($A67,TableHandbook[],B$2,FALSE)),"")</f>
        <v/>
      </c>
      <c r="C67" s="53" t="str">
        <f>IFERROR(IF(VLOOKUP($A67,TableHandbook[],C$2,FALSE)=0,"",VLOOKUP($A67,TableHandbook[],C$2,FALSE)),"")</f>
        <v/>
      </c>
      <c r="D67" s="53" t="str">
        <f>IFERROR(IF(VLOOKUP($A67,TableHandbook[],D$2,FALSE)=0,"",VLOOKUP($A67,TableHandbook[],D$2,FALSE)),"")</f>
        <v/>
      </c>
      <c r="E67" s="54"/>
      <c r="F67" s="291" t="str">
        <f>IFERROR(IF(VLOOKUP($A67,TableHandbook[],F$2,FALSE)=0,"",VLOOKUP($A67,TableHandbook[],F$2,FALSE)),"")</f>
        <v/>
      </c>
      <c r="G67" s="55" t="str">
        <f>IFERROR(IF(VLOOKUP($A67,TableHandbook[],G$2,FALSE)=0,"",VLOOKUP($A67,TableHandbook[],G$2,FALSE)),"")</f>
        <v/>
      </c>
      <c r="H67" s="73" t="str">
        <f>IFERROR(VLOOKUP($A67,TableHandbook[],H$2,FALSE),"")</f>
        <v/>
      </c>
      <c r="I67" s="229" t="str">
        <f>IFERROR(VLOOKUP($A67,TableHandbook[],I$2,FALSE),"")</f>
        <v/>
      </c>
      <c r="J67" s="65" t="str">
        <f>IFERROR(VLOOKUP($A67,TableHandbook[],J$2,FALSE),"")</f>
        <v/>
      </c>
      <c r="K67" s="74" t="str">
        <f>IFERROR(VLOOKUP($A67,TableHandbook[],K$2,FALSE),"")</f>
        <v/>
      </c>
      <c r="L67" s="70"/>
      <c r="M67" s="398">
        <v>27</v>
      </c>
    </row>
    <row r="68" spans="1:15" x14ac:dyDescent="0.25">
      <c r="A68" s="51" t="str">
        <f t="shared" si="5"/>
        <v/>
      </c>
      <c r="B68" s="52" t="str">
        <f>IFERROR(IF(VLOOKUP($A68,TableHandbook[],B$2,FALSE)=0,"",VLOOKUP($A68,TableHandbook[],B$2,FALSE)),"")</f>
        <v/>
      </c>
      <c r="C68" s="53" t="str">
        <f>IFERROR(IF(VLOOKUP($A68,TableHandbook[],C$2,FALSE)=0,"",VLOOKUP($A68,TableHandbook[],C$2,FALSE)),"")</f>
        <v/>
      </c>
      <c r="D68" s="53" t="str">
        <f>IFERROR(IF(VLOOKUP($A68,TableHandbook[],D$2,FALSE)=0,"",VLOOKUP($A68,TableHandbook[],D$2,FALSE)),"")</f>
        <v/>
      </c>
      <c r="E68" s="54"/>
      <c r="F68" s="291" t="str">
        <f>IFERROR(IF(VLOOKUP($A68,TableHandbook[],F$2,FALSE)=0,"",VLOOKUP($A68,TableHandbook[],F$2,FALSE)),"")</f>
        <v/>
      </c>
      <c r="G68" s="55" t="str">
        <f>IFERROR(IF(VLOOKUP($A68,TableHandbook[],G$2,FALSE)=0,"",VLOOKUP($A68,TableHandbook[],G$2,FALSE)),"")</f>
        <v/>
      </c>
      <c r="H68" s="73" t="str">
        <f>IFERROR(VLOOKUP($A68,TableHandbook[],H$2,FALSE),"")</f>
        <v/>
      </c>
      <c r="I68" s="229" t="str">
        <f>IFERROR(VLOOKUP($A68,TableHandbook[],I$2,FALSE),"")</f>
        <v/>
      </c>
      <c r="J68" s="65" t="str">
        <f>IFERROR(VLOOKUP($A68,TableHandbook[],J$2,FALSE),"")</f>
        <v/>
      </c>
      <c r="K68" s="74" t="str">
        <f>IFERROR(VLOOKUP($A68,TableHandbook[],K$2,FALSE),"")</f>
        <v/>
      </c>
      <c r="L68" s="70"/>
      <c r="M68" s="398">
        <v>28</v>
      </c>
    </row>
    <row r="69" spans="1:15" x14ac:dyDescent="0.25">
      <c r="A69" s="51" t="str">
        <f t="shared" si="5"/>
        <v/>
      </c>
      <c r="B69" s="52" t="str">
        <f>IFERROR(IF(VLOOKUP($A69,TableHandbook[],B$2,FALSE)=0,"",VLOOKUP($A69,TableHandbook[],B$2,FALSE)),"")</f>
        <v/>
      </c>
      <c r="C69" s="53" t="str">
        <f>IFERROR(IF(VLOOKUP($A69,TableHandbook[],C$2,FALSE)=0,"",VLOOKUP($A69,TableHandbook[],C$2,FALSE)),"")</f>
        <v/>
      </c>
      <c r="D69" s="53" t="str">
        <f>IFERROR(IF(VLOOKUP($A69,TableHandbook[],D$2,FALSE)=0,"",VLOOKUP($A69,TableHandbook[],D$2,FALSE)),"")</f>
        <v/>
      </c>
      <c r="E69" s="54"/>
      <c r="F69" s="291" t="str">
        <f>IFERROR(IF(VLOOKUP($A69,TableHandbook[],F$2,FALSE)=0,"",VLOOKUP($A69,TableHandbook[],F$2,FALSE)),"")</f>
        <v/>
      </c>
      <c r="G69" s="55" t="str">
        <f>IFERROR(IF(VLOOKUP($A69,TableHandbook[],G$2,FALSE)=0,"",VLOOKUP($A69,TableHandbook[],G$2,FALSE)),"")</f>
        <v/>
      </c>
      <c r="H69" s="73" t="str">
        <f>IFERROR(VLOOKUP($A69,TableHandbook[],H$2,FALSE),"")</f>
        <v/>
      </c>
      <c r="I69" s="229" t="str">
        <f>IFERROR(VLOOKUP($A69,TableHandbook[],I$2,FALSE),"")</f>
        <v/>
      </c>
      <c r="J69" s="65" t="str">
        <f>IFERROR(VLOOKUP($A69,TableHandbook[],J$2,FALSE),"")</f>
        <v/>
      </c>
      <c r="K69" s="74" t="str">
        <f>IFERROR(VLOOKUP($A69,TableHandbook[],K$2,FALSE),"")</f>
        <v/>
      </c>
      <c r="L69" s="70"/>
      <c r="M69" s="398">
        <v>29</v>
      </c>
    </row>
    <row r="70" spans="1:15" x14ac:dyDescent="0.25">
      <c r="A70" s="51" t="str">
        <f t="shared" si="5"/>
        <v/>
      </c>
      <c r="B70" s="52" t="str">
        <f>IFERROR(IF(VLOOKUP($A70,TableHandbook[],B$2,FALSE)=0,"",VLOOKUP($A70,TableHandbook[],B$2,FALSE)),"")</f>
        <v/>
      </c>
      <c r="C70" s="53" t="str">
        <f>IFERROR(IF(VLOOKUP($A70,TableHandbook[],C$2,FALSE)=0,"",VLOOKUP($A70,TableHandbook[],C$2,FALSE)),"")</f>
        <v/>
      </c>
      <c r="D70" s="53" t="str">
        <f>IFERROR(IF(VLOOKUP($A70,TableHandbook[],D$2,FALSE)=0,"",VLOOKUP($A70,TableHandbook[],D$2,FALSE)),"")</f>
        <v/>
      </c>
      <c r="E70" s="54"/>
      <c r="F70" s="291" t="str">
        <f>IFERROR(IF(VLOOKUP($A70,TableHandbook[],F$2,FALSE)=0,"",VLOOKUP($A70,TableHandbook[],F$2,FALSE)),"")</f>
        <v/>
      </c>
      <c r="G70" s="55" t="str">
        <f>IFERROR(IF(VLOOKUP($A70,TableHandbook[],G$2,FALSE)=0,"",VLOOKUP($A70,TableHandbook[],G$2,FALSE)),"")</f>
        <v/>
      </c>
      <c r="H70" s="73" t="str">
        <f>IFERROR(VLOOKUP($A70,TableHandbook[],H$2,FALSE),"")</f>
        <v/>
      </c>
      <c r="I70" s="229" t="str">
        <f>IFERROR(VLOOKUP($A70,TableHandbook[],I$2,FALSE),"")</f>
        <v/>
      </c>
      <c r="J70" s="65" t="str">
        <f>IFERROR(VLOOKUP($A70,TableHandbook[],J$2,FALSE),"")</f>
        <v/>
      </c>
      <c r="K70" s="74" t="str">
        <f>IFERROR(VLOOKUP($A70,TableHandbook[],K$2,FALSE),"")</f>
        <v/>
      </c>
      <c r="L70" s="70"/>
      <c r="M70" s="398">
        <v>30</v>
      </c>
    </row>
    <row r="71" spans="1:15" x14ac:dyDescent="0.25">
      <c r="A71" s="51" t="str">
        <f t="shared" si="5"/>
        <v/>
      </c>
      <c r="B71" s="52" t="str">
        <f>IFERROR(IF(VLOOKUP($A71,TableHandbook[],B$2,FALSE)=0,"",VLOOKUP($A71,TableHandbook[],B$2,FALSE)),"")</f>
        <v/>
      </c>
      <c r="C71" s="53" t="str">
        <f>IFERROR(IF(VLOOKUP($A71,TableHandbook[],C$2,FALSE)=0,"",VLOOKUP($A71,TableHandbook[],C$2,FALSE)),"")</f>
        <v/>
      </c>
      <c r="D71" s="53" t="str">
        <f>IFERROR(IF(VLOOKUP($A71,TableHandbook[],D$2,FALSE)=0,"",VLOOKUP($A71,TableHandbook[],D$2,FALSE)),"")</f>
        <v/>
      </c>
      <c r="E71" s="54"/>
      <c r="F71" s="291" t="str">
        <f>IFERROR(IF(VLOOKUP($A71,TableHandbook[],F$2,FALSE)=0,"",VLOOKUP($A71,TableHandbook[],F$2,FALSE)),"")</f>
        <v/>
      </c>
      <c r="G71" s="55" t="str">
        <f>IFERROR(IF(VLOOKUP($A71,TableHandbook[],G$2,FALSE)=0,"",VLOOKUP($A71,TableHandbook[],G$2,FALSE)),"")</f>
        <v/>
      </c>
      <c r="H71" s="73" t="str">
        <f>IFERROR(VLOOKUP($A71,TableHandbook[],H$2,FALSE),"")</f>
        <v/>
      </c>
      <c r="I71" s="229" t="str">
        <f>IFERROR(VLOOKUP($A71,TableHandbook[],I$2,FALSE),"")</f>
        <v/>
      </c>
      <c r="J71" s="65" t="str">
        <f>IFERROR(VLOOKUP($A71,TableHandbook[],J$2,FALSE),"")</f>
        <v/>
      </c>
      <c r="K71" s="74" t="str">
        <f>IFERROR(VLOOKUP($A71,TableHandbook[],K$2,FALSE),"")</f>
        <v/>
      </c>
      <c r="L71" s="70"/>
      <c r="M71" s="398">
        <v>31</v>
      </c>
    </row>
    <row r="72" spans="1:15" s="46" customFormat="1" ht="13.9" customHeight="1" x14ac:dyDescent="0.2">
      <c r="A72" s="47"/>
      <c r="B72" s="47"/>
      <c r="C72" s="47"/>
      <c r="D72" s="48"/>
      <c r="E72" s="48"/>
      <c r="F72" s="43"/>
      <c r="G72" s="43"/>
      <c r="H72" s="43"/>
      <c r="I72" s="43"/>
      <c r="J72" s="43"/>
      <c r="K72" s="43"/>
      <c r="L72" s="43"/>
      <c r="M72" s="382"/>
      <c r="N72" s="188"/>
      <c r="O72" s="188"/>
    </row>
    <row r="73" spans="1:15" ht="32.25" customHeight="1" x14ac:dyDescent="0.25">
      <c r="A73" s="443" t="s">
        <v>31</v>
      </c>
      <c r="B73" s="443"/>
      <c r="C73" s="443"/>
      <c r="D73" s="443"/>
      <c r="E73" s="443"/>
      <c r="F73" s="443"/>
      <c r="G73" s="443"/>
      <c r="H73" s="443"/>
      <c r="I73" s="443"/>
      <c r="J73" s="443"/>
      <c r="K73" s="443"/>
      <c r="L73" s="443"/>
    </row>
    <row r="74" spans="1:15" s="41" customFormat="1" ht="24.95" customHeight="1" x14ac:dyDescent="0.3">
      <c r="A74" s="88" t="s">
        <v>32</v>
      </c>
      <c r="B74" s="88"/>
      <c r="C74" s="88"/>
      <c r="D74" s="89"/>
      <c r="E74" s="89"/>
      <c r="F74" s="89"/>
      <c r="G74" s="89"/>
      <c r="H74" s="89"/>
      <c r="I74" s="89"/>
      <c r="J74" s="89"/>
      <c r="K74" s="89"/>
      <c r="L74" s="89"/>
      <c r="M74" s="189"/>
      <c r="N74" s="189"/>
      <c r="O74" s="189"/>
    </row>
    <row r="75" spans="1:15" ht="15" customHeight="1" x14ac:dyDescent="0.25">
      <c r="A75" s="42" t="s">
        <v>33</v>
      </c>
      <c r="B75" s="42"/>
      <c r="C75" s="42"/>
      <c r="D75" s="42"/>
      <c r="E75" s="56"/>
      <c r="F75" s="43"/>
      <c r="G75" s="57"/>
      <c r="H75" s="57"/>
      <c r="I75" s="57"/>
      <c r="J75" s="57"/>
      <c r="K75" s="57"/>
      <c r="L75" s="57" t="s">
        <v>34</v>
      </c>
    </row>
  </sheetData>
  <sheetProtection algorithmName="SHA-512" hashValue="aE/ZNCjOsc7xaBARqZlg+G/1BMYVp3/YBxy+4Yk/jnjFSK2PWsu0ziw/gl//xeE8xArX2nceVuVFLfYbnJzI/Q==" saltValue="hRo2d7EonNKDPmV88zTj2w==" spinCount="100000" sheet="1" objects="1" scenarios="1" formatCells="0" formatColumns="0" formatRows="0"/>
  <mergeCells count="2">
    <mergeCell ref="A3:D3"/>
    <mergeCell ref="A73:L73"/>
  </mergeCells>
  <conditionalFormatting sqref="A51:L71">
    <cfRule type="expression" dxfId="171" priority="7">
      <formula>LEFT($D51,5)="Study"</formula>
    </cfRule>
  </conditionalFormatting>
  <conditionalFormatting sqref="D5:D8">
    <cfRule type="containsText" dxfId="170" priority="8" operator="containsText" text="Choose">
      <formula>NOT(ISERROR(SEARCH("Choose",D5)))</formula>
    </cfRule>
  </conditionalFormatting>
  <conditionalFormatting sqref="H11:K47">
    <cfRule type="expression" dxfId="169" priority="1">
      <formula>$E11=LEFT(H$10,4)</formula>
    </cfRule>
  </conditionalFormatting>
  <dataValidations count="2">
    <dataValidation type="list" allowBlank="1" showInputMessage="1" showErrorMessage="1" sqref="L25 L15 L35 L45" xr:uid="{00000000-0002-0000-0600-000000000000}"/>
    <dataValidation type="list" showInputMessage="1" showErrorMessage="1" sqref="D6" xr:uid="{00000000-0002-0000-0600-000001000000}">
      <formula1>INDIRECT($L$8)</formula1>
    </dataValidation>
  </dataValidations>
  <hyperlinks>
    <hyperlink ref="A74:L74"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60" fitToHeight="0" orientation="portrait" r:id="rId2"/>
  <ignoredErrors>
    <ignoredError sqref="E11:E19 E21:E44"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Unitsets!$A$23:$A$25</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249977111117893"/>
  </sheetPr>
  <dimension ref="A2:RM138"/>
  <sheetViews>
    <sheetView topLeftCell="AB37" zoomScale="85" zoomScaleNormal="85" workbookViewId="0">
      <selection activeCell="AT51" sqref="AT51:AT71"/>
    </sheetView>
  </sheetViews>
  <sheetFormatPr defaultRowHeight="15.75" x14ac:dyDescent="0.25"/>
  <cols>
    <col min="1" max="1" width="81.5" bestFit="1" customWidth="1"/>
    <col min="2" max="2" width="11.75" bestFit="1" customWidth="1"/>
    <col min="3" max="3" width="12.75" bestFit="1" customWidth="1"/>
    <col min="4" max="4" width="17.375" bestFit="1" customWidth="1"/>
    <col min="5" max="5" width="14.875" bestFit="1" customWidth="1"/>
    <col min="6" max="6" width="19.125" bestFit="1" customWidth="1"/>
    <col min="7" max="7" width="19.875" bestFit="1" customWidth="1"/>
    <col min="8" max="8" width="16.625" bestFit="1" customWidth="1"/>
    <col min="9" max="9" width="9.125" customWidth="1"/>
    <col min="10" max="10" width="13.75" bestFit="1" customWidth="1"/>
    <col min="11" max="11" width="82.375" bestFit="1" customWidth="1"/>
    <col min="12" max="12" width="11.75" bestFit="1" customWidth="1"/>
    <col min="13" max="13" width="9.125" customWidth="1"/>
    <col min="14" max="14" width="21.625" bestFit="1" customWidth="1"/>
    <col min="15" max="15" width="2.75" bestFit="1" customWidth="1"/>
    <col min="16" max="16" width="2.5" bestFit="1" customWidth="1"/>
    <col min="17" max="17" width="6.125" bestFit="1" customWidth="1"/>
    <col min="18" max="18" width="16.5" bestFit="1" customWidth="1"/>
    <col min="19" max="19" width="6.125" bestFit="1" customWidth="1"/>
    <col min="20" max="20" width="16.75" bestFit="1" customWidth="1"/>
    <col min="21" max="21" width="6.125" customWidth="1"/>
    <col min="22" max="22" width="15.75" customWidth="1"/>
    <col min="23" max="23" width="6.125" customWidth="1"/>
    <col min="24" max="24" width="16" customWidth="1"/>
    <col min="25" max="25" width="6.125" customWidth="1"/>
    <col min="26" max="26" width="15.875" customWidth="1"/>
    <col min="27" max="27" width="6.125" customWidth="1"/>
    <col min="28" max="28" width="16.125" customWidth="1"/>
    <col min="29" max="29" width="6.125" customWidth="1"/>
    <col min="30" max="30" width="16.25" customWidth="1"/>
    <col min="31" max="31" width="6.125" customWidth="1"/>
    <col min="32" max="32" width="16.625" customWidth="1"/>
    <col min="33" max="33" width="6.125" customWidth="1"/>
    <col min="34" max="34" width="16.25" customWidth="1"/>
    <col min="35" max="35" width="6.125" customWidth="1"/>
    <col min="36" max="36" width="16.625" customWidth="1"/>
    <col min="37" max="37" width="6.125" customWidth="1"/>
    <col min="38" max="38" width="16.625" customWidth="1"/>
    <col min="39" max="39" width="6.125" customWidth="1"/>
    <col min="40" max="40" width="15.875" customWidth="1"/>
    <col min="41" max="41" width="6.125" customWidth="1"/>
    <col min="42" max="42" width="15.875" customWidth="1"/>
    <col min="43" max="43" width="6.125" customWidth="1"/>
    <col min="44" max="44" width="16.125" customWidth="1"/>
    <col min="45" max="45" width="6.125" customWidth="1"/>
    <col min="46" max="46" width="16.875" customWidth="1"/>
    <col min="47" max="47" width="6.125" customWidth="1"/>
    <col min="48" max="48" width="15.625" customWidth="1"/>
    <col min="49" max="49" width="6.125" customWidth="1"/>
    <col min="50" max="50" width="16.5" customWidth="1"/>
    <col min="51" max="51" width="6.125" customWidth="1"/>
    <col min="52" max="52" width="16.5" customWidth="1"/>
    <col min="53" max="53" width="6.125" customWidth="1"/>
    <col min="54" max="54" width="16" customWidth="1"/>
    <col min="55" max="55" width="6.125" customWidth="1"/>
    <col min="56" max="56" width="16.125" customWidth="1"/>
    <col min="57" max="57" width="6.125" bestFit="1" customWidth="1"/>
    <col min="58" max="58" width="16.5" bestFit="1" customWidth="1"/>
    <col min="59" max="59" width="6.125" customWidth="1"/>
    <col min="60" max="60" width="16.125" bestFit="1" customWidth="1"/>
    <col min="61" max="61" width="6.125" bestFit="1" customWidth="1"/>
    <col min="62" max="62" width="16.75" bestFit="1" customWidth="1"/>
    <col min="63" max="63" width="6.125" customWidth="1"/>
    <col min="64" max="64" width="15.625" customWidth="1"/>
    <col min="65" max="65" width="6.125" customWidth="1"/>
    <col min="66" max="66" width="16.125" customWidth="1"/>
    <col min="67" max="67" width="6.125" customWidth="1"/>
    <col min="68" max="68" width="16.5" customWidth="1"/>
    <col min="69" max="69" width="6.125" customWidth="1"/>
    <col min="70" max="70" width="17" customWidth="1"/>
    <col min="71" max="71" width="6.125" customWidth="1"/>
    <col min="72" max="72" width="16.75" customWidth="1"/>
    <col min="73" max="73" width="6.125" customWidth="1"/>
    <col min="74" max="74" width="16.625" customWidth="1"/>
    <col min="75" max="75" width="6.125" customWidth="1"/>
    <col min="76" max="76" width="16.5" customWidth="1"/>
    <col min="77" max="77" width="6.125" customWidth="1"/>
    <col min="78" max="78" width="16.5" customWidth="1"/>
    <col min="79" max="79" width="6.125" customWidth="1"/>
    <col min="80" max="80" width="16.75" customWidth="1"/>
    <col min="81" max="81" width="6.125" customWidth="1"/>
    <col min="82" max="82" width="16.75" customWidth="1"/>
    <col min="83" max="83" width="6.125" customWidth="1"/>
    <col min="84" max="84" width="16.125" customWidth="1"/>
    <col min="85" max="85" width="6.125" customWidth="1"/>
    <col min="86" max="86" width="16.125" customWidth="1"/>
    <col min="87" max="87" width="6.125" customWidth="1"/>
    <col min="88" max="88" width="16.5" customWidth="1"/>
    <col min="89" max="89" width="6.125" customWidth="1"/>
    <col min="90" max="90" width="16.5" customWidth="1"/>
    <col min="91" max="91" width="6.125" customWidth="1"/>
    <col min="92" max="92" width="15.375" customWidth="1"/>
    <col min="93" max="93" width="6.125" customWidth="1"/>
    <col min="94" max="94" width="15.75" customWidth="1"/>
    <col min="95" max="95" width="6.125" customWidth="1"/>
    <col min="96" max="96" width="16" customWidth="1"/>
    <col min="97" max="97" width="6.125" customWidth="1"/>
    <col min="98" max="98" width="16.75" customWidth="1"/>
    <col min="99" max="99" width="6.125" customWidth="1"/>
    <col min="100" max="100" width="16.25" customWidth="1"/>
    <col min="101" max="101" width="6.125" customWidth="1"/>
    <col min="102" max="102" width="16.25" customWidth="1"/>
    <col min="103" max="103" width="6.125" customWidth="1"/>
    <col min="104" max="104" width="16" customWidth="1"/>
    <col min="105" max="105" width="6.125" customWidth="1"/>
    <col min="106" max="106" width="16" customWidth="1"/>
    <col min="107" max="107" width="6.125" customWidth="1"/>
    <col min="108" max="108" width="16.25" customWidth="1"/>
    <col min="109" max="109" width="6.125" customWidth="1"/>
    <col min="110" max="110" width="15.625" customWidth="1"/>
    <col min="111" max="111" width="6.125" customWidth="1"/>
    <col min="112" max="112" width="4.5" customWidth="1"/>
    <col min="113" max="113" width="6.125" customWidth="1"/>
    <col min="114" max="114" width="16.125" customWidth="1"/>
    <col min="115" max="115" width="6.125" customWidth="1"/>
    <col min="116" max="116" width="4.5" customWidth="1"/>
    <col min="117" max="117" width="6.125" customWidth="1"/>
    <col min="118" max="118" width="15.25" customWidth="1"/>
    <col min="119" max="119" width="6.125" customWidth="1"/>
    <col min="120" max="120" width="4.5" customWidth="1"/>
    <col min="121" max="121" width="6.125" customWidth="1"/>
    <col min="122" max="122" width="16.5" customWidth="1"/>
    <col min="123" max="123" width="6.125" customWidth="1"/>
    <col min="124" max="124" width="4.5" customWidth="1"/>
    <col min="125" max="125" width="6.125" customWidth="1"/>
    <col min="126" max="126" width="16" customWidth="1"/>
    <col min="127" max="127" width="6.125" customWidth="1"/>
    <col min="128" max="128" width="4.5" customWidth="1"/>
    <col min="129" max="129" width="6.125" customWidth="1"/>
    <col min="130" max="130" width="16.5" customWidth="1"/>
    <col min="131" max="131" width="6.125" customWidth="1"/>
    <col min="132" max="132" width="4.5" customWidth="1"/>
    <col min="133" max="133" width="6.125" customWidth="1"/>
    <col min="134" max="134" width="16.125" customWidth="1"/>
    <col min="135" max="135" width="6.125" customWidth="1"/>
    <col min="136" max="136" width="4.5" customWidth="1"/>
    <col min="137" max="137" width="6.125" customWidth="1"/>
    <col min="138" max="138" width="16" customWidth="1"/>
    <col min="139" max="139" width="6.125" customWidth="1"/>
    <col min="140" max="140" width="4.5" customWidth="1"/>
    <col min="141" max="141" width="6.125" customWidth="1"/>
    <col min="142" max="142" width="15.625" customWidth="1"/>
    <col min="143" max="143" width="6.125" customWidth="1"/>
    <col min="144" max="144" width="4.5" customWidth="1"/>
    <col min="145" max="145" width="6.125" customWidth="1"/>
    <col min="146" max="146" width="15.375" customWidth="1"/>
    <col min="147" max="147" width="6.125" customWidth="1"/>
    <col min="148" max="148" width="4.5" customWidth="1"/>
    <col min="149" max="149" width="6.125" customWidth="1"/>
    <col min="150" max="150" width="16" customWidth="1"/>
    <col min="151" max="151" width="6.125" customWidth="1"/>
    <col min="152" max="152" width="4.5" customWidth="1"/>
    <col min="153" max="153" width="6.125" customWidth="1"/>
    <col min="154" max="154" width="16.625" customWidth="1"/>
    <col min="155" max="155" width="6.125" customWidth="1"/>
    <col min="156" max="156" width="4.5" customWidth="1"/>
    <col min="157" max="157" width="6.125" customWidth="1"/>
    <col min="158" max="158" width="16.125" customWidth="1"/>
    <col min="159" max="159" width="6.125" customWidth="1"/>
    <col min="160" max="160" width="4.5" customWidth="1"/>
    <col min="161" max="161" width="6.125" customWidth="1"/>
    <col min="162" max="162" width="16.625" customWidth="1"/>
    <col min="163" max="163" width="6.125" customWidth="1"/>
    <col min="164" max="164" width="4.5" customWidth="1"/>
    <col min="165" max="165" width="6.125" customWidth="1"/>
    <col min="166" max="166" width="16.25" customWidth="1"/>
    <col min="167" max="167" width="6.125" customWidth="1"/>
    <col min="168" max="168" width="4.5" customWidth="1"/>
    <col min="169" max="169" width="6.125" customWidth="1"/>
    <col min="170" max="170" width="16.125" customWidth="1"/>
    <col min="171" max="171" width="6.125" customWidth="1"/>
    <col min="172" max="172" width="4.5" customWidth="1"/>
    <col min="173" max="173" width="6.125" customWidth="1"/>
    <col min="174" max="174" width="15.625" customWidth="1"/>
    <col min="175" max="175" width="6.125" customWidth="1"/>
    <col min="176" max="176" width="4.5" customWidth="1"/>
    <col min="177" max="177" width="6.125" customWidth="1"/>
    <col min="178" max="178" width="15.375" customWidth="1"/>
    <col min="179" max="179" width="6.125" customWidth="1"/>
    <col min="180" max="180" width="4.5" customWidth="1"/>
    <col min="181" max="181" width="6.125" customWidth="1"/>
    <col min="182" max="182" width="16" customWidth="1"/>
    <col min="183" max="183" width="6.125" customWidth="1"/>
    <col min="184" max="184" width="4.5" customWidth="1"/>
    <col min="185" max="185" width="6.125" customWidth="1"/>
    <col min="186" max="186" width="16.625" customWidth="1"/>
    <col min="187" max="187" width="6.125" customWidth="1"/>
    <col min="188" max="188" width="4.5" customWidth="1"/>
    <col min="189" max="189" width="6.125" customWidth="1"/>
    <col min="190" max="190" width="16.125" customWidth="1"/>
    <col min="191" max="191" width="6.125" customWidth="1"/>
    <col min="192" max="192" width="4.5" customWidth="1"/>
    <col min="193" max="193" width="6.125" customWidth="1"/>
    <col min="194" max="194" width="16.625" customWidth="1"/>
    <col min="195" max="195" width="6.125" customWidth="1"/>
    <col min="196" max="196" width="4.5" customWidth="1"/>
    <col min="197" max="197" width="6.125" customWidth="1"/>
    <col min="198" max="198" width="16.25" customWidth="1"/>
    <col min="199" max="199" width="6.125" customWidth="1"/>
    <col min="200" max="200" width="4.5" customWidth="1"/>
    <col min="201" max="201" width="6.125" customWidth="1"/>
    <col min="202" max="202" width="16.125" customWidth="1"/>
    <col min="203" max="203" width="6.125" customWidth="1"/>
    <col min="204" max="204" width="4.5" customWidth="1"/>
    <col min="205" max="205" width="6.125" customWidth="1"/>
    <col min="206" max="206" width="15" customWidth="1"/>
    <col min="207" max="207" width="6.125" customWidth="1"/>
    <col min="208" max="208" width="4.5" customWidth="1"/>
    <col min="209" max="209" width="6.125" customWidth="1"/>
    <col min="210" max="210" width="14.125" customWidth="1"/>
    <col min="211" max="211" width="6.125" customWidth="1"/>
    <col min="212" max="212" width="4.5" customWidth="1"/>
    <col min="213" max="213" width="6.125" customWidth="1"/>
    <col min="214" max="214" width="15.375" customWidth="1"/>
    <col min="215" max="215" width="6.125" customWidth="1"/>
    <col min="216" max="216" width="4.5" customWidth="1"/>
    <col min="217" max="217" width="6.125" customWidth="1"/>
    <col min="218" max="218" width="16" customWidth="1"/>
    <col min="219" max="219" width="6.125" customWidth="1"/>
    <col min="220" max="220" width="4.5" customWidth="1"/>
    <col min="221" max="221" width="6.125" customWidth="1"/>
    <col min="222" max="222" width="15.625" customWidth="1"/>
    <col min="223" max="223" width="6.125" customWidth="1"/>
    <col min="224" max="224" width="4.5" customWidth="1"/>
    <col min="225" max="225" width="6.125" customWidth="1"/>
    <col min="226" max="226" width="16" customWidth="1"/>
    <col min="227" max="227" width="6.125" customWidth="1"/>
    <col min="228" max="228" width="4.5" customWidth="1"/>
    <col min="229" max="229" width="6.125" customWidth="1"/>
    <col min="230" max="230" width="15.75" customWidth="1"/>
    <col min="231" max="231" width="6.125" customWidth="1"/>
    <col min="232" max="232" width="4.5" customWidth="1"/>
    <col min="233" max="233" width="6.125" customWidth="1"/>
    <col min="234" max="234" width="15.625" customWidth="1"/>
    <col min="235" max="235" width="6.125" customWidth="1"/>
    <col min="236" max="236" width="4.5" customWidth="1"/>
    <col min="237" max="237" width="6.125" customWidth="1"/>
    <col min="238" max="238" width="15.375" customWidth="1"/>
    <col min="239" max="239" width="6.125" customWidth="1"/>
    <col min="240" max="240" width="4.5" customWidth="1"/>
    <col min="241" max="241" width="6.125" customWidth="1"/>
    <col min="242" max="242" width="15.125" customWidth="1"/>
    <col min="243" max="243" width="6.125" customWidth="1"/>
    <col min="244" max="244" width="4.5" customWidth="1"/>
    <col min="245" max="245" width="6.125" customWidth="1"/>
    <col min="246" max="246" width="15.875" customWidth="1"/>
    <col min="247" max="247" width="6.125" customWidth="1"/>
    <col min="248" max="248" width="4.5" customWidth="1"/>
    <col min="249" max="249" width="6.125" customWidth="1"/>
    <col min="250" max="250" width="16.5" customWidth="1"/>
    <col min="251" max="251" width="6.125" customWidth="1"/>
    <col min="252" max="252" width="4.5" customWidth="1"/>
    <col min="253" max="253" width="6.125" customWidth="1"/>
    <col min="254" max="254" width="16" customWidth="1"/>
    <col min="255" max="255" width="6.125" customWidth="1"/>
    <col min="256" max="256" width="4.5" customWidth="1"/>
    <col min="257" max="257" width="6.125" customWidth="1"/>
    <col min="258" max="258" width="16.5" customWidth="1"/>
    <col min="259" max="259" width="6.125" customWidth="1"/>
    <col min="260" max="260" width="4.5" customWidth="1"/>
    <col min="261" max="261" width="6.125" customWidth="1"/>
    <col min="262" max="262" width="16.125" customWidth="1"/>
    <col min="263" max="263" width="6.125" customWidth="1"/>
    <col min="264" max="264" width="4.5" customWidth="1"/>
    <col min="265" max="265" width="6.125" customWidth="1"/>
    <col min="266" max="266" width="16" customWidth="1"/>
    <col min="267" max="267" width="6.125" customWidth="1"/>
    <col min="268" max="268" width="4.5" customWidth="1"/>
    <col min="269" max="269" width="6.125" customWidth="1"/>
    <col min="270" max="270" width="11.25" customWidth="1"/>
    <col min="271" max="271" width="6.125" customWidth="1"/>
    <col min="272" max="272" width="4.5" customWidth="1"/>
    <col min="273" max="273" width="6.125" customWidth="1"/>
    <col min="274" max="274" width="16" customWidth="1"/>
    <col min="275" max="275" width="6.125" customWidth="1"/>
    <col min="276" max="276" width="4.5" customWidth="1"/>
    <col min="277" max="277" width="6.125" customWidth="1"/>
    <col min="278" max="278" width="16.75" customWidth="1"/>
    <col min="279" max="279" width="6.125" customWidth="1"/>
    <col min="280" max="280" width="4.5" customWidth="1"/>
    <col min="281" max="281" width="6.125" customWidth="1"/>
    <col min="282" max="282" width="16.5" customWidth="1"/>
    <col min="283" max="283" width="6.125" customWidth="1"/>
    <col min="284" max="284" width="4.5" customWidth="1"/>
    <col min="285" max="285" width="6.125" customWidth="1"/>
    <col min="286" max="286" width="16.75" customWidth="1"/>
    <col min="287" max="287" width="6.125" customWidth="1"/>
    <col min="288" max="288" width="4.5" customWidth="1"/>
    <col min="289" max="289" width="6.125" customWidth="1"/>
    <col min="290" max="290" width="15.875" customWidth="1"/>
    <col min="291" max="291" width="6.125" customWidth="1"/>
    <col min="292" max="292" width="4.5" customWidth="1"/>
    <col min="293" max="293" width="6.125" customWidth="1"/>
    <col min="294" max="294" width="16.625" customWidth="1"/>
    <col min="295" max="295" width="6.125" customWidth="1"/>
    <col min="296" max="296" width="4.5" customWidth="1"/>
    <col min="297" max="297" width="6.125" customWidth="1"/>
    <col min="298" max="298" width="17" customWidth="1"/>
    <col min="299" max="299" width="6.125" customWidth="1"/>
    <col min="300" max="300" width="4.5" customWidth="1"/>
    <col min="301" max="301" width="6.125" customWidth="1"/>
    <col min="302" max="302" width="16.75" customWidth="1"/>
    <col min="303" max="303" width="6.125" customWidth="1"/>
    <col min="304" max="304" width="4.5" customWidth="1"/>
    <col min="305" max="305" width="6.125" customWidth="1"/>
    <col min="306" max="306" width="16.625" customWidth="1"/>
    <col min="307" max="307" width="6.125" bestFit="1" customWidth="1"/>
    <col min="308" max="308" width="4.5" bestFit="1" customWidth="1"/>
    <col min="309" max="309" width="6.125" bestFit="1" customWidth="1"/>
    <col min="310" max="310" width="16" bestFit="1" customWidth="1"/>
    <col min="311" max="311" width="6.125" bestFit="1" customWidth="1"/>
    <col min="312" max="312" width="4.5" bestFit="1" customWidth="1"/>
    <col min="313" max="313" width="6.125" bestFit="1" customWidth="1"/>
    <col min="314" max="314" width="15.875" bestFit="1" customWidth="1"/>
    <col min="315" max="315" width="6.125" bestFit="1" customWidth="1"/>
    <col min="316" max="316" width="4.5" bestFit="1" customWidth="1"/>
    <col min="317" max="317" width="6.125" bestFit="1" customWidth="1"/>
    <col min="318" max="318" width="14.5" bestFit="1" customWidth="1"/>
    <col min="319" max="319" width="6.125" bestFit="1" customWidth="1"/>
    <col min="320" max="320" width="4.5" bestFit="1" customWidth="1"/>
    <col min="321" max="321" width="6.125" bestFit="1" customWidth="1"/>
    <col min="322" max="322" width="15.375" bestFit="1" customWidth="1"/>
    <col min="323" max="323" width="6.125" bestFit="1" customWidth="1"/>
    <col min="324" max="324" width="4.5" bestFit="1" customWidth="1"/>
    <col min="325" max="325" width="6.125" bestFit="1" customWidth="1"/>
    <col min="326" max="326" width="15.75" bestFit="1" customWidth="1"/>
    <col min="327" max="327" width="6.125" bestFit="1" customWidth="1"/>
    <col min="328" max="328" width="4.5" bestFit="1" customWidth="1"/>
    <col min="329" max="329" width="6.125" bestFit="1" customWidth="1"/>
    <col min="330" max="330" width="14.875" bestFit="1" customWidth="1"/>
    <col min="331" max="331" width="6.125" bestFit="1" customWidth="1"/>
    <col min="332" max="332" width="4.5" bestFit="1" customWidth="1"/>
    <col min="333" max="333" width="6.125" bestFit="1" customWidth="1"/>
    <col min="334" max="334" width="16" bestFit="1" customWidth="1"/>
    <col min="335" max="335" width="6.125" bestFit="1" customWidth="1"/>
    <col min="336" max="336" width="4.5" bestFit="1" customWidth="1"/>
    <col min="337" max="337" width="6.125" bestFit="1" customWidth="1"/>
    <col min="338" max="338" width="16" bestFit="1" customWidth="1"/>
    <col min="339" max="339" width="6.125" bestFit="1" customWidth="1"/>
    <col min="340" max="340" width="4.5" bestFit="1" customWidth="1"/>
    <col min="341" max="341" width="6.125" bestFit="1" customWidth="1"/>
    <col min="342" max="342" width="15.75" bestFit="1" customWidth="1"/>
    <col min="343" max="343" width="6.125" bestFit="1" customWidth="1"/>
    <col min="344" max="344" width="4.5" bestFit="1" customWidth="1"/>
    <col min="345" max="345" width="6.125" bestFit="1" customWidth="1"/>
    <col min="346" max="346" width="15.625" bestFit="1" customWidth="1"/>
    <col min="347" max="347" width="6.125" bestFit="1" customWidth="1"/>
    <col min="348" max="348" width="4.5" bestFit="1" customWidth="1"/>
    <col min="349" max="349" width="6.125" bestFit="1" customWidth="1"/>
    <col min="350" max="350" width="16.5" bestFit="1" customWidth="1"/>
    <col min="351" max="351" width="6.125" bestFit="1" customWidth="1"/>
    <col min="352" max="352" width="4.5" bestFit="1" customWidth="1"/>
    <col min="353" max="353" width="6.125" bestFit="1" customWidth="1"/>
    <col min="354" max="354" width="16.125" bestFit="1" customWidth="1"/>
    <col min="355" max="355" width="6.125" bestFit="1" customWidth="1"/>
    <col min="356" max="356" width="4.5" bestFit="1" customWidth="1"/>
    <col min="357" max="357" width="6.125" bestFit="1" customWidth="1"/>
    <col min="358" max="358" width="16.5" bestFit="1" customWidth="1"/>
    <col min="359" max="359" width="6.125" bestFit="1" customWidth="1"/>
    <col min="360" max="360" width="4.5" bestFit="1" customWidth="1"/>
    <col min="361" max="361" width="6.125" bestFit="1" customWidth="1"/>
    <col min="362" max="362" width="15.625" bestFit="1" customWidth="1"/>
    <col min="363" max="363" width="6.125" bestFit="1" customWidth="1"/>
    <col min="364" max="364" width="4.5" bestFit="1" customWidth="1"/>
    <col min="365" max="365" width="6.125" bestFit="1" customWidth="1"/>
    <col min="366" max="366" width="16.75" bestFit="1" customWidth="1"/>
    <col min="367" max="367" width="6.125" bestFit="1" customWidth="1"/>
    <col min="368" max="368" width="4.5" bestFit="1" customWidth="1"/>
    <col min="369" max="369" width="6.125" bestFit="1" customWidth="1"/>
    <col min="370" max="370" width="16.75" bestFit="1" customWidth="1"/>
    <col min="371" max="371" width="6.125" bestFit="1" customWidth="1"/>
    <col min="372" max="372" width="4.5" bestFit="1" customWidth="1"/>
    <col min="373" max="373" width="6.125" bestFit="1" customWidth="1"/>
    <col min="374" max="374" width="16.5" bestFit="1" customWidth="1"/>
    <col min="375" max="375" width="6.125" bestFit="1" customWidth="1"/>
    <col min="376" max="376" width="4.5" bestFit="1" customWidth="1"/>
    <col min="377" max="377" width="6.125" bestFit="1" customWidth="1"/>
    <col min="378" max="378" width="16.25" bestFit="1" customWidth="1"/>
    <col min="379" max="379" width="6.125" bestFit="1" customWidth="1"/>
    <col min="380" max="380" width="4.5" bestFit="1" customWidth="1"/>
    <col min="381" max="381" width="6.125" bestFit="1" customWidth="1"/>
    <col min="382" max="382" width="16.5" bestFit="1" customWidth="1"/>
    <col min="383" max="383" width="6.125" bestFit="1" customWidth="1"/>
    <col min="384" max="384" width="4.5" bestFit="1" customWidth="1"/>
    <col min="385" max="385" width="6.125" bestFit="1" customWidth="1"/>
    <col min="386" max="386" width="16.125" bestFit="1" customWidth="1"/>
    <col min="387" max="387" width="6.125" bestFit="1" customWidth="1"/>
    <col min="388" max="388" width="4.5" bestFit="1" customWidth="1"/>
    <col min="389" max="389" width="6.125" bestFit="1" customWidth="1"/>
    <col min="390" max="390" width="16.5" bestFit="1" customWidth="1"/>
    <col min="391" max="391" width="6.125" bestFit="1" customWidth="1"/>
    <col min="392" max="392" width="4.5" bestFit="1" customWidth="1"/>
    <col min="393" max="393" width="6.125" bestFit="1" customWidth="1"/>
    <col min="394" max="394" width="15.625" bestFit="1" customWidth="1"/>
    <col min="395" max="395" width="6.125" bestFit="1" customWidth="1"/>
    <col min="396" max="396" width="4.5" bestFit="1" customWidth="1"/>
    <col min="397" max="397" width="6.125" bestFit="1" customWidth="1"/>
    <col min="398" max="398" width="16.75" bestFit="1" customWidth="1"/>
    <col min="399" max="399" width="6.125" bestFit="1" customWidth="1"/>
    <col min="400" max="400" width="4.5" bestFit="1" customWidth="1"/>
    <col min="401" max="401" width="6.125" bestFit="1" customWidth="1"/>
    <col min="402" max="402" width="16.75" bestFit="1" customWidth="1"/>
    <col min="403" max="403" width="6.125" bestFit="1" customWidth="1"/>
    <col min="404" max="404" width="4.5" bestFit="1" customWidth="1"/>
    <col min="405" max="405" width="6.125" bestFit="1" customWidth="1"/>
    <col min="406" max="406" width="16.5" bestFit="1" customWidth="1"/>
    <col min="407" max="407" width="6.125" bestFit="1" customWidth="1"/>
    <col min="408" max="408" width="4.5" bestFit="1" customWidth="1"/>
    <col min="409" max="409" width="6.125" bestFit="1" customWidth="1"/>
    <col min="410" max="410" width="16.25" bestFit="1" customWidth="1"/>
    <col min="413" max="413" width="6.125" bestFit="1" customWidth="1"/>
    <col min="414" max="414" width="11.5" bestFit="1" customWidth="1"/>
    <col min="415" max="415" width="6.125" bestFit="1" customWidth="1"/>
    <col min="416" max="416" width="4.5" bestFit="1" customWidth="1"/>
    <col min="417" max="417" width="11.125" bestFit="1" customWidth="1"/>
    <col min="418" max="418" width="12.375" bestFit="1" customWidth="1"/>
    <col min="419" max="419" width="12.75" bestFit="1" customWidth="1"/>
    <col min="420" max="420" width="11.625" bestFit="1" customWidth="1"/>
    <col min="421" max="421" width="13.125" bestFit="1" customWidth="1"/>
    <col min="422" max="422" width="12.875" bestFit="1" customWidth="1"/>
    <col min="423" max="423" width="12.125" bestFit="1" customWidth="1"/>
    <col min="424" max="424" width="12.375" bestFit="1" customWidth="1"/>
  </cols>
  <sheetData>
    <row r="2" spans="1:481" x14ac:dyDescent="0.25">
      <c r="A2" s="123" t="s">
        <v>218</v>
      </c>
      <c r="B2" s="6"/>
      <c r="C2" s="6"/>
      <c r="D2" s="6"/>
      <c r="E2" s="6"/>
      <c r="F2" s="6"/>
      <c r="G2" s="6"/>
      <c r="J2" s="123" t="s">
        <v>219</v>
      </c>
    </row>
    <row r="3" spans="1:481" x14ac:dyDescent="0.25">
      <c r="A3" s="6" t="s">
        <v>64</v>
      </c>
      <c r="B3" s="14" t="s">
        <v>0</v>
      </c>
      <c r="C3" s="6" t="s">
        <v>65</v>
      </c>
      <c r="D3" s="6" t="s">
        <v>66</v>
      </c>
      <c r="E3" s="6" t="s">
        <v>67</v>
      </c>
      <c r="F3" s="6" t="s">
        <v>68</v>
      </c>
      <c r="G3" s="6" t="s">
        <v>69</v>
      </c>
      <c r="H3" s="6" t="s">
        <v>70</v>
      </c>
      <c r="J3" s="143" t="s">
        <v>220</v>
      </c>
      <c r="K3" s="144" t="s">
        <v>221</v>
      </c>
      <c r="L3" s="143"/>
      <c r="N3" s="87" t="s">
        <v>222</v>
      </c>
      <c r="O3" s="19"/>
      <c r="P3" s="3">
        <v>1</v>
      </c>
      <c r="Q3" s="1"/>
      <c r="R3" s="11" t="s">
        <v>223</v>
      </c>
      <c r="S3" s="20"/>
      <c r="T3" s="333" t="s">
        <v>224</v>
      </c>
      <c r="U3" s="131"/>
      <c r="V3" s="133" t="s">
        <v>225</v>
      </c>
      <c r="W3" s="355"/>
      <c r="X3" s="356" t="s">
        <v>1361</v>
      </c>
      <c r="Y3" s="131"/>
      <c r="Z3" s="133" t="s">
        <v>227</v>
      </c>
      <c r="AA3" s="355"/>
      <c r="AB3" s="356" t="s">
        <v>228</v>
      </c>
      <c r="AC3" s="131"/>
      <c r="AD3" s="133" t="s">
        <v>229</v>
      </c>
      <c r="AE3" s="355"/>
      <c r="AF3" s="356" t="s">
        <v>230</v>
      </c>
      <c r="AG3" s="131"/>
      <c r="AH3" s="133" t="s">
        <v>231</v>
      </c>
      <c r="AI3" s="355"/>
      <c r="AJ3" s="356" t="s">
        <v>232</v>
      </c>
      <c r="AK3" s="131"/>
      <c r="AL3" s="133" t="s">
        <v>233</v>
      </c>
      <c r="AM3" s="355"/>
      <c r="AN3" s="356" t="s">
        <v>1362</v>
      </c>
      <c r="AO3" s="131"/>
      <c r="AP3" s="133" t="s">
        <v>234</v>
      </c>
      <c r="AQ3" s="355"/>
      <c r="AR3" s="356" t="s">
        <v>1363</v>
      </c>
      <c r="AS3" s="131"/>
      <c r="AT3" s="133" t="s">
        <v>235</v>
      </c>
      <c r="AU3" s="355"/>
      <c r="AV3" s="356" t="s">
        <v>1364</v>
      </c>
      <c r="AW3" s="131"/>
      <c r="AX3" s="133" t="s">
        <v>236</v>
      </c>
      <c r="AY3" s="355"/>
      <c r="AZ3" s="356" t="s">
        <v>1365</v>
      </c>
      <c r="BA3" s="131"/>
      <c r="BB3" s="133" t="s">
        <v>237</v>
      </c>
      <c r="BC3" s="355"/>
      <c r="BD3" s="356" t="s">
        <v>1366</v>
      </c>
      <c r="BE3" s="131"/>
      <c r="BF3" s="133" t="s">
        <v>238</v>
      </c>
      <c r="BG3" s="355"/>
      <c r="BH3" s="356" t="s">
        <v>1367</v>
      </c>
      <c r="BI3" s="131"/>
      <c r="BJ3" s="133" t="s">
        <v>239</v>
      </c>
      <c r="BK3" s="355"/>
      <c r="BL3" s="356" t="s">
        <v>1368</v>
      </c>
      <c r="BM3" s="131"/>
      <c r="BN3" s="133" t="s">
        <v>240</v>
      </c>
      <c r="BO3" s="355"/>
      <c r="BP3" s="356" t="s">
        <v>1369</v>
      </c>
      <c r="BQ3" s="131"/>
      <c r="BR3" s="133" t="s">
        <v>241</v>
      </c>
      <c r="BS3" s="355"/>
      <c r="BT3" s="356" t="s">
        <v>1370</v>
      </c>
      <c r="BU3" s="131"/>
      <c r="BV3" s="133" t="s">
        <v>242</v>
      </c>
      <c r="BW3" s="355"/>
      <c r="BX3" s="356" t="s">
        <v>1371</v>
      </c>
      <c r="BY3" s="131"/>
      <c r="BZ3" s="133" t="s">
        <v>243</v>
      </c>
      <c r="CA3" s="355"/>
      <c r="CB3" s="356" t="s">
        <v>1372</v>
      </c>
      <c r="CC3" s="131"/>
      <c r="CD3" s="133" t="s">
        <v>244</v>
      </c>
      <c r="CE3" s="355"/>
      <c r="CF3" s="356" t="s">
        <v>1373</v>
      </c>
      <c r="CG3" s="131"/>
      <c r="CH3" s="133" t="s">
        <v>245</v>
      </c>
      <c r="CI3" s="355"/>
      <c r="CJ3" s="356" t="s">
        <v>1374</v>
      </c>
      <c r="CK3" s="131"/>
      <c r="CL3" s="133" t="s">
        <v>246</v>
      </c>
      <c r="CM3" s="355"/>
      <c r="CN3" s="356" t="s">
        <v>1375</v>
      </c>
      <c r="CO3" s="131"/>
      <c r="CP3" s="133" t="s">
        <v>247</v>
      </c>
      <c r="CQ3" s="355"/>
      <c r="CR3" s="356" t="s">
        <v>1376</v>
      </c>
      <c r="CS3" s="131"/>
      <c r="CT3" s="133" t="s">
        <v>248</v>
      </c>
      <c r="CU3" s="355"/>
      <c r="CV3" s="356" t="s">
        <v>1377</v>
      </c>
      <c r="CW3" s="131"/>
      <c r="CX3" s="133" t="s">
        <v>249</v>
      </c>
      <c r="CY3" s="355"/>
      <c r="CZ3" s="356" t="s">
        <v>1378</v>
      </c>
      <c r="DA3" s="131"/>
      <c r="DB3" s="133" t="s">
        <v>250</v>
      </c>
      <c r="DC3" s="355"/>
      <c r="DD3" s="356" t="s">
        <v>1379</v>
      </c>
      <c r="DE3" s="131"/>
      <c r="DF3" s="133" t="s">
        <v>251</v>
      </c>
      <c r="DG3" s="355"/>
      <c r="DH3" s="356" t="s">
        <v>1380</v>
      </c>
      <c r="DI3" s="131"/>
      <c r="DJ3" s="133" t="s">
        <v>252</v>
      </c>
      <c r="DK3" s="355"/>
      <c r="DL3" s="356" t="s">
        <v>1381</v>
      </c>
      <c r="DM3" s="131"/>
      <c r="DN3" s="133" t="s">
        <v>253</v>
      </c>
      <c r="DO3" s="355"/>
      <c r="DP3" s="356" t="s">
        <v>1382</v>
      </c>
      <c r="DQ3" s="131"/>
      <c r="DR3" s="133" t="s">
        <v>254</v>
      </c>
      <c r="DS3" s="355"/>
      <c r="DT3" s="356" t="s">
        <v>1383</v>
      </c>
      <c r="DU3" s="131"/>
      <c r="DV3" s="133" t="s">
        <v>255</v>
      </c>
      <c r="DW3" s="355"/>
      <c r="DX3" s="356" t="s">
        <v>1384</v>
      </c>
      <c r="DY3" s="131"/>
      <c r="DZ3" s="133" t="s">
        <v>256</v>
      </c>
      <c r="EA3" s="355"/>
      <c r="EB3" s="356" t="s">
        <v>1385</v>
      </c>
      <c r="EC3" s="131"/>
      <c r="ED3" s="133" t="s">
        <v>257</v>
      </c>
      <c r="EE3" s="355"/>
      <c r="EF3" s="356" t="s">
        <v>1386</v>
      </c>
      <c r="EG3" s="131"/>
      <c r="EH3" s="133" t="s">
        <v>258</v>
      </c>
      <c r="EI3" s="355"/>
      <c r="EJ3" s="356" t="s">
        <v>1387</v>
      </c>
      <c r="EK3" s="131"/>
      <c r="EL3" s="133" t="s">
        <v>259</v>
      </c>
      <c r="EM3" s="355"/>
      <c r="EN3" s="356" t="s">
        <v>1388</v>
      </c>
      <c r="EO3" s="131"/>
      <c r="EP3" s="133" t="s">
        <v>260</v>
      </c>
      <c r="EQ3" s="355"/>
      <c r="ER3" s="356" t="s">
        <v>1389</v>
      </c>
      <c r="ES3" s="131"/>
      <c r="ET3" s="133" t="s">
        <v>261</v>
      </c>
      <c r="EU3" s="355"/>
      <c r="EV3" s="356" t="s">
        <v>1390</v>
      </c>
      <c r="EW3" s="131"/>
      <c r="EX3" s="133" t="s">
        <v>262</v>
      </c>
      <c r="EY3" s="355"/>
      <c r="EZ3" s="356" t="s">
        <v>1391</v>
      </c>
      <c r="FA3" s="131"/>
      <c r="FB3" s="133" t="s">
        <v>263</v>
      </c>
      <c r="FC3" s="355"/>
      <c r="FD3" s="356" t="s">
        <v>1392</v>
      </c>
      <c r="FE3" s="131"/>
      <c r="FF3" s="133" t="s">
        <v>264</v>
      </c>
      <c r="FG3" s="355"/>
      <c r="FH3" s="356" t="s">
        <v>1393</v>
      </c>
      <c r="FI3" s="131"/>
      <c r="FJ3" s="133" t="s">
        <v>265</v>
      </c>
      <c r="FK3" s="355"/>
      <c r="FL3" s="356" t="s">
        <v>1394</v>
      </c>
      <c r="FM3" s="131"/>
      <c r="FN3" s="133" t="s">
        <v>266</v>
      </c>
      <c r="FO3" s="355"/>
      <c r="FP3" s="356" t="s">
        <v>1395</v>
      </c>
      <c r="FQ3" s="131"/>
      <c r="FR3" s="133" t="s">
        <v>267</v>
      </c>
      <c r="FS3" s="355"/>
      <c r="FT3" s="356" t="s">
        <v>1396</v>
      </c>
      <c r="FU3" s="131"/>
      <c r="FV3" s="133" t="s">
        <v>268</v>
      </c>
      <c r="FW3" s="355"/>
      <c r="FX3" s="356" t="s">
        <v>1397</v>
      </c>
      <c r="FY3" s="131"/>
      <c r="FZ3" s="133" t="s">
        <v>269</v>
      </c>
      <c r="GA3" s="355"/>
      <c r="GB3" s="356" t="s">
        <v>1398</v>
      </c>
      <c r="GC3" s="131"/>
      <c r="GD3" s="133" t="s">
        <v>270</v>
      </c>
      <c r="GE3" s="355"/>
      <c r="GF3" s="356" t="s">
        <v>1399</v>
      </c>
      <c r="GG3" s="131"/>
      <c r="GH3" s="133" t="s">
        <v>271</v>
      </c>
      <c r="GI3" s="355"/>
      <c r="GJ3" s="356" t="s">
        <v>1400</v>
      </c>
      <c r="GK3" s="131"/>
      <c r="GL3" s="133" t="s">
        <v>272</v>
      </c>
      <c r="GM3" s="355"/>
      <c r="GN3" s="356" t="s">
        <v>1401</v>
      </c>
      <c r="GO3" s="131"/>
      <c r="GP3" s="133" t="s">
        <v>273</v>
      </c>
      <c r="GQ3" s="355"/>
      <c r="GR3" s="356" t="s">
        <v>1402</v>
      </c>
      <c r="GS3" s="131"/>
      <c r="GT3" s="133" t="s">
        <v>274</v>
      </c>
      <c r="GU3" s="355"/>
      <c r="GV3" s="356" t="s">
        <v>1403</v>
      </c>
      <c r="GW3" s="131"/>
      <c r="GX3" s="133" t="s">
        <v>275</v>
      </c>
      <c r="GY3" s="355"/>
      <c r="GZ3" s="356" t="s">
        <v>1404</v>
      </c>
      <c r="HA3" s="131"/>
      <c r="HB3" s="133" t="s">
        <v>276</v>
      </c>
      <c r="HC3" s="355"/>
      <c r="HD3" s="356" t="s">
        <v>1405</v>
      </c>
      <c r="HE3" s="131"/>
      <c r="HF3" s="133" t="s">
        <v>277</v>
      </c>
      <c r="HG3" s="355"/>
      <c r="HH3" s="356" t="s">
        <v>1406</v>
      </c>
      <c r="HI3" s="131"/>
      <c r="HJ3" s="133" t="s">
        <v>278</v>
      </c>
      <c r="HK3" s="355"/>
      <c r="HL3" s="356" t="s">
        <v>1407</v>
      </c>
      <c r="HM3" s="131"/>
      <c r="HN3" s="133" t="s">
        <v>279</v>
      </c>
      <c r="HO3" s="355"/>
      <c r="HP3" s="356" t="s">
        <v>1408</v>
      </c>
      <c r="HQ3" s="131"/>
      <c r="HR3" s="133" t="s">
        <v>280</v>
      </c>
      <c r="HS3" s="355"/>
      <c r="HT3" s="356" t="s">
        <v>1409</v>
      </c>
      <c r="HU3" s="131"/>
      <c r="HV3" s="133" t="s">
        <v>281</v>
      </c>
      <c r="HW3" s="355"/>
      <c r="HX3" s="356" t="s">
        <v>1410</v>
      </c>
      <c r="HY3" s="131"/>
      <c r="HZ3" s="133" t="s">
        <v>282</v>
      </c>
      <c r="IA3" s="355"/>
      <c r="IB3" s="356" t="s">
        <v>1411</v>
      </c>
      <c r="IC3" s="131"/>
      <c r="ID3" s="133" t="s">
        <v>283</v>
      </c>
      <c r="IE3" s="355"/>
      <c r="IF3" s="356" t="s">
        <v>1412</v>
      </c>
      <c r="IG3" s="131"/>
      <c r="IH3" s="133" t="s">
        <v>284</v>
      </c>
      <c r="II3" s="355"/>
      <c r="IJ3" s="356" t="s">
        <v>1413</v>
      </c>
      <c r="IK3" s="131"/>
      <c r="IL3" s="133" t="s">
        <v>285</v>
      </c>
      <c r="IM3" s="355"/>
      <c r="IN3" s="356" t="s">
        <v>1414</v>
      </c>
      <c r="IO3" s="131"/>
      <c r="IP3" s="133" t="s">
        <v>286</v>
      </c>
      <c r="IQ3" s="355"/>
      <c r="IR3" s="356" t="s">
        <v>1415</v>
      </c>
      <c r="IS3" s="131"/>
      <c r="IT3" s="133" t="s">
        <v>287</v>
      </c>
      <c r="IU3" s="355"/>
      <c r="IV3" s="356" t="s">
        <v>1416</v>
      </c>
      <c r="IW3" s="131"/>
      <c r="IX3" s="133" t="s">
        <v>288</v>
      </c>
      <c r="IY3" s="355"/>
      <c r="IZ3" s="356" t="s">
        <v>1417</v>
      </c>
      <c r="JA3" s="131"/>
      <c r="JB3" s="133" t="s">
        <v>289</v>
      </c>
      <c r="JC3" s="355"/>
      <c r="JD3" s="356" t="s">
        <v>1418</v>
      </c>
      <c r="JE3" s="131"/>
      <c r="JF3" s="133" t="s">
        <v>290</v>
      </c>
      <c r="JG3" s="355"/>
      <c r="JH3" s="356" t="s">
        <v>1419</v>
      </c>
      <c r="JI3" s="131"/>
      <c r="JJ3" s="133" t="s">
        <v>291</v>
      </c>
      <c r="JK3" s="355"/>
      <c r="JL3" s="356" t="s">
        <v>1420</v>
      </c>
      <c r="JM3" s="131"/>
      <c r="JN3" s="133" t="s">
        <v>292</v>
      </c>
      <c r="JO3" s="355"/>
      <c r="JP3" s="356" t="s">
        <v>1421</v>
      </c>
      <c r="JQ3" s="131"/>
      <c r="JR3" s="133" t="s">
        <v>293</v>
      </c>
      <c r="JS3" s="355"/>
      <c r="JT3" s="356" t="s">
        <v>1422</v>
      </c>
      <c r="JU3" s="131"/>
      <c r="JV3" s="133" t="s">
        <v>294</v>
      </c>
      <c r="JW3" s="355"/>
      <c r="JX3" s="356" t="s">
        <v>1423</v>
      </c>
      <c r="JY3" s="131"/>
      <c r="JZ3" s="133" t="s">
        <v>295</v>
      </c>
      <c r="KA3" s="355"/>
      <c r="KB3" s="356" t="s">
        <v>1424</v>
      </c>
      <c r="KC3" s="131"/>
      <c r="KD3" s="133" t="s">
        <v>296</v>
      </c>
      <c r="KE3" s="355"/>
      <c r="KF3" s="356" t="s">
        <v>1425</v>
      </c>
      <c r="KG3" s="131"/>
      <c r="KH3" s="133" t="s">
        <v>297</v>
      </c>
      <c r="KI3" s="355"/>
      <c r="KJ3" s="356" t="s">
        <v>1426</v>
      </c>
      <c r="KK3" s="131"/>
      <c r="KL3" s="133" t="s">
        <v>298</v>
      </c>
      <c r="KM3" s="355"/>
      <c r="KN3" s="356" t="s">
        <v>1427</v>
      </c>
      <c r="KO3" s="131"/>
      <c r="KP3" s="133" t="s">
        <v>299</v>
      </c>
      <c r="KQ3" s="355"/>
      <c r="KR3" s="356" t="s">
        <v>1428</v>
      </c>
      <c r="KS3" s="131"/>
      <c r="KT3" s="133" t="s">
        <v>300</v>
      </c>
      <c r="KU3" s="355"/>
      <c r="KV3" s="356" t="s">
        <v>1429</v>
      </c>
      <c r="KW3" s="131"/>
      <c r="KX3" s="348" t="s">
        <v>301</v>
      </c>
      <c r="KY3" s="355"/>
      <c r="KZ3" s="356" t="s">
        <v>1430</v>
      </c>
      <c r="LA3" s="131"/>
      <c r="LB3" s="348" t="s">
        <v>302</v>
      </c>
      <c r="LC3" s="355"/>
      <c r="LD3" s="356" t="s">
        <v>1431</v>
      </c>
      <c r="LE3" s="131"/>
      <c r="LF3" s="133" t="s">
        <v>303</v>
      </c>
      <c r="LG3" s="355"/>
      <c r="LH3" s="356" t="s">
        <v>1432</v>
      </c>
      <c r="LI3" s="131"/>
      <c r="LJ3" s="133" t="s">
        <v>304</v>
      </c>
      <c r="LK3" s="355"/>
      <c r="LL3" s="356" t="s">
        <v>1433</v>
      </c>
      <c r="LM3" s="131"/>
      <c r="LN3" s="133" t="s">
        <v>305</v>
      </c>
      <c r="LO3" s="355"/>
      <c r="LP3" s="356" t="s">
        <v>1434</v>
      </c>
      <c r="LQ3" s="131"/>
      <c r="LR3" s="133" t="s">
        <v>306</v>
      </c>
      <c r="LS3" s="355"/>
      <c r="LT3" s="356" t="s">
        <v>1435</v>
      </c>
      <c r="LU3" s="131"/>
      <c r="LV3" s="133" t="s">
        <v>307</v>
      </c>
      <c r="LW3" s="355"/>
      <c r="LX3" s="356" t="s">
        <v>1436</v>
      </c>
      <c r="LY3" s="131"/>
      <c r="LZ3" s="133" t="s">
        <v>308</v>
      </c>
      <c r="MA3" s="355"/>
      <c r="MB3" s="356" t="s">
        <v>1437</v>
      </c>
      <c r="MC3" s="131"/>
      <c r="MD3" s="133" t="s">
        <v>309</v>
      </c>
      <c r="ME3" s="355"/>
      <c r="MF3" s="356" t="s">
        <v>1438</v>
      </c>
      <c r="MG3" s="131"/>
      <c r="MH3" s="133" t="s">
        <v>310</v>
      </c>
      <c r="MI3" s="355"/>
      <c r="MJ3" s="356" t="s">
        <v>1439</v>
      </c>
      <c r="MK3" s="131"/>
      <c r="ML3" s="133" t="s">
        <v>311</v>
      </c>
      <c r="MM3" s="355"/>
      <c r="MN3" s="356" t="s">
        <v>1440</v>
      </c>
      <c r="MO3" s="131"/>
      <c r="MP3" s="133" t="s">
        <v>312</v>
      </c>
      <c r="MQ3" s="355"/>
      <c r="MR3" s="356" t="s">
        <v>1441</v>
      </c>
      <c r="MS3" s="131"/>
      <c r="MT3" s="133" t="s">
        <v>313</v>
      </c>
      <c r="MU3" s="355"/>
      <c r="MV3" s="356" t="s">
        <v>1442</v>
      </c>
      <c r="MW3" s="131"/>
      <c r="MX3" s="133" t="s">
        <v>314</v>
      </c>
      <c r="MY3" s="355"/>
      <c r="MZ3" s="356" t="s">
        <v>1443</v>
      </c>
      <c r="NA3" s="131"/>
      <c r="NB3" s="133" t="s">
        <v>315</v>
      </c>
      <c r="NC3" s="355"/>
      <c r="ND3" s="356" t="s">
        <v>1444</v>
      </c>
      <c r="NE3" s="131"/>
      <c r="NF3" s="133" t="s">
        <v>316</v>
      </c>
      <c r="NG3" s="355"/>
      <c r="NH3" s="356" t="s">
        <v>1445</v>
      </c>
      <c r="NI3" s="131"/>
      <c r="NJ3" s="133" t="s">
        <v>317</v>
      </c>
      <c r="NK3" s="355"/>
      <c r="NL3" s="356" t="s">
        <v>1446</v>
      </c>
      <c r="NM3" s="131"/>
      <c r="NN3" s="133" t="s">
        <v>318</v>
      </c>
      <c r="NO3" s="355"/>
      <c r="NP3" s="356" t="s">
        <v>1447</v>
      </c>
      <c r="NQ3" s="131"/>
      <c r="NR3" s="133" t="s">
        <v>319</v>
      </c>
      <c r="NS3" s="355"/>
      <c r="NT3" s="356" t="s">
        <v>1448</v>
      </c>
      <c r="NU3" s="131"/>
      <c r="NV3" s="133" t="s">
        <v>320</v>
      </c>
      <c r="NW3" s="355"/>
      <c r="NX3" s="356" t="s">
        <v>1449</v>
      </c>
      <c r="NY3" s="131"/>
      <c r="NZ3" s="133" t="s">
        <v>321</v>
      </c>
      <c r="OA3" s="355"/>
      <c r="OB3" s="356" t="s">
        <v>1450</v>
      </c>
      <c r="OC3" s="131"/>
      <c r="OD3" s="133" t="s">
        <v>322</v>
      </c>
      <c r="OE3" s="355"/>
      <c r="OF3" s="356" t="s">
        <v>1451</v>
      </c>
      <c r="OG3" s="131"/>
      <c r="OH3" s="133" t="s">
        <v>323</v>
      </c>
      <c r="OI3" s="355"/>
      <c r="OJ3" s="356" t="s">
        <v>1452</v>
      </c>
      <c r="OK3" s="131"/>
      <c r="OL3" s="133" t="s">
        <v>324</v>
      </c>
      <c r="OM3" s="355"/>
      <c r="ON3" s="356" t="s">
        <v>1453</v>
      </c>
      <c r="OO3" s="131"/>
      <c r="OP3" s="133" t="s">
        <v>325</v>
      </c>
      <c r="OQ3" s="355"/>
      <c r="OR3" s="356" t="s">
        <v>1454</v>
      </c>
      <c r="OS3" s="131"/>
      <c r="OT3" s="133" t="s">
        <v>326</v>
      </c>
      <c r="OU3" s="355"/>
      <c r="OV3" s="356" t="s">
        <v>1455</v>
      </c>
      <c r="OW3" s="131"/>
      <c r="OX3" s="133" t="s">
        <v>327</v>
      </c>
      <c r="OY3" s="355"/>
      <c r="OZ3" s="356" t="s">
        <v>1456</v>
      </c>
      <c r="PA3" s="131"/>
      <c r="PB3" s="133" t="s">
        <v>328</v>
      </c>
      <c r="PC3" s="355"/>
      <c r="PD3" s="356" t="s">
        <v>1457</v>
      </c>
      <c r="PE3" s="131"/>
      <c r="PF3" s="133" t="s">
        <v>329</v>
      </c>
      <c r="PG3" s="355"/>
      <c r="PH3" s="356" t="s">
        <v>1458</v>
      </c>
      <c r="PI3" s="131"/>
      <c r="PJ3" s="133" t="s">
        <v>330</v>
      </c>
      <c r="PK3" s="355"/>
      <c r="PL3" s="356" t="s">
        <v>1459</v>
      </c>
      <c r="PM3" s="131"/>
      <c r="PN3" s="133" t="s">
        <v>331</v>
      </c>
      <c r="PO3" s="355"/>
      <c r="PP3" s="356" t="s">
        <v>1460</v>
      </c>
      <c r="PQ3" s="131"/>
      <c r="PR3" s="133" t="s">
        <v>332</v>
      </c>
      <c r="PS3" s="355"/>
      <c r="PT3" s="356" t="s">
        <v>1461</v>
      </c>
      <c r="PU3" s="131"/>
      <c r="PV3" s="133" t="s">
        <v>333</v>
      </c>
      <c r="PW3" s="355"/>
      <c r="PX3" s="356" t="s">
        <v>1462</v>
      </c>
      <c r="PY3" s="131"/>
      <c r="PZ3" s="133" t="s">
        <v>334</v>
      </c>
      <c r="QA3" s="355"/>
      <c r="QB3" s="356" t="s">
        <v>1463</v>
      </c>
      <c r="QC3" s="131"/>
      <c r="QD3" s="133" t="s">
        <v>141</v>
      </c>
      <c r="QE3" s="132"/>
      <c r="QF3" s="133"/>
      <c r="QG3" s="131"/>
      <c r="QH3" s="133" t="s">
        <v>141</v>
      </c>
      <c r="QI3" s="132"/>
      <c r="QJ3" s="133"/>
    </row>
    <row r="4" spans="1:481" x14ac:dyDescent="0.25">
      <c r="A4" s="6" t="s">
        <v>82</v>
      </c>
      <c r="B4" s="270" t="s">
        <v>83</v>
      </c>
      <c r="C4" s="268" t="s">
        <v>84</v>
      </c>
      <c r="D4" s="269">
        <v>45658</v>
      </c>
      <c r="E4" s="275">
        <v>11</v>
      </c>
      <c r="F4" s="269">
        <v>45658</v>
      </c>
      <c r="G4" s="214" t="s">
        <v>78</v>
      </c>
      <c r="H4" s="270" t="s">
        <v>85</v>
      </c>
      <c r="J4" s="140" t="s">
        <v>335</v>
      </c>
      <c r="K4" s="145" t="s">
        <v>221</v>
      </c>
      <c r="L4" s="140"/>
      <c r="O4" s="19"/>
      <c r="P4" s="19">
        <v>2</v>
      </c>
      <c r="Q4" s="59"/>
      <c r="R4" s="330"/>
      <c r="S4" s="331"/>
      <c r="T4" s="330"/>
      <c r="U4" s="334"/>
      <c r="V4" s="335" t="s">
        <v>336</v>
      </c>
      <c r="W4" s="357"/>
      <c r="X4" s="358" t="s">
        <v>336</v>
      </c>
      <c r="Y4" s="334"/>
      <c r="Z4" s="335" t="s">
        <v>335</v>
      </c>
      <c r="AA4" s="357"/>
      <c r="AB4" s="358" t="s">
        <v>335</v>
      </c>
      <c r="AC4" s="334"/>
      <c r="AD4" s="335" t="s">
        <v>335</v>
      </c>
      <c r="AE4" s="357"/>
      <c r="AF4" s="358" t="s">
        <v>335</v>
      </c>
      <c r="AG4" s="334"/>
      <c r="AH4" s="335" t="s">
        <v>335</v>
      </c>
      <c r="AI4" s="357"/>
      <c r="AJ4" s="358" t="s">
        <v>335</v>
      </c>
      <c r="AK4" s="334"/>
      <c r="AL4" s="335" t="s">
        <v>335</v>
      </c>
      <c r="AM4" s="357"/>
      <c r="AN4" s="358" t="s">
        <v>335</v>
      </c>
      <c r="AO4" s="334"/>
      <c r="AP4" s="335" t="s">
        <v>335</v>
      </c>
      <c r="AQ4" s="357"/>
      <c r="AR4" s="358" t="s">
        <v>335</v>
      </c>
      <c r="AS4" s="334"/>
      <c r="AT4" s="335" t="s">
        <v>335</v>
      </c>
      <c r="AU4" s="357"/>
      <c r="AV4" s="358" t="s">
        <v>335</v>
      </c>
      <c r="AW4" s="334"/>
      <c r="AX4" s="335" t="s">
        <v>335</v>
      </c>
      <c r="AY4" s="357"/>
      <c r="AZ4" s="358" t="s">
        <v>335</v>
      </c>
      <c r="BA4" s="334"/>
      <c r="BB4" s="335" t="s">
        <v>337</v>
      </c>
      <c r="BC4" s="357"/>
      <c r="BD4" s="358" t="s">
        <v>337</v>
      </c>
      <c r="BE4" s="334"/>
      <c r="BF4" s="335" t="s">
        <v>337</v>
      </c>
      <c r="BG4" s="357"/>
      <c r="BH4" s="358" t="s">
        <v>337</v>
      </c>
      <c r="BI4" s="334"/>
      <c r="BJ4" s="335" t="s">
        <v>337</v>
      </c>
      <c r="BK4" s="357"/>
      <c r="BL4" s="358" t="s">
        <v>337</v>
      </c>
      <c r="BM4" s="334"/>
      <c r="BN4" s="335" t="s">
        <v>337</v>
      </c>
      <c r="BO4" s="357"/>
      <c r="BP4" s="358" t="s">
        <v>337</v>
      </c>
      <c r="BQ4" s="334"/>
      <c r="BR4" s="335" t="s">
        <v>337</v>
      </c>
      <c r="BS4" s="357"/>
      <c r="BT4" s="358" t="s">
        <v>337</v>
      </c>
      <c r="BU4" s="334"/>
      <c r="BV4" s="335" t="s">
        <v>337</v>
      </c>
      <c r="BW4" s="357"/>
      <c r="BX4" s="358" t="s">
        <v>337</v>
      </c>
      <c r="BY4" s="334"/>
      <c r="BZ4" s="335" t="s">
        <v>338</v>
      </c>
      <c r="CA4" s="357"/>
      <c r="CB4" s="358" t="s">
        <v>338</v>
      </c>
      <c r="CC4" s="334"/>
      <c r="CD4" s="335" t="s">
        <v>338</v>
      </c>
      <c r="CE4" s="357"/>
      <c r="CF4" s="358" t="s">
        <v>338</v>
      </c>
      <c r="CG4" s="334"/>
      <c r="CH4" s="335" t="s">
        <v>338</v>
      </c>
      <c r="CI4" s="357"/>
      <c r="CJ4" s="358" t="s">
        <v>338</v>
      </c>
      <c r="CK4" s="334"/>
      <c r="CL4" s="335" t="s">
        <v>338</v>
      </c>
      <c r="CM4" s="357"/>
      <c r="CN4" s="358" t="s">
        <v>338</v>
      </c>
      <c r="CO4" s="334"/>
      <c r="CP4" s="335" t="s">
        <v>338</v>
      </c>
      <c r="CQ4" s="357"/>
      <c r="CR4" s="358" t="s">
        <v>338</v>
      </c>
      <c r="CS4" s="334"/>
      <c r="CT4" s="335" t="s">
        <v>338</v>
      </c>
      <c r="CU4" s="357"/>
      <c r="CV4" s="358" t="s">
        <v>338</v>
      </c>
      <c r="CW4" s="334"/>
      <c r="CX4" s="335" t="s">
        <v>338</v>
      </c>
      <c r="CY4" s="357"/>
      <c r="CZ4" s="358" t="s">
        <v>338</v>
      </c>
      <c r="DA4" s="334"/>
      <c r="DB4" s="335" t="s">
        <v>339</v>
      </c>
      <c r="DC4" s="357"/>
      <c r="DD4" s="358" t="s">
        <v>339</v>
      </c>
      <c r="DE4" s="334"/>
      <c r="DF4" s="335" t="s">
        <v>339</v>
      </c>
      <c r="DG4" s="357"/>
      <c r="DH4" s="358" t="s">
        <v>339</v>
      </c>
      <c r="DI4" s="334"/>
      <c r="DJ4" s="335" t="s">
        <v>339</v>
      </c>
      <c r="DK4" s="357"/>
      <c r="DL4" s="358" t="s">
        <v>339</v>
      </c>
      <c r="DM4" s="334"/>
      <c r="DN4" s="335" t="s">
        <v>339</v>
      </c>
      <c r="DO4" s="357"/>
      <c r="DP4" s="358" t="s">
        <v>339</v>
      </c>
      <c r="DQ4" s="334"/>
      <c r="DR4" s="335" t="s">
        <v>339</v>
      </c>
      <c r="DS4" s="357"/>
      <c r="DT4" s="358" t="s">
        <v>339</v>
      </c>
      <c r="DU4" s="334"/>
      <c r="DV4" s="335" t="s">
        <v>339</v>
      </c>
      <c r="DW4" s="357"/>
      <c r="DX4" s="358" t="s">
        <v>339</v>
      </c>
      <c r="DY4" s="334"/>
      <c r="DZ4" s="335" t="s">
        <v>339</v>
      </c>
      <c r="EA4" s="357"/>
      <c r="EB4" s="358" t="s">
        <v>339</v>
      </c>
      <c r="EC4" s="334"/>
      <c r="ED4" s="335" t="s">
        <v>339</v>
      </c>
      <c r="EE4" s="357"/>
      <c r="EF4" s="358" t="s">
        <v>339</v>
      </c>
      <c r="EG4" s="334"/>
      <c r="EH4" s="335" t="s">
        <v>339</v>
      </c>
      <c r="EI4" s="357"/>
      <c r="EJ4" s="358" t="s">
        <v>339</v>
      </c>
      <c r="EK4" s="334"/>
      <c r="EL4" s="335" t="s">
        <v>340</v>
      </c>
      <c r="EM4" s="357"/>
      <c r="EN4" s="358" t="s">
        <v>340</v>
      </c>
      <c r="EO4" s="334"/>
      <c r="EP4" s="335" t="s">
        <v>340</v>
      </c>
      <c r="EQ4" s="357"/>
      <c r="ER4" s="358" t="s">
        <v>340</v>
      </c>
      <c r="ES4" s="334"/>
      <c r="ET4" s="335" t="s">
        <v>340</v>
      </c>
      <c r="EU4" s="357"/>
      <c r="EV4" s="358" t="s">
        <v>340</v>
      </c>
      <c r="EW4" s="334"/>
      <c r="EX4" s="335" t="s">
        <v>340</v>
      </c>
      <c r="EY4" s="357"/>
      <c r="EZ4" s="358" t="s">
        <v>340</v>
      </c>
      <c r="FA4" s="334"/>
      <c r="FB4" s="335" t="s">
        <v>340</v>
      </c>
      <c r="FC4" s="357"/>
      <c r="FD4" s="358" t="s">
        <v>340</v>
      </c>
      <c r="FE4" s="334"/>
      <c r="FF4" s="335" t="s">
        <v>340</v>
      </c>
      <c r="FG4" s="357"/>
      <c r="FH4" s="358" t="s">
        <v>340</v>
      </c>
      <c r="FI4" s="334"/>
      <c r="FJ4" s="335" t="s">
        <v>340</v>
      </c>
      <c r="FK4" s="357"/>
      <c r="FL4" s="358" t="s">
        <v>340</v>
      </c>
      <c r="FM4" s="334"/>
      <c r="FN4" s="335" t="s">
        <v>340</v>
      </c>
      <c r="FO4" s="357"/>
      <c r="FP4" s="358" t="s">
        <v>340</v>
      </c>
      <c r="FQ4" s="334"/>
      <c r="FR4" s="335" t="s">
        <v>341</v>
      </c>
      <c r="FS4" s="357"/>
      <c r="FT4" s="358" t="s">
        <v>341</v>
      </c>
      <c r="FU4" s="334"/>
      <c r="FV4" s="335" t="s">
        <v>341</v>
      </c>
      <c r="FW4" s="357"/>
      <c r="FX4" s="358" t="s">
        <v>341</v>
      </c>
      <c r="FY4" s="334"/>
      <c r="FZ4" s="335" t="s">
        <v>341</v>
      </c>
      <c r="GA4" s="357"/>
      <c r="GB4" s="358" t="s">
        <v>341</v>
      </c>
      <c r="GC4" s="334"/>
      <c r="GD4" s="335" t="s">
        <v>341</v>
      </c>
      <c r="GE4" s="357"/>
      <c r="GF4" s="358" t="s">
        <v>341</v>
      </c>
      <c r="GG4" s="334"/>
      <c r="GH4" s="335" t="s">
        <v>341</v>
      </c>
      <c r="GI4" s="357"/>
      <c r="GJ4" s="358" t="s">
        <v>341</v>
      </c>
      <c r="GK4" s="334"/>
      <c r="GL4" s="335" t="s">
        <v>341</v>
      </c>
      <c r="GM4" s="357"/>
      <c r="GN4" s="358" t="s">
        <v>341</v>
      </c>
      <c r="GO4" s="334"/>
      <c r="GP4" s="335" t="s">
        <v>341</v>
      </c>
      <c r="GQ4" s="357"/>
      <c r="GR4" s="358" t="s">
        <v>341</v>
      </c>
      <c r="GS4" s="334"/>
      <c r="GT4" s="335" t="s">
        <v>341</v>
      </c>
      <c r="GU4" s="357"/>
      <c r="GV4" s="358" t="s">
        <v>341</v>
      </c>
      <c r="GW4" s="334"/>
      <c r="GX4" s="335" t="s">
        <v>342</v>
      </c>
      <c r="GY4" s="357"/>
      <c r="GZ4" s="358" t="s">
        <v>342</v>
      </c>
      <c r="HA4" s="334"/>
      <c r="HB4" s="335" t="s">
        <v>342</v>
      </c>
      <c r="HC4" s="357"/>
      <c r="HD4" s="358" t="s">
        <v>342</v>
      </c>
      <c r="HE4" s="334"/>
      <c r="HF4" s="335" t="s">
        <v>342</v>
      </c>
      <c r="HG4" s="357"/>
      <c r="HH4" s="358" t="s">
        <v>342</v>
      </c>
      <c r="HI4" s="334"/>
      <c r="HJ4" s="335" t="s">
        <v>342</v>
      </c>
      <c r="HK4" s="357"/>
      <c r="HL4" s="358" t="s">
        <v>342</v>
      </c>
      <c r="HM4" s="334"/>
      <c r="HN4" s="335" t="s">
        <v>342</v>
      </c>
      <c r="HO4" s="357"/>
      <c r="HP4" s="358" t="s">
        <v>342</v>
      </c>
      <c r="HQ4" s="334"/>
      <c r="HR4" s="335" t="s">
        <v>342</v>
      </c>
      <c r="HS4" s="357"/>
      <c r="HT4" s="358" t="s">
        <v>342</v>
      </c>
      <c r="HU4" s="334"/>
      <c r="HV4" s="335" t="s">
        <v>342</v>
      </c>
      <c r="HW4" s="357"/>
      <c r="HX4" s="358" t="s">
        <v>342</v>
      </c>
      <c r="HY4" s="334"/>
      <c r="HZ4" s="335" t="s">
        <v>342</v>
      </c>
      <c r="IA4" s="357"/>
      <c r="IB4" s="358" t="s">
        <v>342</v>
      </c>
      <c r="IC4" s="334"/>
      <c r="ID4" s="335" t="s">
        <v>343</v>
      </c>
      <c r="IE4" s="357"/>
      <c r="IF4" s="358" t="s">
        <v>343</v>
      </c>
      <c r="IG4" s="334"/>
      <c r="IH4" s="335" t="s">
        <v>343</v>
      </c>
      <c r="II4" s="357"/>
      <c r="IJ4" s="358" t="s">
        <v>343</v>
      </c>
      <c r="IK4" s="334"/>
      <c r="IL4" s="335" t="s">
        <v>343</v>
      </c>
      <c r="IM4" s="357"/>
      <c r="IN4" s="358" t="s">
        <v>343</v>
      </c>
      <c r="IO4" s="334"/>
      <c r="IP4" s="335" t="s">
        <v>343</v>
      </c>
      <c r="IQ4" s="357"/>
      <c r="IR4" s="358" t="s">
        <v>343</v>
      </c>
      <c r="IS4" s="334"/>
      <c r="IT4" s="335" t="s">
        <v>343</v>
      </c>
      <c r="IU4" s="357"/>
      <c r="IV4" s="358" t="s">
        <v>343</v>
      </c>
      <c r="IW4" s="334"/>
      <c r="IX4" s="335" t="s">
        <v>343</v>
      </c>
      <c r="IY4" s="357"/>
      <c r="IZ4" s="358" t="s">
        <v>343</v>
      </c>
      <c r="JA4" s="334"/>
      <c r="JB4" s="335" t="s">
        <v>343</v>
      </c>
      <c r="JC4" s="357"/>
      <c r="JD4" s="358" t="s">
        <v>343</v>
      </c>
      <c r="JE4" s="334"/>
      <c r="JF4" s="335" t="s">
        <v>343</v>
      </c>
      <c r="JG4" s="357"/>
      <c r="JH4" s="358" t="s">
        <v>343</v>
      </c>
      <c r="JI4" s="334"/>
      <c r="JJ4" s="335" t="s">
        <v>343</v>
      </c>
      <c r="JK4" s="357"/>
      <c r="JL4" s="358" t="s">
        <v>343</v>
      </c>
      <c r="JM4" s="334"/>
      <c r="JN4" s="335" t="s">
        <v>344</v>
      </c>
      <c r="JO4" s="357"/>
      <c r="JP4" s="358" t="s">
        <v>344</v>
      </c>
      <c r="JQ4" s="334"/>
      <c r="JR4" s="335" t="s">
        <v>344</v>
      </c>
      <c r="JS4" s="357"/>
      <c r="JT4" s="358" t="s">
        <v>344</v>
      </c>
      <c r="JU4" s="334"/>
      <c r="JV4" s="335" t="s">
        <v>344</v>
      </c>
      <c r="JW4" s="357"/>
      <c r="JX4" s="358" t="s">
        <v>344</v>
      </c>
      <c r="JY4" s="334"/>
      <c r="JZ4" s="335" t="s">
        <v>344</v>
      </c>
      <c r="KA4" s="357"/>
      <c r="KB4" s="358" t="s">
        <v>344</v>
      </c>
      <c r="KC4" s="334"/>
      <c r="KD4" s="335" t="s">
        <v>344</v>
      </c>
      <c r="KE4" s="357"/>
      <c r="KF4" s="358" t="s">
        <v>344</v>
      </c>
      <c r="KG4" s="334"/>
      <c r="KH4" s="335" t="s">
        <v>344</v>
      </c>
      <c r="KI4" s="357"/>
      <c r="KJ4" s="358" t="s">
        <v>344</v>
      </c>
      <c r="KK4" s="334"/>
      <c r="KL4" s="335" t="s">
        <v>344</v>
      </c>
      <c r="KM4" s="357"/>
      <c r="KN4" s="358" t="s">
        <v>344</v>
      </c>
      <c r="KO4" s="334"/>
      <c r="KP4" s="335" t="s">
        <v>344</v>
      </c>
      <c r="KQ4" s="357"/>
      <c r="KR4" s="358" t="s">
        <v>344</v>
      </c>
      <c r="KS4" s="334"/>
      <c r="KT4" s="335" t="s">
        <v>344</v>
      </c>
      <c r="KU4" s="357"/>
      <c r="KV4" s="358" t="s">
        <v>344</v>
      </c>
      <c r="KW4" s="334"/>
      <c r="KX4" s="349" t="s">
        <v>345</v>
      </c>
      <c r="KY4" s="357"/>
      <c r="KZ4" s="358" t="s">
        <v>345</v>
      </c>
      <c r="LA4" s="334"/>
      <c r="LB4" s="349" t="s">
        <v>345</v>
      </c>
      <c r="LC4" s="357"/>
      <c r="LD4" s="358" t="s">
        <v>345</v>
      </c>
      <c r="LE4" s="334"/>
      <c r="LF4" s="335" t="s">
        <v>346</v>
      </c>
      <c r="LG4" s="357"/>
      <c r="LH4" s="358" t="s">
        <v>346</v>
      </c>
      <c r="LI4" s="334"/>
      <c r="LJ4" s="335" t="s">
        <v>346</v>
      </c>
      <c r="LK4" s="357"/>
      <c r="LL4" s="358" t="s">
        <v>346</v>
      </c>
      <c r="LM4" s="334"/>
      <c r="LN4" s="335" t="s">
        <v>346</v>
      </c>
      <c r="LO4" s="357"/>
      <c r="LP4" s="358" t="s">
        <v>346</v>
      </c>
      <c r="LQ4" s="334"/>
      <c r="LR4" s="335" t="s">
        <v>346</v>
      </c>
      <c r="LS4" s="357"/>
      <c r="LT4" s="358" t="s">
        <v>346</v>
      </c>
      <c r="LU4" s="334"/>
      <c r="LV4" s="335" t="s">
        <v>346</v>
      </c>
      <c r="LW4" s="357"/>
      <c r="LX4" s="358" t="s">
        <v>346</v>
      </c>
      <c r="LY4" s="334"/>
      <c r="LZ4" s="335" t="s">
        <v>346</v>
      </c>
      <c r="MA4" s="357"/>
      <c r="MB4" s="358" t="s">
        <v>346</v>
      </c>
      <c r="MC4" s="334"/>
      <c r="MD4" s="335" t="s">
        <v>346</v>
      </c>
      <c r="ME4" s="357"/>
      <c r="MF4" s="358" t="s">
        <v>346</v>
      </c>
      <c r="MG4" s="334"/>
      <c r="MH4" s="335" t="s">
        <v>346</v>
      </c>
      <c r="MI4" s="357"/>
      <c r="MJ4" s="358" t="s">
        <v>346</v>
      </c>
      <c r="MK4" s="334"/>
      <c r="ML4" s="335" t="s">
        <v>347</v>
      </c>
      <c r="MM4" s="357"/>
      <c r="MN4" s="358" t="s">
        <v>347</v>
      </c>
      <c r="MO4" s="334"/>
      <c r="MP4" s="335" t="s">
        <v>347</v>
      </c>
      <c r="MQ4" s="357"/>
      <c r="MR4" s="358" t="s">
        <v>347</v>
      </c>
      <c r="MS4" s="334"/>
      <c r="MT4" s="335" t="s">
        <v>347</v>
      </c>
      <c r="MU4" s="357"/>
      <c r="MV4" s="358" t="s">
        <v>347</v>
      </c>
      <c r="MW4" s="334"/>
      <c r="MX4" s="335" t="s">
        <v>347</v>
      </c>
      <c r="MY4" s="357"/>
      <c r="MZ4" s="358" t="s">
        <v>347</v>
      </c>
      <c r="NA4" s="334"/>
      <c r="NB4" s="335" t="s">
        <v>347</v>
      </c>
      <c r="NC4" s="357"/>
      <c r="ND4" s="358" t="s">
        <v>347</v>
      </c>
      <c r="NE4" s="334"/>
      <c r="NF4" s="335" t="s">
        <v>347</v>
      </c>
      <c r="NG4" s="357"/>
      <c r="NH4" s="358" t="s">
        <v>347</v>
      </c>
      <c r="NI4" s="334"/>
      <c r="NJ4" s="335" t="s">
        <v>347</v>
      </c>
      <c r="NK4" s="357"/>
      <c r="NL4" s="358" t="s">
        <v>347</v>
      </c>
      <c r="NM4" s="334"/>
      <c r="NN4" s="335" t="s">
        <v>347</v>
      </c>
      <c r="NO4" s="357"/>
      <c r="NP4" s="358" t="s">
        <v>347</v>
      </c>
      <c r="NQ4" s="334"/>
      <c r="NR4" s="335" t="s">
        <v>348</v>
      </c>
      <c r="NS4" s="357"/>
      <c r="NT4" s="358" t="s">
        <v>348</v>
      </c>
      <c r="NU4" s="334"/>
      <c r="NV4" s="335" t="s">
        <v>348</v>
      </c>
      <c r="NW4" s="357"/>
      <c r="NX4" s="358" t="s">
        <v>348</v>
      </c>
      <c r="NY4" s="334"/>
      <c r="NZ4" s="335" t="s">
        <v>348</v>
      </c>
      <c r="OA4" s="357"/>
      <c r="OB4" s="358" t="s">
        <v>348</v>
      </c>
      <c r="OC4" s="334"/>
      <c r="OD4" s="335" t="s">
        <v>348</v>
      </c>
      <c r="OE4" s="357"/>
      <c r="OF4" s="358" t="s">
        <v>348</v>
      </c>
      <c r="OG4" s="334"/>
      <c r="OH4" s="335" t="s">
        <v>348</v>
      </c>
      <c r="OI4" s="357"/>
      <c r="OJ4" s="358" t="s">
        <v>348</v>
      </c>
      <c r="OK4" s="334"/>
      <c r="OL4" s="335" t="s">
        <v>348</v>
      </c>
      <c r="OM4" s="357"/>
      <c r="ON4" s="358" t="s">
        <v>348</v>
      </c>
      <c r="OO4" s="334"/>
      <c r="OP4" s="335" t="s">
        <v>348</v>
      </c>
      <c r="OQ4" s="357"/>
      <c r="OR4" s="358" t="s">
        <v>348</v>
      </c>
      <c r="OS4" s="334"/>
      <c r="OT4" s="335" t="s">
        <v>348</v>
      </c>
      <c r="OU4" s="357"/>
      <c r="OV4" s="358" t="s">
        <v>348</v>
      </c>
      <c r="OW4" s="334"/>
      <c r="OX4" s="335" t="s">
        <v>349</v>
      </c>
      <c r="OY4" s="357"/>
      <c r="OZ4" s="358" t="s">
        <v>349</v>
      </c>
      <c r="PA4" s="334"/>
      <c r="PB4" s="335" t="s">
        <v>349</v>
      </c>
      <c r="PC4" s="357"/>
      <c r="PD4" s="358" t="s">
        <v>349</v>
      </c>
      <c r="PE4" s="334"/>
      <c r="PF4" s="335" t="s">
        <v>349</v>
      </c>
      <c r="PG4" s="357"/>
      <c r="PH4" s="358" t="s">
        <v>349</v>
      </c>
      <c r="PI4" s="334"/>
      <c r="PJ4" s="335" t="s">
        <v>349</v>
      </c>
      <c r="PK4" s="357"/>
      <c r="PL4" s="358" t="s">
        <v>349</v>
      </c>
      <c r="PM4" s="334"/>
      <c r="PN4" s="335" t="s">
        <v>349</v>
      </c>
      <c r="PO4" s="357"/>
      <c r="PP4" s="358" t="s">
        <v>349</v>
      </c>
      <c r="PQ4" s="334"/>
      <c r="PR4" s="335" t="s">
        <v>349</v>
      </c>
      <c r="PS4" s="357"/>
      <c r="PT4" s="358" t="s">
        <v>349</v>
      </c>
      <c r="PU4" s="334"/>
      <c r="PV4" s="335" t="s">
        <v>349</v>
      </c>
      <c r="PW4" s="357"/>
      <c r="PX4" s="358" t="s">
        <v>349</v>
      </c>
      <c r="PY4" s="334"/>
      <c r="PZ4" s="335" t="s">
        <v>349</v>
      </c>
      <c r="QA4" s="357"/>
      <c r="QB4" s="358" t="s">
        <v>349</v>
      </c>
      <c r="QC4" s="334"/>
      <c r="QD4" s="335"/>
      <c r="QE4" s="344"/>
      <c r="QF4" s="345"/>
      <c r="QG4" s="334"/>
      <c r="QH4" s="335"/>
      <c r="QI4" s="344"/>
      <c r="QJ4" s="345"/>
    </row>
    <row r="5" spans="1:481" x14ac:dyDescent="0.25">
      <c r="J5" s="141"/>
      <c r="K5" s="146" t="str">
        <f>INDEX(TableStreams[Choose your Specialisation Stream second (drop-down list)],MATCH(L5,TableStreams[UDC],0))</f>
        <v>Biological Sciences Education Minor Teaching Area Stream (BEd Secondary)</v>
      </c>
      <c r="L5" s="141" t="s">
        <v>350</v>
      </c>
      <c r="O5" s="19"/>
      <c r="P5" s="3">
        <v>3</v>
      </c>
      <c r="Q5" s="59"/>
      <c r="R5" s="330"/>
      <c r="S5" s="331"/>
      <c r="T5" s="330"/>
      <c r="U5" s="334"/>
      <c r="V5" s="335" t="s">
        <v>351</v>
      </c>
      <c r="W5" s="357"/>
      <c r="X5" s="358" t="s">
        <v>351</v>
      </c>
      <c r="Y5" s="334"/>
      <c r="Z5" s="335" t="s">
        <v>350</v>
      </c>
      <c r="AA5" s="357"/>
      <c r="AB5" s="358" t="s">
        <v>350</v>
      </c>
      <c r="AC5" s="334"/>
      <c r="AD5" s="335" t="s">
        <v>352</v>
      </c>
      <c r="AE5" s="357"/>
      <c r="AF5" s="358" t="s">
        <v>352</v>
      </c>
      <c r="AG5" s="334"/>
      <c r="AH5" s="335" t="s">
        <v>353</v>
      </c>
      <c r="AI5" s="357"/>
      <c r="AJ5" s="358" t="s">
        <v>353</v>
      </c>
      <c r="AK5" s="334"/>
      <c r="AL5" s="335" t="s">
        <v>354</v>
      </c>
      <c r="AM5" s="357"/>
      <c r="AN5" s="358" t="s">
        <v>354</v>
      </c>
      <c r="AO5" s="334"/>
      <c r="AP5" s="335" t="s">
        <v>355</v>
      </c>
      <c r="AQ5" s="357"/>
      <c r="AR5" s="358" t="s">
        <v>355</v>
      </c>
      <c r="AS5" s="334"/>
      <c r="AT5" s="335" t="s">
        <v>356</v>
      </c>
      <c r="AU5" s="357"/>
      <c r="AV5" s="358" t="s">
        <v>356</v>
      </c>
      <c r="AW5" s="334"/>
      <c r="AX5" s="335" t="s">
        <v>357</v>
      </c>
      <c r="AY5" s="357"/>
      <c r="AZ5" s="358" t="s">
        <v>357</v>
      </c>
      <c r="BA5" s="334"/>
      <c r="BB5" s="335" t="s">
        <v>350</v>
      </c>
      <c r="BC5" s="357"/>
      <c r="BD5" s="358" t="s">
        <v>350</v>
      </c>
      <c r="BE5" s="334"/>
      <c r="BF5" s="335" t="s">
        <v>353</v>
      </c>
      <c r="BG5" s="357"/>
      <c r="BH5" s="358" t="s">
        <v>353</v>
      </c>
      <c r="BI5" s="334"/>
      <c r="BJ5" s="335" t="s">
        <v>354</v>
      </c>
      <c r="BK5" s="357"/>
      <c r="BL5" s="358" t="s">
        <v>354</v>
      </c>
      <c r="BM5" s="334"/>
      <c r="BN5" s="335" t="s">
        <v>355</v>
      </c>
      <c r="BO5" s="357"/>
      <c r="BP5" s="358" t="s">
        <v>355</v>
      </c>
      <c r="BQ5" s="334"/>
      <c r="BR5" s="335" t="s">
        <v>356</v>
      </c>
      <c r="BS5" s="357"/>
      <c r="BT5" s="358" t="s">
        <v>356</v>
      </c>
      <c r="BU5" s="334"/>
      <c r="BV5" s="335" t="s">
        <v>357</v>
      </c>
      <c r="BW5" s="357"/>
      <c r="BX5" s="358" t="s">
        <v>357</v>
      </c>
      <c r="BY5" s="334"/>
      <c r="BZ5" s="335" t="s">
        <v>350</v>
      </c>
      <c r="CA5" s="357"/>
      <c r="CB5" s="358" t="s">
        <v>350</v>
      </c>
      <c r="CC5" s="334"/>
      <c r="CD5" s="335" t="s">
        <v>358</v>
      </c>
      <c r="CE5" s="357"/>
      <c r="CF5" s="358" t="s">
        <v>358</v>
      </c>
      <c r="CG5" s="334"/>
      <c r="CH5" s="335" t="s">
        <v>353</v>
      </c>
      <c r="CI5" s="357"/>
      <c r="CJ5" s="358" t="s">
        <v>353</v>
      </c>
      <c r="CK5" s="334"/>
      <c r="CL5" s="335" t="s">
        <v>354</v>
      </c>
      <c r="CM5" s="357"/>
      <c r="CN5" s="358" t="s">
        <v>354</v>
      </c>
      <c r="CO5" s="334"/>
      <c r="CP5" s="335" t="s">
        <v>355</v>
      </c>
      <c r="CQ5" s="357"/>
      <c r="CR5" s="358" t="s">
        <v>355</v>
      </c>
      <c r="CS5" s="334"/>
      <c r="CT5" s="335" t="s">
        <v>356</v>
      </c>
      <c r="CU5" s="357"/>
      <c r="CV5" s="358" t="s">
        <v>356</v>
      </c>
      <c r="CW5" s="334"/>
      <c r="CX5" s="335" t="s">
        <v>357</v>
      </c>
      <c r="CY5" s="357"/>
      <c r="CZ5" s="358" t="s">
        <v>357</v>
      </c>
      <c r="DA5" s="334"/>
      <c r="DB5" s="335" t="s">
        <v>350</v>
      </c>
      <c r="DC5" s="357"/>
      <c r="DD5" s="358" t="s">
        <v>350</v>
      </c>
      <c r="DE5" s="334"/>
      <c r="DF5" s="369" t="s">
        <v>359</v>
      </c>
      <c r="DG5" s="357"/>
      <c r="DH5" s="358" t="s">
        <v>359</v>
      </c>
      <c r="DI5" s="334"/>
      <c r="DJ5" s="335" t="s">
        <v>354</v>
      </c>
      <c r="DK5" s="357"/>
      <c r="DL5" s="358" t="s">
        <v>354</v>
      </c>
      <c r="DM5" s="334"/>
      <c r="DN5" s="335" t="s">
        <v>355</v>
      </c>
      <c r="DO5" s="357"/>
      <c r="DP5" s="358" t="s">
        <v>355</v>
      </c>
      <c r="DQ5" s="334"/>
      <c r="DR5" s="335" t="s">
        <v>356</v>
      </c>
      <c r="DS5" s="357"/>
      <c r="DT5" s="358" t="s">
        <v>356</v>
      </c>
      <c r="DU5" s="334"/>
      <c r="DV5" s="335" t="s">
        <v>357</v>
      </c>
      <c r="DW5" s="357"/>
      <c r="DX5" s="358" t="s">
        <v>357</v>
      </c>
      <c r="DY5" s="334"/>
      <c r="DZ5" s="335" t="s">
        <v>360</v>
      </c>
      <c r="EA5" s="357"/>
      <c r="EB5" s="358" t="s">
        <v>360</v>
      </c>
      <c r="EC5" s="334"/>
      <c r="ED5" s="335" t="s">
        <v>361</v>
      </c>
      <c r="EE5" s="357"/>
      <c r="EF5" s="358" t="s">
        <v>361</v>
      </c>
      <c r="EG5" s="334"/>
      <c r="EH5" s="335" t="s">
        <v>217</v>
      </c>
      <c r="EI5" s="357"/>
      <c r="EJ5" s="358" t="s">
        <v>217</v>
      </c>
      <c r="EK5" s="334"/>
      <c r="EL5" s="335" t="s">
        <v>350</v>
      </c>
      <c r="EM5" s="357"/>
      <c r="EN5" s="358" t="s">
        <v>350</v>
      </c>
      <c r="EO5" s="334"/>
      <c r="EP5" s="335" t="s">
        <v>362</v>
      </c>
      <c r="EQ5" s="357"/>
      <c r="ER5" s="358" t="s">
        <v>362</v>
      </c>
      <c r="ES5" s="334"/>
      <c r="ET5" s="335" t="s">
        <v>353</v>
      </c>
      <c r="EU5" s="357"/>
      <c r="EV5" s="358" t="s">
        <v>353</v>
      </c>
      <c r="EW5" s="334"/>
      <c r="EX5" s="335" t="s">
        <v>356</v>
      </c>
      <c r="EY5" s="357"/>
      <c r="EZ5" s="358" t="s">
        <v>356</v>
      </c>
      <c r="FA5" s="334"/>
      <c r="FB5" s="335" t="s">
        <v>357</v>
      </c>
      <c r="FC5" s="357"/>
      <c r="FD5" s="358" t="s">
        <v>357</v>
      </c>
      <c r="FE5" s="334"/>
      <c r="FF5" s="335" t="s">
        <v>360</v>
      </c>
      <c r="FG5" s="357"/>
      <c r="FH5" s="358" t="s">
        <v>360</v>
      </c>
      <c r="FI5" s="334"/>
      <c r="FJ5" s="335" t="s">
        <v>361</v>
      </c>
      <c r="FK5" s="357"/>
      <c r="FL5" s="358" t="s">
        <v>361</v>
      </c>
      <c r="FM5" s="334"/>
      <c r="FN5" s="335" t="s">
        <v>217</v>
      </c>
      <c r="FO5" s="357"/>
      <c r="FP5" s="358" t="s">
        <v>217</v>
      </c>
      <c r="FQ5" s="334"/>
      <c r="FR5" s="335" t="s">
        <v>350</v>
      </c>
      <c r="FS5" s="357"/>
      <c r="FT5" s="358" t="s">
        <v>350</v>
      </c>
      <c r="FU5" s="334"/>
      <c r="FV5" s="335" t="s">
        <v>363</v>
      </c>
      <c r="FW5" s="357"/>
      <c r="FX5" s="358" t="s">
        <v>363</v>
      </c>
      <c r="FY5" s="334"/>
      <c r="FZ5" s="335" t="s">
        <v>353</v>
      </c>
      <c r="GA5" s="357"/>
      <c r="GB5" s="358" t="s">
        <v>353</v>
      </c>
      <c r="GC5" s="334"/>
      <c r="GD5" s="335" t="s">
        <v>356</v>
      </c>
      <c r="GE5" s="357"/>
      <c r="GF5" s="358" t="s">
        <v>356</v>
      </c>
      <c r="GG5" s="334"/>
      <c r="GH5" s="335" t="s">
        <v>357</v>
      </c>
      <c r="GI5" s="357"/>
      <c r="GJ5" s="358" t="s">
        <v>357</v>
      </c>
      <c r="GK5" s="334"/>
      <c r="GL5" s="335" t="s">
        <v>360</v>
      </c>
      <c r="GM5" s="357"/>
      <c r="GN5" s="358" t="s">
        <v>360</v>
      </c>
      <c r="GO5" s="334"/>
      <c r="GP5" s="335" t="s">
        <v>361</v>
      </c>
      <c r="GQ5" s="357"/>
      <c r="GR5" s="358" t="s">
        <v>361</v>
      </c>
      <c r="GS5" s="334"/>
      <c r="GT5" s="335" t="s">
        <v>217</v>
      </c>
      <c r="GU5" s="357"/>
      <c r="GV5" s="358" t="s">
        <v>217</v>
      </c>
      <c r="GW5" s="334"/>
      <c r="GX5" s="335" t="s">
        <v>350</v>
      </c>
      <c r="GY5" s="357"/>
      <c r="GZ5" s="358" t="s">
        <v>350</v>
      </c>
      <c r="HA5" s="334"/>
      <c r="HB5" s="335" t="s">
        <v>364</v>
      </c>
      <c r="HC5" s="357"/>
      <c r="HD5" s="358" t="s">
        <v>364</v>
      </c>
      <c r="HE5" s="334"/>
      <c r="HF5" s="335" t="s">
        <v>353</v>
      </c>
      <c r="HG5" s="357"/>
      <c r="HH5" s="358" t="s">
        <v>353</v>
      </c>
      <c r="HI5" s="334"/>
      <c r="HJ5" s="335" t="s">
        <v>356</v>
      </c>
      <c r="HK5" s="357"/>
      <c r="HL5" s="358" t="s">
        <v>356</v>
      </c>
      <c r="HM5" s="334"/>
      <c r="HN5" s="335" t="s">
        <v>357</v>
      </c>
      <c r="HO5" s="357"/>
      <c r="HP5" s="358" t="s">
        <v>357</v>
      </c>
      <c r="HQ5" s="334"/>
      <c r="HR5" s="335" t="s">
        <v>360</v>
      </c>
      <c r="HS5" s="357"/>
      <c r="HT5" s="358" t="s">
        <v>360</v>
      </c>
      <c r="HU5" s="334"/>
      <c r="HV5" s="335" t="s">
        <v>361</v>
      </c>
      <c r="HW5" s="357"/>
      <c r="HX5" s="358" t="s">
        <v>361</v>
      </c>
      <c r="HY5" s="334"/>
      <c r="HZ5" s="335" t="s">
        <v>217</v>
      </c>
      <c r="IA5" s="357"/>
      <c r="IB5" s="358" t="s">
        <v>217</v>
      </c>
      <c r="IC5" s="334"/>
      <c r="ID5" s="335" t="s">
        <v>350</v>
      </c>
      <c r="IE5" s="357"/>
      <c r="IF5" s="358" t="s">
        <v>350</v>
      </c>
      <c r="IG5" s="334"/>
      <c r="IH5" s="335" t="s">
        <v>365</v>
      </c>
      <c r="II5" s="357"/>
      <c r="IJ5" s="358" t="s">
        <v>365</v>
      </c>
      <c r="IK5" s="334"/>
      <c r="IL5" s="335" t="s">
        <v>353</v>
      </c>
      <c r="IM5" s="357"/>
      <c r="IN5" s="358" t="s">
        <v>353</v>
      </c>
      <c r="IO5" s="334"/>
      <c r="IP5" s="335" t="s">
        <v>356</v>
      </c>
      <c r="IQ5" s="357"/>
      <c r="IR5" s="358" t="s">
        <v>356</v>
      </c>
      <c r="IS5" s="334"/>
      <c r="IT5" s="335" t="s">
        <v>357</v>
      </c>
      <c r="IU5" s="357"/>
      <c r="IV5" s="358" t="s">
        <v>357</v>
      </c>
      <c r="IW5" s="334"/>
      <c r="IX5" s="335" t="s">
        <v>360</v>
      </c>
      <c r="IY5" s="357"/>
      <c r="IZ5" s="358" t="s">
        <v>360</v>
      </c>
      <c r="JA5" s="334"/>
      <c r="JB5" s="335" t="s">
        <v>361</v>
      </c>
      <c r="JC5" s="357"/>
      <c r="JD5" s="358" t="s">
        <v>361</v>
      </c>
      <c r="JE5" s="334"/>
      <c r="JF5" s="335" t="s">
        <v>217</v>
      </c>
      <c r="JG5" s="357"/>
      <c r="JH5" s="358" t="s">
        <v>217</v>
      </c>
      <c r="JI5" s="334"/>
      <c r="JJ5" s="335"/>
      <c r="JK5" s="357"/>
      <c r="JL5" s="358">
        <v>0</v>
      </c>
      <c r="JM5" s="334"/>
      <c r="JN5" s="335" t="s">
        <v>350</v>
      </c>
      <c r="JO5" s="357"/>
      <c r="JP5" s="358" t="s">
        <v>350</v>
      </c>
      <c r="JQ5" s="334"/>
      <c r="JR5" s="335" t="s">
        <v>366</v>
      </c>
      <c r="JS5" s="357"/>
      <c r="JT5" s="358" t="s">
        <v>366</v>
      </c>
      <c r="JU5" s="334"/>
      <c r="JV5" s="335" t="s">
        <v>353</v>
      </c>
      <c r="JW5" s="357"/>
      <c r="JX5" s="358" t="s">
        <v>353</v>
      </c>
      <c r="JY5" s="334"/>
      <c r="JZ5" s="335" t="s">
        <v>354</v>
      </c>
      <c r="KA5" s="357"/>
      <c r="KB5" s="358" t="s">
        <v>354</v>
      </c>
      <c r="KC5" s="334"/>
      <c r="KD5" s="335" t="s">
        <v>355</v>
      </c>
      <c r="KE5" s="357"/>
      <c r="KF5" s="358" t="s">
        <v>355</v>
      </c>
      <c r="KG5" s="334"/>
      <c r="KH5" s="335" t="s">
        <v>357</v>
      </c>
      <c r="KI5" s="357"/>
      <c r="KJ5" s="358" t="s">
        <v>357</v>
      </c>
      <c r="KK5" s="334"/>
      <c r="KL5" s="335" t="s">
        <v>360</v>
      </c>
      <c r="KM5" s="357"/>
      <c r="KN5" s="358" t="s">
        <v>360</v>
      </c>
      <c r="KO5" s="334"/>
      <c r="KP5" s="335" t="s">
        <v>361</v>
      </c>
      <c r="KQ5" s="357"/>
      <c r="KR5" s="358" t="s">
        <v>361</v>
      </c>
      <c r="KS5" s="334"/>
      <c r="KT5" s="335" t="s">
        <v>217</v>
      </c>
      <c r="KU5" s="357"/>
      <c r="KV5" s="358" t="s">
        <v>217</v>
      </c>
      <c r="KW5" s="334"/>
      <c r="KX5" s="335" t="s">
        <v>350</v>
      </c>
      <c r="KY5" s="357"/>
      <c r="KZ5" s="358" t="s">
        <v>350</v>
      </c>
      <c r="LA5" s="334"/>
      <c r="LB5" s="335" t="s">
        <v>367</v>
      </c>
      <c r="LC5" s="357"/>
      <c r="LD5" s="358" t="s">
        <v>367</v>
      </c>
      <c r="LE5" s="334"/>
      <c r="LF5" s="335" t="s">
        <v>368</v>
      </c>
      <c r="LG5" s="357"/>
      <c r="LH5" s="358" t="s">
        <v>368</v>
      </c>
      <c r="LI5" s="334"/>
      <c r="LJ5" s="335" t="s">
        <v>353</v>
      </c>
      <c r="LK5" s="357"/>
      <c r="LL5" s="358" t="s">
        <v>353</v>
      </c>
      <c r="LM5" s="334"/>
      <c r="LN5" s="335" t="s">
        <v>354</v>
      </c>
      <c r="LO5" s="357"/>
      <c r="LP5" s="358" t="s">
        <v>354</v>
      </c>
      <c r="LQ5" s="334"/>
      <c r="LR5" s="335" t="s">
        <v>355</v>
      </c>
      <c r="LS5" s="357"/>
      <c r="LT5" s="358" t="s">
        <v>355</v>
      </c>
      <c r="LU5" s="334"/>
      <c r="LV5" s="335" t="s">
        <v>356</v>
      </c>
      <c r="LW5" s="357"/>
      <c r="LX5" s="358" t="s">
        <v>356</v>
      </c>
      <c r="LY5" s="334"/>
      <c r="LZ5" s="335" t="s">
        <v>360</v>
      </c>
      <c r="MA5" s="357"/>
      <c r="MB5" s="358" t="s">
        <v>360</v>
      </c>
      <c r="MC5" s="334"/>
      <c r="MD5" s="335" t="s">
        <v>361</v>
      </c>
      <c r="ME5" s="357"/>
      <c r="MF5" s="358" t="s">
        <v>361</v>
      </c>
      <c r="MG5" s="334"/>
      <c r="MH5" s="335" t="s">
        <v>217</v>
      </c>
      <c r="MI5" s="357"/>
      <c r="MJ5" s="358" t="s">
        <v>217</v>
      </c>
      <c r="MK5" s="334"/>
      <c r="ML5" s="335" t="s">
        <v>369</v>
      </c>
      <c r="MM5" s="357"/>
      <c r="MN5" s="358" t="s">
        <v>369</v>
      </c>
      <c r="MO5" s="334"/>
      <c r="MP5" s="335" t="s">
        <v>353</v>
      </c>
      <c r="MQ5" s="357"/>
      <c r="MR5" s="358" t="s">
        <v>353</v>
      </c>
      <c r="MS5" s="334"/>
      <c r="MT5" s="335" t="s">
        <v>354</v>
      </c>
      <c r="MU5" s="357"/>
      <c r="MV5" s="358" t="s">
        <v>354</v>
      </c>
      <c r="MW5" s="334"/>
      <c r="MX5" s="335" t="s">
        <v>355</v>
      </c>
      <c r="MY5" s="357"/>
      <c r="MZ5" s="358" t="s">
        <v>355</v>
      </c>
      <c r="NA5" s="334"/>
      <c r="NB5" s="335" t="s">
        <v>356</v>
      </c>
      <c r="NC5" s="357"/>
      <c r="ND5" s="358" t="s">
        <v>356</v>
      </c>
      <c r="NE5" s="334"/>
      <c r="NF5" s="335" t="s">
        <v>360</v>
      </c>
      <c r="NG5" s="357"/>
      <c r="NH5" s="358" t="s">
        <v>360</v>
      </c>
      <c r="NI5" s="334"/>
      <c r="NJ5" s="335" t="s">
        <v>361</v>
      </c>
      <c r="NK5" s="357"/>
      <c r="NL5" s="358" t="s">
        <v>361</v>
      </c>
      <c r="NM5" s="334"/>
      <c r="NN5" s="335" t="s">
        <v>217</v>
      </c>
      <c r="NO5" s="357"/>
      <c r="NP5" s="358" t="s">
        <v>217</v>
      </c>
      <c r="NQ5" s="334"/>
      <c r="NR5" s="335" t="s">
        <v>370</v>
      </c>
      <c r="NS5" s="357"/>
      <c r="NT5" s="358" t="s">
        <v>370</v>
      </c>
      <c r="NU5" s="334"/>
      <c r="NV5" s="335" t="s">
        <v>353</v>
      </c>
      <c r="NW5" s="357"/>
      <c r="NX5" s="358" t="s">
        <v>353</v>
      </c>
      <c r="NY5" s="334"/>
      <c r="NZ5" s="335" t="s">
        <v>354</v>
      </c>
      <c r="OA5" s="357"/>
      <c r="OB5" s="358" t="s">
        <v>354</v>
      </c>
      <c r="OC5" s="334"/>
      <c r="OD5" s="335" t="s">
        <v>355</v>
      </c>
      <c r="OE5" s="357"/>
      <c r="OF5" s="358" t="s">
        <v>355</v>
      </c>
      <c r="OG5" s="334"/>
      <c r="OH5" s="335" t="s">
        <v>356</v>
      </c>
      <c r="OI5" s="357"/>
      <c r="OJ5" s="358" t="s">
        <v>356</v>
      </c>
      <c r="OK5" s="334"/>
      <c r="OL5" s="335" t="s">
        <v>360</v>
      </c>
      <c r="OM5" s="357"/>
      <c r="ON5" s="358" t="s">
        <v>360</v>
      </c>
      <c r="OO5" s="334"/>
      <c r="OP5" s="335" t="s">
        <v>361</v>
      </c>
      <c r="OQ5" s="357"/>
      <c r="OR5" s="358" t="s">
        <v>361</v>
      </c>
      <c r="OS5" s="334"/>
      <c r="OT5" s="335" t="s">
        <v>217</v>
      </c>
      <c r="OU5" s="357"/>
      <c r="OV5" s="358" t="s">
        <v>217</v>
      </c>
      <c r="OW5" s="334"/>
      <c r="OX5" s="335" t="s">
        <v>371</v>
      </c>
      <c r="OY5" s="357"/>
      <c r="OZ5" s="358" t="s">
        <v>371</v>
      </c>
      <c r="PA5" s="334"/>
      <c r="PB5" s="335" t="s">
        <v>353</v>
      </c>
      <c r="PC5" s="357"/>
      <c r="PD5" s="358" t="s">
        <v>353</v>
      </c>
      <c r="PE5" s="334"/>
      <c r="PF5" s="335" t="s">
        <v>354</v>
      </c>
      <c r="PG5" s="357"/>
      <c r="PH5" s="358" t="s">
        <v>354</v>
      </c>
      <c r="PI5" s="334"/>
      <c r="PJ5" s="335" t="s">
        <v>355</v>
      </c>
      <c r="PK5" s="357"/>
      <c r="PL5" s="358" t="s">
        <v>355</v>
      </c>
      <c r="PM5" s="334"/>
      <c r="PN5" s="335" t="s">
        <v>356</v>
      </c>
      <c r="PO5" s="357"/>
      <c r="PP5" s="358" t="s">
        <v>356</v>
      </c>
      <c r="PQ5" s="334"/>
      <c r="PR5" s="335" t="s">
        <v>360</v>
      </c>
      <c r="PS5" s="357"/>
      <c r="PT5" s="358" t="s">
        <v>360</v>
      </c>
      <c r="PU5" s="334"/>
      <c r="PV5" s="335" t="s">
        <v>361</v>
      </c>
      <c r="PW5" s="357"/>
      <c r="PX5" s="358" t="s">
        <v>361</v>
      </c>
      <c r="PY5" s="334"/>
      <c r="PZ5" s="335" t="s">
        <v>217</v>
      </c>
      <c r="QA5" s="357"/>
      <c r="QB5" s="358" t="s">
        <v>217</v>
      </c>
      <c r="QC5" s="334"/>
      <c r="QD5" s="335"/>
      <c r="QE5" s="344"/>
      <c r="QF5" s="345"/>
      <c r="QG5" s="334"/>
      <c r="QH5" s="335"/>
      <c r="QI5" s="344"/>
      <c r="QJ5" s="345"/>
    </row>
    <row r="6" spans="1:481" x14ac:dyDescent="0.25">
      <c r="A6" s="123" t="s">
        <v>372</v>
      </c>
      <c r="D6" s="6"/>
      <c r="E6" s="6"/>
      <c r="F6" s="18"/>
      <c r="G6" s="18"/>
      <c r="J6" s="141"/>
      <c r="K6" s="146" t="str">
        <f>INDEX(TableStreams[Choose your Specialisation Stream second (drop-down list)],MATCH(L6,TableStreams[UDC],0))</f>
        <v>Broadening Performing Arts Teaching Area Stream (BEd Secondary)</v>
      </c>
      <c r="L6" s="141" t="s">
        <v>352</v>
      </c>
      <c r="O6" s="19"/>
      <c r="P6" s="19">
        <v>4</v>
      </c>
      <c r="Q6" s="329" t="str">
        <f>IFERROR(CONCATENATE(VLOOKUP(M4,TableMajors[],2,FALSE)," ",VLOOKUP(M4,TableMajors[],3,FALSE)),"")</f>
        <v/>
      </c>
      <c r="R6" s="329" t="str">
        <f>IFERROR(CONCATENATE(VLOOKUP(N6,TableMajors[],2,FALSE)," ",VLOOKUP(N6,TableMajors[],3,FALSE)),"")</f>
        <v/>
      </c>
      <c r="S6" s="329" t="str">
        <f>IFERROR(CONCATENATE(VLOOKUP(P6,TableMajors[],2,FALSE)," ",VLOOKUP(P6,TableMajors[],3,FALSE)),"")</f>
        <v/>
      </c>
      <c r="T6" s="329" t="str">
        <f>IFERROR(CONCATENATE(VLOOKUP(Q6,TableMajors[],2,FALSE)," ",VLOOKUP(Q6,TableMajors[],3,FALSE)),"")</f>
        <v/>
      </c>
      <c r="U6" s="336" t="s">
        <v>373</v>
      </c>
      <c r="V6" s="337" t="s">
        <v>141</v>
      </c>
      <c r="W6" s="359" t="s">
        <v>373</v>
      </c>
      <c r="X6" s="360" t="s">
        <v>142</v>
      </c>
      <c r="Y6" s="336" t="s">
        <v>373</v>
      </c>
      <c r="Z6" s="337" t="s">
        <v>141</v>
      </c>
      <c r="AA6" s="359" t="s">
        <v>373</v>
      </c>
      <c r="AB6" s="360" t="s">
        <v>142</v>
      </c>
      <c r="AC6" s="336" t="s">
        <v>373</v>
      </c>
      <c r="AD6" s="337" t="s">
        <v>141</v>
      </c>
      <c r="AE6" s="359" t="s">
        <v>373</v>
      </c>
      <c r="AF6" s="360" t="s">
        <v>142</v>
      </c>
      <c r="AG6" s="336" t="s">
        <v>373</v>
      </c>
      <c r="AH6" s="337" t="s">
        <v>141</v>
      </c>
      <c r="AI6" s="359" t="s">
        <v>373</v>
      </c>
      <c r="AJ6" s="360" t="s">
        <v>142</v>
      </c>
      <c r="AK6" s="336" t="s">
        <v>373</v>
      </c>
      <c r="AL6" s="337" t="s">
        <v>141</v>
      </c>
      <c r="AM6" s="359" t="s">
        <v>373</v>
      </c>
      <c r="AN6" s="360" t="s">
        <v>142</v>
      </c>
      <c r="AO6" s="336" t="s">
        <v>373</v>
      </c>
      <c r="AP6" s="337" t="s">
        <v>141</v>
      </c>
      <c r="AQ6" s="359" t="s">
        <v>373</v>
      </c>
      <c r="AR6" s="360" t="s">
        <v>142</v>
      </c>
      <c r="AS6" s="336" t="s">
        <v>373</v>
      </c>
      <c r="AT6" s="337" t="s">
        <v>141</v>
      </c>
      <c r="AU6" s="359" t="s">
        <v>373</v>
      </c>
      <c r="AV6" s="360" t="s">
        <v>142</v>
      </c>
      <c r="AW6" s="336" t="s">
        <v>373</v>
      </c>
      <c r="AX6" s="337" t="s">
        <v>141</v>
      </c>
      <c r="AY6" s="359" t="s">
        <v>373</v>
      </c>
      <c r="AZ6" s="360" t="s">
        <v>142</v>
      </c>
      <c r="BA6" s="336" t="s">
        <v>373</v>
      </c>
      <c r="BB6" s="337" t="s">
        <v>141</v>
      </c>
      <c r="BC6" s="359" t="s">
        <v>373</v>
      </c>
      <c r="BD6" s="360" t="s">
        <v>142</v>
      </c>
      <c r="BE6" s="336" t="s">
        <v>373</v>
      </c>
      <c r="BF6" s="337" t="s">
        <v>141</v>
      </c>
      <c r="BG6" s="359" t="s">
        <v>373</v>
      </c>
      <c r="BH6" s="360" t="s">
        <v>142</v>
      </c>
      <c r="BI6" s="336" t="s">
        <v>373</v>
      </c>
      <c r="BJ6" s="337" t="s">
        <v>141</v>
      </c>
      <c r="BK6" s="359" t="s">
        <v>373</v>
      </c>
      <c r="BL6" s="360" t="s">
        <v>142</v>
      </c>
      <c r="BM6" s="336" t="s">
        <v>373</v>
      </c>
      <c r="BN6" s="337" t="s">
        <v>141</v>
      </c>
      <c r="BO6" s="359" t="s">
        <v>373</v>
      </c>
      <c r="BP6" s="360" t="s">
        <v>142</v>
      </c>
      <c r="BQ6" s="336" t="s">
        <v>373</v>
      </c>
      <c r="BR6" s="337" t="s">
        <v>141</v>
      </c>
      <c r="BS6" s="359" t="s">
        <v>373</v>
      </c>
      <c r="BT6" s="360" t="s">
        <v>142</v>
      </c>
      <c r="BU6" s="336" t="s">
        <v>373</v>
      </c>
      <c r="BV6" s="337" t="s">
        <v>141</v>
      </c>
      <c r="BW6" s="359" t="s">
        <v>373</v>
      </c>
      <c r="BX6" s="360" t="s">
        <v>142</v>
      </c>
      <c r="BY6" s="336" t="s">
        <v>373</v>
      </c>
      <c r="BZ6" s="337" t="s">
        <v>141</v>
      </c>
      <c r="CA6" s="359" t="s">
        <v>373</v>
      </c>
      <c r="CB6" s="360" t="s">
        <v>142</v>
      </c>
      <c r="CC6" s="336" t="s">
        <v>373</v>
      </c>
      <c r="CD6" s="337" t="s">
        <v>141</v>
      </c>
      <c r="CE6" s="359" t="s">
        <v>373</v>
      </c>
      <c r="CF6" s="360" t="s">
        <v>142</v>
      </c>
      <c r="CG6" s="336" t="s">
        <v>373</v>
      </c>
      <c r="CH6" s="337" t="s">
        <v>141</v>
      </c>
      <c r="CI6" s="359" t="s">
        <v>373</v>
      </c>
      <c r="CJ6" s="360" t="s">
        <v>142</v>
      </c>
      <c r="CK6" s="336" t="s">
        <v>373</v>
      </c>
      <c r="CL6" s="337" t="s">
        <v>141</v>
      </c>
      <c r="CM6" s="359" t="s">
        <v>373</v>
      </c>
      <c r="CN6" s="360" t="s">
        <v>142</v>
      </c>
      <c r="CO6" s="336" t="s">
        <v>373</v>
      </c>
      <c r="CP6" s="337" t="s">
        <v>141</v>
      </c>
      <c r="CQ6" s="359" t="s">
        <v>373</v>
      </c>
      <c r="CR6" s="360" t="s">
        <v>142</v>
      </c>
      <c r="CS6" s="336" t="s">
        <v>373</v>
      </c>
      <c r="CT6" s="337" t="s">
        <v>141</v>
      </c>
      <c r="CU6" s="359" t="s">
        <v>373</v>
      </c>
      <c r="CV6" s="360" t="s">
        <v>142</v>
      </c>
      <c r="CW6" s="336" t="s">
        <v>373</v>
      </c>
      <c r="CX6" s="337" t="s">
        <v>141</v>
      </c>
      <c r="CY6" s="359" t="s">
        <v>373</v>
      </c>
      <c r="CZ6" s="360" t="s">
        <v>142</v>
      </c>
      <c r="DA6" s="336" t="s">
        <v>373</v>
      </c>
      <c r="DB6" s="337" t="s">
        <v>141</v>
      </c>
      <c r="DC6" s="359" t="s">
        <v>373</v>
      </c>
      <c r="DD6" s="360" t="s">
        <v>142</v>
      </c>
      <c r="DE6" s="336" t="s">
        <v>373</v>
      </c>
      <c r="DF6" s="337" t="s">
        <v>141</v>
      </c>
      <c r="DG6" s="359" t="s">
        <v>373</v>
      </c>
      <c r="DH6" s="360" t="s">
        <v>142</v>
      </c>
      <c r="DI6" s="336" t="s">
        <v>373</v>
      </c>
      <c r="DJ6" s="337" t="s">
        <v>141</v>
      </c>
      <c r="DK6" s="359" t="s">
        <v>373</v>
      </c>
      <c r="DL6" s="360" t="s">
        <v>142</v>
      </c>
      <c r="DM6" s="336" t="s">
        <v>373</v>
      </c>
      <c r="DN6" s="337" t="s">
        <v>141</v>
      </c>
      <c r="DO6" s="359" t="s">
        <v>373</v>
      </c>
      <c r="DP6" s="360" t="s">
        <v>142</v>
      </c>
      <c r="DQ6" s="336" t="s">
        <v>373</v>
      </c>
      <c r="DR6" s="337" t="s">
        <v>141</v>
      </c>
      <c r="DS6" s="359" t="s">
        <v>373</v>
      </c>
      <c r="DT6" s="360" t="s">
        <v>142</v>
      </c>
      <c r="DU6" s="336" t="s">
        <v>373</v>
      </c>
      <c r="DV6" s="337" t="s">
        <v>141</v>
      </c>
      <c r="DW6" s="359" t="s">
        <v>373</v>
      </c>
      <c r="DX6" s="360" t="s">
        <v>142</v>
      </c>
      <c r="DY6" s="336" t="s">
        <v>373</v>
      </c>
      <c r="DZ6" s="337" t="s">
        <v>141</v>
      </c>
      <c r="EA6" s="359" t="s">
        <v>373</v>
      </c>
      <c r="EB6" s="360" t="s">
        <v>142</v>
      </c>
      <c r="EC6" s="336" t="s">
        <v>373</v>
      </c>
      <c r="ED6" s="337" t="s">
        <v>141</v>
      </c>
      <c r="EE6" s="359" t="s">
        <v>373</v>
      </c>
      <c r="EF6" s="360" t="s">
        <v>142</v>
      </c>
      <c r="EG6" s="336" t="s">
        <v>373</v>
      </c>
      <c r="EH6" s="337" t="s">
        <v>141</v>
      </c>
      <c r="EI6" s="359" t="s">
        <v>373</v>
      </c>
      <c r="EJ6" s="360" t="s">
        <v>142</v>
      </c>
      <c r="EK6" s="336" t="s">
        <v>373</v>
      </c>
      <c r="EL6" s="337" t="s">
        <v>141</v>
      </c>
      <c r="EM6" s="359" t="s">
        <v>373</v>
      </c>
      <c r="EN6" s="360" t="s">
        <v>142</v>
      </c>
      <c r="EO6" s="336" t="s">
        <v>373</v>
      </c>
      <c r="EP6" s="337" t="s">
        <v>141</v>
      </c>
      <c r="EQ6" s="359" t="s">
        <v>373</v>
      </c>
      <c r="ER6" s="360" t="s">
        <v>142</v>
      </c>
      <c r="ES6" s="336" t="s">
        <v>373</v>
      </c>
      <c r="ET6" s="337" t="s">
        <v>141</v>
      </c>
      <c r="EU6" s="359" t="s">
        <v>373</v>
      </c>
      <c r="EV6" s="360" t="s">
        <v>142</v>
      </c>
      <c r="EW6" s="336" t="s">
        <v>373</v>
      </c>
      <c r="EX6" s="337" t="s">
        <v>141</v>
      </c>
      <c r="EY6" s="359" t="s">
        <v>373</v>
      </c>
      <c r="EZ6" s="360" t="s">
        <v>142</v>
      </c>
      <c r="FA6" s="336" t="s">
        <v>373</v>
      </c>
      <c r="FB6" s="337" t="s">
        <v>141</v>
      </c>
      <c r="FC6" s="359" t="s">
        <v>373</v>
      </c>
      <c r="FD6" s="360" t="s">
        <v>142</v>
      </c>
      <c r="FE6" s="336" t="s">
        <v>373</v>
      </c>
      <c r="FF6" s="337" t="s">
        <v>141</v>
      </c>
      <c r="FG6" s="359" t="s">
        <v>373</v>
      </c>
      <c r="FH6" s="360" t="s">
        <v>142</v>
      </c>
      <c r="FI6" s="336" t="s">
        <v>373</v>
      </c>
      <c r="FJ6" s="337" t="s">
        <v>141</v>
      </c>
      <c r="FK6" s="359" t="s">
        <v>373</v>
      </c>
      <c r="FL6" s="360" t="s">
        <v>142</v>
      </c>
      <c r="FM6" s="336" t="s">
        <v>373</v>
      </c>
      <c r="FN6" s="337" t="s">
        <v>141</v>
      </c>
      <c r="FO6" s="359" t="s">
        <v>373</v>
      </c>
      <c r="FP6" s="360" t="s">
        <v>142</v>
      </c>
      <c r="FQ6" s="336" t="s">
        <v>373</v>
      </c>
      <c r="FR6" s="337" t="s">
        <v>141</v>
      </c>
      <c r="FS6" s="359" t="s">
        <v>373</v>
      </c>
      <c r="FT6" s="360" t="s">
        <v>142</v>
      </c>
      <c r="FU6" s="336" t="s">
        <v>373</v>
      </c>
      <c r="FV6" s="337" t="s">
        <v>141</v>
      </c>
      <c r="FW6" s="359" t="s">
        <v>373</v>
      </c>
      <c r="FX6" s="360" t="s">
        <v>142</v>
      </c>
      <c r="FY6" s="336" t="s">
        <v>373</v>
      </c>
      <c r="FZ6" s="337" t="s">
        <v>141</v>
      </c>
      <c r="GA6" s="359" t="s">
        <v>373</v>
      </c>
      <c r="GB6" s="360" t="s">
        <v>142</v>
      </c>
      <c r="GC6" s="336" t="s">
        <v>373</v>
      </c>
      <c r="GD6" s="337" t="s">
        <v>141</v>
      </c>
      <c r="GE6" s="359" t="s">
        <v>373</v>
      </c>
      <c r="GF6" s="360" t="s">
        <v>142</v>
      </c>
      <c r="GG6" s="336" t="s">
        <v>373</v>
      </c>
      <c r="GH6" s="337" t="s">
        <v>141</v>
      </c>
      <c r="GI6" s="359" t="s">
        <v>373</v>
      </c>
      <c r="GJ6" s="360" t="s">
        <v>142</v>
      </c>
      <c r="GK6" s="336" t="s">
        <v>373</v>
      </c>
      <c r="GL6" s="337" t="s">
        <v>141</v>
      </c>
      <c r="GM6" s="359" t="s">
        <v>373</v>
      </c>
      <c r="GN6" s="360" t="s">
        <v>142</v>
      </c>
      <c r="GO6" s="336" t="s">
        <v>373</v>
      </c>
      <c r="GP6" s="337" t="s">
        <v>141</v>
      </c>
      <c r="GQ6" s="359" t="s">
        <v>373</v>
      </c>
      <c r="GR6" s="360" t="s">
        <v>142</v>
      </c>
      <c r="GS6" s="336" t="s">
        <v>373</v>
      </c>
      <c r="GT6" s="337" t="s">
        <v>141</v>
      </c>
      <c r="GU6" s="359" t="s">
        <v>373</v>
      </c>
      <c r="GV6" s="360" t="s">
        <v>142</v>
      </c>
      <c r="GW6" s="336" t="s">
        <v>373</v>
      </c>
      <c r="GX6" s="337" t="s">
        <v>141</v>
      </c>
      <c r="GY6" s="359" t="s">
        <v>373</v>
      </c>
      <c r="GZ6" s="360" t="s">
        <v>142</v>
      </c>
      <c r="HA6" s="336" t="s">
        <v>373</v>
      </c>
      <c r="HB6" s="337" t="s">
        <v>141</v>
      </c>
      <c r="HC6" s="359" t="s">
        <v>373</v>
      </c>
      <c r="HD6" s="360" t="s">
        <v>142</v>
      </c>
      <c r="HE6" s="336" t="s">
        <v>373</v>
      </c>
      <c r="HF6" s="337" t="s">
        <v>141</v>
      </c>
      <c r="HG6" s="359" t="s">
        <v>373</v>
      </c>
      <c r="HH6" s="360" t="s">
        <v>142</v>
      </c>
      <c r="HI6" s="336" t="s">
        <v>373</v>
      </c>
      <c r="HJ6" s="337" t="s">
        <v>141</v>
      </c>
      <c r="HK6" s="359" t="s">
        <v>373</v>
      </c>
      <c r="HL6" s="360" t="s">
        <v>142</v>
      </c>
      <c r="HM6" s="336" t="s">
        <v>373</v>
      </c>
      <c r="HN6" s="337" t="s">
        <v>141</v>
      </c>
      <c r="HO6" s="359" t="s">
        <v>373</v>
      </c>
      <c r="HP6" s="360" t="s">
        <v>142</v>
      </c>
      <c r="HQ6" s="336" t="s">
        <v>373</v>
      </c>
      <c r="HR6" s="337" t="s">
        <v>141</v>
      </c>
      <c r="HS6" s="359" t="s">
        <v>373</v>
      </c>
      <c r="HT6" s="360" t="s">
        <v>142</v>
      </c>
      <c r="HU6" s="336" t="s">
        <v>373</v>
      </c>
      <c r="HV6" s="337" t="s">
        <v>141</v>
      </c>
      <c r="HW6" s="359" t="s">
        <v>373</v>
      </c>
      <c r="HX6" s="360" t="s">
        <v>142</v>
      </c>
      <c r="HY6" s="336" t="s">
        <v>373</v>
      </c>
      <c r="HZ6" s="337" t="s">
        <v>141</v>
      </c>
      <c r="IA6" s="359" t="s">
        <v>373</v>
      </c>
      <c r="IB6" s="360" t="s">
        <v>142</v>
      </c>
      <c r="IC6" s="336" t="s">
        <v>373</v>
      </c>
      <c r="ID6" s="337" t="s">
        <v>141</v>
      </c>
      <c r="IE6" s="359" t="s">
        <v>373</v>
      </c>
      <c r="IF6" s="360" t="s">
        <v>142</v>
      </c>
      <c r="IG6" s="336" t="s">
        <v>373</v>
      </c>
      <c r="IH6" s="337" t="s">
        <v>141</v>
      </c>
      <c r="II6" s="359" t="s">
        <v>373</v>
      </c>
      <c r="IJ6" s="360" t="s">
        <v>142</v>
      </c>
      <c r="IK6" s="336" t="s">
        <v>373</v>
      </c>
      <c r="IL6" s="337" t="s">
        <v>141</v>
      </c>
      <c r="IM6" s="359" t="s">
        <v>373</v>
      </c>
      <c r="IN6" s="360" t="s">
        <v>142</v>
      </c>
      <c r="IO6" s="336" t="s">
        <v>373</v>
      </c>
      <c r="IP6" s="337" t="s">
        <v>141</v>
      </c>
      <c r="IQ6" s="359" t="s">
        <v>373</v>
      </c>
      <c r="IR6" s="360" t="s">
        <v>142</v>
      </c>
      <c r="IS6" s="336" t="s">
        <v>373</v>
      </c>
      <c r="IT6" s="337" t="s">
        <v>141</v>
      </c>
      <c r="IU6" s="359" t="s">
        <v>373</v>
      </c>
      <c r="IV6" s="360" t="s">
        <v>142</v>
      </c>
      <c r="IW6" s="336" t="s">
        <v>373</v>
      </c>
      <c r="IX6" s="337" t="s">
        <v>141</v>
      </c>
      <c r="IY6" s="359" t="s">
        <v>373</v>
      </c>
      <c r="IZ6" s="360" t="s">
        <v>142</v>
      </c>
      <c r="JA6" s="336" t="s">
        <v>373</v>
      </c>
      <c r="JB6" s="337" t="s">
        <v>141</v>
      </c>
      <c r="JC6" s="359" t="s">
        <v>373</v>
      </c>
      <c r="JD6" s="360" t="s">
        <v>142</v>
      </c>
      <c r="JE6" s="336" t="s">
        <v>373</v>
      </c>
      <c r="JF6" s="337" t="s">
        <v>141</v>
      </c>
      <c r="JG6" s="359" t="s">
        <v>373</v>
      </c>
      <c r="JH6" s="360" t="s">
        <v>142</v>
      </c>
      <c r="JI6" s="336" t="s">
        <v>373</v>
      </c>
      <c r="JJ6" s="337" t="s">
        <v>141</v>
      </c>
      <c r="JK6" s="359" t="s">
        <v>373</v>
      </c>
      <c r="JL6" s="360" t="s">
        <v>142</v>
      </c>
      <c r="JM6" s="336" t="s">
        <v>373</v>
      </c>
      <c r="JN6" s="337" t="s">
        <v>141</v>
      </c>
      <c r="JO6" s="359" t="s">
        <v>373</v>
      </c>
      <c r="JP6" s="360" t="s">
        <v>142</v>
      </c>
      <c r="JQ6" s="336" t="s">
        <v>373</v>
      </c>
      <c r="JR6" s="337" t="s">
        <v>141</v>
      </c>
      <c r="JS6" s="359" t="s">
        <v>373</v>
      </c>
      <c r="JT6" s="360" t="s">
        <v>142</v>
      </c>
      <c r="JU6" s="336" t="s">
        <v>373</v>
      </c>
      <c r="JV6" s="337" t="s">
        <v>141</v>
      </c>
      <c r="JW6" s="359" t="s">
        <v>373</v>
      </c>
      <c r="JX6" s="360" t="s">
        <v>142</v>
      </c>
      <c r="JY6" s="336" t="s">
        <v>373</v>
      </c>
      <c r="JZ6" s="337" t="s">
        <v>141</v>
      </c>
      <c r="KA6" s="359" t="s">
        <v>373</v>
      </c>
      <c r="KB6" s="360" t="s">
        <v>142</v>
      </c>
      <c r="KC6" s="336" t="s">
        <v>373</v>
      </c>
      <c r="KD6" s="337" t="s">
        <v>141</v>
      </c>
      <c r="KE6" s="359" t="s">
        <v>373</v>
      </c>
      <c r="KF6" s="360" t="s">
        <v>142</v>
      </c>
      <c r="KG6" s="336" t="s">
        <v>373</v>
      </c>
      <c r="KH6" s="337" t="s">
        <v>141</v>
      </c>
      <c r="KI6" s="359" t="s">
        <v>373</v>
      </c>
      <c r="KJ6" s="360" t="s">
        <v>142</v>
      </c>
      <c r="KK6" s="336" t="s">
        <v>373</v>
      </c>
      <c r="KL6" s="337" t="s">
        <v>141</v>
      </c>
      <c r="KM6" s="359" t="s">
        <v>373</v>
      </c>
      <c r="KN6" s="360" t="s">
        <v>142</v>
      </c>
      <c r="KO6" s="336" t="s">
        <v>373</v>
      </c>
      <c r="KP6" s="337" t="s">
        <v>141</v>
      </c>
      <c r="KQ6" s="359" t="s">
        <v>373</v>
      </c>
      <c r="KR6" s="360" t="s">
        <v>142</v>
      </c>
      <c r="KS6" s="336" t="s">
        <v>373</v>
      </c>
      <c r="KT6" s="337" t="s">
        <v>141</v>
      </c>
      <c r="KU6" s="359" t="s">
        <v>373</v>
      </c>
      <c r="KV6" s="360" t="s">
        <v>142</v>
      </c>
      <c r="KW6" s="336" t="s">
        <v>373</v>
      </c>
      <c r="KX6" s="337" t="s">
        <v>141</v>
      </c>
      <c r="KY6" s="359" t="s">
        <v>373</v>
      </c>
      <c r="KZ6" s="360" t="s">
        <v>142</v>
      </c>
      <c r="LA6" s="336" t="s">
        <v>373</v>
      </c>
      <c r="LB6" s="337" t="s">
        <v>141</v>
      </c>
      <c r="LC6" s="359" t="s">
        <v>373</v>
      </c>
      <c r="LD6" s="360" t="s">
        <v>142</v>
      </c>
      <c r="LE6" s="336" t="s">
        <v>373</v>
      </c>
      <c r="LF6" s="337" t="s">
        <v>141</v>
      </c>
      <c r="LG6" s="359" t="s">
        <v>373</v>
      </c>
      <c r="LH6" s="360" t="s">
        <v>142</v>
      </c>
      <c r="LI6" s="336" t="s">
        <v>373</v>
      </c>
      <c r="LJ6" s="337" t="s">
        <v>141</v>
      </c>
      <c r="LK6" s="359" t="s">
        <v>373</v>
      </c>
      <c r="LL6" s="360" t="s">
        <v>142</v>
      </c>
      <c r="LM6" s="336" t="s">
        <v>373</v>
      </c>
      <c r="LN6" s="337" t="s">
        <v>141</v>
      </c>
      <c r="LO6" s="359" t="s">
        <v>373</v>
      </c>
      <c r="LP6" s="360" t="s">
        <v>142</v>
      </c>
      <c r="LQ6" s="336" t="s">
        <v>373</v>
      </c>
      <c r="LR6" s="337" t="s">
        <v>141</v>
      </c>
      <c r="LS6" s="359" t="s">
        <v>373</v>
      </c>
      <c r="LT6" s="360" t="s">
        <v>142</v>
      </c>
      <c r="LU6" s="336" t="s">
        <v>373</v>
      </c>
      <c r="LV6" s="337" t="s">
        <v>141</v>
      </c>
      <c r="LW6" s="359" t="s">
        <v>373</v>
      </c>
      <c r="LX6" s="360" t="s">
        <v>142</v>
      </c>
      <c r="LY6" s="336" t="s">
        <v>373</v>
      </c>
      <c r="LZ6" s="337" t="s">
        <v>141</v>
      </c>
      <c r="MA6" s="359" t="s">
        <v>373</v>
      </c>
      <c r="MB6" s="360" t="s">
        <v>142</v>
      </c>
      <c r="MC6" s="336" t="s">
        <v>373</v>
      </c>
      <c r="MD6" s="337" t="s">
        <v>141</v>
      </c>
      <c r="ME6" s="359" t="s">
        <v>373</v>
      </c>
      <c r="MF6" s="360" t="s">
        <v>142</v>
      </c>
      <c r="MG6" s="336" t="s">
        <v>373</v>
      </c>
      <c r="MH6" s="337" t="s">
        <v>141</v>
      </c>
      <c r="MI6" s="359" t="s">
        <v>373</v>
      </c>
      <c r="MJ6" s="360" t="s">
        <v>142</v>
      </c>
      <c r="MK6" s="336" t="s">
        <v>373</v>
      </c>
      <c r="ML6" s="337" t="s">
        <v>141</v>
      </c>
      <c r="MM6" s="359" t="s">
        <v>373</v>
      </c>
      <c r="MN6" s="360" t="s">
        <v>142</v>
      </c>
      <c r="MO6" s="336" t="s">
        <v>373</v>
      </c>
      <c r="MP6" s="337" t="s">
        <v>141</v>
      </c>
      <c r="MQ6" s="359" t="s">
        <v>373</v>
      </c>
      <c r="MR6" s="360" t="s">
        <v>142</v>
      </c>
      <c r="MS6" s="336" t="s">
        <v>373</v>
      </c>
      <c r="MT6" s="337" t="s">
        <v>141</v>
      </c>
      <c r="MU6" s="359" t="s">
        <v>373</v>
      </c>
      <c r="MV6" s="360" t="s">
        <v>142</v>
      </c>
      <c r="MW6" s="336" t="s">
        <v>373</v>
      </c>
      <c r="MX6" s="337" t="s">
        <v>141</v>
      </c>
      <c r="MY6" s="359" t="s">
        <v>373</v>
      </c>
      <c r="MZ6" s="360" t="s">
        <v>142</v>
      </c>
      <c r="NA6" s="336" t="s">
        <v>373</v>
      </c>
      <c r="NB6" s="337" t="s">
        <v>141</v>
      </c>
      <c r="NC6" s="359" t="s">
        <v>373</v>
      </c>
      <c r="ND6" s="360" t="s">
        <v>142</v>
      </c>
      <c r="NE6" s="336" t="s">
        <v>373</v>
      </c>
      <c r="NF6" s="337" t="s">
        <v>141</v>
      </c>
      <c r="NG6" s="359" t="s">
        <v>373</v>
      </c>
      <c r="NH6" s="360" t="s">
        <v>142</v>
      </c>
      <c r="NI6" s="336" t="s">
        <v>373</v>
      </c>
      <c r="NJ6" s="337" t="s">
        <v>141</v>
      </c>
      <c r="NK6" s="359" t="s">
        <v>373</v>
      </c>
      <c r="NL6" s="360" t="s">
        <v>142</v>
      </c>
      <c r="NM6" s="336" t="s">
        <v>373</v>
      </c>
      <c r="NN6" s="337" t="s">
        <v>141</v>
      </c>
      <c r="NO6" s="359" t="s">
        <v>373</v>
      </c>
      <c r="NP6" s="360" t="s">
        <v>142</v>
      </c>
      <c r="NQ6" s="336" t="s">
        <v>373</v>
      </c>
      <c r="NR6" s="337" t="s">
        <v>141</v>
      </c>
      <c r="NS6" s="359" t="s">
        <v>373</v>
      </c>
      <c r="NT6" s="360" t="s">
        <v>142</v>
      </c>
      <c r="NU6" s="336" t="s">
        <v>373</v>
      </c>
      <c r="NV6" s="337" t="s">
        <v>141</v>
      </c>
      <c r="NW6" s="359" t="s">
        <v>373</v>
      </c>
      <c r="NX6" s="360" t="s">
        <v>142</v>
      </c>
      <c r="NY6" s="336" t="s">
        <v>373</v>
      </c>
      <c r="NZ6" s="337" t="s">
        <v>141</v>
      </c>
      <c r="OA6" s="359" t="s">
        <v>373</v>
      </c>
      <c r="OB6" s="360" t="s">
        <v>142</v>
      </c>
      <c r="OC6" s="336" t="s">
        <v>373</v>
      </c>
      <c r="OD6" s="337" t="s">
        <v>141</v>
      </c>
      <c r="OE6" s="359" t="s">
        <v>373</v>
      </c>
      <c r="OF6" s="360" t="s">
        <v>142</v>
      </c>
      <c r="OG6" s="336" t="s">
        <v>373</v>
      </c>
      <c r="OH6" s="337" t="s">
        <v>141</v>
      </c>
      <c r="OI6" s="359" t="s">
        <v>373</v>
      </c>
      <c r="OJ6" s="360" t="s">
        <v>142</v>
      </c>
      <c r="OK6" s="336" t="s">
        <v>373</v>
      </c>
      <c r="OL6" s="337" t="s">
        <v>141</v>
      </c>
      <c r="OM6" s="359" t="s">
        <v>373</v>
      </c>
      <c r="ON6" s="360" t="s">
        <v>142</v>
      </c>
      <c r="OO6" s="336" t="s">
        <v>373</v>
      </c>
      <c r="OP6" s="337" t="s">
        <v>141</v>
      </c>
      <c r="OQ6" s="359" t="s">
        <v>373</v>
      </c>
      <c r="OR6" s="360" t="s">
        <v>142</v>
      </c>
      <c r="OS6" s="336" t="s">
        <v>373</v>
      </c>
      <c r="OT6" s="337" t="s">
        <v>141</v>
      </c>
      <c r="OU6" s="359" t="s">
        <v>373</v>
      </c>
      <c r="OV6" s="360" t="s">
        <v>142</v>
      </c>
      <c r="OW6" s="336" t="s">
        <v>373</v>
      </c>
      <c r="OX6" s="337" t="s">
        <v>141</v>
      </c>
      <c r="OY6" s="359" t="s">
        <v>373</v>
      </c>
      <c r="OZ6" s="360" t="s">
        <v>142</v>
      </c>
      <c r="PA6" s="336" t="s">
        <v>373</v>
      </c>
      <c r="PB6" s="337" t="s">
        <v>141</v>
      </c>
      <c r="PC6" s="359" t="s">
        <v>373</v>
      </c>
      <c r="PD6" s="360" t="s">
        <v>142</v>
      </c>
      <c r="PE6" s="336" t="s">
        <v>373</v>
      </c>
      <c r="PF6" s="337" t="s">
        <v>141</v>
      </c>
      <c r="PG6" s="359" t="s">
        <v>373</v>
      </c>
      <c r="PH6" s="360" t="s">
        <v>142</v>
      </c>
      <c r="PI6" s="336" t="s">
        <v>373</v>
      </c>
      <c r="PJ6" s="337" t="s">
        <v>141</v>
      </c>
      <c r="PK6" s="359" t="s">
        <v>373</v>
      </c>
      <c r="PL6" s="360" t="s">
        <v>142</v>
      </c>
      <c r="PM6" s="336" t="s">
        <v>373</v>
      </c>
      <c r="PN6" s="337" t="s">
        <v>141</v>
      </c>
      <c r="PO6" s="359" t="s">
        <v>373</v>
      </c>
      <c r="PP6" s="360" t="s">
        <v>142</v>
      </c>
      <c r="PQ6" s="336" t="s">
        <v>373</v>
      </c>
      <c r="PR6" s="337" t="s">
        <v>141</v>
      </c>
      <c r="PS6" s="359" t="s">
        <v>373</v>
      </c>
      <c r="PT6" s="360" t="s">
        <v>142</v>
      </c>
      <c r="PU6" s="336" t="s">
        <v>373</v>
      </c>
      <c r="PV6" s="337" t="s">
        <v>141</v>
      </c>
      <c r="PW6" s="359" t="s">
        <v>373</v>
      </c>
      <c r="PX6" s="360" t="s">
        <v>142</v>
      </c>
      <c r="PY6" s="336" t="s">
        <v>373</v>
      </c>
      <c r="PZ6" s="337" t="s">
        <v>141</v>
      </c>
      <c r="QA6" s="359" t="s">
        <v>373</v>
      </c>
      <c r="QB6" s="360" t="s">
        <v>142</v>
      </c>
      <c r="QC6" s="336" t="s">
        <v>373</v>
      </c>
      <c r="QD6" s="337" t="s">
        <v>141</v>
      </c>
      <c r="QE6" s="346" t="s">
        <v>373</v>
      </c>
      <c r="QF6" s="347" t="s">
        <v>373</v>
      </c>
      <c r="QG6" s="336" t="s">
        <v>373</v>
      </c>
      <c r="QH6" s="337" t="s">
        <v>141</v>
      </c>
      <c r="QI6" s="346" t="s">
        <v>373</v>
      </c>
      <c r="QJ6" s="347" t="s">
        <v>373</v>
      </c>
      <c r="QK6" s="329" t="str">
        <f>IFERROR(CONCATENATE(VLOOKUP(QH6,TableMajors[],2,FALSE)," ",VLOOKUP(QH6,TableMajors[],3,FALSE)),"")</f>
        <v/>
      </c>
      <c r="QL6" s="329" t="str">
        <f>IFERROR(CONCATENATE(VLOOKUP(QI6,TableMajors[],2,FALSE)," ",VLOOKUP(QI6,TableMajors[],3,FALSE)),"")</f>
        <v/>
      </c>
      <c r="QM6" s="329" t="str">
        <f>IFERROR(CONCATENATE(VLOOKUP(QJ6,TableMajors[],2,FALSE)," ",VLOOKUP(QJ6,TableMajors[],3,FALSE)),"")</f>
        <v/>
      </c>
      <c r="QN6" s="329" t="str">
        <f>IFERROR(CONCATENATE(VLOOKUP(QK6,TableMajors[],2,FALSE)," ",VLOOKUP(QK6,TableMajors[],3,FALSE)),"")</f>
        <v/>
      </c>
      <c r="QO6" s="329" t="str">
        <f>IFERROR(CONCATENATE(VLOOKUP(QL6,TableMajors[],2,FALSE)," ",VLOOKUP(QL6,TableMajors[],3,FALSE)),"")</f>
        <v/>
      </c>
      <c r="QP6" s="329" t="str">
        <f>IFERROR(CONCATENATE(VLOOKUP(QM6,TableMajors[],2,FALSE)," ",VLOOKUP(QM6,TableMajors[],3,FALSE)),"")</f>
        <v/>
      </c>
      <c r="QQ6" s="329" t="str">
        <f>IFERROR(CONCATENATE(VLOOKUP(QN6,TableMajors[],2,FALSE)," ",VLOOKUP(QN6,TableMajors[],3,FALSE)),"")</f>
        <v/>
      </c>
      <c r="QR6" s="329" t="str">
        <f>IFERROR(CONCATENATE(VLOOKUP(QO6,TableMajors[],2,FALSE)," ",VLOOKUP(QO6,TableMajors[],3,FALSE)),"")</f>
        <v/>
      </c>
      <c r="QS6" s="329" t="str">
        <f>IFERROR(CONCATENATE(VLOOKUP(QP6,TableMajors[],2,FALSE)," ",VLOOKUP(QP6,TableMajors[],3,FALSE)),"")</f>
        <v/>
      </c>
      <c r="QT6" s="329" t="str">
        <f>IFERROR(CONCATENATE(VLOOKUP(QQ6,TableMajors[],2,FALSE)," ",VLOOKUP(QQ6,TableMajors[],3,FALSE)),"")</f>
        <v/>
      </c>
      <c r="QU6" s="329" t="str">
        <f>IFERROR(CONCATENATE(VLOOKUP(QR6,TableMajors[],2,FALSE)," ",VLOOKUP(QR6,TableMajors[],3,FALSE)),"")</f>
        <v/>
      </c>
      <c r="QV6" s="329" t="str">
        <f>IFERROR(CONCATENATE(VLOOKUP(QS6,TableMajors[],2,FALSE)," ",VLOOKUP(QS6,TableMajors[],3,FALSE)),"")</f>
        <v/>
      </c>
      <c r="QW6" s="329" t="str">
        <f>IFERROR(CONCATENATE(VLOOKUP(QT6,TableMajors[],2,FALSE)," ",VLOOKUP(QT6,TableMajors[],3,FALSE)),"")</f>
        <v/>
      </c>
      <c r="QX6" s="329" t="str">
        <f>IFERROR(CONCATENATE(VLOOKUP(QU6,TableMajors[],2,FALSE)," ",VLOOKUP(QU6,TableMajors[],3,FALSE)),"")</f>
        <v/>
      </c>
      <c r="QY6" s="329" t="str">
        <f>IFERROR(CONCATENATE(VLOOKUP(QV6,TableMajors[],2,FALSE)," ",VLOOKUP(QV6,TableMajors[],3,FALSE)),"")</f>
        <v/>
      </c>
      <c r="QZ6" s="329" t="str">
        <f>IFERROR(CONCATENATE(VLOOKUP(QW6,TableMajors[],2,FALSE)," ",VLOOKUP(QW6,TableMajors[],3,FALSE)),"")</f>
        <v/>
      </c>
      <c r="RA6" s="329" t="str">
        <f>IFERROR(CONCATENATE(VLOOKUP(QX6,TableMajors[],2,FALSE)," ",VLOOKUP(QX6,TableMajors[],3,FALSE)),"")</f>
        <v/>
      </c>
      <c r="RB6" s="329" t="str">
        <f>IFERROR(CONCATENATE(VLOOKUP(QY6,TableMajors[],2,FALSE)," ",VLOOKUP(QY6,TableMajors[],3,FALSE)),"")</f>
        <v/>
      </c>
      <c r="RC6" s="329" t="str">
        <f>IFERROR(CONCATENATE(VLOOKUP(QZ6,TableMajors[],2,FALSE)," ",VLOOKUP(QZ6,TableMajors[],3,FALSE)),"")</f>
        <v/>
      </c>
      <c r="RD6" s="329" t="str">
        <f>IFERROR(CONCATENATE(VLOOKUP(RA6,TableMajors[],2,FALSE)," ",VLOOKUP(RA6,TableMajors[],3,FALSE)),"")</f>
        <v/>
      </c>
      <c r="RE6" s="329" t="str">
        <f>IFERROR(CONCATENATE(VLOOKUP(RB6,TableMajors[],2,FALSE)," ",VLOOKUP(RB6,TableMajors[],3,FALSE)),"")</f>
        <v/>
      </c>
      <c r="RF6" s="329" t="str">
        <f>IFERROR(CONCATENATE(VLOOKUP(RC6,TableMajors[],2,FALSE)," ",VLOOKUP(RC6,TableMajors[],3,FALSE)),"")</f>
        <v/>
      </c>
      <c r="RG6" s="329" t="str">
        <f>IFERROR(CONCATENATE(VLOOKUP(RD6,TableMajors[],2,FALSE)," ",VLOOKUP(RD6,TableMajors[],3,FALSE)),"")</f>
        <v/>
      </c>
      <c r="RH6" s="329" t="str">
        <f>IFERROR(CONCATENATE(VLOOKUP(RE6,TableMajors[],2,FALSE)," ",VLOOKUP(RE6,TableMajors[],3,FALSE)),"")</f>
        <v/>
      </c>
      <c r="RI6" s="329" t="str">
        <f>IFERROR(CONCATENATE(VLOOKUP(RF6,TableMajors[],2,FALSE)," ",VLOOKUP(RF6,TableMajors[],3,FALSE)),"")</f>
        <v/>
      </c>
      <c r="RJ6" s="329" t="str">
        <f>IFERROR(CONCATENATE(VLOOKUP(RG6,TableMajors[],2,FALSE)," ",VLOOKUP(RG6,TableMajors[],3,FALSE)),"")</f>
        <v/>
      </c>
      <c r="RK6" s="329" t="str">
        <f>IFERROR(CONCATENATE(VLOOKUP(RH6,TableMajors[],2,FALSE)," ",VLOOKUP(RH6,TableMajors[],3,FALSE)),"")</f>
        <v/>
      </c>
      <c r="RL6" s="329" t="str">
        <f>IFERROR(CONCATENATE(VLOOKUP(RI6,TableMajors[],2,FALSE)," ",VLOOKUP(RI6,TableMajors[],3,FALSE)),"")</f>
        <v/>
      </c>
      <c r="RM6" s="329" t="str">
        <f>IFERROR(CONCATENATE(VLOOKUP(RJ6,TableMajors[],2,FALSE)," ",VLOOKUP(RJ6,TableMajors[],3,FALSE)),"")</f>
        <v/>
      </c>
    </row>
    <row r="7" spans="1:481" x14ac:dyDescent="0.25">
      <c r="A7" s="6" t="s">
        <v>374</v>
      </c>
      <c r="B7" s="14" t="s">
        <v>0</v>
      </c>
      <c r="C7" s="6" t="s">
        <v>65</v>
      </c>
      <c r="D7" s="6" t="s">
        <v>66</v>
      </c>
      <c r="E7" s="6" t="s">
        <v>67</v>
      </c>
      <c r="F7" s="6" t="s">
        <v>68</v>
      </c>
      <c r="G7" s="6" t="s">
        <v>69</v>
      </c>
      <c r="J7" s="141"/>
      <c r="K7" s="146" t="str">
        <f>INDEX(TableStreams[Choose your Specialisation Stream second (drop-down list)],MATCH(L7,TableStreams[UDC],0))</f>
        <v>English Education Minor Teaching Area Stream (BEd Secondary)</v>
      </c>
      <c r="L7" s="141" t="s">
        <v>353</v>
      </c>
      <c r="O7" s="19"/>
      <c r="P7" s="3">
        <v>5</v>
      </c>
      <c r="Q7" s="116" t="s">
        <v>54</v>
      </c>
      <c r="R7" s="115" t="s">
        <v>55</v>
      </c>
      <c r="S7" s="116" t="s">
        <v>56</v>
      </c>
      <c r="T7" s="119" t="s">
        <v>375</v>
      </c>
      <c r="U7" s="117" t="s">
        <v>54</v>
      </c>
      <c r="V7" s="298" t="str">
        <f>$R7</f>
        <v>EDUC1021</v>
      </c>
      <c r="W7" s="116" t="s">
        <v>56</v>
      </c>
      <c r="X7" s="119" t="s">
        <v>375</v>
      </c>
      <c r="Y7" s="116" t="s">
        <v>54</v>
      </c>
      <c r="Z7" s="297" t="str">
        <f>$R7</f>
        <v>EDUC1021</v>
      </c>
      <c r="AA7" s="116" t="s">
        <v>56</v>
      </c>
      <c r="AB7" s="119" t="s">
        <v>375</v>
      </c>
      <c r="AC7" s="116" t="s">
        <v>54</v>
      </c>
      <c r="AD7" s="297" t="str">
        <f>$R7</f>
        <v>EDUC1021</v>
      </c>
      <c r="AE7" s="116" t="s">
        <v>56</v>
      </c>
      <c r="AF7" s="119" t="s">
        <v>375</v>
      </c>
      <c r="AG7" s="116" t="s">
        <v>54</v>
      </c>
      <c r="AH7" s="297" t="str">
        <f>$R7</f>
        <v>EDUC1021</v>
      </c>
      <c r="AI7" s="116" t="s">
        <v>56</v>
      </c>
      <c r="AJ7" s="119" t="s">
        <v>375</v>
      </c>
      <c r="AK7" s="116" t="s">
        <v>54</v>
      </c>
      <c r="AL7" s="297" t="str">
        <f>$R7</f>
        <v>EDUC1021</v>
      </c>
      <c r="AM7" s="116" t="s">
        <v>56</v>
      </c>
      <c r="AN7" s="119" t="s">
        <v>375</v>
      </c>
      <c r="AO7" s="116" t="s">
        <v>54</v>
      </c>
      <c r="AP7" s="297" t="str">
        <f>$R7</f>
        <v>EDUC1021</v>
      </c>
      <c r="AQ7" s="116" t="s">
        <v>56</v>
      </c>
      <c r="AR7" s="119" t="s">
        <v>375</v>
      </c>
      <c r="AS7" s="116" t="s">
        <v>54</v>
      </c>
      <c r="AT7" s="297" t="str">
        <f>$R7</f>
        <v>EDUC1021</v>
      </c>
      <c r="AU7" s="116" t="s">
        <v>56</v>
      </c>
      <c r="AV7" s="119" t="s">
        <v>375</v>
      </c>
      <c r="AW7" s="116" t="s">
        <v>54</v>
      </c>
      <c r="AX7" s="297" t="str">
        <f>$R7</f>
        <v>EDUC1021</v>
      </c>
      <c r="AY7" s="116" t="s">
        <v>56</v>
      </c>
      <c r="AZ7" s="119" t="s">
        <v>375</v>
      </c>
      <c r="BA7" s="116" t="s">
        <v>54</v>
      </c>
      <c r="BB7" s="297" t="str">
        <f>$R7</f>
        <v>EDUC1021</v>
      </c>
      <c r="BC7" s="116" t="s">
        <v>56</v>
      </c>
      <c r="BD7" s="119" t="s">
        <v>375</v>
      </c>
      <c r="BE7" s="116" t="s">
        <v>54</v>
      </c>
      <c r="BF7" s="297" t="str">
        <f>$R7</f>
        <v>EDUC1021</v>
      </c>
      <c r="BG7" s="116" t="s">
        <v>56</v>
      </c>
      <c r="BH7" s="119" t="s">
        <v>375</v>
      </c>
      <c r="BI7" s="116" t="s">
        <v>54</v>
      </c>
      <c r="BJ7" s="297" t="str">
        <f>$R7</f>
        <v>EDUC1021</v>
      </c>
      <c r="BK7" s="116" t="s">
        <v>56</v>
      </c>
      <c r="BL7" s="119" t="s">
        <v>375</v>
      </c>
      <c r="BM7" s="116" t="s">
        <v>54</v>
      </c>
      <c r="BN7" s="297" t="str">
        <f>$R7</f>
        <v>EDUC1021</v>
      </c>
      <c r="BO7" s="116" t="s">
        <v>56</v>
      </c>
      <c r="BP7" s="119" t="s">
        <v>375</v>
      </c>
      <c r="BQ7" s="116" t="s">
        <v>54</v>
      </c>
      <c r="BR7" s="297" t="str">
        <f>$R7</f>
        <v>EDUC1021</v>
      </c>
      <c r="BS7" s="116" t="s">
        <v>56</v>
      </c>
      <c r="BT7" s="119" t="s">
        <v>375</v>
      </c>
      <c r="BU7" s="116" t="s">
        <v>54</v>
      </c>
      <c r="BV7" s="297" t="str">
        <f>$R7</f>
        <v>EDUC1021</v>
      </c>
      <c r="BW7" s="116" t="s">
        <v>56</v>
      </c>
      <c r="BX7" s="119" t="s">
        <v>375</v>
      </c>
      <c r="BY7" s="116" t="s">
        <v>54</v>
      </c>
      <c r="BZ7" s="297" t="str">
        <f>$R7</f>
        <v>EDUC1021</v>
      </c>
      <c r="CA7" s="116" t="s">
        <v>56</v>
      </c>
      <c r="CB7" s="119" t="s">
        <v>375</v>
      </c>
      <c r="CC7" s="116" t="s">
        <v>54</v>
      </c>
      <c r="CD7" s="297" t="str">
        <f>$R7</f>
        <v>EDUC1021</v>
      </c>
      <c r="CE7" s="116" t="s">
        <v>56</v>
      </c>
      <c r="CF7" s="119" t="s">
        <v>375</v>
      </c>
      <c r="CG7" s="116" t="s">
        <v>54</v>
      </c>
      <c r="CH7" s="297" t="str">
        <f>$R7</f>
        <v>EDUC1021</v>
      </c>
      <c r="CI7" s="116" t="s">
        <v>56</v>
      </c>
      <c r="CJ7" s="119" t="s">
        <v>375</v>
      </c>
      <c r="CK7" s="116" t="s">
        <v>54</v>
      </c>
      <c r="CL7" s="297" t="str">
        <f>$R7</f>
        <v>EDUC1021</v>
      </c>
      <c r="CM7" s="116" t="s">
        <v>56</v>
      </c>
      <c r="CN7" s="119" t="s">
        <v>375</v>
      </c>
      <c r="CO7" s="116" t="s">
        <v>54</v>
      </c>
      <c r="CP7" s="297" t="str">
        <f>$R7</f>
        <v>EDUC1021</v>
      </c>
      <c r="CQ7" s="116" t="s">
        <v>56</v>
      </c>
      <c r="CR7" s="119" t="s">
        <v>375</v>
      </c>
      <c r="CS7" s="116" t="s">
        <v>54</v>
      </c>
      <c r="CT7" s="297" t="str">
        <f>$R7</f>
        <v>EDUC1021</v>
      </c>
      <c r="CU7" s="116" t="s">
        <v>56</v>
      </c>
      <c r="CV7" s="119" t="s">
        <v>375</v>
      </c>
      <c r="CW7" s="116" t="s">
        <v>54</v>
      </c>
      <c r="CX7" s="297" t="str">
        <f>$R7</f>
        <v>EDUC1021</v>
      </c>
      <c r="CY7" s="116" t="s">
        <v>56</v>
      </c>
      <c r="CZ7" s="119" t="s">
        <v>375</v>
      </c>
      <c r="DA7" s="116" t="s">
        <v>54</v>
      </c>
      <c r="DB7" s="297" t="str">
        <f>$R7</f>
        <v>EDUC1021</v>
      </c>
      <c r="DC7" s="116" t="s">
        <v>56</v>
      </c>
      <c r="DD7" s="119" t="s">
        <v>375</v>
      </c>
      <c r="DE7" s="116" t="s">
        <v>54</v>
      </c>
      <c r="DF7" s="297" t="str">
        <f>$R7</f>
        <v>EDUC1021</v>
      </c>
      <c r="DG7" s="116" t="s">
        <v>56</v>
      </c>
      <c r="DH7" s="119" t="s">
        <v>375</v>
      </c>
      <c r="DI7" s="116" t="s">
        <v>54</v>
      </c>
      <c r="DJ7" s="297" t="str">
        <f>$R7</f>
        <v>EDUC1021</v>
      </c>
      <c r="DK7" s="116" t="s">
        <v>56</v>
      </c>
      <c r="DL7" s="119" t="s">
        <v>375</v>
      </c>
      <c r="DM7" s="116" t="s">
        <v>54</v>
      </c>
      <c r="DN7" s="297" t="str">
        <f>$R7</f>
        <v>EDUC1021</v>
      </c>
      <c r="DO7" s="116" t="s">
        <v>56</v>
      </c>
      <c r="DP7" s="119" t="s">
        <v>375</v>
      </c>
      <c r="DQ7" s="116" t="s">
        <v>54</v>
      </c>
      <c r="DR7" s="297" t="str">
        <f>$R7</f>
        <v>EDUC1021</v>
      </c>
      <c r="DS7" s="116" t="s">
        <v>56</v>
      </c>
      <c r="DT7" s="119" t="s">
        <v>375</v>
      </c>
      <c r="DU7" s="116" t="s">
        <v>54</v>
      </c>
      <c r="DV7" s="297" t="str">
        <f>$R7</f>
        <v>EDUC1021</v>
      </c>
      <c r="DW7" s="116" t="s">
        <v>56</v>
      </c>
      <c r="DX7" s="119" t="s">
        <v>375</v>
      </c>
      <c r="DY7" s="116" t="s">
        <v>54</v>
      </c>
      <c r="DZ7" s="297" t="str">
        <f>$R7</f>
        <v>EDUC1021</v>
      </c>
      <c r="EA7" s="116" t="s">
        <v>56</v>
      </c>
      <c r="EB7" s="119" t="s">
        <v>375</v>
      </c>
      <c r="EC7" s="116" t="s">
        <v>54</v>
      </c>
      <c r="ED7" s="297" t="str">
        <f>$R7</f>
        <v>EDUC1021</v>
      </c>
      <c r="EE7" s="116" t="s">
        <v>56</v>
      </c>
      <c r="EF7" s="119" t="s">
        <v>375</v>
      </c>
      <c r="EG7" s="116" t="s">
        <v>54</v>
      </c>
      <c r="EH7" s="297" t="str">
        <f>$R7</f>
        <v>EDUC1021</v>
      </c>
      <c r="EI7" s="116" t="s">
        <v>56</v>
      </c>
      <c r="EJ7" s="119" t="s">
        <v>375</v>
      </c>
      <c r="EK7" s="116" t="s">
        <v>54</v>
      </c>
      <c r="EL7" s="297" t="str">
        <f>$R7</f>
        <v>EDUC1021</v>
      </c>
      <c r="EM7" s="116" t="s">
        <v>56</v>
      </c>
      <c r="EN7" s="119" t="s">
        <v>375</v>
      </c>
      <c r="EO7" s="116" t="s">
        <v>54</v>
      </c>
      <c r="EP7" s="297" t="str">
        <f>$R7</f>
        <v>EDUC1021</v>
      </c>
      <c r="EQ7" s="116" t="s">
        <v>56</v>
      </c>
      <c r="ER7" s="119" t="s">
        <v>375</v>
      </c>
      <c r="ES7" s="116" t="s">
        <v>54</v>
      </c>
      <c r="ET7" s="297" t="str">
        <f>$R7</f>
        <v>EDUC1021</v>
      </c>
      <c r="EU7" s="116" t="s">
        <v>56</v>
      </c>
      <c r="EV7" s="119" t="s">
        <v>375</v>
      </c>
      <c r="EW7" s="116" t="s">
        <v>54</v>
      </c>
      <c r="EX7" s="297" t="str">
        <f>$R7</f>
        <v>EDUC1021</v>
      </c>
      <c r="EY7" s="116" t="s">
        <v>56</v>
      </c>
      <c r="EZ7" s="119" t="s">
        <v>375</v>
      </c>
      <c r="FA7" s="116" t="s">
        <v>54</v>
      </c>
      <c r="FB7" s="297" t="str">
        <f>$R7</f>
        <v>EDUC1021</v>
      </c>
      <c r="FC7" s="116" t="s">
        <v>56</v>
      </c>
      <c r="FD7" s="119" t="s">
        <v>375</v>
      </c>
      <c r="FE7" s="116" t="s">
        <v>54</v>
      </c>
      <c r="FF7" s="297" t="str">
        <f>$R7</f>
        <v>EDUC1021</v>
      </c>
      <c r="FG7" s="116" t="s">
        <v>56</v>
      </c>
      <c r="FH7" s="119" t="s">
        <v>375</v>
      </c>
      <c r="FI7" s="116" t="s">
        <v>54</v>
      </c>
      <c r="FJ7" s="297" t="str">
        <f>$R7</f>
        <v>EDUC1021</v>
      </c>
      <c r="FK7" s="116" t="s">
        <v>56</v>
      </c>
      <c r="FL7" s="119" t="s">
        <v>375</v>
      </c>
      <c r="FM7" s="116" t="s">
        <v>54</v>
      </c>
      <c r="FN7" s="297" t="str">
        <f>$R7</f>
        <v>EDUC1021</v>
      </c>
      <c r="FO7" s="116" t="s">
        <v>56</v>
      </c>
      <c r="FP7" s="119" t="s">
        <v>375</v>
      </c>
      <c r="FQ7" s="116" t="s">
        <v>54</v>
      </c>
      <c r="FR7" s="297" t="str">
        <f>$R7</f>
        <v>EDUC1021</v>
      </c>
      <c r="FS7" s="116" t="s">
        <v>56</v>
      </c>
      <c r="FT7" s="119" t="s">
        <v>375</v>
      </c>
      <c r="FU7" s="116" t="s">
        <v>54</v>
      </c>
      <c r="FV7" s="297" t="str">
        <f>$R7</f>
        <v>EDUC1021</v>
      </c>
      <c r="FW7" s="116" t="s">
        <v>56</v>
      </c>
      <c r="FX7" s="119" t="s">
        <v>375</v>
      </c>
      <c r="FY7" s="116" t="s">
        <v>54</v>
      </c>
      <c r="FZ7" s="297" t="str">
        <f>$R7</f>
        <v>EDUC1021</v>
      </c>
      <c r="GA7" s="116" t="s">
        <v>56</v>
      </c>
      <c r="GB7" s="119" t="s">
        <v>375</v>
      </c>
      <c r="GC7" s="116" t="s">
        <v>54</v>
      </c>
      <c r="GD7" s="297" t="str">
        <f>$R7</f>
        <v>EDUC1021</v>
      </c>
      <c r="GE7" s="116" t="s">
        <v>56</v>
      </c>
      <c r="GF7" s="119" t="s">
        <v>375</v>
      </c>
      <c r="GG7" s="116" t="s">
        <v>54</v>
      </c>
      <c r="GH7" s="297" t="str">
        <f>$R7</f>
        <v>EDUC1021</v>
      </c>
      <c r="GI7" s="116" t="s">
        <v>56</v>
      </c>
      <c r="GJ7" s="119" t="s">
        <v>375</v>
      </c>
      <c r="GK7" s="116" t="s">
        <v>54</v>
      </c>
      <c r="GL7" s="297" t="str">
        <f>$R7</f>
        <v>EDUC1021</v>
      </c>
      <c r="GM7" s="116" t="s">
        <v>56</v>
      </c>
      <c r="GN7" s="119" t="s">
        <v>375</v>
      </c>
      <c r="GO7" s="116" t="s">
        <v>54</v>
      </c>
      <c r="GP7" s="297" t="str">
        <f>$R7</f>
        <v>EDUC1021</v>
      </c>
      <c r="GQ7" s="116" t="s">
        <v>56</v>
      </c>
      <c r="GR7" s="119" t="s">
        <v>375</v>
      </c>
      <c r="GS7" s="116" t="s">
        <v>54</v>
      </c>
      <c r="GT7" s="297" t="str">
        <f>$R7</f>
        <v>EDUC1021</v>
      </c>
      <c r="GU7" s="116" t="s">
        <v>56</v>
      </c>
      <c r="GV7" s="119" t="s">
        <v>375</v>
      </c>
      <c r="GW7" s="116" t="s">
        <v>54</v>
      </c>
      <c r="GX7" s="297" t="str">
        <f>$R7</f>
        <v>EDUC1021</v>
      </c>
      <c r="GY7" s="116" t="s">
        <v>56</v>
      </c>
      <c r="GZ7" s="119" t="s">
        <v>375</v>
      </c>
      <c r="HA7" s="116" t="s">
        <v>54</v>
      </c>
      <c r="HB7" s="297" t="str">
        <f>$R7</f>
        <v>EDUC1021</v>
      </c>
      <c r="HC7" s="116" t="s">
        <v>56</v>
      </c>
      <c r="HD7" s="119" t="s">
        <v>375</v>
      </c>
      <c r="HE7" s="116" t="s">
        <v>54</v>
      </c>
      <c r="HF7" s="297" t="str">
        <f>$R7</f>
        <v>EDUC1021</v>
      </c>
      <c r="HG7" s="116" t="s">
        <v>56</v>
      </c>
      <c r="HH7" s="119" t="s">
        <v>375</v>
      </c>
      <c r="HI7" s="116" t="s">
        <v>54</v>
      </c>
      <c r="HJ7" s="297" t="str">
        <f>$R7</f>
        <v>EDUC1021</v>
      </c>
      <c r="HK7" s="116" t="s">
        <v>56</v>
      </c>
      <c r="HL7" s="119" t="s">
        <v>375</v>
      </c>
      <c r="HM7" s="116" t="s">
        <v>54</v>
      </c>
      <c r="HN7" s="297" t="str">
        <f>$R7</f>
        <v>EDUC1021</v>
      </c>
      <c r="HO7" s="116" t="s">
        <v>56</v>
      </c>
      <c r="HP7" s="119" t="s">
        <v>375</v>
      </c>
      <c r="HQ7" s="116" t="s">
        <v>54</v>
      </c>
      <c r="HR7" s="297" t="str">
        <f>$R7</f>
        <v>EDUC1021</v>
      </c>
      <c r="HS7" s="116" t="s">
        <v>56</v>
      </c>
      <c r="HT7" s="119" t="s">
        <v>375</v>
      </c>
      <c r="HU7" s="116" t="s">
        <v>54</v>
      </c>
      <c r="HV7" s="297" t="str">
        <f>$R7</f>
        <v>EDUC1021</v>
      </c>
      <c r="HW7" s="116" t="s">
        <v>56</v>
      </c>
      <c r="HX7" s="119" t="s">
        <v>375</v>
      </c>
      <c r="HY7" s="116" t="s">
        <v>54</v>
      </c>
      <c r="HZ7" s="297" t="str">
        <f>$R7</f>
        <v>EDUC1021</v>
      </c>
      <c r="IA7" s="116" t="s">
        <v>56</v>
      </c>
      <c r="IB7" s="119" t="s">
        <v>375</v>
      </c>
      <c r="IC7" s="116" t="s">
        <v>54</v>
      </c>
      <c r="ID7" s="297" t="str">
        <f>$R7</f>
        <v>EDUC1021</v>
      </c>
      <c r="IE7" s="116" t="s">
        <v>56</v>
      </c>
      <c r="IF7" s="119" t="s">
        <v>375</v>
      </c>
      <c r="IG7" s="116" t="s">
        <v>54</v>
      </c>
      <c r="IH7" s="297" t="str">
        <f>$R7</f>
        <v>EDUC1021</v>
      </c>
      <c r="II7" s="116" t="s">
        <v>56</v>
      </c>
      <c r="IJ7" s="119" t="s">
        <v>375</v>
      </c>
      <c r="IK7" s="116" t="s">
        <v>54</v>
      </c>
      <c r="IL7" s="297" t="str">
        <f>$R7</f>
        <v>EDUC1021</v>
      </c>
      <c r="IM7" s="116" t="s">
        <v>56</v>
      </c>
      <c r="IN7" s="119" t="s">
        <v>375</v>
      </c>
      <c r="IO7" s="116" t="s">
        <v>54</v>
      </c>
      <c r="IP7" s="297" t="str">
        <f>$R7</f>
        <v>EDUC1021</v>
      </c>
      <c r="IQ7" s="116" t="s">
        <v>56</v>
      </c>
      <c r="IR7" s="119" t="s">
        <v>375</v>
      </c>
      <c r="IS7" s="116" t="s">
        <v>54</v>
      </c>
      <c r="IT7" s="297" t="str">
        <f>$R7</f>
        <v>EDUC1021</v>
      </c>
      <c r="IU7" s="116" t="s">
        <v>56</v>
      </c>
      <c r="IV7" s="119" t="s">
        <v>375</v>
      </c>
      <c r="IW7" s="116" t="s">
        <v>54</v>
      </c>
      <c r="IX7" s="297" t="str">
        <f>$R7</f>
        <v>EDUC1021</v>
      </c>
      <c r="IY7" s="116" t="s">
        <v>56</v>
      </c>
      <c r="IZ7" s="119" t="s">
        <v>375</v>
      </c>
      <c r="JA7" s="116" t="s">
        <v>54</v>
      </c>
      <c r="JB7" s="297" t="str">
        <f>$R7</f>
        <v>EDUC1021</v>
      </c>
      <c r="JC7" s="116" t="s">
        <v>56</v>
      </c>
      <c r="JD7" s="119" t="s">
        <v>375</v>
      </c>
      <c r="JE7" s="116" t="s">
        <v>54</v>
      </c>
      <c r="JF7" s="297" t="str">
        <f>$R7</f>
        <v>EDUC1021</v>
      </c>
      <c r="JG7" s="116" t="s">
        <v>56</v>
      </c>
      <c r="JH7" s="119" t="s">
        <v>375</v>
      </c>
      <c r="JI7" s="116" t="s">
        <v>54</v>
      </c>
      <c r="JJ7" s="297" t="str">
        <f>$R7</f>
        <v>EDUC1021</v>
      </c>
      <c r="JK7" s="116" t="s">
        <v>56</v>
      </c>
      <c r="JL7" s="119" t="s">
        <v>375</v>
      </c>
      <c r="JM7" s="116" t="s">
        <v>54</v>
      </c>
      <c r="JN7" s="297" t="str">
        <f>$R7</f>
        <v>EDUC1021</v>
      </c>
      <c r="JO7" s="116" t="s">
        <v>56</v>
      </c>
      <c r="JP7" s="119" t="s">
        <v>375</v>
      </c>
      <c r="JQ7" s="116" t="s">
        <v>54</v>
      </c>
      <c r="JR7" s="297" t="str">
        <f>$R7</f>
        <v>EDUC1021</v>
      </c>
      <c r="JS7" s="116" t="s">
        <v>56</v>
      </c>
      <c r="JT7" s="119" t="s">
        <v>375</v>
      </c>
      <c r="JU7" s="116" t="s">
        <v>54</v>
      </c>
      <c r="JV7" s="297" t="str">
        <f>$R7</f>
        <v>EDUC1021</v>
      </c>
      <c r="JW7" s="116" t="s">
        <v>56</v>
      </c>
      <c r="JX7" s="119" t="s">
        <v>375</v>
      </c>
      <c r="JY7" s="116" t="s">
        <v>54</v>
      </c>
      <c r="JZ7" s="297" t="str">
        <f>$R7</f>
        <v>EDUC1021</v>
      </c>
      <c r="KA7" s="116" t="s">
        <v>56</v>
      </c>
      <c r="KB7" s="119" t="s">
        <v>375</v>
      </c>
      <c r="KC7" s="116" t="s">
        <v>54</v>
      </c>
      <c r="KD7" s="297" t="str">
        <f>$R7</f>
        <v>EDUC1021</v>
      </c>
      <c r="KE7" s="116" t="s">
        <v>56</v>
      </c>
      <c r="KF7" s="119" t="s">
        <v>375</v>
      </c>
      <c r="KG7" s="116" t="s">
        <v>54</v>
      </c>
      <c r="KH7" s="297" t="str">
        <f>$R7</f>
        <v>EDUC1021</v>
      </c>
      <c r="KI7" s="116" t="s">
        <v>56</v>
      </c>
      <c r="KJ7" s="119" t="s">
        <v>375</v>
      </c>
      <c r="KK7" s="116" t="s">
        <v>54</v>
      </c>
      <c r="KL7" s="297" t="str">
        <f>$R7</f>
        <v>EDUC1021</v>
      </c>
      <c r="KM7" s="116" t="s">
        <v>56</v>
      </c>
      <c r="KN7" s="119" t="s">
        <v>375</v>
      </c>
      <c r="KO7" s="116" t="s">
        <v>54</v>
      </c>
      <c r="KP7" s="297" t="str">
        <f>$R7</f>
        <v>EDUC1021</v>
      </c>
      <c r="KQ7" s="116" t="s">
        <v>56</v>
      </c>
      <c r="KR7" s="119" t="s">
        <v>375</v>
      </c>
      <c r="KS7" s="116" t="s">
        <v>54</v>
      </c>
      <c r="KT7" s="297" t="str">
        <f>$R7</f>
        <v>EDUC1021</v>
      </c>
      <c r="KU7" s="116" t="s">
        <v>56</v>
      </c>
      <c r="KV7" s="119" t="s">
        <v>375</v>
      </c>
      <c r="KW7" s="116" t="s">
        <v>54</v>
      </c>
      <c r="KX7" s="297" t="str">
        <f>$R7</f>
        <v>EDUC1021</v>
      </c>
      <c r="KY7" s="116" t="s">
        <v>56</v>
      </c>
      <c r="KZ7" s="119" t="s">
        <v>375</v>
      </c>
      <c r="LA7" s="116" t="s">
        <v>54</v>
      </c>
      <c r="LB7" s="297" t="str">
        <f>$R7</f>
        <v>EDUC1021</v>
      </c>
      <c r="LC7" s="116" t="s">
        <v>56</v>
      </c>
      <c r="LD7" s="119" t="s">
        <v>375</v>
      </c>
      <c r="LE7" s="116" t="s">
        <v>54</v>
      </c>
      <c r="LF7" s="297" t="str">
        <f>$R7</f>
        <v>EDUC1021</v>
      </c>
      <c r="LG7" s="116" t="s">
        <v>56</v>
      </c>
      <c r="LH7" s="119" t="s">
        <v>375</v>
      </c>
      <c r="LI7" s="116" t="s">
        <v>54</v>
      </c>
      <c r="LJ7" s="297" t="str">
        <f>$R7</f>
        <v>EDUC1021</v>
      </c>
      <c r="LK7" s="116" t="s">
        <v>56</v>
      </c>
      <c r="LL7" s="119" t="s">
        <v>375</v>
      </c>
      <c r="LM7" s="116" t="s">
        <v>54</v>
      </c>
      <c r="LN7" s="297" t="str">
        <f>$R7</f>
        <v>EDUC1021</v>
      </c>
      <c r="LO7" s="116" t="s">
        <v>56</v>
      </c>
      <c r="LP7" s="119" t="s">
        <v>375</v>
      </c>
      <c r="LQ7" s="116" t="s">
        <v>54</v>
      </c>
      <c r="LR7" s="297" t="str">
        <f>$R7</f>
        <v>EDUC1021</v>
      </c>
      <c r="LS7" s="116" t="s">
        <v>56</v>
      </c>
      <c r="LT7" s="119" t="s">
        <v>375</v>
      </c>
      <c r="LU7" s="116" t="s">
        <v>54</v>
      </c>
      <c r="LV7" s="297" t="str">
        <f>$R7</f>
        <v>EDUC1021</v>
      </c>
      <c r="LW7" s="116" t="s">
        <v>56</v>
      </c>
      <c r="LX7" s="119" t="s">
        <v>375</v>
      </c>
      <c r="LY7" s="116" t="s">
        <v>54</v>
      </c>
      <c r="LZ7" s="297" t="str">
        <f>$R7</f>
        <v>EDUC1021</v>
      </c>
      <c r="MA7" s="116" t="s">
        <v>56</v>
      </c>
      <c r="MB7" s="119" t="s">
        <v>375</v>
      </c>
      <c r="MC7" s="116" t="s">
        <v>54</v>
      </c>
      <c r="MD7" s="297" t="str">
        <f>$R7</f>
        <v>EDUC1021</v>
      </c>
      <c r="ME7" s="116" t="s">
        <v>56</v>
      </c>
      <c r="MF7" s="119" t="s">
        <v>375</v>
      </c>
      <c r="MG7" s="116" t="s">
        <v>54</v>
      </c>
      <c r="MH7" s="297" t="str">
        <f>$R7</f>
        <v>EDUC1021</v>
      </c>
      <c r="MI7" s="116" t="s">
        <v>56</v>
      </c>
      <c r="MJ7" s="119" t="s">
        <v>375</v>
      </c>
      <c r="MK7" s="116" t="s">
        <v>54</v>
      </c>
      <c r="ML7" s="297" t="str">
        <f>$R7</f>
        <v>EDUC1021</v>
      </c>
      <c r="MM7" s="116" t="s">
        <v>56</v>
      </c>
      <c r="MN7" s="119" t="s">
        <v>375</v>
      </c>
      <c r="MO7" s="116" t="s">
        <v>54</v>
      </c>
      <c r="MP7" s="297" t="str">
        <f>$R7</f>
        <v>EDUC1021</v>
      </c>
      <c r="MQ7" s="116" t="s">
        <v>56</v>
      </c>
      <c r="MR7" s="119" t="s">
        <v>375</v>
      </c>
      <c r="MS7" s="116" t="s">
        <v>54</v>
      </c>
      <c r="MT7" s="297" t="str">
        <f>$R7</f>
        <v>EDUC1021</v>
      </c>
      <c r="MU7" s="116" t="s">
        <v>56</v>
      </c>
      <c r="MV7" s="119" t="s">
        <v>375</v>
      </c>
      <c r="MW7" s="116" t="s">
        <v>54</v>
      </c>
      <c r="MX7" s="297" t="str">
        <f>$R7</f>
        <v>EDUC1021</v>
      </c>
      <c r="MY7" s="116" t="s">
        <v>56</v>
      </c>
      <c r="MZ7" s="119" t="s">
        <v>375</v>
      </c>
      <c r="NA7" s="116" t="s">
        <v>54</v>
      </c>
      <c r="NB7" s="297" t="str">
        <f>$R7</f>
        <v>EDUC1021</v>
      </c>
      <c r="NC7" s="116" t="s">
        <v>56</v>
      </c>
      <c r="ND7" s="119" t="s">
        <v>375</v>
      </c>
      <c r="NE7" s="116" t="s">
        <v>54</v>
      </c>
      <c r="NF7" s="297" t="str">
        <f>$R7</f>
        <v>EDUC1021</v>
      </c>
      <c r="NG7" s="116" t="s">
        <v>56</v>
      </c>
      <c r="NH7" s="119" t="s">
        <v>375</v>
      </c>
      <c r="NI7" s="116" t="s">
        <v>54</v>
      </c>
      <c r="NJ7" s="297" t="str">
        <f>$R7</f>
        <v>EDUC1021</v>
      </c>
      <c r="NK7" s="116" t="s">
        <v>56</v>
      </c>
      <c r="NL7" s="119" t="s">
        <v>375</v>
      </c>
      <c r="NM7" s="116" t="s">
        <v>54</v>
      </c>
      <c r="NN7" s="297" t="str">
        <f>$R7</f>
        <v>EDUC1021</v>
      </c>
      <c r="NO7" s="116" t="s">
        <v>56</v>
      </c>
      <c r="NP7" s="119" t="s">
        <v>375</v>
      </c>
      <c r="NQ7" s="116" t="s">
        <v>54</v>
      </c>
      <c r="NR7" s="297" t="str">
        <f>$R7</f>
        <v>EDUC1021</v>
      </c>
      <c r="NS7" s="116" t="s">
        <v>56</v>
      </c>
      <c r="NT7" s="119" t="s">
        <v>375</v>
      </c>
      <c r="NU7" s="116" t="s">
        <v>54</v>
      </c>
      <c r="NV7" s="297" t="str">
        <f>$R7</f>
        <v>EDUC1021</v>
      </c>
      <c r="NW7" s="116" t="s">
        <v>56</v>
      </c>
      <c r="NX7" s="119" t="s">
        <v>375</v>
      </c>
      <c r="NY7" s="116" t="s">
        <v>54</v>
      </c>
      <c r="NZ7" s="297" t="str">
        <f>$R7</f>
        <v>EDUC1021</v>
      </c>
      <c r="OA7" s="116" t="s">
        <v>56</v>
      </c>
      <c r="OB7" s="119" t="s">
        <v>375</v>
      </c>
      <c r="OC7" s="116" t="s">
        <v>54</v>
      </c>
      <c r="OD7" s="297" t="str">
        <f>$R7</f>
        <v>EDUC1021</v>
      </c>
      <c r="OE7" s="116" t="s">
        <v>56</v>
      </c>
      <c r="OF7" s="119" t="s">
        <v>375</v>
      </c>
      <c r="OG7" s="116" t="s">
        <v>54</v>
      </c>
      <c r="OH7" s="297" t="str">
        <f>$R7</f>
        <v>EDUC1021</v>
      </c>
      <c r="OI7" s="116" t="s">
        <v>56</v>
      </c>
      <c r="OJ7" s="119" t="s">
        <v>375</v>
      </c>
      <c r="OK7" s="116" t="s">
        <v>54</v>
      </c>
      <c r="OL7" s="297" t="str">
        <f>$R7</f>
        <v>EDUC1021</v>
      </c>
      <c r="OM7" s="116" t="s">
        <v>56</v>
      </c>
      <c r="ON7" s="119" t="s">
        <v>375</v>
      </c>
      <c r="OO7" s="116" t="s">
        <v>54</v>
      </c>
      <c r="OP7" s="297" t="str">
        <f>$R7</f>
        <v>EDUC1021</v>
      </c>
      <c r="OQ7" s="116" t="s">
        <v>56</v>
      </c>
      <c r="OR7" s="119" t="s">
        <v>375</v>
      </c>
      <c r="OS7" s="116" t="s">
        <v>54</v>
      </c>
      <c r="OT7" s="297" t="str">
        <f>$R7</f>
        <v>EDUC1021</v>
      </c>
      <c r="OU7" s="116" t="s">
        <v>56</v>
      </c>
      <c r="OV7" s="119" t="s">
        <v>375</v>
      </c>
      <c r="OW7" s="116" t="s">
        <v>54</v>
      </c>
      <c r="OX7" s="297" t="str">
        <f>$R7</f>
        <v>EDUC1021</v>
      </c>
      <c r="OY7" s="116" t="s">
        <v>56</v>
      </c>
      <c r="OZ7" s="119" t="s">
        <v>375</v>
      </c>
      <c r="PA7" s="116" t="s">
        <v>54</v>
      </c>
      <c r="PB7" s="297" t="str">
        <f>$R7</f>
        <v>EDUC1021</v>
      </c>
      <c r="PC7" s="116" t="s">
        <v>56</v>
      </c>
      <c r="PD7" s="119" t="s">
        <v>375</v>
      </c>
      <c r="PE7" s="116" t="s">
        <v>54</v>
      </c>
      <c r="PF7" s="297" t="str">
        <f>$R7</f>
        <v>EDUC1021</v>
      </c>
      <c r="PG7" s="116" t="s">
        <v>56</v>
      </c>
      <c r="PH7" s="119" t="s">
        <v>375</v>
      </c>
      <c r="PI7" s="116" t="s">
        <v>54</v>
      </c>
      <c r="PJ7" s="297" t="str">
        <f>$R7</f>
        <v>EDUC1021</v>
      </c>
      <c r="PK7" s="116" t="s">
        <v>56</v>
      </c>
      <c r="PL7" s="119" t="s">
        <v>375</v>
      </c>
      <c r="PM7" s="116" t="s">
        <v>54</v>
      </c>
      <c r="PN7" s="297" t="str">
        <f>$R7</f>
        <v>EDUC1021</v>
      </c>
      <c r="PO7" s="116" t="s">
        <v>56</v>
      </c>
      <c r="PP7" s="119" t="s">
        <v>375</v>
      </c>
      <c r="PQ7" s="116" t="s">
        <v>54</v>
      </c>
      <c r="PR7" s="297" t="str">
        <f>$R7</f>
        <v>EDUC1021</v>
      </c>
      <c r="PS7" s="116" t="s">
        <v>56</v>
      </c>
      <c r="PT7" s="119" t="s">
        <v>375</v>
      </c>
      <c r="PU7" s="116" t="s">
        <v>54</v>
      </c>
      <c r="PV7" s="297" t="str">
        <f>$R7</f>
        <v>EDUC1021</v>
      </c>
      <c r="PW7" s="116" t="s">
        <v>56</v>
      </c>
      <c r="PX7" s="119" t="s">
        <v>375</v>
      </c>
      <c r="PY7" s="116" t="s">
        <v>54</v>
      </c>
      <c r="PZ7" s="297" t="str">
        <f>$R7</f>
        <v>EDUC1021</v>
      </c>
      <c r="QA7" s="116" t="s">
        <v>56</v>
      </c>
      <c r="QB7" s="119" t="s">
        <v>375</v>
      </c>
      <c r="QC7" s="116" t="s">
        <v>54</v>
      </c>
      <c r="QD7" s="297" t="str">
        <f>$R7</f>
        <v>EDUC1021</v>
      </c>
      <c r="QE7" s="116" t="s">
        <v>56</v>
      </c>
      <c r="QF7" s="119" t="s">
        <v>375</v>
      </c>
      <c r="QG7" s="116" t="s">
        <v>54</v>
      </c>
      <c r="QH7" s="297" t="str">
        <f>$R7</f>
        <v>EDUC1021</v>
      </c>
      <c r="QI7" s="116" t="s">
        <v>56</v>
      </c>
      <c r="QJ7" s="119" t="s">
        <v>375</v>
      </c>
    </row>
    <row r="8" spans="1:481" x14ac:dyDescent="0.25">
      <c r="A8" s="351" t="s">
        <v>203</v>
      </c>
      <c r="B8" s="268" t="s">
        <v>339</v>
      </c>
      <c r="C8" s="268" t="s">
        <v>100</v>
      </c>
      <c r="D8" s="269">
        <v>45658</v>
      </c>
      <c r="E8" s="268">
        <v>1</v>
      </c>
      <c r="F8" s="269">
        <v>45658</v>
      </c>
      <c r="G8" s="268" t="s">
        <v>376</v>
      </c>
      <c r="J8" s="141"/>
      <c r="K8" s="146" t="str">
        <f>INDEX(TableStreams[Choose your Specialisation Stream second (drop-down list)],MATCH(L8,TableStreams[UDC],0))</f>
        <v>Geography Education Minor Teaching Area Stream (BEd Secondary)</v>
      </c>
      <c r="L8" s="141" t="s">
        <v>354</v>
      </c>
      <c r="O8" s="19"/>
      <c r="P8" s="19">
        <v>6</v>
      </c>
      <c r="Q8" s="117" t="s">
        <v>54</v>
      </c>
      <c r="R8" s="104" t="s">
        <v>75</v>
      </c>
      <c r="S8" s="117" t="s">
        <v>56</v>
      </c>
      <c r="T8" s="104"/>
      <c r="U8" s="117" t="s">
        <v>54</v>
      </c>
      <c r="V8" s="298" t="str">
        <f t="shared" ref="V8:V12" si="0">$R8</f>
        <v>EDUC1033</v>
      </c>
      <c r="W8" s="117" t="s">
        <v>56</v>
      </c>
      <c r="X8" s="104"/>
      <c r="Y8" s="117" t="s">
        <v>54</v>
      </c>
      <c r="Z8" s="298" t="str">
        <f t="shared" ref="Z8:Z12" si="1">$R8</f>
        <v>EDUC1033</v>
      </c>
      <c r="AA8" s="117" t="s">
        <v>56</v>
      </c>
      <c r="AB8" s="104"/>
      <c r="AC8" s="117" t="s">
        <v>54</v>
      </c>
      <c r="AD8" s="298" t="str">
        <f t="shared" ref="AD8:AD12" si="2">$R8</f>
        <v>EDUC1033</v>
      </c>
      <c r="AE8" s="117" t="s">
        <v>56</v>
      </c>
      <c r="AF8" s="104"/>
      <c r="AG8" s="117" t="s">
        <v>54</v>
      </c>
      <c r="AH8" s="298" t="str">
        <f t="shared" ref="AH8:AH12" si="3">$R8</f>
        <v>EDUC1033</v>
      </c>
      <c r="AI8" s="117" t="s">
        <v>56</v>
      </c>
      <c r="AJ8" s="104"/>
      <c r="AK8" s="117" t="s">
        <v>54</v>
      </c>
      <c r="AL8" s="298" t="str">
        <f t="shared" ref="AL8:AL12" si="4">$R8</f>
        <v>EDUC1033</v>
      </c>
      <c r="AM8" s="117" t="s">
        <v>56</v>
      </c>
      <c r="AN8" s="104"/>
      <c r="AO8" s="117" t="s">
        <v>54</v>
      </c>
      <c r="AP8" s="298" t="str">
        <f t="shared" ref="AP8:AP12" si="5">$R8</f>
        <v>EDUC1033</v>
      </c>
      <c r="AQ8" s="117" t="s">
        <v>56</v>
      </c>
      <c r="AR8" s="104"/>
      <c r="AS8" s="117" t="s">
        <v>54</v>
      </c>
      <c r="AT8" s="298" t="str">
        <f t="shared" ref="AT8:AT12" si="6">$R8</f>
        <v>EDUC1033</v>
      </c>
      <c r="AU8" s="117" t="s">
        <v>56</v>
      </c>
      <c r="AV8" s="104"/>
      <c r="AW8" s="117" t="s">
        <v>54</v>
      </c>
      <c r="AX8" s="298" t="str">
        <f t="shared" ref="AX8:AX12" si="7">$R8</f>
        <v>EDUC1033</v>
      </c>
      <c r="AY8" s="117" t="s">
        <v>56</v>
      </c>
      <c r="AZ8" s="104"/>
      <c r="BA8" s="117" t="s">
        <v>54</v>
      </c>
      <c r="BB8" s="298" t="str">
        <f t="shared" ref="BB8:BB12" si="8">$R8</f>
        <v>EDUC1033</v>
      </c>
      <c r="BC8" s="117" t="s">
        <v>56</v>
      </c>
      <c r="BD8" s="104"/>
      <c r="BE8" s="117" t="s">
        <v>54</v>
      </c>
      <c r="BF8" s="298" t="str">
        <f t="shared" ref="BF8:BF12" si="9">$R8</f>
        <v>EDUC1033</v>
      </c>
      <c r="BG8" s="117" t="s">
        <v>56</v>
      </c>
      <c r="BH8" s="104"/>
      <c r="BI8" s="117" t="s">
        <v>54</v>
      </c>
      <c r="BJ8" s="298" t="str">
        <f t="shared" ref="BJ8:BJ12" si="10">$R8</f>
        <v>EDUC1033</v>
      </c>
      <c r="BK8" s="117" t="s">
        <v>56</v>
      </c>
      <c r="BL8" s="104"/>
      <c r="BM8" s="117" t="s">
        <v>54</v>
      </c>
      <c r="BN8" s="298" t="str">
        <f t="shared" ref="BN8:BN12" si="11">$R8</f>
        <v>EDUC1033</v>
      </c>
      <c r="BO8" s="117" t="s">
        <v>56</v>
      </c>
      <c r="BP8" s="104"/>
      <c r="BQ8" s="117" t="s">
        <v>54</v>
      </c>
      <c r="BR8" s="298" t="str">
        <f t="shared" ref="BR8:BR12" si="12">$R8</f>
        <v>EDUC1033</v>
      </c>
      <c r="BS8" s="117" t="s">
        <v>56</v>
      </c>
      <c r="BT8" s="104"/>
      <c r="BU8" s="117" t="s">
        <v>54</v>
      </c>
      <c r="BV8" s="298" t="str">
        <f t="shared" ref="BV8:BV12" si="13">$R8</f>
        <v>EDUC1033</v>
      </c>
      <c r="BW8" s="117" t="s">
        <v>56</v>
      </c>
      <c r="BX8" s="104"/>
      <c r="BY8" s="117" t="s">
        <v>54</v>
      </c>
      <c r="BZ8" s="298" t="str">
        <f t="shared" ref="BZ8:BZ12" si="14">$R8</f>
        <v>EDUC1033</v>
      </c>
      <c r="CA8" s="117" t="s">
        <v>56</v>
      </c>
      <c r="CB8" s="104"/>
      <c r="CC8" s="117" t="s">
        <v>54</v>
      </c>
      <c r="CD8" s="298" t="str">
        <f t="shared" ref="CD8:CD12" si="15">$R8</f>
        <v>EDUC1033</v>
      </c>
      <c r="CE8" s="117" t="s">
        <v>56</v>
      </c>
      <c r="CF8" s="104"/>
      <c r="CG8" s="117" t="s">
        <v>54</v>
      </c>
      <c r="CH8" s="298" t="str">
        <f t="shared" ref="CH8:CH12" si="16">$R8</f>
        <v>EDUC1033</v>
      </c>
      <c r="CI8" s="117" t="s">
        <v>56</v>
      </c>
      <c r="CJ8" s="104"/>
      <c r="CK8" s="117" t="s">
        <v>54</v>
      </c>
      <c r="CL8" s="298" t="str">
        <f t="shared" ref="CL8:CL12" si="17">$R8</f>
        <v>EDUC1033</v>
      </c>
      <c r="CM8" s="117" t="s">
        <v>56</v>
      </c>
      <c r="CN8" s="104"/>
      <c r="CO8" s="117" t="s">
        <v>54</v>
      </c>
      <c r="CP8" s="298" t="str">
        <f t="shared" ref="CP8:CP12" si="18">$R8</f>
        <v>EDUC1033</v>
      </c>
      <c r="CQ8" s="117" t="s">
        <v>56</v>
      </c>
      <c r="CR8" s="104"/>
      <c r="CS8" s="117" t="s">
        <v>54</v>
      </c>
      <c r="CT8" s="298" t="str">
        <f t="shared" ref="CT8:CT12" si="19">$R8</f>
        <v>EDUC1033</v>
      </c>
      <c r="CU8" s="117" t="s">
        <v>56</v>
      </c>
      <c r="CV8" s="104"/>
      <c r="CW8" s="117" t="s">
        <v>54</v>
      </c>
      <c r="CX8" s="298" t="str">
        <f t="shared" ref="CX8:CX12" si="20">$R8</f>
        <v>EDUC1033</v>
      </c>
      <c r="CY8" s="117" t="s">
        <v>56</v>
      </c>
      <c r="CZ8" s="104"/>
      <c r="DA8" s="117" t="s">
        <v>54</v>
      </c>
      <c r="DB8" s="298" t="str">
        <f t="shared" ref="DB8:DB12" si="21">$R8</f>
        <v>EDUC1033</v>
      </c>
      <c r="DC8" s="117" t="s">
        <v>56</v>
      </c>
      <c r="DD8" s="104"/>
      <c r="DE8" s="117" t="s">
        <v>54</v>
      </c>
      <c r="DF8" s="298" t="str">
        <f t="shared" ref="DF8:DF12" si="22">$R8</f>
        <v>EDUC1033</v>
      </c>
      <c r="DG8" s="117" t="s">
        <v>56</v>
      </c>
      <c r="DH8" s="104"/>
      <c r="DI8" s="117" t="s">
        <v>54</v>
      </c>
      <c r="DJ8" s="298" t="str">
        <f t="shared" ref="DJ8:DJ12" si="23">$R8</f>
        <v>EDUC1033</v>
      </c>
      <c r="DK8" s="117" t="s">
        <v>56</v>
      </c>
      <c r="DL8" s="104"/>
      <c r="DM8" s="117" t="s">
        <v>54</v>
      </c>
      <c r="DN8" s="298" t="str">
        <f t="shared" ref="DN8:DN12" si="24">$R8</f>
        <v>EDUC1033</v>
      </c>
      <c r="DO8" s="117" t="s">
        <v>56</v>
      </c>
      <c r="DP8" s="104"/>
      <c r="DQ8" s="117" t="s">
        <v>54</v>
      </c>
      <c r="DR8" s="298" t="str">
        <f t="shared" ref="DR8:DR12" si="25">$R8</f>
        <v>EDUC1033</v>
      </c>
      <c r="DS8" s="117" t="s">
        <v>56</v>
      </c>
      <c r="DT8" s="104"/>
      <c r="DU8" s="117" t="s">
        <v>54</v>
      </c>
      <c r="DV8" s="298" t="str">
        <f t="shared" ref="DV8:DV12" si="26">$R8</f>
        <v>EDUC1033</v>
      </c>
      <c r="DW8" s="117" t="s">
        <v>56</v>
      </c>
      <c r="DX8" s="104"/>
      <c r="DY8" s="117" t="s">
        <v>54</v>
      </c>
      <c r="DZ8" s="298" t="str">
        <f t="shared" ref="DZ8:DZ12" si="27">$R8</f>
        <v>EDUC1033</v>
      </c>
      <c r="EA8" s="117" t="s">
        <v>56</v>
      </c>
      <c r="EB8" s="104"/>
      <c r="EC8" s="117" t="s">
        <v>54</v>
      </c>
      <c r="ED8" s="298" t="str">
        <f t="shared" ref="ED8:ED12" si="28">$R8</f>
        <v>EDUC1033</v>
      </c>
      <c r="EE8" s="117" t="s">
        <v>56</v>
      </c>
      <c r="EF8" s="104"/>
      <c r="EG8" s="117" t="s">
        <v>54</v>
      </c>
      <c r="EH8" s="298" t="str">
        <f t="shared" ref="EH8:EH12" si="29">$R8</f>
        <v>EDUC1033</v>
      </c>
      <c r="EI8" s="117" t="s">
        <v>56</v>
      </c>
      <c r="EJ8" s="104"/>
      <c r="EK8" s="117" t="s">
        <v>54</v>
      </c>
      <c r="EL8" s="298" t="str">
        <f t="shared" ref="EL8:EL12" si="30">$R8</f>
        <v>EDUC1033</v>
      </c>
      <c r="EM8" s="117" t="s">
        <v>56</v>
      </c>
      <c r="EN8" s="104"/>
      <c r="EO8" s="117" t="s">
        <v>54</v>
      </c>
      <c r="EP8" s="298" t="str">
        <f t="shared" ref="EP8:EP12" si="31">$R8</f>
        <v>EDUC1033</v>
      </c>
      <c r="EQ8" s="117" t="s">
        <v>56</v>
      </c>
      <c r="ER8" s="104"/>
      <c r="ES8" s="117" t="s">
        <v>54</v>
      </c>
      <c r="ET8" s="298" t="str">
        <f t="shared" ref="ET8:ET12" si="32">$R8</f>
        <v>EDUC1033</v>
      </c>
      <c r="EU8" s="117" t="s">
        <v>56</v>
      </c>
      <c r="EV8" s="104"/>
      <c r="EW8" s="117" t="s">
        <v>54</v>
      </c>
      <c r="EX8" s="298" t="str">
        <f t="shared" ref="EX8:EX12" si="33">$R8</f>
        <v>EDUC1033</v>
      </c>
      <c r="EY8" s="117" t="s">
        <v>56</v>
      </c>
      <c r="EZ8" s="104"/>
      <c r="FA8" s="117" t="s">
        <v>54</v>
      </c>
      <c r="FB8" s="298" t="str">
        <f t="shared" ref="FB8:FB12" si="34">$R8</f>
        <v>EDUC1033</v>
      </c>
      <c r="FC8" s="117" t="s">
        <v>56</v>
      </c>
      <c r="FD8" s="104"/>
      <c r="FE8" s="117" t="s">
        <v>54</v>
      </c>
      <c r="FF8" s="298" t="str">
        <f t="shared" ref="FF8:FF12" si="35">$R8</f>
        <v>EDUC1033</v>
      </c>
      <c r="FG8" s="117" t="s">
        <v>56</v>
      </c>
      <c r="FH8" s="104"/>
      <c r="FI8" s="117" t="s">
        <v>54</v>
      </c>
      <c r="FJ8" s="298" t="str">
        <f t="shared" ref="FJ8:FJ12" si="36">$R8</f>
        <v>EDUC1033</v>
      </c>
      <c r="FK8" s="117" t="s">
        <v>56</v>
      </c>
      <c r="FL8" s="104"/>
      <c r="FM8" s="117" t="s">
        <v>54</v>
      </c>
      <c r="FN8" s="298" t="str">
        <f t="shared" ref="FN8:FN12" si="37">$R8</f>
        <v>EDUC1033</v>
      </c>
      <c r="FO8" s="117" t="s">
        <v>56</v>
      </c>
      <c r="FP8" s="104"/>
      <c r="FQ8" s="117" t="s">
        <v>54</v>
      </c>
      <c r="FR8" s="298" t="str">
        <f t="shared" ref="FR8:FR12" si="38">$R8</f>
        <v>EDUC1033</v>
      </c>
      <c r="FS8" s="117" t="s">
        <v>56</v>
      </c>
      <c r="FT8" s="104"/>
      <c r="FU8" s="117" t="s">
        <v>54</v>
      </c>
      <c r="FV8" s="298" t="str">
        <f t="shared" ref="FV8:FV12" si="39">$R8</f>
        <v>EDUC1033</v>
      </c>
      <c r="FW8" s="117" t="s">
        <v>56</v>
      </c>
      <c r="FX8" s="104"/>
      <c r="FY8" s="117" t="s">
        <v>54</v>
      </c>
      <c r="FZ8" s="298" t="str">
        <f t="shared" ref="FZ8:FZ12" si="40">$R8</f>
        <v>EDUC1033</v>
      </c>
      <c r="GA8" s="117" t="s">
        <v>56</v>
      </c>
      <c r="GB8" s="104"/>
      <c r="GC8" s="117" t="s">
        <v>54</v>
      </c>
      <c r="GD8" s="298" t="str">
        <f t="shared" ref="GD8:GD12" si="41">$R8</f>
        <v>EDUC1033</v>
      </c>
      <c r="GE8" s="117" t="s">
        <v>56</v>
      </c>
      <c r="GF8" s="104"/>
      <c r="GG8" s="117" t="s">
        <v>54</v>
      </c>
      <c r="GH8" s="298" t="str">
        <f t="shared" ref="GH8:GH12" si="42">$R8</f>
        <v>EDUC1033</v>
      </c>
      <c r="GI8" s="117" t="s">
        <v>56</v>
      </c>
      <c r="GJ8" s="104"/>
      <c r="GK8" s="117" t="s">
        <v>54</v>
      </c>
      <c r="GL8" s="298" t="str">
        <f t="shared" ref="GL8:GL12" si="43">$R8</f>
        <v>EDUC1033</v>
      </c>
      <c r="GM8" s="117" t="s">
        <v>56</v>
      </c>
      <c r="GN8" s="104"/>
      <c r="GO8" s="117" t="s">
        <v>54</v>
      </c>
      <c r="GP8" s="298" t="str">
        <f t="shared" ref="GP8:GP12" si="44">$R8</f>
        <v>EDUC1033</v>
      </c>
      <c r="GQ8" s="117" t="s">
        <v>56</v>
      </c>
      <c r="GR8" s="104"/>
      <c r="GS8" s="117" t="s">
        <v>54</v>
      </c>
      <c r="GT8" s="298" t="str">
        <f t="shared" ref="GT8:GT12" si="45">$R8</f>
        <v>EDUC1033</v>
      </c>
      <c r="GU8" s="117" t="s">
        <v>56</v>
      </c>
      <c r="GV8" s="104"/>
      <c r="GW8" s="117" t="s">
        <v>54</v>
      </c>
      <c r="GX8" s="298" t="str">
        <f t="shared" ref="GX8:GX12" si="46">$R8</f>
        <v>EDUC1033</v>
      </c>
      <c r="GY8" s="117" t="s">
        <v>56</v>
      </c>
      <c r="GZ8" s="104"/>
      <c r="HA8" s="117" t="s">
        <v>54</v>
      </c>
      <c r="HB8" s="298" t="str">
        <f t="shared" ref="HB8:HB12" si="47">$R8</f>
        <v>EDUC1033</v>
      </c>
      <c r="HC8" s="117" t="s">
        <v>56</v>
      </c>
      <c r="HD8" s="104"/>
      <c r="HE8" s="117" t="s">
        <v>54</v>
      </c>
      <c r="HF8" s="298" t="str">
        <f t="shared" ref="HF8:HF12" si="48">$R8</f>
        <v>EDUC1033</v>
      </c>
      <c r="HG8" s="117" t="s">
        <v>56</v>
      </c>
      <c r="HH8" s="104"/>
      <c r="HI8" s="117" t="s">
        <v>54</v>
      </c>
      <c r="HJ8" s="298" t="str">
        <f t="shared" ref="HJ8:HJ12" si="49">$R8</f>
        <v>EDUC1033</v>
      </c>
      <c r="HK8" s="117" t="s">
        <v>56</v>
      </c>
      <c r="HL8" s="104"/>
      <c r="HM8" s="117" t="s">
        <v>54</v>
      </c>
      <c r="HN8" s="298" t="str">
        <f t="shared" ref="HN8:HN12" si="50">$R8</f>
        <v>EDUC1033</v>
      </c>
      <c r="HO8" s="117" t="s">
        <v>56</v>
      </c>
      <c r="HP8" s="104"/>
      <c r="HQ8" s="117" t="s">
        <v>54</v>
      </c>
      <c r="HR8" s="298" t="str">
        <f t="shared" ref="HR8:HR12" si="51">$R8</f>
        <v>EDUC1033</v>
      </c>
      <c r="HS8" s="117" t="s">
        <v>56</v>
      </c>
      <c r="HT8" s="104"/>
      <c r="HU8" s="117" t="s">
        <v>54</v>
      </c>
      <c r="HV8" s="298" t="str">
        <f t="shared" ref="HV8:HV12" si="52">$R8</f>
        <v>EDUC1033</v>
      </c>
      <c r="HW8" s="117" t="s">
        <v>56</v>
      </c>
      <c r="HX8" s="104"/>
      <c r="HY8" s="117" t="s">
        <v>54</v>
      </c>
      <c r="HZ8" s="298" t="str">
        <f t="shared" ref="HZ8:HZ12" si="53">$R8</f>
        <v>EDUC1033</v>
      </c>
      <c r="IA8" s="117" t="s">
        <v>56</v>
      </c>
      <c r="IB8" s="104"/>
      <c r="IC8" s="117" t="s">
        <v>54</v>
      </c>
      <c r="ID8" s="298" t="str">
        <f t="shared" ref="ID8:ID12" si="54">$R8</f>
        <v>EDUC1033</v>
      </c>
      <c r="IE8" s="117" t="s">
        <v>56</v>
      </c>
      <c r="IF8" s="104"/>
      <c r="IG8" s="117" t="s">
        <v>54</v>
      </c>
      <c r="IH8" s="298" t="str">
        <f t="shared" ref="IH8:IH12" si="55">$R8</f>
        <v>EDUC1033</v>
      </c>
      <c r="II8" s="117" t="s">
        <v>56</v>
      </c>
      <c r="IJ8" s="104"/>
      <c r="IK8" s="117" t="s">
        <v>54</v>
      </c>
      <c r="IL8" s="298" t="str">
        <f t="shared" ref="IL8:IL12" si="56">$R8</f>
        <v>EDUC1033</v>
      </c>
      <c r="IM8" s="117" t="s">
        <v>56</v>
      </c>
      <c r="IN8" s="104"/>
      <c r="IO8" s="117" t="s">
        <v>54</v>
      </c>
      <c r="IP8" s="298" t="str">
        <f t="shared" ref="IP8:IP12" si="57">$R8</f>
        <v>EDUC1033</v>
      </c>
      <c r="IQ8" s="117" t="s">
        <v>56</v>
      </c>
      <c r="IR8" s="104"/>
      <c r="IS8" s="117" t="s">
        <v>54</v>
      </c>
      <c r="IT8" s="298" t="str">
        <f t="shared" ref="IT8:IT12" si="58">$R8</f>
        <v>EDUC1033</v>
      </c>
      <c r="IU8" s="117" t="s">
        <v>56</v>
      </c>
      <c r="IV8" s="104"/>
      <c r="IW8" s="117" t="s">
        <v>54</v>
      </c>
      <c r="IX8" s="298" t="str">
        <f t="shared" ref="IX8:IX12" si="59">$R8</f>
        <v>EDUC1033</v>
      </c>
      <c r="IY8" s="117" t="s">
        <v>56</v>
      </c>
      <c r="IZ8" s="104"/>
      <c r="JA8" s="117" t="s">
        <v>54</v>
      </c>
      <c r="JB8" s="298" t="str">
        <f t="shared" ref="JB8:JB12" si="60">$R8</f>
        <v>EDUC1033</v>
      </c>
      <c r="JC8" s="117" t="s">
        <v>56</v>
      </c>
      <c r="JD8" s="104"/>
      <c r="JE8" s="117" t="s">
        <v>54</v>
      </c>
      <c r="JF8" s="298" t="str">
        <f t="shared" ref="JF8:JF12" si="61">$R8</f>
        <v>EDUC1033</v>
      </c>
      <c r="JG8" s="117" t="s">
        <v>56</v>
      </c>
      <c r="JH8" s="104"/>
      <c r="JI8" s="117" t="s">
        <v>54</v>
      </c>
      <c r="JJ8" s="298" t="str">
        <f t="shared" ref="JJ8:JJ12" si="62">$R8</f>
        <v>EDUC1033</v>
      </c>
      <c r="JK8" s="117" t="s">
        <v>56</v>
      </c>
      <c r="JL8" s="104"/>
      <c r="JM8" s="117" t="s">
        <v>54</v>
      </c>
      <c r="JN8" s="298" t="str">
        <f t="shared" ref="JN8:JN12" si="63">$R8</f>
        <v>EDUC1033</v>
      </c>
      <c r="JO8" s="117" t="s">
        <v>56</v>
      </c>
      <c r="JP8" s="104"/>
      <c r="JQ8" s="117" t="s">
        <v>54</v>
      </c>
      <c r="JR8" s="298" t="str">
        <f t="shared" ref="JR8:JR12" si="64">$R8</f>
        <v>EDUC1033</v>
      </c>
      <c r="JS8" s="117" t="s">
        <v>56</v>
      </c>
      <c r="JT8" s="104"/>
      <c r="JU8" s="117" t="s">
        <v>54</v>
      </c>
      <c r="JV8" s="298" t="str">
        <f t="shared" ref="JV8:JV12" si="65">$R8</f>
        <v>EDUC1033</v>
      </c>
      <c r="JW8" s="117" t="s">
        <v>56</v>
      </c>
      <c r="JX8" s="104"/>
      <c r="JY8" s="117" t="s">
        <v>54</v>
      </c>
      <c r="JZ8" s="298" t="str">
        <f t="shared" ref="JZ8:JZ12" si="66">$R8</f>
        <v>EDUC1033</v>
      </c>
      <c r="KA8" s="117" t="s">
        <v>56</v>
      </c>
      <c r="KB8" s="104"/>
      <c r="KC8" s="117" t="s">
        <v>54</v>
      </c>
      <c r="KD8" s="298" t="str">
        <f t="shared" ref="KD8:KD12" si="67">$R8</f>
        <v>EDUC1033</v>
      </c>
      <c r="KE8" s="117" t="s">
        <v>56</v>
      </c>
      <c r="KF8" s="104"/>
      <c r="KG8" s="117" t="s">
        <v>54</v>
      </c>
      <c r="KH8" s="298" t="str">
        <f t="shared" ref="KH8:KH12" si="68">$R8</f>
        <v>EDUC1033</v>
      </c>
      <c r="KI8" s="117" t="s">
        <v>56</v>
      </c>
      <c r="KJ8" s="104"/>
      <c r="KK8" s="117" t="s">
        <v>54</v>
      </c>
      <c r="KL8" s="298" t="str">
        <f t="shared" ref="KL8:KL12" si="69">$R8</f>
        <v>EDUC1033</v>
      </c>
      <c r="KM8" s="117" t="s">
        <v>56</v>
      </c>
      <c r="KN8" s="104"/>
      <c r="KO8" s="117" t="s">
        <v>54</v>
      </c>
      <c r="KP8" s="298" t="str">
        <f t="shared" ref="KP8:KP12" si="70">$R8</f>
        <v>EDUC1033</v>
      </c>
      <c r="KQ8" s="117" t="s">
        <v>56</v>
      </c>
      <c r="KR8" s="104"/>
      <c r="KS8" s="117" t="s">
        <v>54</v>
      </c>
      <c r="KT8" s="298" t="str">
        <f t="shared" ref="KT8:KT12" si="71">$R8</f>
        <v>EDUC1033</v>
      </c>
      <c r="KU8" s="117" t="s">
        <v>56</v>
      </c>
      <c r="KV8" s="104"/>
      <c r="KW8" s="117" t="s">
        <v>54</v>
      </c>
      <c r="KX8" s="298" t="str">
        <f t="shared" ref="KX8:KX12" si="72">$R8</f>
        <v>EDUC1033</v>
      </c>
      <c r="KY8" s="117" t="s">
        <v>56</v>
      </c>
      <c r="KZ8" s="104"/>
      <c r="LA8" s="117" t="s">
        <v>54</v>
      </c>
      <c r="LB8" s="298" t="str">
        <f t="shared" ref="LB8:LB12" si="73">$R8</f>
        <v>EDUC1033</v>
      </c>
      <c r="LC8" s="117" t="s">
        <v>56</v>
      </c>
      <c r="LD8" s="104"/>
      <c r="LE8" s="117" t="s">
        <v>54</v>
      </c>
      <c r="LF8" s="298" t="str">
        <f t="shared" ref="LF8:LF12" si="74">$R8</f>
        <v>EDUC1033</v>
      </c>
      <c r="LG8" s="117" t="s">
        <v>56</v>
      </c>
      <c r="LH8" s="104"/>
      <c r="LI8" s="117" t="s">
        <v>54</v>
      </c>
      <c r="LJ8" s="298" t="str">
        <f t="shared" ref="LJ8:LJ12" si="75">$R8</f>
        <v>EDUC1033</v>
      </c>
      <c r="LK8" s="117" t="s">
        <v>56</v>
      </c>
      <c r="LL8" s="104"/>
      <c r="LM8" s="117" t="s">
        <v>54</v>
      </c>
      <c r="LN8" s="298" t="str">
        <f t="shared" ref="LN8:LN12" si="76">$R8</f>
        <v>EDUC1033</v>
      </c>
      <c r="LO8" s="117" t="s">
        <v>56</v>
      </c>
      <c r="LP8" s="104"/>
      <c r="LQ8" s="117" t="s">
        <v>54</v>
      </c>
      <c r="LR8" s="298" t="str">
        <f t="shared" ref="LR8:LR12" si="77">$R8</f>
        <v>EDUC1033</v>
      </c>
      <c r="LS8" s="117" t="s">
        <v>56</v>
      </c>
      <c r="LT8" s="104"/>
      <c r="LU8" s="117" t="s">
        <v>54</v>
      </c>
      <c r="LV8" s="298" t="str">
        <f t="shared" ref="LV8:LV12" si="78">$R8</f>
        <v>EDUC1033</v>
      </c>
      <c r="LW8" s="117" t="s">
        <v>56</v>
      </c>
      <c r="LX8" s="104"/>
      <c r="LY8" s="117" t="s">
        <v>54</v>
      </c>
      <c r="LZ8" s="298" t="str">
        <f t="shared" ref="LZ8:LZ12" si="79">$R8</f>
        <v>EDUC1033</v>
      </c>
      <c r="MA8" s="117" t="s">
        <v>56</v>
      </c>
      <c r="MB8" s="104"/>
      <c r="MC8" s="117" t="s">
        <v>54</v>
      </c>
      <c r="MD8" s="298" t="str">
        <f t="shared" ref="MD8:MD12" si="80">$R8</f>
        <v>EDUC1033</v>
      </c>
      <c r="ME8" s="117" t="s">
        <v>56</v>
      </c>
      <c r="MF8" s="104"/>
      <c r="MG8" s="117" t="s">
        <v>54</v>
      </c>
      <c r="MH8" s="298" t="str">
        <f t="shared" ref="MH8:MH12" si="81">$R8</f>
        <v>EDUC1033</v>
      </c>
      <c r="MI8" s="117" t="s">
        <v>56</v>
      </c>
      <c r="MJ8" s="104"/>
      <c r="MK8" s="117" t="s">
        <v>54</v>
      </c>
      <c r="ML8" s="298" t="str">
        <f t="shared" ref="ML8:ML12" si="82">$R8</f>
        <v>EDUC1033</v>
      </c>
      <c r="MM8" s="117" t="s">
        <v>56</v>
      </c>
      <c r="MN8" s="104"/>
      <c r="MO8" s="117" t="s">
        <v>54</v>
      </c>
      <c r="MP8" s="298" t="str">
        <f t="shared" ref="MP8:MP12" si="83">$R8</f>
        <v>EDUC1033</v>
      </c>
      <c r="MQ8" s="117" t="s">
        <v>56</v>
      </c>
      <c r="MR8" s="104"/>
      <c r="MS8" s="117" t="s">
        <v>54</v>
      </c>
      <c r="MT8" s="298" t="str">
        <f t="shared" ref="MT8:MT12" si="84">$R8</f>
        <v>EDUC1033</v>
      </c>
      <c r="MU8" s="117" t="s">
        <v>56</v>
      </c>
      <c r="MV8" s="104"/>
      <c r="MW8" s="117" t="s">
        <v>54</v>
      </c>
      <c r="MX8" s="298" t="str">
        <f t="shared" ref="MX8:MX12" si="85">$R8</f>
        <v>EDUC1033</v>
      </c>
      <c r="MY8" s="117" t="s">
        <v>56</v>
      </c>
      <c r="MZ8" s="104"/>
      <c r="NA8" s="117" t="s">
        <v>54</v>
      </c>
      <c r="NB8" s="298" t="str">
        <f t="shared" ref="NB8:NB12" si="86">$R8</f>
        <v>EDUC1033</v>
      </c>
      <c r="NC8" s="117" t="s">
        <v>56</v>
      </c>
      <c r="ND8" s="104"/>
      <c r="NE8" s="117" t="s">
        <v>54</v>
      </c>
      <c r="NF8" s="298" t="str">
        <f t="shared" ref="NF8:NF12" si="87">$R8</f>
        <v>EDUC1033</v>
      </c>
      <c r="NG8" s="117" t="s">
        <v>56</v>
      </c>
      <c r="NH8" s="104"/>
      <c r="NI8" s="117" t="s">
        <v>54</v>
      </c>
      <c r="NJ8" s="298" t="str">
        <f t="shared" ref="NJ8:NJ12" si="88">$R8</f>
        <v>EDUC1033</v>
      </c>
      <c r="NK8" s="117" t="s">
        <v>56</v>
      </c>
      <c r="NL8" s="104"/>
      <c r="NM8" s="117" t="s">
        <v>54</v>
      </c>
      <c r="NN8" s="298" t="str">
        <f t="shared" ref="NN8:NN12" si="89">$R8</f>
        <v>EDUC1033</v>
      </c>
      <c r="NO8" s="117" t="s">
        <v>56</v>
      </c>
      <c r="NP8" s="104"/>
      <c r="NQ8" s="117" t="s">
        <v>54</v>
      </c>
      <c r="NR8" s="298" t="str">
        <f t="shared" ref="NR8:NR12" si="90">$R8</f>
        <v>EDUC1033</v>
      </c>
      <c r="NS8" s="117" t="s">
        <v>56</v>
      </c>
      <c r="NT8" s="104"/>
      <c r="NU8" s="117" t="s">
        <v>54</v>
      </c>
      <c r="NV8" s="298" t="str">
        <f t="shared" ref="NV8:NV12" si="91">$R8</f>
        <v>EDUC1033</v>
      </c>
      <c r="NW8" s="117" t="s">
        <v>56</v>
      </c>
      <c r="NX8" s="104"/>
      <c r="NY8" s="117" t="s">
        <v>54</v>
      </c>
      <c r="NZ8" s="298" t="str">
        <f t="shared" ref="NZ8:NZ12" si="92">$R8</f>
        <v>EDUC1033</v>
      </c>
      <c r="OA8" s="117" t="s">
        <v>56</v>
      </c>
      <c r="OB8" s="104"/>
      <c r="OC8" s="117" t="s">
        <v>54</v>
      </c>
      <c r="OD8" s="298" t="str">
        <f t="shared" ref="OD8:OD12" si="93">$R8</f>
        <v>EDUC1033</v>
      </c>
      <c r="OE8" s="117" t="s">
        <v>56</v>
      </c>
      <c r="OF8" s="104"/>
      <c r="OG8" s="117" t="s">
        <v>54</v>
      </c>
      <c r="OH8" s="298" t="str">
        <f t="shared" ref="OH8:OH12" si="94">$R8</f>
        <v>EDUC1033</v>
      </c>
      <c r="OI8" s="117" t="s">
        <v>56</v>
      </c>
      <c r="OJ8" s="104"/>
      <c r="OK8" s="117" t="s">
        <v>54</v>
      </c>
      <c r="OL8" s="298" t="str">
        <f t="shared" ref="OL8:OL12" si="95">$R8</f>
        <v>EDUC1033</v>
      </c>
      <c r="OM8" s="117" t="s">
        <v>56</v>
      </c>
      <c r="ON8" s="104"/>
      <c r="OO8" s="117" t="s">
        <v>54</v>
      </c>
      <c r="OP8" s="298" t="str">
        <f t="shared" ref="OP8:OP12" si="96">$R8</f>
        <v>EDUC1033</v>
      </c>
      <c r="OQ8" s="117" t="s">
        <v>56</v>
      </c>
      <c r="OR8" s="104"/>
      <c r="OS8" s="117" t="s">
        <v>54</v>
      </c>
      <c r="OT8" s="298" t="str">
        <f t="shared" ref="OT8:OT12" si="97">$R8</f>
        <v>EDUC1033</v>
      </c>
      <c r="OU8" s="117" t="s">
        <v>56</v>
      </c>
      <c r="OV8" s="104"/>
      <c r="OW8" s="117" t="s">
        <v>54</v>
      </c>
      <c r="OX8" s="298" t="str">
        <f t="shared" ref="OX8:OX12" si="98">$R8</f>
        <v>EDUC1033</v>
      </c>
      <c r="OY8" s="117" t="s">
        <v>56</v>
      </c>
      <c r="OZ8" s="104"/>
      <c r="PA8" s="117" t="s">
        <v>54</v>
      </c>
      <c r="PB8" s="298" t="str">
        <f t="shared" ref="PB8:PB12" si="99">$R8</f>
        <v>EDUC1033</v>
      </c>
      <c r="PC8" s="117" t="s">
        <v>56</v>
      </c>
      <c r="PD8" s="104"/>
      <c r="PE8" s="117" t="s">
        <v>54</v>
      </c>
      <c r="PF8" s="298" t="str">
        <f t="shared" ref="PF8:PF12" si="100">$R8</f>
        <v>EDUC1033</v>
      </c>
      <c r="PG8" s="117" t="s">
        <v>56</v>
      </c>
      <c r="PH8" s="104"/>
      <c r="PI8" s="117" t="s">
        <v>54</v>
      </c>
      <c r="PJ8" s="298" t="str">
        <f t="shared" ref="PJ8:PJ12" si="101">$R8</f>
        <v>EDUC1033</v>
      </c>
      <c r="PK8" s="117" t="s">
        <v>56</v>
      </c>
      <c r="PL8" s="104"/>
      <c r="PM8" s="117" t="s">
        <v>54</v>
      </c>
      <c r="PN8" s="298" t="str">
        <f t="shared" ref="PN8:PN12" si="102">$R8</f>
        <v>EDUC1033</v>
      </c>
      <c r="PO8" s="117" t="s">
        <v>56</v>
      </c>
      <c r="PP8" s="104"/>
      <c r="PQ8" s="117" t="s">
        <v>54</v>
      </c>
      <c r="PR8" s="298" t="str">
        <f t="shared" ref="PR8:PR12" si="103">$R8</f>
        <v>EDUC1033</v>
      </c>
      <c r="PS8" s="117" t="s">
        <v>56</v>
      </c>
      <c r="PT8" s="104"/>
      <c r="PU8" s="117" t="s">
        <v>54</v>
      </c>
      <c r="PV8" s="298" t="str">
        <f t="shared" ref="PV8:PV12" si="104">$R8</f>
        <v>EDUC1033</v>
      </c>
      <c r="PW8" s="117" t="s">
        <v>56</v>
      </c>
      <c r="PX8" s="104"/>
      <c r="PY8" s="117" t="s">
        <v>54</v>
      </c>
      <c r="PZ8" s="298" t="str">
        <f t="shared" ref="PZ8:PZ12" si="105">$R8</f>
        <v>EDUC1033</v>
      </c>
      <c r="QA8" s="117" t="s">
        <v>56</v>
      </c>
      <c r="QB8" s="104"/>
      <c r="QC8" s="117" t="s">
        <v>54</v>
      </c>
      <c r="QD8" s="298" t="str">
        <f t="shared" ref="QD8:QD12" si="106">$R8</f>
        <v>EDUC1033</v>
      </c>
      <c r="QE8" s="117" t="s">
        <v>56</v>
      </c>
      <c r="QF8" s="104"/>
      <c r="QG8" s="117" t="s">
        <v>54</v>
      </c>
      <c r="QH8" s="298" t="str">
        <f t="shared" ref="QH8:QH12" si="107">$R8</f>
        <v>EDUC1033</v>
      </c>
      <c r="QI8" s="117" t="s">
        <v>56</v>
      </c>
      <c r="QJ8" s="104"/>
    </row>
    <row r="9" spans="1:481" x14ac:dyDescent="0.25">
      <c r="A9" s="351" t="s">
        <v>377</v>
      </c>
      <c r="B9" s="268" t="s">
        <v>340</v>
      </c>
      <c r="C9" s="268" t="s">
        <v>100</v>
      </c>
      <c r="D9" s="269">
        <v>45658</v>
      </c>
      <c r="E9" s="268">
        <v>1</v>
      </c>
      <c r="F9" s="269">
        <v>45658</v>
      </c>
      <c r="G9" s="268" t="s">
        <v>376</v>
      </c>
      <c r="J9" s="141"/>
      <c r="K9" s="146" t="str">
        <f>INDEX(TableStreams[Choose your Specialisation Stream second (drop-down list)],MATCH(L9,TableStreams[UDC],0))</f>
        <v>History Education Minor Teaching Area Stream (BEd Secondary)</v>
      </c>
      <c r="L9" s="141" t="s">
        <v>355</v>
      </c>
      <c r="O9" s="19"/>
      <c r="P9" s="3">
        <v>7</v>
      </c>
      <c r="Q9" s="117" t="s">
        <v>54</v>
      </c>
      <c r="R9" s="104" t="s">
        <v>88</v>
      </c>
      <c r="S9" s="117" t="s">
        <v>56</v>
      </c>
      <c r="T9" s="104"/>
      <c r="U9" s="117" t="s">
        <v>54</v>
      </c>
      <c r="V9" s="298" t="str">
        <f t="shared" si="0"/>
        <v>EDUC1035</v>
      </c>
      <c r="W9" s="117" t="s">
        <v>56</v>
      </c>
      <c r="X9" s="104"/>
      <c r="Y9" s="117" t="s">
        <v>54</v>
      </c>
      <c r="Z9" s="298" t="str">
        <f t="shared" si="1"/>
        <v>EDUC1035</v>
      </c>
      <c r="AA9" s="117" t="s">
        <v>56</v>
      </c>
      <c r="AB9" s="104"/>
      <c r="AC9" s="117" t="s">
        <v>54</v>
      </c>
      <c r="AD9" s="298" t="str">
        <f t="shared" si="2"/>
        <v>EDUC1035</v>
      </c>
      <c r="AE9" s="117" t="s">
        <v>56</v>
      </c>
      <c r="AF9" s="104"/>
      <c r="AG9" s="117" t="s">
        <v>54</v>
      </c>
      <c r="AH9" s="298" t="str">
        <f t="shared" si="3"/>
        <v>EDUC1035</v>
      </c>
      <c r="AI9" s="117" t="s">
        <v>56</v>
      </c>
      <c r="AJ9" s="104"/>
      <c r="AK9" s="117" t="s">
        <v>54</v>
      </c>
      <c r="AL9" s="298" t="str">
        <f t="shared" si="4"/>
        <v>EDUC1035</v>
      </c>
      <c r="AM9" s="117" t="s">
        <v>56</v>
      </c>
      <c r="AN9" s="104"/>
      <c r="AO9" s="117" t="s">
        <v>54</v>
      </c>
      <c r="AP9" s="298" t="str">
        <f t="shared" si="5"/>
        <v>EDUC1035</v>
      </c>
      <c r="AQ9" s="117" t="s">
        <v>56</v>
      </c>
      <c r="AR9" s="104"/>
      <c r="AS9" s="117" t="s">
        <v>54</v>
      </c>
      <c r="AT9" s="298" t="str">
        <f t="shared" si="6"/>
        <v>EDUC1035</v>
      </c>
      <c r="AU9" s="117" t="s">
        <v>56</v>
      </c>
      <c r="AV9" s="104"/>
      <c r="AW9" s="117" t="s">
        <v>54</v>
      </c>
      <c r="AX9" s="298" t="str">
        <f t="shared" si="7"/>
        <v>EDUC1035</v>
      </c>
      <c r="AY9" s="117" t="s">
        <v>56</v>
      </c>
      <c r="AZ9" s="104"/>
      <c r="BA9" s="117" t="s">
        <v>54</v>
      </c>
      <c r="BB9" s="298" t="str">
        <f t="shared" si="8"/>
        <v>EDUC1035</v>
      </c>
      <c r="BC9" s="117" t="s">
        <v>56</v>
      </c>
      <c r="BD9" s="104"/>
      <c r="BE9" s="117" t="s">
        <v>54</v>
      </c>
      <c r="BF9" s="298" t="str">
        <f t="shared" si="9"/>
        <v>EDUC1035</v>
      </c>
      <c r="BG9" s="117" t="s">
        <v>56</v>
      </c>
      <c r="BH9" s="104"/>
      <c r="BI9" s="117" t="s">
        <v>54</v>
      </c>
      <c r="BJ9" s="298" t="str">
        <f t="shared" si="10"/>
        <v>EDUC1035</v>
      </c>
      <c r="BK9" s="117" t="s">
        <v>56</v>
      </c>
      <c r="BL9" s="104"/>
      <c r="BM9" s="117" t="s">
        <v>54</v>
      </c>
      <c r="BN9" s="298" t="str">
        <f t="shared" si="11"/>
        <v>EDUC1035</v>
      </c>
      <c r="BO9" s="117" t="s">
        <v>56</v>
      </c>
      <c r="BP9" s="104"/>
      <c r="BQ9" s="117" t="s">
        <v>54</v>
      </c>
      <c r="BR9" s="298" t="str">
        <f t="shared" si="12"/>
        <v>EDUC1035</v>
      </c>
      <c r="BS9" s="117" t="s">
        <v>56</v>
      </c>
      <c r="BT9" s="104"/>
      <c r="BU9" s="117" t="s">
        <v>54</v>
      </c>
      <c r="BV9" s="298" t="str">
        <f t="shared" si="13"/>
        <v>EDUC1035</v>
      </c>
      <c r="BW9" s="117" t="s">
        <v>56</v>
      </c>
      <c r="BX9" s="104"/>
      <c r="BY9" s="117" t="s">
        <v>54</v>
      </c>
      <c r="BZ9" s="298" t="str">
        <f t="shared" si="14"/>
        <v>EDUC1035</v>
      </c>
      <c r="CA9" s="117" t="s">
        <v>56</v>
      </c>
      <c r="CB9" s="104"/>
      <c r="CC9" s="117" t="s">
        <v>54</v>
      </c>
      <c r="CD9" s="298" t="str">
        <f t="shared" si="15"/>
        <v>EDUC1035</v>
      </c>
      <c r="CE9" s="117" t="s">
        <v>56</v>
      </c>
      <c r="CF9" s="104"/>
      <c r="CG9" s="117" t="s">
        <v>54</v>
      </c>
      <c r="CH9" s="298" t="str">
        <f t="shared" si="16"/>
        <v>EDUC1035</v>
      </c>
      <c r="CI9" s="117" t="s">
        <v>56</v>
      </c>
      <c r="CJ9" s="104"/>
      <c r="CK9" s="117" t="s">
        <v>54</v>
      </c>
      <c r="CL9" s="298" t="str">
        <f t="shared" si="17"/>
        <v>EDUC1035</v>
      </c>
      <c r="CM9" s="117" t="s">
        <v>56</v>
      </c>
      <c r="CN9" s="104"/>
      <c r="CO9" s="117" t="s">
        <v>54</v>
      </c>
      <c r="CP9" s="298" t="str">
        <f t="shared" si="18"/>
        <v>EDUC1035</v>
      </c>
      <c r="CQ9" s="117" t="s">
        <v>56</v>
      </c>
      <c r="CR9" s="104"/>
      <c r="CS9" s="117" t="s">
        <v>54</v>
      </c>
      <c r="CT9" s="298" t="str">
        <f t="shared" si="19"/>
        <v>EDUC1035</v>
      </c>
      <c r="CU9" s="117" t="s">
        <v>56</v>
      </c>
      <c r="CV9" s="104"/>
      <c r="CW9" s="117" t="s">
        <v>54</v>
      </c>
      <c r="CX9" s="298" t="str">
        <f t="shared" si="20"/>
        <v>EDUC1035</v>
      </c>
      <c r="CY9" s="117" t="s">
        <v>56</v>
      </c>
      <c r="CZ9" s="104"/>
      <c r="DA9" s="117" t="s">
        <v>54</v>
      </c>
      <c r="DB9" s="298" t="str">
        <f t="shared" si="21"/>
        <v>EDUC1035</v>
      </c>
      <c r="DC9" s="117" t="s">
        <v>56</v>
      </c>
      <c r="DD9" s="104"/>
      <c r="DE9" s="117" t="s">
        <v>54</v>
      </c>
      <c r="DF9" s="298" t="str">
        <f t="shared" si="22"/>
        <v>EDUC1035</v>
      </c>
      <c r="DG9" s="117" t="s">
        <v>56</v>
      </c>
      <c r="DH9" s="104"/>
      <c r="DI9" s="117" t="s">
        <v>54</v>
      </c>
      <c r="DJ9" s="298" t="str">
        <f t="shared" si="23"/>
        <v>EDUC1035</v>
      </c>
      <c r="DK9" s="117" t="s">
        <v>56</v>
      </c>
      <c r="DL9" s="104"/>
      <c r="DM9" s="117" t="s">
        <v>54</v>
      </c>
      <c r="DN9" s="298" t="str">
        <f t="shared" si="24"/>
        <v>EDUC1035</v>
      </c>
      <c r="DO9" s="117" t="s">
        <v>56</v>
      </c>
      <c r="DP9" s="104"/>
      <c r="DQ9" s="117" t="s">
        <v>54</v>
      </c>
      <c r="DR9" s="298" t="str">
        <f t="shared" si="25"/>
        <v>EDUC1035</v>
      </c>
      <c r="DS9" s="117" t="s">
        <v>56</v>
      </c>
      <c r="DT9" s="104"/>
      <c r="DU9" s="117" t="s">
        <v>54</v>
      </c>
      <c r="DV9" s="298" t="str">
        <f t="shared" si="26"/>
        <v>EDUC1035</v>
      </c>
      <c r="DW9" s="117" t="s">
        <v>56</v>
      </c>
      <c r="DX9" s="104"/>
      <c r="DY9" s="117" t="s">
        <v>54</v>
      </c>
      <c r="DZ9" s="298" t="str">
        <f t="shared" si="27"/>
        <v>EDUC1035</v>
      </c>
      <c r="EA9" s="117" t="s">
        <v>56</v>
      </c>
      <c r="EB9" s="104"/>
      <c r="EC9" s="117" t="s">
        <v>54</v>
      </c>
      <c r="ED9" s="298" t="str">
        <f t="shared" si="28"/>
        <v>EDUC1035</v>
      </c>
      <c r="EE9" s="117" t="s">
        <v>56</v>
      </c>
      <c r="EF9" s="104"/>
      <c r="EG9" s="117" t="s">
        <v>54</v>
      </c>
      <c r="EH9" s="298" t="str">
        <f t="shared" si="29"/>
        <v>EDUC1035</v>
      </c>
      <c r="EI9" s="117" t="s">
        <v>56</v>
      </c>
      <c r="EJ9" s="104"/>
      <c r="EK9" s="117" t="s">
        <v>54</v>
      </c>
      <c r="EL9" s="298" t="str">
        <f t="shared" si="30"/>
        <v>EDUC1035</v>
      </c>
      <c r="EM9" s="117" t="s">
        <v>56</v>
      </c>
      <c r="EN9" s="104"/>
      <c r="EO9" s="117" t="s">
        <v>54</v>
      </c>
      <c r="EP9" s="298" t="str">
        <f t="shared" si="31"/>
        <v>EDUC1035</v>
      </c>
      <c r="EQ9" s="117" t="s">
        <v>56</v>
      </c>
      <c r="ER9" s="104"/>
      <c r="ES9" s="117" t="s">
        <v>54</v>
      </c>
      <c r="ET9" s="298" t="str">
        <f t="shared" si="32"/>
        <v>EDUC1035</v>
      </c>
      <c r="EU9" s="117" t="s">
        <v>56</v>
      </c>
      <c r="EV9" s="104"/>
      <c r="EW9" s="117" t="s">
        <v>54</v>
      </c>
      <c r="EX9" s="298" t="str">
        <f t="shared" si="33"/>
        <v>EDUC1035</v>
      </c>
      <c r="EY9" s="117" t="s">
        <v>56</v>
      </c>
      <c r="EZ9" s="104"/>
      <c r="FA9" s="117" t="s">
        <v>54</v>
      </c>
      <c r="FB9" s="298" t="str">
        <f t="shared" si="34"/>
        <v>EDUC1035</v>
      </c>
      <c r="FC9" s="117" t="s">
        <v>56</v>
      </c>
      <c r="FD9" s="104"/>
      <c r="FE9" s="117" t="s">
        <v>54</v>
      </c>
      <c r="FF9" s="298" t="str">
        <f t="shared" si="35"/>
        <v>EDUC1035</v>
      </c>
      <c r="FG9" s="117" t="s">
        <v>56</v>
      </c>
      <c r="FH9" s="104"/>
      <c r="FI9" s="117" t="s">
        <v>54</v>
      </c>
      <c r="FJ9" s="298" t="str">
        <f t="shared" si="36"/>
        <v>EDUC1035</v>
      </c>
      <c r="FK9" s="117" t="s">
        <v>56</v>
      </c>
      <c r="FL9" s="104"/>
      <c r="FM9" s="117" t="s">
        <v>54</v>
      </c>
      <c r="FN9" s="298" t="str">
        <f t="shared" si="37"/>
        <v>EDUC1035</v>
      </c>
      <c r="FO9" s="117" t="s">
        <v>56</v>
      </c>
      <c r="FP9" s="104"/>
      <c r="FQ9" s="117" t="s">
        <v>54</v>
      </c>
      <c r="FR9" s="298" t="str">
        <f t="shared" si="38"/>
        <v>EDUC1035</v>
      </c>
      <c r="FS9" s="117" t="s">
        <v>56</v>
      </c>
      <c r="FT9" s="104"/>
      <c r="FU9" s="117" t="s">
        <v>54</v>
      </c>
      <c r="FV9" s="298" t="str">
        <f t="shared" si="39"/>
        <v>EDUC1035</v>
      </c>
      <c r="FW9" s="117" t="s">
        <v>56</v>
      </c>
      <c r="FX9" s="104"/>
      <c r="FY9" s="117" t="s">
        <v>54</v>
      </c>
      <c r="FZ9" s="298" t="str">
        <f t="shared" si="40"/>
        <v>EDUC1035</v>
      </c>
      <c r="GA9" s="117" t="s">
        <v>56</v>
      </c>
      <c r="GB9" s="104"/>
      <c r="GC9" s="117" t="s">
        <v>54</v>
      </c>
      <c r="GD9" s="298" t="str">
        <f t="shared" si="41"/>
        <v>EDUC1035</v>
      </c>
      <c r="GE9" s="117" t="s">
        <v>56</v>
      </c>
      <c r="GF9" s="104"/>
      <c r="GG9" s="117" t="s">
        <v>54</v>
      </c>
      <c r="GH9" s="298" t="str">
        <f t="shared" si="42"/>
        <v>EDUC1035</v>
      </c>
      <c r="GI9" s="117" t="s">
        <v>56</v>
      </c>
      <c r="GJ9" s="104"/>
      <c r="GK9" s="117" t="s">
        <v>54</v>
      </c>
      <c r="GL9" s="298" t="str">
        <f t="shared" si="43"/>
        <v>EDUC1035</v>
      </c>
      <c r="GM9" s="117" t="s">
        <v>56</v>
      </c>
      <c r="GN9" s="104"/>
      <c r="GO9" s="117" t="s">
        <v>54</v>
      </c>
      <c r="GP9" s="298" t="str">
        <f t="shared" si="44"/>
        <v>EDUC1035</v>
      </c>
      <c r="GQ9" s="117" t="s">
        <v>56</v>
      </c>
      <c r="GR9" s="104"/>
      <c r="GS9" s="117" t="s">
        <v>54</v>
      </c>
      <c r="GT9" s="298" t="str">
        <f t="shared" si="45"/>
        <v>EDUC1035</v>
      </c>
      <c r="GU9" s="117" t="s">
        <v>56</v>
      </c>
      <c r="GV9" s="104"/>
      <c r="GW9" s="117" t="s">
        <v>54</v>
      </c>
      <c r="GX9" s="298" t="str">
        <f t="shared" si="46"/>
        <v>EDUC1035</v>
      </c>
      <c r="GY9" s="117" t="s">
        <v>56</v>
      </c>
      <c r="GZ9" s="104"/>
      <c r="HA9" s="117" t="s">
        <v>54</v>
      </c>
      <c r="HB9" s="298" t="str">
        <f t="shared" si="47"/>
        <v>EDUC1035</v>
      </c>
      <c r="HC9" s="117" t="s">
        <v>56</v>
      </c>
      <c r="HD9" s="104"/>
      <c r="HE9" s="117" t="s">
        <v>54</v>
      </c>
      <c r="HF9" s="298" t="str">
        <f t="shared" si="48"/>
        <v>EDUC1035</v>
      </c>
      <c r="HG9" s="117" t="s">
        <v>56</v>
      </c>
      <c r="HH9" s="104"/>
      <c r="HI9" s="117" t="s">
        <v>54</v>
      </c>
      <c r="HJ9" s="298" t="str">
        <f t="shared" si="49"/>
        <v>EDUC1035</v>
      </c>
      <c r="HK9" s="117" t="s">
        <v>56</v>
      </c>
      <c r="HL9" s="104"/>
      <c r="HM9" s="117" t="s">
        <v>54</v>
      </c>
      <c r="HN9" s="298" t="str">
        <f t="shared" si="50"/>
        <v>EDUC1035</v>
      </c>
      <c r="HO9" s="117" t="s">
        <v>56</v>
      </c>
      <c r="HP9" s="104"/>
      <c r="HQ9" s="117" t="s">
        <v>54</v>
      </c>
      <c r="HR9" s="298" t="str">
        <f t="shared" si="51"/>
        <v>EDUC1035</v>
      </c>
      <c r="HS9" s="117" t="s">
        <v>56</v>
      </c>
      <c r="HT9" s="104"/>
      <c r="HU9" s="117" t="s">
        <v>54</v>
      </c>
      <c r="HV9" s="298" t="str">
        <f t="shared" si="52"/>
        <v>EDUC1035</v>
      </c>
      <c r="HW9" s="117" t="s">
        <v>56</v>
      </c>
      <c r="HX9" s="104"/>
      <c r="HY9" s="117" t="s">
        <v>54</v>
      </c>
      <c r="HZ9" s="298" t="str">
        <f t="shared" si="53"/>
        <v>EDUC1035</v>
      </c>
      <c r="IA9" s="117" t="s">
        <v>56</v>
      </c>
      <c r="IB9" s="104"/>
      <c r="IC9" s="117" t="s">
        <v>54</v>
      </c>
      <c r="ID9" s="298" t="str">
        <f t="shared" si="54"/>
        <v>EDUC1035</v>
      </c>
      <c r="IE9" s="117" t="s">
        <v>56</v>
      </c>
      <c r="IF9" s="104"/>
      <c r="IG9" s="117" t="s">
        <v>54</v>
      </c>
      <c r="IH9" s="298" t="str">
        <f t="shared" si="55"/>
        <v>EDUC1035</v>
      </c>
      <c r="II9" s="117" t="s">
        <v>56</v>
      </c>
      <c r="IJ9" s="104"/>
      <c r="IK9" s="117" t="s">
        <v>54</v>
      </c>
      <c r="IL9" s="298" t="str">
        <f t="shared" si="56"/>
        <v>EDUC1035</v>
      </c>
      <c r="IM9" s="117" t="s">
        <v>56</v>
      </c>
      <c r="IN9" s="104"/>
      <c r="IO9" s="117" t="s">
        <v>54</v>
      </c>
      <c r="IP9" s="298" t="str">
        <f t="shared" si="57"/>
        <v>EDUC1035</v>
      </c>
      <c r="IQ9" s="117" t="s">
        <v>56</v>
      </c>
      <c r="IR9" s="104"/>
      <c r="IS9" s="117" t="s">
        <v>54</v>
      </c>
      <c r="IT9" s="298" t="str">
        <f t="shared" si="58"/>
        <v>EDUC1035</v>
      </c>
      <c r="IU9" s="117" t="s">
        <v>56</v>
      </c>
      <c r="IV9" s="104"/>
      <c r="IW9" s="117" t="s">
        <v>54</v>
      </c>
      <c r="IX9" s="298" t="str">
        <f t="shared" si="59"/>
        <v>EDUC1035</v>
      </c>
      <c r="IY9" s="117" t="s">
        <v>56</v>
      </c>
      <c r="IZ9" s="104"/>
      <c r="JA9" s="117" t="s">
        <v>54</v>
      </c>
      <c r="JB9" s="298" t="str">
        <f t="shared" si="60"/>
        <v>EDUC1035</v>
      </c>
      <c r="JC9" s="117" t="s">
        <v>56</v>
      </c>
      <c r="JD9" s="104"/>
      <c r="JE9" s="117" t="s">
        <v>54</v>
      </c>
      <c r="JF9" s="298" t="str">
        <f t="shared" si="61"/>
        <v>EDUC1035</v>
      </c>
      <c r="JG9" s="117" t="s">
        <v>56</v>
      </c>
      <c r="JH9" s="104"/>
      <c r="JI9" s="117" t="s">
        <v>54</v>
      </c>
      <c r="JJ9" s="298" t="str">
        <f t="shared" si="62"/>
        <v>EDUC1035</v>
      </c>
      <c r="JK9" s="117" t="s">
        <v>56</v>
      </c>
      <c r="JL9" s="104"/>
      <c r="JM9" s="117" t="s">
        <v>54</v>
      </c>
      <c r="JN9" s="298" t="str">
        <f t="shared" si="63"/>
        <v>EDUC1035</v>
      </c>
      <c r="JO9" s="117" t="s">
        <v>56</v>
      </c>
      <c r="JP9" s="104"/>
      <c r="JQ9" s="117" t="s">
        <v>54</v>
      </c>
      <c r="JR9" s="298" t="str">
        <f t="shared" si="64"/>
        <v>EDUC1035</v>
      </c>
      <c r="JS9" s="117" t="s">
        <v>56</v>
      </c>
      <c r="JT9" s="104"/>
      <c r="JU9" s="117" t="s">
        <v>54</v>
      </c>
      <c r="JV9" s="298" t="str">
        <f t="shared" si="65"/>
        <v>EDUC1035</v>
      </c>
      <c r="JW9" s="117" t="s">
        <v>56</v>
      </c>
      <c r="JX9" s="104"/>
      <c r="JY9" s="117" t="s">
        <v>54</v>
      </c>
      <c r="JZ9" s="298" t="str">
        <f t="shared" si="66"/>
        <v>EDUC1035</v>
      </c>
      <c r="KA9" s="117" t="s">
        <v>56</v>
      </c>
      <c r="KB9" s="104"/>
      <c r="KC9" s="117" t="s">
        <v>54</v>
      </c>
      <c r="KD9" s="298" t="str">
        <f t="shared" si="67"/>
        <v>EDUC1035</v>
      </c>
      <c r="KE9" s="117" t="s">
        <v>56</v>
      </c>
      <c r="KF9" s="104"/>
      <c r="KG9" s="117" t="s">
        <v>54</v>
      </c>
      <c r="KH9" s="298" t="str">
        <f t="shared" si="68"/>
        <v>EDUC1035</v>
      </c>
      <c r="KI9" s="117" t="s">
        <v>56</v>
      </c>
      <c r="KJ9" s="104"/>
      <c r="KK9" s="117" t="s">
        <v>54</v>
      </c>
      <c r="KL9" s="298" t="str">
        <f t="shared" si="69"/>
        <v>EDUC1035</v>
      </c>
      <c r="KM9" s="117" t="s">
        <v>56</v>
      </c>
      <c r="KN9" s="104"/>
      <c r="KO9" s="117" t="s">
        <v>54</v>
      </c>
      <c r="KP9" s="298" t="str">
        <f t="shared" si="70"/>
        <v>EDUC1035</v>
      </c>
      <c r="KQ9" s="117" t="s">
        <v>56</v>
      </c>
      <c r="KR9" s="104"/>
      <c r="KS9" s="117" t="s">
        <v>54</v>
      </c>
      <c r="KT9" s="298" t="str">
        <f t="shared" si="71"/>
        <v>EDUC1035</v>
      </c>
      <c r="KU9" s="117" t="s">
        <v>56</v>
      </c>
      <c r="KV9" s="104"/>
      <c r="KW9" s="117" t="s">
        <v>54</v>
      </c>
      <c r="KX9" s="298" t="str">
        <f t="shared" si="72"/>
        <v>EDUC1035</v>
      </c>
      <c r="KY9" s="117" t="s">
        <v>56</v>
      </c>
      <c r="KZ9" s="104"/>
      <c r="LA9" s="117" t="s">
        <v>54</v>
      </c>
      <c r="LB9" s="298" t="str">
        <f t="shared" si="73"/>
        <v>EDUC1035</v>
      </c>
      <c r="LC9" s="117" t="s">
        <v>56</v>
      </c>
      <c r="LD9" s="104"/>
      <c r="LE9" s="117" t="s">
        <v>54</v>
      </c>
      <c r="LF9" s="298" t="str">
        <f t="shared" si="74"/>
        <v>EDUC1035</v>
      </c>
      <c r="LG9" s="117" t="s">
        <v>56</v>
      </c>
      <c r="LH9" s="104"/>
      <c r="LI9" s="117" t="s">
        <v>54</v>
      </c>
      <c r="LJ9" s="298" t="str">
        <f t="shared" si="75"/>
        <v>EDUC1035</v>
      </c>
      <c r="LK9" s="117" t="s">
        <v>56</v>
      </c>
      <c r="LL9" s="104"/>
      <c r="LM9" s="117" t="s">
        <v>54</v>
      </c>
      <c r="LN9" s="298" t="str">
        <f t="shared" si="76"/>
        <v>EDUC1035</v>
      </c>
      <c r="LO9" s="117" t="s">
        <v>56</v>
      </c>
      <c r="LP9" s="104"/>
      <c r="LQ9" s="117" t="s">
        <v>54</v>
      </c>
      <c r="LR9" s="298" t="str">
        <f t="shared" si="77"/>
        <v>EDUC1035</v>
      </c>
      <c r="LS9" s="117" t="s">
        <v>56</v>
      </c>
      <c r="LT9" s="104"/>
      <c r="LU9" s="117" t="s">
        <v>54</v>
      </c>
      <c r="LV9" s="298" t="str">
        <f t="shared" si="78"/>
        <v>EDUC1035</v>
      </c>
      <c r="LW9" s="117" t="s">
        <v>56</v>
      </c>
      <c r="LX9" s="104"/>
      <c r="LY9" s="117" t="s">
        <v>54</v>
      </c>
      <c r="LZ9" s="298" t="str">
        <f t="shared" si="79"/>
        <v>EDUC1035</v>
      </c>
      <c r="MA9" s="117" t="s">
        <v>56</v>
      </c>
      <c r="MB9" s="104"/>
      <c r="MC9" s="117" t="s">
        <v>54</v>
      </c>
      <c r="MD9" s="298" t="str">
        <f t="shared" si="80"/>
        <v>EDUC1035</v>
      </c>
      <c r="ME9" s="117" t="s">
        <v>56</v>
      </c>
      <c r="MF9" s="104"/>
      <c r="MG9" s="117" t="s">
        <v>54</v>
      </c>
      <c r="MH9" s="298" t="str">
        <f t="shared" si="81"/>
        <v>EDUC1035</v>
      </c>
      <c r="MI9" s="117" t="s">
        <v>56</v>
      </c>
      <c r="MJ9" s="104"/>
      <c r="MK9" s="117" t="s">
        <v>54</v>
      </c>
      <c r="ML9" s="298" t="str">
        <f t="shared" si="82"/>
        <v>EDUC1035</v>
      </c>
      <c r="MM9" s="117" t="s">
        <v>56</v>
      </c>
      <c r="MN9" s="104"/>
      <c r="MO9" s="117" t="s">
        <v>54</v>
      </c>
      <c r="MP9" s="298" t="str">
        <f t="shared" si="83"/>
        <v>EDUC1035</v>
      </c>
      <c r="MQ9" s="117" t="s">
        <v>56</v>
      </c>
      <c r="MR9" s="104"/>
      <c r="MS9" s="117" t="s">
        <v>54</v>
      </c>
      <c r="MT9" s="298" t="str">
        <f t="shared" si="84"/>
        <v>EDUC1035</v>
      </c>
      <c r="MU9" s="117" t="s">
        <v>56</v>
      </c>
      <c r="MV9" s="104"/>
      <c r="MW9" s="117" t="s">
        <v>54</v>
      </c>
      <c r="MX9" s="298" t="str">
        <f t="shared" si="85"/>
        <v>EDUC1035</v>
      </c>
      <c r="MY9" s="117" t="s">
        <v>56</v>
      </c>
      <c r="MZ9" s="104"/>
      <c r="NA9" s="117" t="s">
        <v>54</v>
      </c>
      <c r="NB9" s="298" t="str">
        <f t="shared" si="86"/>
        <v>EDUC1035</v>
      </c>
      <c r="NC9" s="117" t="s">
        <v>56</v>
      </c>
      <c r="ND9" s="104"/>
      <c r="NE9" s="117" t="s">
        <v>54</v>
      </c>
      <c r="NF9" s="298" t="str">
        <f t="shared" si="87"/>
        <v>EDUC1035</v>
      </c>
      <c r="NG9" s="117" t="s">
        <v>56</v>
      </c>
      <c r="NH9" s="104"/>
      <c r="NI9" s="117" t="s">
        <v>54</v>
      </c>
      <c r="NJ9" s="298" t="str">
        <f t="shared" si="88"/>
        <v>EDUC1035</v>
      </c>
      <c r="NK9" s="117" t="s">
        <v>56</v>
      </c>
      <c r="NL9" s="104"/>
      <c r="NM9" s="117" t="s">
        <v>54</v>
      </c>
      <c r="NN9" s="298" t="str">
        <f t="shared" si="89"/>
        <v>EDUC1035</v>
      </c>
      <c r="NO9" s="117" t="s">
        <v>56</v>
      </c>
      <c r="NP9" s="104"/>
      <c r="NQ9" s="117" t="s">
        <v>54</v>
      </c>
      <c r="NR9" s="298" t="str">
        <f t="shared" si="90"/>
        <v>EDUC1035</v>
      </c>
      <c r="NS9" s="117" t="s">
        <v>56</v>
      </c>
      <c r="NT9" s="104"/>
      <c r="NU9" s="117" t="s">
        <v>54</v>
      </c>
      <c r="NV9" s="298" t="str">
        <f t="shared" si="91"/>
        <v>EDUC1035</v>
      </c>
      <c r="NW9" s="117" t="s">
        <v>56</v>
      </c>
      <c r="NX9" s="104"/>
      <c r="NY9" s="117" t="s">
        <v>54</v>
      </c>
      <c r="NZ9" s="298" t="str">
        <f t="shared" si="92"/>
        <v>EDUC1035</v>
      </c>
      <c r="OA9" s="117" t="s">
        <v>56</v>
      </c>
      <c r="OB9" s="104"/>
      <c r="OC9" s="117" t="s">
        <v>54</v>
      </c>
      <c r="OD9" s="298" t="str">
        <f t="shared" si="93"/>
        <v>EDUC1035</v>
      </c>
      <c r="OE9" s="117" t="s">
        <v>56</v>
      </c>
      <c r="OF9" s="104"/>
      <c r="OG9" s="117" t="s">
        <v>54</v>
      </c>
      <c r="OH9" s="298" t="str">
        <f t="shared" si="94"/>
        <v>EDUC1035</v>
      </c>
      <c r="OI9" s="117" t="s">
        <v>56</v>
      </c>
      <c r="OJ9" s="104"/>
      <c r="OK9" s="117" t="s">
        <v>54</v>
      </c>
      <c r="OL9" s="298" t="str">
        <f t="shared" si="95"/>
        <v>EDUC1035</v>
      </c>
      <c r="OM9" s="117" t="s">
        <v>56</v>
      </c>
      <c r="ON9" s="104"/>
      <c r="OO9" s="117" t="s">
        <v>54</v>
      </c>
      <c r="OP9" s="298" t="str">
        <f t="shared" si="96"/>
        <v>EDUC1035</v>
      </c>
      <c r="OQ9" s="117" t="s">
        <v>56</v>
      </c>
      <c r="OR9" s="104"/>
      <c r="OS9" s="117" t="s">
        <v>54</v>
      </c>
      <c r="OT9" s="298" t="str">
        <f t="shared" si="97"/>
        <v>EDUC1035</v>
      </c>
      <c r="OU9" s="117" t="s">
        <v>56</v>
      </c>
      <c r="OV9" s="104"/>
      <c r="OW9" s="117" t="s">
        <v>54</v>
      </c>
      <c r="OX9" s="298" t="str">
        <f t="shared" si="98"/>
        <v>EDUC1035</v>
      </c>
      <c r="OY9" s="117" t="s">
        <v>56</v>
      </c>
      <c r="OZ9" s="104"/>
      <c r="PA9" s="117" t="s">
        <v>54</v>
      </c>
      <c r="PB9" s="298" t="str">
        <f t="shared" si="99"/>
        <v>EDUC1035</v>
      </c>
      <c r="PC9" s="117" t="s">
        <v>56</v>
      </c>
      <c r="PD9" s="104"/>
      <c r="PE9" s="117" t="s">
        <v>54</v>
      </c>
      <c r="PF9" s="298" t="str">
        <f t="shared" si="100"/>
        <v>EDUC1035</v>
      </c>
      <c r="PG9" s="117" t="s">
        <v>56</v>
      </c>
      <c r="PH9" s="104"/>
      <c r="PI9" s="117" t="s">
        <v>54</v>
      </c>
      <c r="PJ9" s="298" t="str">
        <f t="shared" si="101"/>
        <v>EDUC1035</v>
      </c>
      <c r="PK9" s="117" t="s">
        <v>56</v>
      </c>
      <c r="PL9" s="104"/>
      <c r="PM9" s="117" t="s">
        <v>54</v>
      </c>
      <c r="PN9" s="298" t="str">
        <f t="shared" si="102"/>
        <v>EDUC1035</v>
      </c>
      <c r="PO9" s="117" t="s">
        <v>56</v>
      </c>
      <c r="PP9" s="104"/>
      <c r="PQ9" s="117" t="s">
        <v>54</v>
      </c>
      <c r="PR9" s="298" t="str">
        <f t="shared" si="103"/>
        <v>EDUC1035</v>
      </c>
      <c r="PS9" s="117" t="s">
        <v>56</v>
      </c>
      <c r="PT9" s="104"/>
      <c r="PU9" s="117" t="s">
        <v>54</v>
      </c>
      <c r="PV9" s="298" t="str">
        <f t="shared" si="104"/>
        <v>EDUC1035</v>
      </c>
      <c r="PW9" s="117" t="s">
        <v>56</v>
      </c>
      <c r="PX9" s="104"/>
      <c r="PY9" s="117" t="s">
        <v>54</v>
      </c>
      <c r="PZ9" s="298" t="str">
        <f t="shared" si="105"/>
        <v>EDUC1035</v>
      </c>
      <c r="QA9" s="117" t="s">
        <v>56</v>
      </c>
      <c r="QB9" s="104"/>
      <c r="QC9" s="117" t="s">
        <v>54</v>
      </c>
      <c r="QD9" s="298" t="str">
        <f t="shared" si="106"/>
        <v>EDUC1035</v>
      </c>
      <c r="QE9" s="117" t="s">
        <v>56</v>
      </c>
      <c r="QF9" s="104"/>
      <c r="QG9" s="117" t="s">
        <v>54</v>
      </c>
      <c r="QH9" s="298" t="str">
        <f t="shared" si="107"/>
        <v>EDUC1035</v>
      </c>
      <c r="QI9" s="117" t="s">
        <v>56</v>
      </c>
      <c r="QJ9" s="104"/>
    </row>
    <row r="10" spans="1:481" x14ac:dyDescent="0.25">
      <c r="A10" s="351" t="s">
        <v>210</v>
      </c>
      <c r="B10" s="268" t="s">
        <v>341</v>
      </c>
      <c r="C10" s="268" t="s">
        <v>100</v>
      </c>
      <c r="D10" s="269">
        <v>45658</v>
      </c>
      <c r="E10" s="275">
        <v>2</v>
      </c>
      <c r="F10" s="269">
        <v>45658</v>
      </c>
      <c r="G10" s="268" t="s">
        <v>376</v>
      </c>
      <c r="J10" s="141"/>
      <c r="K10" s="146" t="str">
        <f>INDEX(TableStreams[Choose your Specialisation Stream second (drop-down list)],MATCH(L10,TableStreams[UDC],0))</f>
        <v>Mathematics Education Minor Teaching Area Stream (BEd Secondary)</v>
      </c>
      <c r="L10" s="141" t="s">
        <v>356</v>
      </c>
      <c r="O10" s="19"/>
      <c r="P10" s="19">
        <v>8</v>
      </c>
      <c r="Q10" s="118" t="s">
        <v>54</v>
      </c>
      <c r="R10" s="103" t="s">
        <v>60</v>
      </c>
      <c r="S10" s="118" t="s">
        <v>56</v>
      </c>
      <c r="T10" s="103"/>
      <c r="U10" s="118" t="s">
        <v>54</v>
      </c>
      <c r="V10" s="299" t="str">
        <f t="shared" si="0"/>
        <v>EDUC1019</v>
      </c>
      <c r="W10" s="118" t="s">
        <v>56</v>
      </c>
      <c r="X10" s="103"/>
      <c r="Y10" s="118" t="s">
        <v>54</v>
      </c>
      <c r="Z10" s="299" t="str">
        <f t="shared" si="1"/>
        <v>EDUC1019</v>
      </c>
      <c r="AA10" s="118" t="s">
        <v>56</v>
      </c>
      <c r="AB10" s="103"/>
      <c r="AC10" s="118" t="s">
        <v>54</v>
      </c>
      <c r="AD10" s="299" t="str">
        <f t="shared" si="2"/>
        <v>EDUC1019</v>
      </c>
      <c r="AE10" s="118" t="s">
        <v>56</v>
      </c>
      <c r="AF10" s="103"/>
      <c r="AG10" s="118" t="s">
        <v>54</v>
      </c>
      <c r="AH10" s="299" t="str">
        <f t="shared" si="3"/>
        <v>EDUC1019</v>
      </c>
      <c r="AI10" s="118" t="s">
        <v>56</v>
      </c>
      <c r="AJ10" s="103"/>
      <c r="AK10" s="118" t="s">
        <v>54</v>
      </c>
      <c r="AL10" s="299" t="str">
        <f t="shared" si="4"/>
        <v>EDUC1019</v>
      </c>
      <c r="AM10" s="118" t="s">
        <v>56</v>
      </c>
      <c r="AN10" s="103"/>
      <c r="AO10" s="118" t="s">
        <v>54</v>
      </c>
      <c r="AP10" s="299" t="str">
        <f t="shared" si="5"/>
        <v>EDUC1019</v>
      </c>
      <c r="AQ10" s="118" t="s">
        <v>56</v>
      </c>
      <c r="AR10" s="103"/>
      <c r="AS10" s="118" t="s">
        <v>54</v>
      </c>
      <c r="AT10" s="299" t="str">
        <f t="shared" si="6"/>
        <v>EDUC1019</v>
      </c>
      <c r="AU10" s="118" t="s">
        <v>56</v>
      </c>
      <c r="AV10" s="103"/>
      <c r="AW10" s="118" t="s">
        <v>54</v>
      </c>
      <c r="AX10" s="299" t="str">
        <f t="shared" si="7"/>
        <v>EDUC1019</v>
      </c>
      <c r="AY10" s="118" t="s">
        <v>56</v>
      </c>
      <c r="AZ10" s="103"/>
      <c r="BA10" s="118" t="s">
        <v>54</v>
      </c>
      <c r="BB10" s="299" t="str">
        <f t="shared" si="8"/>
        <v>EDUC1019</v>
      </c>
      <c r="BC10" s="118" t="s">
        <v>56</v>
      </c>
      <c r="BD10" s="103"/>
      <c r="BE10" s="118" t="s">
        <v>54</v>
      </c>
      <c r="BF10" s="299" t="str">
        <f t="shared" si="9"/>
        <v>EDUC1019</v>
      </c>
      <c r="BG10" s="118" t="s">
        <v>56</v>
      </c>
      <c r="BH10" s="103"/>
      <c r="BI10" s="118" t="s">
        <v>54</v>
      </c>
      <c r="BJ10" s="299" t="str">
        <f t="shared" si="10"/>
        <v>EDUC1019</v>
      </c>
      <c r="BK10" s="118" t="s">
        <v>56</v>
      </c>
      <c r="BL10" s="103"/>
      <c r="BM10" s="118" t="s">
        <v>54</v>
      </c>
      <c r="BN10" s="299" t="str">
        <f t="shared" si="11"/>
        <v>EDUC1019</v>
      </c>
      <c r="BO10" s="118" t="s">
        <v>56</v>
      </c>
      <c r="BP10" s="103"/>
      <c r="BQ10" s="118" t="s">
        <v>54</v>
      </c>
      <c r="BR10" s="299" t="str">
        <f t="shared" si="12"/>
        <v>EDUC1019</v>
      </c>
      <c r="BS10" s="118" t="s">
        <v>56</v>
      </c>
      <c r="BT10" s="103"/>
      <c r="BU10" s="118" t="s">
        <v>54</v>
      </c>
      <c r="BV10" s="299" t="str">
        <f t="shared" si="13"/>
        <v>EDUC1019</v>
      </c>
      <c r="BW10" s="118" t="s">
        <v>56</v>
      </c>
      <c r="BX10" s="103"/>
      <c r="BY10" s="118" t="s">
        <v>54</v>
      </c>
      <c r="BZ10" s="299" t="str">
        <f t="shared" si="14"/>
        <v>EDUC1019</v>
      </c>
      <c r="CA10" s="118" t="s">
        <v>56</v>
      </c>
      <c r="CB10" s="103"/>
      <c r="CC10" s="118" t="s">
        <v>54</v>
      </c>
      <c r="CD10" s="299" t="str">
        <f t="shared" si="15"/>
        <v>EDUC1019</v>
      </c>
      <c r="CE10" s="118" t="s">
        <v>56</v>
      </c>
      <c r="CF10" s="103"/>
      <c r="CG10" s="118" t="s">
        <v>54</v>
      </c>
      <c r="CH10" s="299" t="str">
        <f t="shared" si="16"/>
        <v>EDUC1019</v>
      </c>
      <c r="CI10" s="118" t="s">
        <v>56</v>
      </c>
      <c r="CJ10" s="103"/>
      <c r="CK10" s="118" t="s">
        <v>54</v>
      </c>
      <c r="CL10" s="299" t="str">
        <f t="shared" si="17"/>
        <v>EDUC1019</v>
      </c>
      <c r="CM10" s="118" t="s">
        <v>56</v>
      </c>
      <c r="CN10" s="103"/>
      <c r="CO10" s="118" t="s">
        <v>54</v>
      </c>
      <c r="CP10" s="299" t="str">
        <f t="shared" si="18"/>
        <v>EDUC1019</v>
      </c>
      <c r="CQ10" s="118" t="s">
        <v>56</v>
      </c>
      <c r="CR10" s="103"/>
      <c r="CS10" s="118" t="s">
        <v>54</v>
      </c>
      <c r="CT10" s="299" t="str">
        <f t="shared" si="19"/>
        <v>EDUC1019</v>
      </c>
      <c r="CU10" s="118" t="s">
        <v>56</v>
      </c>
      <c r="CV10" s="103"/>
      <c r="CW10" s="118" t="s">
        <v>54</v>
      </c>
      <c r="CX10" s="299" t="str">
        <f t="shared" si="20"/>
        <v>EDUC1019</v>
      </c>
      <c r="CY10" s="118" t="s">
        <v>56</v>
      </c>
      <c r="CZ10" s="103"/>
      <c r="DA10" s="118" t="s">
        <v>54</v>
      </c>
      <c r="DB10" s="299" t="str">
        <f t="shared" si="21"/>
        <v>EDUC1019</v>
      </c>
      <c r="DC10" s="118" t="s">
        <v>56</v>
      </c>
      <c r="DD10" s="103"/>
      <c r="DE10" s="118" t="s">
        <v>54</v>
      </c>
      <c r="DF10" s="299" t="str">
        <f t="shared" si="22"/>
        <v>EDUC1019</v>
      </c>
      <c r="DG10" s="118" t="s">
        <v>56</v>
      </c>
      <c r="DH10" s="103"/>
      <c r="DI10" s="118" t="s">
        <v>54</v>
      </c>
      <c r="DJ10" s="299" t="str">
        <f t="shared" si="23"/>
        <v>EDUC1019</v>
      </c>
      <c r="DK10" s="118" t="s">
        <v>56</v>
      </c>
      <c r="DL10" s="103"/>
      <c r="DM10" s="118" t="s">
        <v>54</v>
      </c>
      <c r="DN10" s="299" t="str">
        <f t="shared" si="24"/>
        <v>EDUC1019</v>
      </c>
      <c r="DO10" s="118" t="s">
        <v>56</v>
      </c>
      <c r="DP10" s="103"/>
      <c r="DQ10" s="118" t="s">
        <v>54</v>
      </c>
      <c r="DR10" s="299" t="str">
        <f t="shared" si="25"/>
        <v>EDUC1019</v>
      </c>
      <c r="DS10" s="118" t="s">
        <v>56</v>
      </c>
      <c r="DT10" s="103"/>
      <c r="DU10" s="118" t="s">
        <v>54</v>
      </c>
      <c r="DV10" s="299" t="str">
        <f t="shared" si="26"/>
        <v>EDUC1019</v>
      </c>
      <c r="DW10" s="118" t="s">
        <v>56</v>
      </c>
      <c r="DX10" s="103"/>
      <c r="DY10" s="118" t="s">
        <v>54</v>
      </c>
      <c r="DZ10" s="299" t="str">
        <f t="shared" si="27"/>
        <v>EDUC1019</v>
      </c>
      <c r="EA10" s="118" t="s">
        <v>56</v>
      </c>
      <c r="EB10" s="103"/>
      <c r="EC10" s="118" t="s">
        <v>54</v>
      </c>
      <c r="ED10" s="299" t="str">
        <f t="shared" si="28"/>
        <v>EDUC1019</v>
      </c>
      <c r="EE10" s="118" t="s">
        <v>56</v>
      </c>
      <c r="EF10" s="103"/>
      <c r="EG10" s="118" t="s">
        <v>54</v>
      </c>
      <c r="EH10" s="299" t="str">
        <f t="shared" si="29"/>
        <v>EDUC1019</v>
      </c>
      <c r="EI10" s="118" t="s">
        <v>56</v>
      </c>
      <c r="EJ10" s="103"/>
      <c r="EK10" s="118" t="s">
        <v>54</v>
      </c>
      <c r="EL10" s="299" t="str">
        <f t="shared" si="30"/>
        <v>EDUC1019</v>
      </c>
      <c r="EM10" s="118" t="s">
        <v>56</v>
      </c>
      <c r="EN10" s="103"/>
      <c r="EO10" s="118" t="s">
        <v>54</v>
      </c>
      <c r="EP10" s="299" t="str">
        <f t="shared" si="31"/>
        <v>EDUC1019</v>
      </c>
      <c r="EQ10" s="118" t="s">
        <v>56</v>
      </c>
      <c r="ER10" s="103"/>
      <c r="ES10" s="118" t="s">
        <v>54</v>
      </c>
      <c r="ET10" s="299" t="str">
        <f t="shared" si="32"/>
        <v>EDUC1019</v>
      </c>
      <c r="EU10" s="118" t="s">
        <v>56</v>
      </c>
      <c r="EV10" s="103"/>
      <c r="EW10" s="118" t="s">
        <v>54</v>
      </c>
      <c r="EX10" s="299" t="str">
        <f t="shared" si="33"/>
        <v>EDUC1019</v>
      </c>
      <c r="EY10" s="118" t="s">
        <v>56</v>
      </c>
      <c r="EZ10" s="103"/>
      <c r="FA10" s="118" t="s">
        <v>54</v>
      </c>
      <c r="FB10" s="299" t="str">
        <f t="shared" si="34"/>
        <v>EDUC1019</v>
      </c>
      <c r="FC10" s="118" t="s">
        <v>56</v>
      </c>
      <c r="FD10" s="103"/>
      <c r="FE10" s="118" t="s">
        <v>54</v>
      </c>
      <c r="FF10" s="299" t="str">
        <f t="shared" si="35"/>
        <v>EDUC1019</v>
      </c>
      <c r="FG10" s="118" t="s">
        <v>56</v>
      </c>
      <c r="FH10" s="103"/>
      <c r="FI10" s="118" t="s">
        <v>54</v>
      </c>
      <c r="FJ10" s="299" t="str">
        <f t="shared" si="36"/>
        <v>EDUC1019</v>
      </c>
      <c r="FK10" s="118" t="s">
        <v>56</v>
      </c>
      <c r="FL10" s="103"/>
      <c r="FM10" s="118" t="s">
        <v>54</v>
      </c>
      <c r="FN10" s="299" t="str">
        <f t="shared" si="37"/>
        <v>EDUC1019</v>
      </c>
      <c r="FO10" s="118" t="s">
        <v>56</v>
      </c>
      <c r="FP10" s="103"/>
      <c r="FQ10" s="118" t="s">
        <v>54</v>
      </c>
      <c r="FR10" s="299" t="str">
        <f t="shared" si="38"/>
        <v>EDUC1019</v>
      </c>
      <c r="FS10" s="118" t="s">
        <v>56</v>
      </c>
      <c r="FT10" s="103"/>
      <c r="FU10" s="118" t="s">
        <v>54</v>
      </c>
      <c r="FV10" s="299" t="str">
        <f t="shared" si="39"/>
        <v>EDUC1019</v>
      </c>
      <c r="FW10" s="118" t="s">
        <v>56</v>
      </c>
      <c r="FX10" s="103"/>
      <c r="FY10" s="118" t="s">
        <v>54</v>
      </c>
      <c r="FZ10" s="299" t="str">
        <f t="shared" si="40"/>
        <v>EDUC1019</v>
      </c>
      <c r="GA10" s="118" t="s">
        <v>56</v>
      </c>
      <c r="GB10" s="103"/>
      <c r="GC10" s="118" t="s">
        <v>54</v>
      </c>
      <c r="GD10" s="299" t="str">
        <f t="shared" si="41"/>
        <v>EDUC1019</v>
      </c>
      <c r="GE10" s="118" t="s">
        <v>56</v>
      </c>
      <c r="GF10" s="103"/>
      <c r="GG10" s="118" t="s">
        <v>54</v>
      </c>
      <c r="GH10" s="299" t="str">
        <f t="shared" si="42"/>
        <v>EDUC1019</v>
      </c>
      <c r="GI10" s="118" t="s">
        <v>56</v>
      </c>
      <c r="GJ10" s="103"/>
      <c r="GK10" s="118" t="s">
        <v>54</v>
      </c>
      <c r="GL10" s="299" t="str">
        <f t="shared" si="43"/>
        <v>EDUC1019</v>
      </c>
      <c r="GM10" s="118" t="s">
        <v>56</v>
      </c>
      <c r="GN10" s="103"/>
      <c r="GO10" s="118" t="s">
        <v>54</v>
      </c>
      <c r="GP10" s="299" t="str">
        <f t="shared" si="44"/>
        <v>EDUC1019</v>
      </c>
      <c r="GQ10" s="118" t="s">
        <v>56</v>
      </c>
      <c r="GR10" s="103"/>
      <c r="GS10" s="118" t="s">
        <v>54</v>
      </c>
      <c r="GT10" s="299" t="str">
        <f t="shared" si="45"/>
        <v>EDUC1019</v>
      </c>
      <c r="GU10" s="118" t="s">
        <v>56</v>
      </c>
      <c r="GV10" s="103"/>
      <c r="GW10" s="118" t="s">
        <v>54</v>
      </c>
      <c r="GX10" s="299" t="str">
        <f t="shared" si="46"/>
        <v>EDUC1019</v>
      </c>
      <c r="GY10" s="118" t="s">
        <v>56</v>
      </c>
      <c r="GZ10" s="103"/>
      <c r="HA10" s="118" t="s">
        <v>54</v>
      </c>
      <c r="HB10" s="299" t="str">
        <f t="shared" si="47"/>
        <v>EDUC1019</v>
      </c>
      <c r="HC10" s="118" t="s">
        <v>56</v>
      </c>
      <c r="HD10" s="103"/>
      <c r="HE10" s="118" t="s">
        <v>54</v>
      </c>
      <c r="HF10" s="299" t="str">
        <f t="shared" si="48"/>
        <v>EDUC1019</v>
      </c>
      <c r="HG10" s="118" t="s">
        <v>56</v>
      </c>
      <c r="HH10" s="103"/>
      <c r="HI10" s="118" t="s">
        <v>54</v>
      </c>
      <c r="HJ10" s="299" t="str">
        <f t="shared" si="49"/>
        <v>EDUC1019</v>
      </c>
      <c r="HK10" s="118" t="s">
        <v>56</v>
      </c>
      <c r="HL10" s="103"/>
      <c r="HM10" s="118" t="s">
        <v>54</v>
      </c>
      <c r="HN10" s="299" t="str">
        <f t="shared" si="50"/>
        <v>EDUC1019</v>
      </c>
      <c r="HO10" s="118" t="s">
        <v>56</v>
      </c>
      <c r="HP10" s="103"/>
      <c r="HQ10" s="118" t="s">
        <v>54</v>
      </c>
      <c r="HR10" s="299" t="str">
        <f t="shared" si="51"/>
        <v>EDUC1019</v>
      </c>
      <c r="HS10" s="118" t="s">
        <v>56</v>
      </c>
      <c r="HT10" s="103"/>
      <c r="HU10" s="118" t="s">
        <v>54</v>
      </c>
      <c r="HV10" s="299" t="str">
        <f t="shared" si="52"/>
        <v>EDUC1019</v>
      </c>
      <c r="HW10" s="118" t="s">
        <v>56</v>
      </c>
      <c r="HX10" s="103"/>
      <c r="HY10" s="118" t="s">
        <v>54</v>
      </c>
      <c r="HZ10" s="299" t="str">
        <f t="shared" si="53"/>
        <v>EDUC1019</v>
      </c>
      <c r="IA10" s="118" t="s">
        <v>56</v>
      </c>
      <c r="IB10" s="103"/>
      <c r="IC10" s="118" t="s">
        <v>54</v>
      </c>
      <c r="ID10" s="299" t="str">
        <f t="shared" si="54"/>
        <v>EDUC1019</v>
      </c>
      <c r="IE10" s="118" t="s">
        <v>56</v>
      </c>
      <c r="IF10" s="103"/>
      <c r="IG10" s="118" t="s">
        <v>54</v>
      </c>
      <c r="IH10" s="299" t="str">
        <f t="shared" si="55"/>
        <v>EDUC1019</v>
      </c>
      <c r="II10" s="118" t="s">
        <v>56</v>
      </c>
      <c r="IJ10" s="103"/>
      <c r="IK10" s="118" t="s">
        <v>54</v>
      </c>
      <c r="IL10" s="299" t="str">
        <f t="shared" si="56"/>
        <v>EDUC1019</v>
      </c>
      <c r="IM10" s="118" t="s">
        <v>56</v>
      </c>
      <c r="IN10" s="103"/>
      <c r="IO10" s="118" t="s">
        <v>54</v>
      </c>
      <c r="IP10" s="299" t="str">
        <f t="shared" si="57"/>
        <v>EDUC1019</v>
      </c>
      <c r="IQ10" s="118" t="s">
        <v>56</v>
      </c>
      <c r="IR10" s="103"/>
      <c r="IS10" s="118" t="s">
        <v>54</v>
      </c>
      <c r="IT10" s="299" t="str">
        <f t="shared" si="58"/>
        <v>EDUC1019</v>
      </c>
      <c r="IU10" s="118" t="s">
        <v>56</v>
      </c>
      <c r="IV10" s="103"/>
      <c r="IW10" s="118" t="s">
        <v>54</v>
      </c>
      <c r="IX10" s="299" t="str">
        <f t="shared" si="59"/>
        <v>EDUC1019</v>
      </c>
      <c r="IY10" s="118" t="s">
        <v>56</v>
      </c>
      <c r="IZ10" s="103"/>
      <c r="JA10" s="118" t="s">
        <v>54</v>
      </c>
      <c r="JB10" s="299" t="str">
        <f t="shared" si="60"/>
        <v>EDUC1019</v>
      </c>
      <c r="JC10" s="118" t="s">
        <v>56</v>
      </c>
      <c r="JD10" s="103"/>
      <c r="JE10" s="118" t="s">
        <v>54</v>
      </c>
      <c r="JF10" s="299" t="str">
        <f t="shared" si="61"/>
        <v>EDUC1019</v>
      </c>
      <c r="JG10" s="118" t="s">
        <v>56</v>
      </c>
      <c r="JH10" s="103"/>
      <c r="JI10" s="118" t="s">
        <v>54</v>
      </c>
      <c r="JJ10" s="299" t="str">
        <f t="shared" si="62"/>
        <v>EDUC1019</v>
      </c>
      <c r="JK10" s="118" t="s">
        <v>56</v>
      </c>
      <c r="JL10" s="103"/>
      <c r="JM10" s="118" t="s">
        <v>54</v>
      </c>
      <c r="JN10" s="299" t="str">
        <f t="shared" si="63"/>
        <v>EDUC1019</v>
      </c>
      <c r="JO10" s="118" t="s">
        <v>56</v>
      </c>
      <c r="JP10" s="103"/>
      <c r="JQ10" s="118" t="s">
        <v>54</v>
      </c>
      <c r="JR10" s="299" t="str">
        <f t="shared" si="64"/>
        <v>EDUC1019</v>
      </c>
      <c r="JS10" s="118" t="s">
        <v>56</v>
      </c>
      <c r="JT10" s="103"/>
      <c r="JU10" s="118" t="s">
        <v>54</v>
      </c>
      <c r="JV10" s="299" t="str">
        <f t="shared" si="65"/>
        <v>EDUC1019</v>
      </c>
      <c r="JW10" s="118" t="s">
        <v>56</v>
      </c>
      <c r="JX10" s="103"/>
      <c r="JY10" s="118" t="s">
        <v>54</v>
      </c>
      <c r="JZ10" s="299" t="str">
        <f t="shared" si="66"/>
        <v>EDUC1019</v>
      </c>
      <c r="KA10" s="118" t="s">
        <v>56</v>
      </c>
      <c r="KB10" s="103"/>
      <c r="KC10" s="118" t="s">
        <v>54</v>
      </c>
      <c r="KD10" s="299" t="str">
        <f t="shared" si="67"/>
        <v>EDUC1019</v>
      </c>
      <c r="KE10" s="118" t="s">
        <v>56</v>
      </c>
      <c r="KF10" s="103"/>
      <c r="KG10" s="118" t="s">
        <v>54</v>
      </c>
      <c r="KH10" s="299" t="str">
        <f t="shared" si="68"/>
        <v>EDUC1019</v>
      </c>
      <c r="KI10" s="118" t="s">
        <v>56</v>
      </c>
      <c r="KJ10" s="103"/>
      <c r="KK10" s="118" t="s">
        <v>54</v>
      </c>
      <c r="KL10" s="299" t="str">
        <f t="shared" si="69"/>
        <v>EDUC1019</v>
      </c>
      <c r="KM10" s="118" t="s">
        <v>56</v>
      </c>
      <c r="KN10" s="103"/>
      <c r="KO10" s="118" t="s">
        <v>54</v>
      </c>
      <c r="KP10" s="299" t="str">
        <f t="shared" si="70"/>
        <v>EDUC1019</v>
      </c>
      <c r="KQ10" s="118" t="s">
        <v>56</v>
      </c>
      <c r="KR10" s="103"/>
      <c r="KS10" s="118" t="s">
        <v>54</v>
      </c>
      <c r="KT10" s="299" t="str">
        <f t="shared" si="71"/>
        <v>EDUC1019</v>
      </c>
      <c r="KU10" s="118" t="s">
        <v>56</v>
      </c>
      <c r="KV10" s="103"/>
      <c r="KW10" s="118" t="s">
        <v>54</v>
      </c>
      <c r="KX10" s="361" t="s">
        <v>467</v>
      </c>
      <c r="KY10" s="118" t="s">
        <v>56</v>
      </c>
      <c r="KZ10" s="103"/>
      <c r="LA10" s="118" t="s">
        <v>54</v>
      </c>
      <c r="LB10" s="361" t="s">
        <v>467</v>
      </c>
      <c r="LC10" s="118" t="s">
        <v>56</v>
      </c>
      <c r="LD10" s="103"/>
      <c r="LE10" s="118" t="s">
        <v>54</v>
      </c>
      <c r="LF10" s="299" t="str">
        <f t="shared" si="74"/>
        <v>EDUC1019</v>
      </c>
      <c r="LG10" s="118" t="s">
        <v>56</v>
      </c>
      <c r="LH10" s="103"/>
      <c r="LI10" s="118" t="s">
        <v>54</v>
      </c>
      <c r="LJ10" s="299" t="str">
        <f t="shared" si="75"/>
        <v>EDUC1019</v>
      </c>
      <c r="LK10" s="118" t="s">
        <v>56</v>
      </c>
      <c r="LL10" s="103"/>
      <c r="LM10" s="118" t="s">
        <v>54</v>
      </c>
      <c r="LN10" s="299" t="str">
        <f t="shared" si="76"/>
        <v>EDUC1019</v>
      </c>
      <c r="LO10" s="118" t="s">
        <v>56</v>
      </c>
      <c r="LP10" s="103"/>
      <c r="LQ10" s="118" t="s">
        <v>54</v>
      </c>
      <c r="LR10" s="299" t="str">
        <f t="shared" si="77"/>
        <v>EDUC1019</v>
      </c>
      <c r="LS10" s="118" t="s">
        <v>56</v>
      </c>
      <c r="LT10" s="103"/>
      <c r="LU10" s="118" t="s">
        <v>54</v>
      </c>
      <c r="LV10" s="299" t="str">
        <f t="shared" si="78"/>
        <v>EDUC1019</v>
      </c>
      <c r="LW10" s="118" t="s">
        <v>56</v>
      </c>
      <c r="LX10" s="103"/>
      <c r="LY10" s="118" t="s">
        <v>54</v>
      </c>
      <c r="LZ10" s="299" t="str">
        <f t="shared" si="79"/>
        <v>EDUC1019</v>
      </c>
      <c r="MA10" s="118" t="s">
        <v>56</v>
      </c>
      <c r="MB10" s="103"/>
      <c r="MC10" s="118" t="s">
        <v>54</v>
      </c>
      <c r="MD10" s="299" t="str">
        <f t="shared" si="80"/>
        <v>EDUC1019</v>
      </c>
      <c r="ME10" s="118" t="s">
        <v>56</v>
      </c>
      <c r="MF10" s="103"/>
      <c r="MG10" s="118" t="s">
        <v>54</v>
      </c>
      <c r="MH10" s="299" t="str">
        <f t="shared" si="81"/>
        <v>EDUC1019</v>
      </c>
      <c r="MI10" s="118" t="s">
        <v>56</v>
      </c>
      <c r="MJ10" s="103"/>
      <c r="MK10" s="118" t="s">
        <v>54</v>
      </c>
      <c r="ML10" s="299" t="str">
        <f t="shared" si="82"/>
        <v>EDUC1019</v>
      </c>
      <c r="MM10" s="118" t="s">
        <v>56</v>
      </c>
      <c r="MN10" s="103"/>
      <c r="MO10" s="118" t="s">
        <v>54</v>
      </c>
      <c r="MP10" s="299" t="str">
        <f t="shared" si="83"/>
        <v>EDUC1019</v>
      </c>
      <c r="MQ10" s="118" t="s">
        <v>56</v>
      </c>
      <c r="MR10" s="103"/>
      <c r="MS10" s="118" t="s">
        <v>54</v>
      </c>
      <c r="MT10" s="299" t="str">
        <f t="shared" si="84"/>
        <v>EDUC1019</v>
      </c>
      <c r="MU10" s="118" t="s">
        <v>56</v>
      </c>
      <c r="MV10" s="103"/>
      <c r="MW10" s="118" t="s">
        <v>54</v>
      </c>
      <c r="MX10" s="299" t="str">
        <f t="shared" si="85"/>
        <v>EDUC1019</v>
      </c>
      <c r="MY10" s="118" t="s">
        <v>56</v>
      </c>
      <c r="MZ10" s="103"/>
      <c r="NA10" s="118" t="s">
        <v>54</v>
      </c>
      <c r="NB10" s="299" t="str">
        <f t="shared" si="86"/>
        <v>EDUC1019</v>
      </c>
      <c r="NC10" s="118" t="s">
        <v>56</v>
      </c>
      <c r="ND10" s="103"/>
      <c r="NE10" s="118" t="s">
        <v>54</v>
      </c>
      <c r="NF10" s="299" t="str">
        <f t="shared" si="87"/>
        <v>EDUC1019</v>
      </c>
      <c r="NG10" s="118" t="s">
        <v>56</v>
      </c>
      <c r="NH10" s="103"/>
      <c r="NI10" s="118" t="s">
        <v>54</v>
      </c>
      <c r="NJ10" s="299" t="str">
        <f t="shared" si="88"/>
        <v>EDUC1019</v>
      </c>
      <c r="NK10" s="118" t="s">
        <v>56</v>
      </c>
      <c r="NL10" s="103"/>
      <c r="NM10" s="118" t="s">
        <v>54</v>
      </c>
      <c r="NN10" s="299" t="str">
        <f t="shared" si="89"/>
        <v>EDUC1019</v>
      </c>
      <c r="NO10" s="118" t="s">
        <v>56</v>
      </c>
      <c r="NP10" s="103"/>
      <c r="NQ10" s="118" t="s">
        <v>54</v>
      </c>
      <c r="NR10" s="299" t="str">
        <f t="shared" si="90"/>
        <v>EDUC1019</v>
      </c>
      <c r="NS10" s="118" t="s">
        <v>56</v>
      </c>
      <c r="NT10" s="103"/>
      <c r="NU10" s="118" t="s">
        <v>54</v>
      </c>
      <c r="NV10" s="299" t="str">
        <f t="shared" si="91"/>
        <v>EDUC1019</v>
      </c>
      <c r="NW10" s="118" t="s">
        <v>56</v>
      </c>
      <c r="NX10" s="103"/>
      <c r="NY10" s="118" t="s">
        <v>54</v>
      </c>
      <c r="NZ10" s="299" t="str">
        <f t="shared" si="92"/>
        <v>EDUC1019</v>
      </c>
      <c r="OA10" s="118" t="s">
        <v>56</v>
      </c>
      <c r="OB10" s="103"/>
      <c r="OC10" s="118" t="s">
        <v>54</v>
      </c>
      <c r="OD10" s="299" t="str">
        <f t="shared" si="93"/>
        <v>EDUC1019</v>
      </c>
      <c r="OE10" s="118" t="s">
        <v>56</v>
      </c>
      <c r="OF10" s="103"/>
      <c r="OG10" s="118" t="s">
        <v>54</v>
      </c>
      <c r="OH10" s="299" t="str">
        <f t="shared" si="94"/>
        <v>EDUC1019</v>
      </c>
      <c r="OI10" s="118" t="s">
        <v>56</v>
      </c>
      <c r="OJ10" s="103"/>
      <c r="OK10" s="118" t="s">
        <v>54</v>
      </c>
      <c r="OL10" s="299" t="str">
        <f t="shared" si="95"/>
        <v>EDUC1019</v>
      </c>
      <c r="OM10" s="118" t="s">
        <v>56</v>
      </c>
      <c r="ON10" s="103"/>
      <c r="OO10" s="118" t="s">
        <v>54</v>
      </c>
      <c r="OP10" s="299" t="str">
        <f t="shared" si="96"/>
        <v>EDUC1019</v>
      </c>
      <c r="OQ10" s="118" t="s">
        <v>56</v>
      </c>
      <c r="OR10" s="103"/>
      <c r="OS10" s="118" t="s">
        <v>54</v>
      </c>
      <c r="OT10" s="299" t="str">
        <f t="shared" si="97"/>
        <v>EDUC1019</v>
      </c>
      <c r="OU10" s="118" t="s">
        <v>56</v>
      </c>
      <c r="OV10" s="103"/>
      <c r="OW10" s="118" t="s">
        <v>54</v>
      </c>
      <c r="OX10" s="299" t="str">
        <f t="shared" si="98"/>
        <v>EDUC1019</v>
      </c>
      <c r="OY10" s="118" t="s">
        <v>56</v>
      </c>
      <c r="OZ10" s="103"/>
      <c r="PA10" s="118" t="s">
        <v>54</v>
      </c>
      <c r="PB10" s="299" t="str">
        <f t="shared" si="99"/>
        <v>EDUC1019</v>
      </c>
      <c r="PC10" s="118" t="s">
        <v>56</v>
      </c>
      <c r="PD10" s="103"/>
      <c r="PE10" s="118" t="s">
        <v>54</v>
      </c>
      <c r="PF10" s="299" t="str">
        <f t="shared" si="100"/>
        <v>EDUC1019</v>
      </c>
      <c r="PG10" s="118" t="s">
        <v>56</v>
      </c>
      <c r="PH10" s="103"/>
      <c r="PI10" s="118" t="s">
        <v>54</v>
      </c>
      <c r="PJ10" s="299" t="str">
        <f t="shared" si="101"/>
        <v>EDUC1019</v>
      </c>
      <c r="PK10" s="118" t="s">
        <v>56</v>
      </c>
      <c r="PL10" s="103"/>
      <c r="PM10" s="118" t="s">
        <v>54</v>
      </c>
      <c r="PN10" s="299" t="str">
        <f t="shared" si="102"/>
        <v>EDUC1019</v>
      </c>
      <c r="PO10" s="118" t="s">
        <v>56</v>
      </c>
      <c r="PP10" s="103"/>
      <c r="PQ10" s="118" t="s">
        <v>54</v>
      </c>
      <c r="PR10" s="299" t="str">
        <f t="shared" si="103"/>
        <v>EDUC1019</v>
      </c>
      <c r="PS10" s="118" t="s">
        <v>56</v>
      </c>
      <c r="PT10" s="103"/>
      <c r="PU10" s="118" t="s">
        <v>54</v>
      </c>
      <c r="PV10" s="299" t="str">
        <f t="shared" si="104"/>
        <v>EDUC1019</v>
      </c>
      <c r="PW10" s="118" t="s">
        <v>56</v>
      </c>
      <c r="PX10" s="103"/>
      <c r="PY10" s="118" t="s">
        <v>54</v>
      </c>
      <c r="PZ10" s="299" t="str">
        <f t="shared" si="105"/>
        <v>EDUC1019</v>
      </c>
      <c r="QA10" s="118" t="s">
        <v>56</v>
      </c>
      <c r="QB10" s="103"/>
      <c r="QC10" s="118" t="s">
        <v>54</v>
      </c>
      <c r="QD10" s="299" t="str">
        <f t="shared" si="106"/>
        <v>EDUC1019</v>
      </c>
      <c r="QE10" s="118" t="s">
        <v>56</v>
      </c>
      <c r="QF10" s="103"/>
      <c r="QG10" s="118" t="s">
        <v>54</v>
      </c>
      <c r="QH10" s="299" t="str">
        <f t="shared" si="107"/>
        <v>EDUC1019</v>
      </c>
      <c r="QI10" s="118" t="s">
        <v>56</v>
      </c>
      <c r="QJ10" s="103"/>
    </row>
    <row r="11" spans="1:481" x14ac:dyDescent="0.25">
      <c r="A11" s="351" t="s">
        <v>378</v>
      </c>
      <c r="B11" s="268" t="s">
        <v>342</v>
      </c>
      <c r="C11" s="268" t="s">
        <v>100</v>
      </c>
      <c r="D11" s="269">
        <v>45658</v>
      </c>
      <c r="E11" s="268">
        <v>1</v>
      </c>
      <c r="F11" s="269">
        <v>45658</v>
      </c>
      <c r="G11" s="268" t="s">
        <v>376</v>
      </c>
      <c r="J11" s="142"/>
      <c r="K11" s="147" t="str">
        <f>INDEX(TableStreams[Choose your Specialisation Stream second (drop-down list)],MATCH(L11,TableStreams[UDC],0))</f>
        <v>Psychology Education Minor Teaching Area Stream (BEd Secondary)</v>
      </c>
      <c r="L11" s="142" t="s">
        <v>357</v>
      </c>
      <c r="O11" s="19"/>
      <c r="P11" s="3">
        <v>9</v>
      </c>
      <c r="Q11" s="117" t="s">
        <v>56</v>
      </c>
      <c r="R11" s="104" t="s">
        <v>379</v>
      </c>
      <c r="S11" s="117" t="s">
        <v>54</v>
      </c>
      <c r="T11" s="104"/>
      <c r="U11" s="117" t="s">
        <v>56</v>
      </c>
      <c r="V11" s="298" t="str">
        <f t="shared" si="0"/>
        <v>EDUC1034</v>
      </c>
      <c r="W11" s="117" t="s">
        <v>54</v>
      </c>
      <c r="X11" s="104"/>
      <c r="Y11" s="117" t="s">
        <v>56</v>
      </c>
      <c r="Z11" s="298" t="str">
        <f t="shared" si="1"/>
        <v>EDUC1034</v>
      </c>
      <c r="AA11" s="117" t="s">
        <v>54</v>
      </c>
      <c r="AB11" s="104"/>
      <c r="AC11" s="117" t="s">
        <v>56</v>
      </c>
      <c r="AD11" s="298" t="str">
        <f t="shared" si="2"/>
        <v>EDUC1034</v>
      </c>
      <c r="AE11" s="117" t="s">
        <v>54</v>
      </c>
      <c r="AF11" s="104"/>
      <c r="AG11" s="117" t="s">
        <v>56</v>
      </c>
      <c r="AH11" s="298" t="str">
        <f t="shared" si="3"/>
        <v>EDUC1034</v>
      </c>
      <c r="AI11" s="117" t="s">
        <v>54</v>
      </c>
      <c r="AJ11" s="104"/>
      <c r="AK11" s="117" t="s">
        <v>56</v>
      </c>
      <c r="AL11" s="298" t="str">
        <f t="shared" si="4"/>
        <v>EDUC1034</v>
      </c>
      <c r="AM11" s="117" t="s">
        <v>54</v>
      </c>
      <c r="AN11" s="104"/>
      <c r="AO11" s="117" t="s">
        <v>56</v>
      </c>
      <c r="AP11" s="298" t="str">
        <f t="shared" si="5"/>
        <v>EDUC1034</v>
      </c>
      <c r="AQ11" s="117" t="s">
        <v>54</v>
      </c>
      <c r="AR11" s="104"/>
      <c r="AS11" s="117" t="s">
        <v>56</v>
      </c>
      <c r="AT11" s="298" t="str">
        <f t="shared" si="6"/>
        <v>EDUC1034</v>
      </c>
      <c r="AU11" s="117" t="s">
        <v>54</v>
      </c>
      <c r="AV11" s="104"/>
      <c r="AW11" s="117" t="s">
        <v>56</v>
      </c>
      <c r="AX11" s="298" t="str">
        <f t="shared" si="7"/>
        <v>EDUC1034</v>
      </c>
      <c r="AY11" s="117" t="s">
        <v>54</v>
      </c>
      <c r="AZ11" s="104"/>
      <c r="BA11" s="117" t="s">
        <v>56</v>
      </c>
      <c r="BB11" s="298" t="str">
        <f t="shared" si="8"/>
        <v>EDUC1034</v>
      </c>
      <c r="BC11" s="117" t="s">
        <v>54</v>
      </c>
      <c r="BD11" s="104"/>
      <c r="BE11" s="117" t="s">
        <v>56</v>
      </c>
      <c r="BF11" s="298" t="str">
        <f t="shared" si="9"/>
        <v>EDUC1034</v>
      </c>
      <c r="BG11" s="117" t="s">
        <v>54</v>
      </c>
      <c r="BH11" s="104"/>
      <c r="BI11" s="117" t="s">
        <v>56</v>
      </c>
      <c r="BJ11" s="298" t="str">
        <f t="shared" si="10"/>
        <v>EDUC1034</v>
      </c>
      <c r="BK11" s="117" t="s">
        <v>54</v>
      </c>
      <c r="BL11" s="104"/>
      <c r="BM11" s="117" t="s">
        <v>56</v>
      </c>
      <c r="BN11" s="298" t="str">
        <f t="shared" si="11"/>
        <v>EDUC1034</v>
      </c>
      <c r="BO11" s="117" t="s">
        <v>54</v>
      </c>
      <c r="BP11" s="104"/>
      <c r="BQ11" s="117" t="s">
        <v>56</v>
      </c>
      <c r="BR11" s="298" t="str">
        <f t="shared" si="12"/>
        <v>EDUC1034</v>
      </c>
      <c r="BS11" s="117" t="s">
        <v>54</v>
      </c>
      <c r="BT11" s="104"/>
      <c r="BU11" s="117" t="s">
        <v>56</v>
      </c>
      <c r="BV11" s="298" t="str">
        <f t="shared" si="13"/>
        <v>EDUC1034</v>
      </c>
      <c r="BW11" s="117" t="s">
        <v>54</v>
      </c>
      <c r="BX11" s="104"/>
      <c r="BY11" s="117" t="s">
        <v>56</v>
      </c>
      <c r="BZ11" s="298" t="str">
        <f t="shared" si="14"/>
        <v>EDUC1034</v>
      </c>
      <c r="CA11" s="117" t="s">
        <v>54</v>
      </c>
      <c r="CB11" s="104"/>
      <c r="CC11" s="117" t="s">
        <v>56</v>
      </c>
      <c r="CD11" s="298" t="str">
        <f t="shared" si="15"/>
        <v>EDUC1034</v>
      </c>
      <c r="CE11" s="117" t="s">
        <v>54</v>
      </c>
      <c r="CF11" s="104"/>
      <c r="CG11" s="117" t="s">
        <v>56</v>
      </c>
      <c r="CH11" s="298" t="str">
        <f t="shared" si="16"/>
        <v>EDUC1034</v>
      </c>
      <c r="CI11" s="117" t="s">
        <v>54</v>
      </c>
      <c r="CJ11" s="104"/>
      <c r="CK11" s="117" t="s">
        <v>56</v>
      </c>
      <c r="CL11" s="298" t="str">
        <f t="shared" si="17"/>
        <v>EDUC1034</v>
      </c>
      <c r="CM11" s="117" t="s">
        <v>54</v>
      </c>
      <c r="CN11" s="104"/>
      <c r="CO11" s="117" t="s">
        <v>56</v>
      </c>
      <c r="CP11" s="298" t="str">
        <f t="shared" si="18"/>
        <v>EDUC1034</v>
      </c>
      <c r="CQ11" s="117" t="s">
        <v>54</v>
      </c>
      <c r="CR11" s="104"/>
      <c r="CS11" s="117" t="s">
        <v>56</v>
      </c>
      <c r="CT11" s="298" t="str">
        <f t="shared" si="19"/>
        <v>EDUC1034</v>
      </c>
      <c r="CU11" s="117" t="s">
        <v>54</v>
      </c>
      <c r="CV11" s="104"/>
      <c r="CW11" s="117" t="s">
        <v>56</v>
      </c>
      <c r="CX11" s="298" t="str">
        <f t="shared" si="20"/>
        <v>EDUC1034</v>
      </c>
      <c r="CY11" s="117" t="s">
        <v>54</v>
      </c>
      <c r="CZ11" s="104"/>
      <c r="DA11" s="117" t="s">
        <v>56</v>
      </c>
      <c r="DB11" s="298" t="str">
        <f t="shared" si="21"/>
        <v>EDUC1034</v>
      </c>
      <c r="DC11" s="117" t="s">
        <v>54</v>
      </c>
      <c r="DD11" s="104"/>
      <c r="DE11" s="117" t="s">
        <v>56</v>
      </c>
      <c r="DF11" s="298" t="str">
        <f t="shared" si="22"/>
        <v>EDUC1034</v>
      </c>
      <c r="DG11" s="117" t="s">
        <v>54</v>
      </c>
      <c r="DH11" s="104"/>
      <c r="DI11" s="117" t="s">
        <v>56</v>
      </c>
      <c r="DJ11" s="298" t="str">
        <f t="shared" si="23"/>
        <v>EDUC1034</v>
      </c>
      <c r="DK11" s="117" t="s">
        <v>54</v>
      </c>
      <c r="DL11" s="104"/>
      <c r="DM11" s="117" t="s">
        <v>56</v>
      </c>
      <c r="DN11" s="298" t="str">
        <f t="shared" si="24"/>
        <v>EDUC1034</v>
      </c>
      <c r="DO11" s="117" t="s">
        <v>54</v>
      </c>
      <c r="DP11" s="104"/>
      <c r="DQ11" s="117" t="s">
        <v>56</v>
      </c>
      <c r="DR11" s="298" t="str">
        <f t="shared" si="25"/>
        <v>EDUC1034</v>
      </c>
      <c r="DS11" s="117" t="s">
        <v>54</v>
      </c>
      <c r="DT11" s="104"/>
      <c r="DU11" s="117" t="s">
        <v>56</v>
      </c>
      <c r="DV11" s="298" t="str">
        <f t="shared" si="26"/>
        <v>EDUC1034</v>
      </c>
      <c r="DW11" s="117" t="s">
        <v>54</v>
      </c>
      <c r="DX11" s="104"/>
      <c r="DY11" s="117" t="s">
        <v>56</v>
      </c>
      <c r="DZ11" s="298" t="str">
        <f t="shared" si="27"/>
        <v>EDUC1034</v>
      </c>
      <c r="EA11" s="117" t="s">
        <v>54</v>
      </c>
      <c r="EB11" s="104"/>
      <c r="EC11" s="117" t="s">
        <v>56</v>
      </c>
      <c r="ED11" s="298" t="str">
        <f t="shared" si="28"/>
        <v>EDUC1034</v>
      </c>
      <c r="EE11" s="117" t="s">
        <v>54</v>
      </c>
      <c r="EF11" s="104"/>
      <c r="EG11" s="117" t="s">
        <v>56</v>
      </c>
      <c r="EH11" s="298" t="str">
        <f t="shared" si="29"/>
        <v>EDUC1034</v>
      </c>
      <c r="EI11" s="117" t="s">
        <v>54</v>
      </c>
      <c r="EJ11" s="104"/>
      <c r="EK11" s="117" t="s">
        <v>56</v>
      </c>
      <c r="EL11" s="298" t="str">
        <f t="shared" si="30"/>
        <v>EDUC1034</v>
      </c>
      <c r="EM11" s="117" t="s">
        <v>54</v>
      </c>
      <c r="EN11" s="104"/>
      <c r="EO11" s="117" t="s">
        <v>56</v>
      </c>
      <c r="EP11" s="298" t="str">
        <f t="shared" si="31"/>
        <v>EDUC1034</v>
      </c>
      <c r="EQ11" s="117" t="s">
        <v>54</v>
      </c>
      <c r="ER11" s="104"/>
      <c r="ES11" s="117" t="s">
        <v>56</v>
      </c>
      <c r="ET11" s="298" t="str">
        <f t="shared" si="32"/>
        <v>EDUC1034</v>
      </c>
      <c r="EU11" s="117" t="s">
        <v>54</v>
      </c>
      <c r="EV11" s="104"/>
      <c r="EW11" s="117" t="s">
        <v>56</v>
      </c>
      <c r="EX11" s="298" t="str">
        <f t="shared" si="33"/>
        <v>EDUC1034</v>
      </c>
      <c r="EY11" s="117" t="s">
        <v>54</v>
      </c>
      <c r="EZ11" s="104"/>
      <c r="FA11" s="117" t="s">
        <v>56</v>
      </c>
      <c r="FB11" s="298" t="str">
        <f t="shared" si="34"/>
        <v>EDUC1034</v>
      </c>
      <c r="FC11" s="117" t="s">
        <v>54</v>
      </c>
      <c r="FD11" s="104"/>
      <c r="FE11" s="117" t="s">
        <v>56</v>
      </c>
      <c r="FF11" s="298" t="str">
        <f t="shared" si="35"/>
        <v>EDUC1034</v>
      </c>
      <c r="FG11" s="117" t="s">
        <v>54</v>
      </c>
      <c r="FH11" s="104"/>
      <c r="FI11" s="117" t="s">
        <v>56</v>
      </c>
      <c r="FJ11" s="298" t="str">
        <f t="shared" si="36"/>
        <v>EDUC1034</v>
      </c>
      <c r="FK11" s="117" t="s">
        <v>54</v>
      </c>
      <c r="FL11" s="104"/>
      <c r="FM11" s="117" t="s">
        <v>56</v>
      </c>
      <c r="FN11" s="298" t="str">
        <f t="shared" si="37"/>
        <v>EDUC1034</v>
      </c>
      <c r="FO11" s="117" t="s">
        <v>54</v>
      </c>
      <c r="FP11" s="104"/>
      <c r="FQ11" s="117" t="s">
        <v>56</v>
      </c>
      <c r="FR11" s="298" t="str">
        <f t="shared" si="38"/>
        <v>EDUC1034</v>
      </c>
      <c r="FS11" s="117" t="s">
        <v>54</v>
      </c>
      <c r="FT11" s="104"/>
      <c r="FU11" s="117" t="s">
        <v>56</v>
      </c>
      <c r="FV11" s="298" t="str">
        <f t="shared" si="39"/>
        <v>EDUC1034</v>
      </c>
      <c r="FW11" s="117" t="s">
        <v>54</v>
      </c>
      <c r="FX11" s="104"/>
      <c r="FY11" s="117" t="s">
        <v>56</v>
      </c>
      <c r="FZ11" s="298" t="str">
        <f t="shared" si="40"/>
        <v>EDUC1034</v>
      </c>
      <c r="GA11" s="117" t="s">
        <v>54</v>
      </c>
      <c r="GB11" s="104"/>
      <c r="GC11" s="117" t="s">
        <v>56</v>
      </c>
      <c r="GD11" s="298" t="str">
        <f t="shared" si="41"/>
        <v>EDUC1034</v>
      </c>
      <c r="GE11" s="117" t="s">
        <v>54</v>
      </c>
      <c r="GF11" s="104"/>
      <c r="GG11" s="117" t="s">
        <v>56</v>
      </c>
      <c r="GH11" s="298" t="str">
        <f t="shared" si="42"/>
        <v>EDUC1034</v>
      </c>
      <c r="GI11" s="117" t="s">
        <v>54</v>
      </c>
      <c r="GJ11" s="104"/>
      <c r="GK11" s="117" t="s">
        <v>56</v>
      </c>
      <c r="GL11" s="298" t="str">
        <f t="shared" si="43"/>
        <v>EDUC1034</v>
      </c>
      <c r="GM11" s="117" t="s">
        <v>54</v>
      </c>
      <c r="GN11" s="104"/>
      <c r="GO11" s="117" t="s">
        <v>56</v>
      </c>
      <c r="GP11" s="298" t="str">
        <f t="shared" si="44"/>
        <v>EDUC1034</v>
      </c>
      <c r="GQ11" s="117" t="s">
        <v>54</v>
      </c>
      <c r="GR11" s="104"/>
      <c r="GS11" s="117" t="s">
        <v>56</v>
      </c>
      <c r="GT11" s="298" t="str">
        <f t="shared" si="45"/>
        <v>EDUC1034</v>
      </c>
      <c r="GU11" s="117" t="s">
        <v>54</v>
      </c>
      <c r="GV11" s="104"/>
      <c r="GW11" s="117" t="s">
        <v>56</v>
      </c>
      <c r="GX11" s="298" t="str">
        <f t="shared" si="46"/>
        <v>EDUC1034</v>
      </c>
      <c r="GY11" s="117" t="s">
        <v>54</v>
      </c>
      <c r="GZ11" s="104"/>
      <c r="HA11" s="117" t="s">
        <v>56</v>
      </c>
      <c r="HB11" s="298" t="str">
        <f t="shared" si="47"/>
        <v>EDUC1034</v>
      </c>
      <c r="HC11" s="117" t="s">
        <v>54</v>
      </c>
      <c r="HD11" s="104"/>
      <c r="HE11" s="117" t="s">
        <v>56</v>
      </c>
      <c r="HF11" s="298" t="str">
        <f t="shared" si="48"/>
        <v>EDUC1034</v>
      </c>
      <c r="HG11" s="117" t="s">
        <v>54</v>
      </c>
      <c r="HH11" s="104"/>
      <c r="HI11" s="117" t="s">
        <v>56</v>
      </c>
      <c r="HJ11" s="298" t="str">
        <f t="shared" si="49"/>
        <v>EDUC1034</v>
      </c>
      <c r="HK11" s="117" t="s">
        <v>54</v>
      </c>
      <c r="HL11" s="104"/>
      <c r="HM11" s="117" t="s">
        <v>56</v>
      </c>
      <c r="HN11" s="298" t="str">
        <f t="shared" si="50"/>
        <v>EDUC1034</v>
      </c>
      <c r="HO11" s="117" t="s">
        <v>54</v>
      </c>
      <c r="HP11" s="104"/>
      <c r="HQ11" s="117" t="s">
        <v>56</v>
      </c>
      <c r="HR11" s="298" t="str">
        <f t="shared" si="51"/>
        <v>EDUC1034</v>
      </c>
      <c r="HS11" s="117" t="s">
        <v>54</v>
      </c>
      <c r="HT11" s="104"/>
      <c r="HU11" s="117" t="s">
        <v>56</v>
      </c>
      <c r="HV11" s="298" t="str">
        <f t="shared" si="52"/>
        <v>EDUC1034</v>
      </c>
      <c r="HW11" s="117" t="s">
        <v>54</v>
      </c>
      <c r="HX11" s="104"/>
      <c r="HY11" s="117" t="s">
        <v>56</v>
      </c>
      <c r="HZ11" s="298" t="str">
        <f t="shared" si="53"/>
        <v>EDUC1034</v>
      </c>
      <c r="IA11" s="117" t="s">
        <v>54</v>
      </c>
      <c r="IB11" s="104"/>
      <c r="IC11" s="117" t="s">
        <v>56</v>
      </c>
      <c r="ID11" s="298" t="str">
        <f t="shared" si="54"/>
        <v>EDUC1034</v>
      </c>
      <c r="IE11" s="117" t="s">
        <v>54</v>
      </c>
      <c r="IF11" s="104"/>
      <c r="IG11" s="117" t="s">
        <v>56</v>
      </c>
      <c r="IH11" s="298" t="str">
        <f t="shared" si="55"/>
        <v>EDUC1034</v>
      </c>
      <c r="II11" s="117" t="s">
        <v>54</v>
      </c>
      <c r="IJ11" s="104"/>
      <c r="IK11" s="117" t="s">
        <v>56</v>
      </c>
      <c r="IL11" s="298" t="str">
        <f t="shared" si="56"/>
        <v>EDUC1034</v>
      </c>
      <c r="IM11" s="117" t="s">
        <v>54</v>
      </c>
      <c r="IN11" s="104"/>
      <c r="IO11" s="117" t="s">
        <v>56</v>
      </c>
      <c r="IP11" s="298" t="str">
        <f t="shared" si="57"/>
        <v>EDUC1034</v>
      </c>
      <c r="IQ11" s="117" t="s">
        <v>54</v>
      </c>
      <c r="IR11" s="104"/>
      <c r="IS11" s="117" t="s">
        <v>56</v>
      </c>
      <c r="IT11" s="298" t="str">
        <f t="shared" si="58"/>
        <v>EDUC1034</v>
      </c>
      <c r="IU11" s="117" t="s">
        <v>54</v>
      </c>
      <c r="IV11" s="104"/>
      <c r="IW11" s="117" t="s">
        <v>56</v>
      </c>
      <c r="IX11" s="298" t="str">
        <f t="shared" si="59"/>
        <v>EDUC1034</v>
      </c>
      <c r="IY11" s="117" t="s">
        <v>54</v>
      </c>
      <c r="IZ11" s="104"/>
      <c r="JA11" s="117" t="s">
        <v>56</v>
      </c>
      <c r="JB11" s="298" t="str">
        <f t="shared" si="60"/>
        <v>EDUC1034</v>
      </c>
      <c r="JC11" s="117" t="s">
        <v>54</v>
      </c>
      <c r="JD11" s="104"/>
      <c r="JE11" s="117" t="s">
        <v>56</v>
      </c>
      <c r="JF11" s="298" t="str">
        <f t="shared" si="61"/>
        <v>EDUC1034</v>
      </c>
      <c r="JG11" s="117" t="s">
        <v>54</v>
      </c>
      <c r="JH11" s="104"/>
      <c r="JI11" s="117" t="s">
        <v>56</v>
      </c>
      <c r="JJ11" s="298" t="str">
        <f t="shared" si="62"/>
        <v>EDUC1034</v>
      </c>
      <c r="JK11" s="117" t="s">
        <v>54</v>
      </c>
      <c r="JL11" s="104"/>
      <c r="JM11" s="117" t="s">
        <v>56</v>
      </c>
      <c r="JN11" s="298" t="str">
        <f t="shared" si="63"/>
        <v>EDUC1034</v>
      </c>
      <c r="JO11" s="117" t="s">
        <v>54</v>
      </c>
      <c r="JP11" s="104"/>
      <c r="JQ11" s="117" t="s">
        <v>56</v>
      </c>
      <c r="JR11" s="298" t="str">
        <f t="shared" si="64"/>
        <v>EDUC1034</v>
      </c>
      <c r="JS11" s="117" t="s">
        <v>54</v>
      </c>
      <c r="JT11" s="104"/>
      <c r="JU11" s="117" t="s">
        <v>56</v>
      </c>
      <c r="JV11" s="298" t="str">
        <f t="shared" si="65"/>
        <v>EDUC1034</v>
      </c>
      <c r="JW11" s="117" t="s">
        <v>54</v>
      </c>
      <c r="JX11" s="104"/>
      <c r="JY11" s="117" t="s">
        <v>56</v>
      </c>
      <c r="JZ11" s="298" t="str">
        <f t="shared" si="66"/>
        <v>EDUC1034</v>
      </c>
      <c r="KA11" s="117" t="s">
        <v>54</v>
      </c>
      <c r="KB11" s="104"/>
      <c r="KC11" s="117" t="s">
        <v>56</v>
      </c>
      <c r="KD11" s="298" t="str">
        <f t="shared" si="67"/>
        <v>EDUC1034</v>
      </c>
      <c r="KE11" s="117" t="s">
        <v>54</v>
      </c>
      <c r="KF11" s="104"/>
      <c r="KG11" s="117" t="s">
        <v>56</v>
      </c>
      <c r="KH11" s="298" t="str">
        <f t="shared" si="68"/>
        <v>EDUC1034</v>
      </c>
      <c r="KI11" s="117" t="s">
        <v>54</v>
      </c>
      <c r="KJ11" s="104"/>
      <c r="KK11" s="117" t="s">
        <v>56</v>
      </c>
      <c r="KL11" s="298" t="str">
        <f t="shared" si="69"/>
        <v>EDUC1034</v>
      </c>
      <c r="KM11" s="117" t="s">
        <v>54</v>
      </c>
      <c r="KN11" s="104"/>
      <c r="KO11" s="117" t="s">
        <v>56</v>
      </c>
      <c r="KP11" s="298" t="str">
        <f t="shared" si="70"/>
        <v>EDUC1034</v>
      </c>
      <c r="KQ11" s="117" t="s">
        <v>54</v>
      </c>
      <c r="KR11" s="104"/>
      <c r="KS11" s="117" t="s">
        <v>56</v>
      </c>
      <c r="KT11" s="298" t="str">
        <f t="shared" si="71"/>
        <v>EDUC1034</v>
      </c>
      <c r="KU11" s="117" t="s">
        <v>54</v>
      </c>
      <c r="KV11" s="104"/>
      <c r="KW11" s="117" t="s">
        <v>56</v>
      </c>
      <c r="KX11" s="298" t="str">
        <f t="shared" si="72"/>
        <v>EDUC1034</v>
      </c>
      <c r="KY11" s="117" t="s">
        <v>54</v>
      </c>
      <c r="KZ11" s="104"/>
      <c r="LA11" s="117" t="s">
        <v>56</v>
      </c>
      <c r="LB11" s="298" t="str">
        <f t="shared" si="73"/>
        <v>EDUC1034</v>
      </c>
      <c r="LC11" s="117" t="s">
        <v>54</v>
      </c>
      <c r="LD11" s="104"/>
      <c r="LE11" s="117" t="s">
        <v>56</v>
      </c>
      <c r="LF11" s="298" t="str">
        <f t="shared" si="74"/>
        <v>EDUC1034</v>
      </c>
      <c r="LG11" s="117" t="s">
        <v>54</v>
      </c>
      <c r="LH11" s="104"/>
      <c r="LI11" s="117" t="s">
        <v>56</v>
      </c>
      <c r="LJ11" s="298" t="str">
        <f t="shared" si="75"/>
        <v>EDUC1034</v>
      </c>
      <c r="LK11" s="117" t="s">
        <v>54</v>
      </c>
      <c r="LL11" s="104"/>
      <c r="LM11" s="117" t="s">
        <v>56</v>
      </c>
      <c r="LN11" s="298" t="str">
        <f t="shared" si="76"/>
        <v>EDUC1034</v>
      </c>
      <c r="LO11" s="117" t="s">
        <v>54</v>
      </c>
      <c r="LP11" s="104"/>
      <c r="LQ11" s="117" t="s">
        <v>56</v>
      </c>
      <c r="LR11" s="298" t="str">
        <f t="shared" si="77"/>
        <v>EDUC1034</v>
      </c>
      <c r="LS11" s="117" t="s">
        <v>54</v>
      </c>
      <c r="LT11" s="104"/>
      <c r="LU11" s="117" t="s">
        <v>56</v>
      </c>
      <c r="LV11" s="298" t="str">
        <f t="shared" si="78"/>
        <v>EDUC1034</v>
      </c>
      <c r="LW11" s="117" t="s">
        <v>54</v>
      </c>
      <c r="LX11" s="104"/>
      <c r="LY11" s="117" t="s">
        <v>56</v>
      </c>
      <c r="LZ11" s="298" t="str">
        <f t="shared" si="79"/>
        <v>EDUC1034</v>
      </c>
      <c r="MA11" s="117" t="s">
        <v>54</v>
      </c>
      <c r="MB11" s="104"/>
      <c r="MC11" s="117" t="s">
        <v>56</v>
      </c>
      <c r="MD11" s="298" t="str">
        <f t="shared" si="80"/>
        <v>EDUC1034</v>
      </c>
      <c r="ME11" s="117" t="s">
        <v>54</v>
      </c>
      <c r="MF11" s="104"/>
      <c r="MG11" s="117" t="s">
        <v>56</v>
      </c>
      <c r="MH11" s="298" t="str">
        <f t="shared" si="81"/>
        <v>EDUC1034</v>
      </c>
      <c r="MI11" s="117" t="s">
        <v>54</v>
      </c>
      <c r="MJ11" s="104"/>
      <c r="MK11" s="117" t="s">
        <v>56</v>
      </c>
      <c r="ML11" s="298" t="str">
        <f t="shared" si="82"/>
        <v>EDUC1034</v>
      </c>
      <c r="MM11" s="117" t="s">
        <v>54</v>
      </c>
      <c r="MN11" s="104"/>
      <c r="MO11" s="117" t="s">
        <v>56</v>
      </c>
      <c r="MP11" s="298" t="str">
        <f t="shared" si="83"/>
        <v>EDUC1034</v>
      </c>
      <c r="MQ11" s="117" t="s">
        <v>54</v>
      </c>
      <c r="MR11" s="104"/>
      <c r="MS11" s="117" t="s">
        <v>56</v>
      </c>
      <c r="MT11" s="298" t="str">
        <f t="shared" si="84"/>
        <v>EDUC1034</v>
      </c>
      <c r="MU11" s="117" t="s">
        <v>54</v>
      </c>
      <c r="MV11" s="104"/>
      <c r="MW11" s="117" t="s">
        <v>56</v>
      </c>
      <c r="MX11" s="298" t="str">
        <f t="shared" si="85"/>
        <v>EDUC1034</v>
      </c>
      <c r="MY11" s="117" t="s">
        <v>54</v>
      </c>
      <c r="MZ11" s="104"/>
      <c r="NA11" s="117" t="s">
        <v>56</v>
      </c>
      <c r="NB11" s="298" t="str">
        <f t="shared" si="86"/>
        <v>EDUC1034</v>
      </c>
      <c r="NC11" s="117" t="s">
        <v>54</v>
      </c>
      <c r="ND11" s="104"/>
      <c r="NE11" s="117" t="s">
        <v>56</v>
      </c>
      <c r="NF11" s="298" t="str">
        <f t="shared" si="87"/>
        <v>EDUC1034</v>
      </c>
      <c r="NG11" s="117" t="s">
        <v>54</v>
      </c>
      <c r="NH11" s="104"/>
      <c r="NI11" s="117" t="s">
        <v>56</v>
      </c>
      <c r="NJ11" s="298" t="str">
        <f t="shared" si="88"/>
        <v>EDUC1034</v>
      </c>
      <c r="NK11" s="117" t="s">
        <v>54</v>
      </c>
      <c r="NL11" s="104"/>
      <c r="NM11" s="117" t="s">
        <v>56</v>
      </c>
      <c r="NN11" s="298" t="str">
        <f t="shared" si="89"/>
        <v>EDUC1034</v>
      </c>
      <c r="NO11" s="117" t="s">
        <v>54</v>
      </c>
      <c r="NP11" s="104"/>
      <c r="NQ11" s="117" t="s">
        <v>56</v>
      </c>
      <c r="NR11" s="298" t="str">
        <f t="shared" si="90"/>
        <v>EDUC1034</v>
      </c>
      <c r="NS11" s="117" t="s">
        <v>54</v>
      </c>
      <c r="NT11" s="104"/>
      <c r="NU11" s="117" t="s">
        <v>56</v>
      </c>
      <c r="NV11" s="298" t="str">
        <f t="shared" si="91"/>
        <v>EDUC1034</v>
      </c>
      <c r="NW11" s="117" t="s">
        <v>54</v>
      </c>
      <c r="NX11" s="104"/>
      <c r="NY11" s="117" t="s">
        <v>56</v>
      </c>
      <c r="NZ11" s="298" t="str">
        <f t="shared" si="92"/>
        <v>EDUC1034</v>
      </c>
      <c r="OA11" s="117" t="s">
        <v>54</v>
      </c>
      <c r="OB11" s="104"/>
      <c r="OC11" s="117" t="s">
        <v>56</v>
      </c>
      <c r="OD11" s="298" t="str">
        <f t="shared" si="93"/>
        <v>EDUC1034</v>
      </c>
      <c r="OE11" s="117" t="s">
        <v>54</v>
      </c>
      <c r="OF11" s="104"/>
      <c r="OG11" s="117" t="s">
        <v>56</v>
      </c>
      <c r="OH11" s="298" t="str">
        <f t="shared" si="94"/>
        <v>EDUC1034</v>
      </c>
      <c r="OI11" s="117" t="s">
        <v>54</v>
      </c>
      <c r="OJ11" s="104"/>
      <c r="OK11" s="117" t="s">
        <v>56</v>
      </c>
      <c r="OL11" s="298" t="str">
        <f t="shared" si="95"/>
        <v>EDUC1034</v>
      </c>
      <c r="OM11" s="117" t="s">
        <v>54</v>
      </c>
      <c r="ON11" s="104"/>
      <c r="OO11" s="117" t="s">
        <v>56</v>
      </c>
      <c r="OP11" s="298" t="str">
        <f t="shared" si="96"/>
        <v>EDUC1034</v>
      </c>
      <c r="OQ11" s="117" t="s">
        <v>54</v>
      </c>
      <c r="OR11" s="104"/>
      <c r="OS11" s="117" t="s">
        <v>56</v>
      </c>
      <c r="OT11" s="298" t="str">
        <f t="shared" si="97"/>
        <v>EDUC1034</v>
      </c>
      <c r="OU11" s="117" t="s">
        <v>54</v>
      </c>
      <c r="OV11" s="104"/>
      <c r="OW11" s="117" t="s">
        <v>56</v>
      </c>
      <c r="OX11" s="298" t="str">
        <f t="shared" si="98"/>
        <v>EDUC1034</v>
      </c>
      <c r="OY11" s="117" t="s">
        <v>54</v>
      </c>
      <c r="OZ11" s="104"/>
      <c r="PA11" s="117" t="s">
        <v>56</v>
      </c>
      <c r="PB11" s="298" t="str">
        <f t="shared" si="99"/>
        <v>EDUC1034</v>
      </c>
      <c r="PC11" s="117" t="s">
        <v>54</v>
      </c>
      <c r="PD11" s="104"/>
      <c r="PE11" s="117" t="s">
        <v>56</v>
      </c>
      <c r="PF11" s="298" t="str">
        <f t="shared" si="100"/>
        <v>EDUC1034</v>
      </c>
      <c r="PG11" s="117" t="s">
        <v>54</v>
      </c>
      <c r="PH11" s="104"/>
      <c r="PI11" s="117" t="s">
        <v>56</v>
      </c>
      <c r="PJ11" s="298" t="str">
        <f t="shared" si="101"/>
        <v>EDUC1034</v>
      </c>
      <c r="PK11" s="117" t="s">
        <v>54</v>
      </c>
      <c r="PL11" s="104"/>
      <c r="PM11" s="117" t="s">
        <v>56</v>
      </c>
      <c r="PN11" s="298" t="str">
        <f t="shared" si="102"/>
        <v>EDUC1034</v>
      </c>
      <c r="PO11" s="117" t="s">
        <v>54</v>
      </c>
      <c r="PP11" s="104"/>
      <c r="PQ11" s="117" t="s">
        <v>56</v>
      </c>
      <c r="PR11" s="298" t="str">
        <f t="shared" si="103"/>
        <v>EDUC1034</v>
      </c>
      <c r="PS11" s="117" t="s">
        <v>54</v>
      </c>
      <c r="PT11" s="104"/>
      <c r="PU11" s="117" t="s">
        <v>56</v>
      </c>
      <c r="PV11" s="298" t="str">
        <f t="shared" si="104"/>
        <v>EDUC1034</v>
      </c>
      <c r="PW11" s="117" t="s">
        <v>54</v>
      </c>
      <c r="PX11" s="104"/>
      <c r="PY11" s="117" t="s">
        <v>56</v>
      </c>
      <c r="PZ11" s="298" t="str">
        <f t="shared" si="105"/>
        <v>EDUC1034</v>
      </c>
      <c r="QA11" s="117" t="s">
        <v>54</v>
      </c>
      <c r="QB11" s="104"/>
      <c r="QC11" s="117" t="s">
        <v>56</v>
      </c>
      <c r="QD11" s="298" t="str">
        <f t="shared" si="106"/>
        <v>EDUC1034</v>
      </c>
      <c r="QE11" s="117" t="s">
        <v>54</v>
      </c>
      <c r="QF11" s="104"/>
      <c r="QG11" s="117" t="s">
        <v>56</v>
      </c>
      <c r="QH11" s="298" t="str">
        <f t="shared" si="107"/>
        <v>EDUC1034</v>
      </c>
      <c r="QI11" s="117" t="s">
        <v>54</v>
      </c>
      <c r="QJ11" s="104"/>
    </row>
    <row r="12" spans="1:481" x14ac:dyDescent="0.25">
      <c r="A12" s="351" t="s">
        <v>380</v>
      </c>
      <c r="B12" s="268" t="s">
        <v>343</v>
      </c>
      <c r="C12" s="268" t="s">
        <v>100</v>
      </c>
      <c r="D12" s="269">
        <v>45658</v>
      </c>
      <c r="E12" s="268">
        <v>1</v>
      </c>
      <c r="F12" s="269">
        <v>45658</v>
      </c>
      <c r="G12" s="268" t="s">
        <v>376</v>
      </c>
      <c r="J12" s="140" t="s">
        <v>337</v>
      </c>
      <c r="K12" s="145" t="s">
        <v>221</v>
      </c>
      <c r="L12" s="140"/>
      <c r="O12" s="19"/>
      <c r="P12" s="19">
        <v>10</v>
      </c>
      <c r="Q12" s="117" t="s">
        <v>56</v>
      </c>
      <c r="R12" s="104" t="s">
        <v>381</v>
      </c>
      <c r="S12" s="117" t="s">
        <v>54</v>
      </c>
      <c r="T12" s="104"/>
      <c r="U12" s="117" t="s">
        <v>56</v>
      </c>
      <c r="V12" s="298" t="str">
        <f t="shared" si="0"/>
        <v>EDSC2011</v>
      </c>
      <c r="W12" s="117" t="s">
        <v>54</v>
      </c>
      <c r="X12" s="104"/>
      <c r="Y12" s="117" t="s">
        <v>56</v>
      </c>
      <c r="Z12" s="298" t="str">
        <f t="shared" si="1"/>
        <v>EDSC2011</v>
      </c>
      <c r="AA12" s="117" t="s">
        <v>54</v>
      </c>
      <c r="AB12" s="104"/>
      <c r="AC12" s="117" t="s">
        <v>56</v>
      </c>
      <c r="AD12" s="298" t="str">
        <f t="shared" si="2"/>
        <v>EDSC2011</v>
      </c>
      <c r="AE12" s="117" t="s">
        <v>54</v>
      </c>
      <c r="AF12" s="104"/>
      <c r="AG12" s="117" t="s">
        <v>56</v>
      </c>
      <c r="AH12" s="298" t="str">
        <f t="shared" si="3"/>
        <v>EDSC2011</v>
      </c>
      <c r="AI12" s="117" t="s">
        <v>54</v>
      </c>
      <c r="AJ12" s="104"/>
      <c r="AK12" s="117" t="s">
        <v>56</v>
      </c>
      <c r="AL12" s="298" t="str">
        <f t="shared" si="4"/>
        <v>EDSC2011</v>
      </c>
      <c r="AM12" s="117" t="s">
        <v>54</v>
      </c>
      <c r="AN12" s="104"/>
      <c r="AO12" s="117" t="s">
        <v>56</v>
      </c>
      <c r="AP12" s="298" t="str">
        <f t="shared" si="5"/>
        <v>EDSC2011</v>
      </c>
      <c r="AQ12" s="117" t="s">
        <v>54</v>
      </c>
      <c r="AR12" s="104"/>
      <c r="AS12" s="117" t="s">
        <v>56</v>
      </c>
      <c r="AT12" s="298" t="str">
        <f t="shared" si="6"/>
        <v>EDSC2011</v>
      </c>
      <c r="AU12" s="117" t="s">
        <v>54</v>
      </c>
      <c r="AV12" s="104"/>
      <c r="AW12" s="117" t="s">
        <v>56</v>
      </c>
      <c r="AX12" s="298" t="str">
        <f t="shared" si="7"/>
        <v>EDSC2011</v>
      </c>
      <c r="AY12" s="117" t="s">
        <v>54</v>
      </c>
      <c r="AZ12" s="104"/>
      <c r="BA12" s="117" t="s">
        <v>56</v>
      </c>
      <c r="BB12" s="298" t="str">
        <f t="shared" si="8"/>
        <v>EDSC2011</v>
      </c>
      <c r="BC12" s="117" t="s">
        <v>54</v>
      </c>
      <c r="BD12" s="104"/>
      <c r="BE12" s="117" t="s">
        <v>56</v>
      </c>
      <c r="BF12" s="298" t="str">
        <f t="shared" si="9"/>
        <v>EDSC2011</v>
      </c>
      <c r="BG12" s="117" t="s">
        <v>54</v>
      </c>
      <c r="BH12" s="104"/>
      <c r="BI12" s="117" t="s">
        <v>56</v>
      </c>
      <c r="BJ12" s="298" t="str">
        <f t="shared" si="10"/>
        <v>EDSC2011</v>
      </c>
      <c r="BK12" s="117" t="s">
        <v>54</v>
      </c>
      <c r="BL12" s="104"/>
      <c r="BM12" s="117" t="s">
        <v>56</v>
      </c>
      <c r="BN12" s="298" t="str">
        <f t="shared" si="11"/>
        <v>EDSC2011</v>
      </c>
      <c r="BO12" s="117" t="s">
        <v>54</v>
      </c>
      <c r="BP12" s="104"/>
      <c r="BQ12" s="117" t="s">
        <v>56</v>
      </c>
      <c r="BR12" s="298" t="str">
        <f t="shared" si="12"/>
        <v>EDSC2011</v>
      </c>
      <c r="BS12" s="117" t="s">
        <v>54</v>
      </c>
      <c r="BT12" s="104"/>
      <c r="BU12" s="117" t="s">
        <v>56</v>
      </c>
      <c r="BV12" s="298" t="str">
        <f t="shared" si="13"/>
        <v>EDSC2011</v>
      </c>
      <c r="BW12" s="117" t="s">
        <v>54</v>
      </c>
      <c r="BX12" s="104"/>
      <c r="BY12" s="117" t="s">
        <v>56</v>
      </c>
      <c r="BZ12" s="298" t="str">
        <f t="shared" si="14"/>
        <v>EDSC2011</v>
      </c>
      <c r="CA12" s="117" t="s">
        <v>54</v>
      </c>
      <c r="CB12" s="104"/>
      <c r="CC12" s="117" t="s">
        <v>56</v>
      </c>
      <c r="CD12" s="298" t="str">
        <f t="shared" si="15"/>
        <v>EDSC2011</v>
      </c>
      <c r="CE12" s="117" t="s">
        <v>54</v>
      </c>
      <c r="CF12" s="104"/>
      <c r="CG12" s="117" t="s">
        <v>56</v>
      </c>
      <c r="CH12" s="298" t="str">
        <f t="shared" si="16"/>
        <v>EDSC2011</v>
      </c>
      <c r="CI12" s="117" t="s">
        <v>54</v>
      </c>
      <c r="CJ12" s="104"/>
      <c r="CK12" s="117" t="s">
        <v>56</v>
      </c>
      <c r="CL12" s="298" t="str">
        <f t="shared" si="17"/>
        <v>EDSC2011</v>
      </c>
      <c r="CM12" s="117" t="s">
        <v>54</v>
      </c>
      <c r="CN12" s="104"/>
      <c r="CO12" s="117" t="s">
        <v>56</v>
      </c>
      <c r="CP12" s="298" t="str">
        <f t="shared" si="18"/>
        <v>EDSC2011</v>
      </c>
      <c r="CQ12" s="117" t="s">
        <v>54</v>
      </c>
      <c r="CR12" s="104"/>
      <c r="CS12" s="117" t="s">
        <v>56</v>
      </c>
      <c r="CT12" s="298" t="str">
        <f t="shared" si="19"/>
        <v>EDSC2011</v>
      </c>
      <c r="CU12" s="117" t="s">
        <v>54</v>
      </c>
      <c r="CV12" s="104"/>
      <c r="CW12" s="117" t="s">
        <v>56</v>
      </c>
      <c r="CX12" s="298" t="str">
        <f t="shared" si="20"/>
        <v>EDSC2011</v>
      </c>
      <c r="CY12" s="117" t="s">
        <v>54</v>
      </c>
      <c r="CZ12" s="104"/>
      <c r="DA12" s="117" t="s">
        <v>56</v>
      </c>
      <c r="DB12" s="298" t="str">
        <f t="shared" si="21"/>
        <v>EDSC2011</v>
      </c>
      <c r="DC12" s="117" t="s">
        <v>54</v>
      </c>
      <c r="DD12" s="104"/>
      <c r="DE12" s="117" t="s">
        <v>56</v>
      </c>
      <c r="DF12" s="298" t="str">
        <f t="shared" si="22"/>
        <v>EDSC2011</v>
      </c>
      <c r="DG12" s="117" t="s">
        <v>54</v>
      </c>
      <c r="DH12" s="104"/>
      <c r="DI12" s="117" t="s">
        <v>56</v>
      </c>
      <c r="DJ12" s="298" t="str">
        <f t="shared" si="23"/>
        <v>EDSC2011</v>
      </c>
      <c r="DK12" s="117" t="s">
        <v>54</v>
      </c>
      <c r="DL12" s="104"/>
      <c r="DM12" s="117" t="s">
        <v>56</v>
      </c>
      <c r="DN12" s="298" t="str">
        <f t="shared" si="24"/>
        <v>EDSC2011</v>
      </c>
      <c r="DO12" s="117" t="s">
        <v>54</v>
      </c>
      <c r="DP12" s="104"/>
      <c r="DQ12" s="117" t="s">
        <v>56</v>
      </c>
      <c r="DR12" s="298" t="str">
        <f t="shared" si="25"/>
        <v>EDSC2011</v>
      </c>
      <c r="DS12" s="117" t="s">
        <v>54</v>
      </c>
      <c r="DT12" s="104"/>
      <c r="DU12" s="117" t="s">
        <v>56</v>
      </c>
      <c r="DV12" s="298" t="str">
        <f t="shared" si="26"/>
        <v>EDSC2011</v>
      </c>
      <c r="DW12" s="117" t="s">
        <v>54</v>
      </c>
      <c r="DX12" s="104"/>
      <c r="DY12" s="117" t="s">
        <v>56</v>
      </c>
      <c r="DZ12" s="298" t="str">
        <f t="shared" si="27"/>
        <v>EDSC2011</v>
      </c>
      <c r="EA12" s="117" t="s">
        <v>54</v>
      </c>
      <c r="EB12" s="104"/>
      <c r="EC12" s="117" t="s">
        <v>56</v>
      </c>
      <c r="ED12" s="298" t="str">
        <f t="shared" si="28"/>
        <v>EDSC2011</v>
      </c>
      <c r="EE12" s="117" t="s">
        <v>54</v>
      </c>
      <c r="EF12" s="104"/>
      <c r="EG12" s="117" t="s">
        <v>56</v>
      </c>
      <c r="EH12" s="298" t="str">
        <f t="shared" si="29"/>
        <v>EDSC2011</v>
      </c>
      <c r="EI12" s="117" t="s">
        <v>54</v>
      </c>
      <c r="EJ12" s="104"/>
      <c r="EK12" s="117" t="s">
        <v>56</v>
      </c>
      <c r="EL12" s="298" t="str">
        <f t="shared" si="30"/>
        <v>EDSC2011</v>
      </c>
      <c r="EM12" s="117" t="s">
        <v>54</v>
      </c>
      <c r="EN12" s="104"/>
      <c r="EO12" s="117" t="s">
        <v>56</v>
      </c>
      <c r="EP12" s="298" t="str">
        <f t="shared" si="31"/>
        <v>EDSC2011</v>
      </c>
      <c r="EQ12" s="117" t="s">
        <v>54</v>
      </c>
      <c r="ER12" s="104"/>
      <c r="ES12" s="117" t="s">
        <v>56</v>
      </c>
      <c r="ET12" s="298" t="str">
        <f t="shared" si="32"/>
        <v>EDSC2011</v>
      </c>
      <c r="EU12" s="117" t="s">
        <v>54</v>
      </c>
      <c r="EV12" s="104"/>
      <c r="EW12" s="117" t="s">
        <v>56</v>
      </c>
      <c r="EX12" s="298" t="str">
        <f t="shared" si="33"/>
        <v>EDSC2011</v>
      </c>
      <c r="EY12" s="117" t="s">
        <v>54</v>
      </c>
      <c r="EZ12" s="104"/>
      <c r="FA12" s="117" t="s">
        <v>56</v>
      </c>
      <c r="FB12" s="298" t="str">
        <f t="shared" si="34"/>
        <v>EDSC2011</v>
      </c>
      <c r="FC12" s="117" t="s">
        <v>54</v>
      </c>
      <c r="FD12" s="104"/>
      <c r="FE12" s="117" t="s">
        <v>56</v>
      </c>
      <c r="FF12" s="298" t="str">
        <f t="shared" si="35"/>
        <v>EDSC2011</v>
      </c>
      <c r="FG12" s="117" t="s">
        <v>54</v>
      </c>
      <c r="FH12" s="104"/>
      <c r="FI12" s="117" t="s">
        <v>56</v>
      </c>
      <c r="FJ12" s="298" t="str">
        <f t="shared" si="36"/>
        <v>EDSC2011</v>
      </c>
      <c r="FK12" s="117" t="s">
        <v>54</v>
      </c>
      <c r="FL12" s="104"/>
      <c r="FM12" s="117" t="s">
        <v>56</v>
      </c>
      <c r="FN12" s="298" t="str">
        <f t="shared" si="37"/>
        <v>EDSC2011</v>
      </c>
      <c r="FO12" s="117" t="s">
        <v>54</v>
      </c>
      <c r="FP12" s="104"/>
      <c r="FQ12" s="117" t="s">
        <v>56</v>
      </c>
      <c r="FR12" s="298" t="str">
        <f t="shared" si="38"/>
        <v>EDSC2011</v>
      </c>
      <c r="FS12" s="117" t="s">
        <v>54</v>
      </c>
      <c r="FT12" s="104"/>
      <c r="FU12" s="117" t="s">
        <v>56</v>
      </c>
      <c r="FV12" s="298" t="str">
        <f t="shared" si="39"/>
        <v>EDSC2011</v>
      </c>
      <c r="FW12" s="117" t="s">
        <v>54</v>
      </c>
      <c r="FX12" s="104"/>
      <c r="FY12" s="117" t="s">
        <v>56</v>
      </c>
      <c r="FZ12" s="298" t="str">
        <f t="shared" si="40"/>
        <v>EDSC2011</v>
      </c>
      <c r="GA12" s="117" t="s">
        <v>54</v>
      </c>
      <c r="GB12" s="104"/>
      <c r="GC12" s="117" t="s">
        <v>56</v>
      </c>
      <c r="GD12" s="298" t="str">
        <f t="shared" si="41"/>
        <v>EDSC2011</v>
      </c>
      <c r="GE12" s="117" t="s">
        <v>54</v>
      </c>
      <c r="GF12" s="104"/>
      <c r="GG12" s="117" t="s">
        <v>56</v>
      </c>
      <c r="GH12" s="298" t="str">
        <f t="shared" si="42"/>
        <v>EDSC2011</v>
      </c>
      <c r="GI12" s="117" t="s">
        <v>54</v>
      </c>
      <c r="GJ12" s="104"/>
      <c r="GK12" s="117" t="s">
        <v>56</v>
      </c>
      <c r="GL12" s="298" t="str">
        <f t="shared" si="43"/>
        <v>EDSC2011</v>
      </c>
      <c r="GM12" s="117" t="s">
        <v>54</v>
      </c>
      <c r="GN12" s="104"/>
      <c r="GO12" s="117" t="s">
        <v>56</v>
      </c>
      <c r="GP12" s="298" t="str">
        <f t="shared" si="44"/>
        <v>EDSC2011</v>
      </c>
      <c r="GQ12" s="117" t="s">
        <v>54</v>
      </c>
      <c r="GR12" s="104"/>
      <c r="GS12" s="117" t="s">
        <v>56</v>
      </c>
      <c r="GT12" s="298" t="str">
        <f t="shared" si="45"/>
        <v>EDSC2011</v>
      </c>
      <c r="GU12" s="117" t="s">
        <v>54</v>
      </c>
      <c r="GV12" s="104"/>
      <c r="GW12" s="117" t="s">
        <v>56</v>
      </c>
      <c r="GX12" s="298" t="str">
        <f t="shared" si="46"/>
        <v>EDSC2011</v>
      </c>
      <c r="GY12" s="117" t="s">
        <v>54</v>
      </c>
      <c r="GZ12" s="104"/>
      <c r="HA12" s="117" t="s">
        <v>56</v>
      </c>
      <c r="HB12" s="298" t="str">
        <f t="shared" si="47"/>
        <v>EDSC2011</v>
      </c>
      <c r="HC12" s="117" t="s">
        <v>54</v>
      </c>
      <c r="HD12" s="104"/>
      <c r="HE12" s="117" t="s">
        <v>56</v>
      </c>
      <c r="HF12" s="298" t="str">
        <f t="shared" si="48"/>
        <v>EDSC2011</v>
      </c>
      <c r="HG12" s="117" t="s">
        <v>54</v>
      </c>
      <c r="HH12" s="104"/>
      <c r="HI12" s="117" t="s">
        <v>56</v>
      </c>
      <c r="HJ12" s="298" t="str">
        <f t="shared" si="49"/>
        <v>EDSC2011</v>
      </c>
      <c r="HK12" s="117" t="s">
        <v>54</v>
      </c>
      <c r="HL12" s="104"/>
      <c r="HM12" s="117" t="s">
        <v>56</v>
      </c>
      <c r="HN12" s="298" t="str">
        <f t="shared" si="50"/>
        <v>EDSC2011</v>
      </c>
      <c r="HO12" s="117" t="s">
        <v>54</v>
      </c>
      <c r="HP12" s="104"/>
      <c r="HQ12" s="117" t="s">
        <v>56</v>
      </c>
      <c r="HR12" s="298" t="str">
        <f t="shared" si="51"/>
        <v>EDSC2011</v>
      </c>
      <c r="HS12" s="117" t="s">
        <v>54</v>
      </c>
      <c r="HT12" s="104"/>
      <c r="HU12" s="117" t="s">
        <v>56</v>
      </c>
      <c r="HV12" s="298" t="str">
        <f t="shared" si="52"/>
        <v>EDSC2011</v>
      </c>
      <c r="HW12" s="117" t="s">
        <v>54</v>
      </c>
      <c r="HX12" s="104"/>
      <c r="HY12" s="117" t="s">
        <v>56</v>
      </c>
      <c r="HZ12" s="298" t="str">
        <f t="shared" si="53"/>
        <v>EDSC2011</v>
      </c>
      <c r="IA12" s="117" t="s">
        <v>54</v>
      </c>
      <c r="IB12" s="104"/>
      <c r="IC12" s="117" t="s">
        <v>56</v>
      </c>
      <c r="ID12" s="298" t="str">
        <f t="shared" si="54"/>
        <v>EDSC2011</v>
      </c>
      <c r="IE12" s="117" t="s">
        <v>54</v>
      </c>
      <c r="IF12" s="104"/>
      <c r="IG12" s="117" t="s">
        <v>56</v>
      </c>
      <c r="IH12" s="298" t="str">
        <f t="shared" si="55"/>
        <v>EDSC2011</v>
      </c>
      <c r="II12" s="117" t="s">
        <v>54</v>
      </c>
      <c r="IJ12" s="104"/>
      <c r="IK12" s="117" t="s">
        <v>56</v>
      </c>
      <c r="IL12" s="298" t="str">
        <f t="shared" si="56"/>
        <v>EDSC2011</v>
      </c>
      <c r="IM12" s="117" t="s">
        <v>54</v>
      </c>
      <c r="IN12" s="104"/>
      <c r="IO12" s="117" t="s">
        <v>56</v>
      </c>
      <c r="IP12" s="298" t="str">
        <f t="shared" si="57"/>
        <v>EDSC2011</v>
      </c>
      <c r="IQ12" s="117" t="s">
        <v>54</v>
      </c>
      <c r="IR12" s="104"/>
      <c r="IS12" s="117" t="s">
        <v>56</v>
      </c>
      <c r="IT12" s="298" t="str">
        <f t="shared" si="58"/>
        <v>EDSC2011</v>
      </c>
      <c r="IU12" s="117" t="s">
        <v>54</v>
      </c>
      <c r="IV12" s="104"/>
      <c r="IW12" s="117" t="s">
        <v>56</v>
      </c>
      <c r="IX12" s="298" t="str">
        <f t="shared" si="59"/>
        <v>EDSC2011</v>
      </c>
      <c r="IY12" s="117" t="s">
        <v>54</v>
      </c>
      <c r="IZ12" s="104"/>
      <c r="JA12" s="117" t="s">
        <v>56</v>
      </c>
      <c r="JB12" s="298" t="str">
        <f t="shared" si="60"/>
        <v>EDSC2011</v>
      </c>
      <c r="JC12" s="117" t="s">
        <v>54</v>
      </c>
      <c r="JD12" s="104"/>
      <c r="JE12" s="117" t="s">
        <v>56</v>
      </c>
      <c r="JF12" s="298" t="str">
        <f t="shared" si="61"/>
        <v>EDSC2011</v>
      </c>
      <c r="JG12" s="117" t="s">
        <v>54</v>
      </c>
      <c r="JH12" s="104"/>
      <c r="JI12" s="117" t="s">
        <v>56</v>
      </c>
      <c r="JJ12" s="298" t="str">
        <f t="shared" si="62"/>
        <v>EDSC2011</v>
      </c>
      <c r="JK12" s="117" t="s">
        <v>54</v>
      </c>
      <c r="JL12" s="104"/>
      <c r="JM12" s="117" t="s">
        <v>56</v>
      </c>
      <c r="JN12" s="298" t="str">
        <f t="shared" si="63"/>
        <v>EDSC2011</v>
      </c>
      <c r="JO12" s="117" t="s">
        <v>54</v>
      </c>
      <c r="JP12" s="104"/>
      <c r="JQ12" s="117" t="s">
        <v>56</v>
      </c>
      <c r="JR12" s="298" t="str">
        <f t="shared" si="64"/>
        <v>EDSC2011</v>
      </c>
      <c r="JS12" s="117" t="s">
        <v>54</v>
      </c>
      <c r="JT12" s="104"/>
      <c r="JU12" s="117" t="s">
        <v>56</v>
      </c>
      <c r="JV12" s="298" t="str">
        <f t="shared" si="65"/>
        <v>EDSC2011</v>
      </c>
      <c r="JW12" s="117" t="s">
        <v>54</v>
      </c>
      <c r="JX12" s="104"/>
      <c r="JY12" s="117" t="s">
        <v>56</v>
      </c>
      <c r="JZ12" s="298" t="str">
        <f t="shared" si="66"/>
        <v>EDSC2011</v>
      </c>
      <c r="KA12" s="117" t="s">
        <v>54</v>
      </c>
      <c r="KB12" s="104"/>
      <c r="KC12" s="117" t="s">
        <v>56</v>
      </c>
      <c r="KD12" s="298" t="str">
        <f t="shared" si="67"/>
        <v>EDSC2011</v>
      </c>
      <c r="KE12" s="117" t="s">
        <v>54</v>
      </c>
      <c r="KF12" s="104"/>
      <c r="KG12" s="117" t="s">
        <v>56</v>
      </c>
      <c r="KH12" s="298" t="str">
        <f t="shared" si="68"/>
        <v>EDSC2011</v>
      </c>
      <c r="KI12" s="117" t="s">
        <v>54</v>
      </c>
      <c r="KJ12" s="104"/>
      <c r="KK12" s="117" t="s">
        <v>56</v>
      </c>
      <c r="KL12" s="298" t="str">
        <f t="shared" si="69"/>
        <v>EDSC2011</v>
      </c>
      <c r="KM12" s="117" t="s">
        <v>54</v>
      </c>
      <c r="KN12" s="104"/>
      <c r="KO12" s="117" t="s">
        <v>56</v>
      </c>
      <c r="KP12" s="298" t="str">
        <f t="shared" si="70"/>
        <v>EDSC2011</v>
      </c>
      <c r="KQ12" s="117" t="s">
        <v>54</v>
      </c>
      <c r="KR12" s="104"/>
      <c r="KS12" s="117" t="s">
        <v>56</v>
      </c>
      <c r="KT12" s="298" t="str">
        <f t="shared" si="71"/>
        <v>EDSC2011</v>
      </c>
      <c r="KU12" s="117" t="s">
        <v>54</v>
      </c>
      <c r="KV12" s="104"/>
      <c r="KW12" s="117" t="s">
        <v>56</v>
      </c>
      <c r="KX12" s="298" t="str">
        <f t="shared" si="72"/>
        <v>EDSC2011</v>
      </c>
      <c r="KY12" s="117" t="s">
        <v>54</v>
      </c>
      <c r="KZ12" s="104"/>
      <c r="LA12" s="117" t="s">
        <v>56</v>
      </c>
      <c r="LB12" s="298" t="str">
        <f t="shared" si="73"/>
        <v>EDSC2011</v>
      </c>
      <c r="LC12" s="117" t="s">
        <v>54</v>
      </c>
      <c r="LD12" s="104"/>
      <c r="LE12" s="117" t="s">
        <v>56</v>
      </c>
      <c r="LF12" s="298" t="str">
        <f t="shared" si="74"/>
        <v>EDSC2011</v>
      </c>
      <c r="LG12" s="117" t="s">
        <v>54</v>
      </c>
      <c r="LH12" s="104"/>
      <c r="LI12" s="117" t="s">
        <v>56</v>
      </c>
      <c r="LJ12" s="298" t="str">
        <f t="shared" si="75"/>
        <v>EDSC2011</v>
      </c>
      <c r="LK12" s="117" t="s">
        <v>54</v>
      </c>
      <c r="LL12" s="104"/>
      <c r="LM12" s="117" t="s">
        <v>56</v>
      </c>
      <c r="LN12" s="298" t="str">
        <f t="shared" si="76"/>
        <v>EDSC2011</v>
      </c>
      <c r="LO12" s="117" t="s">
        <v>54</v>
      </c>
      <c r="LP12" s="104"/>
      <c r="LQ12" s="117" t="s">
        <v>56</v>
      </c>
      <c r="LR12" s="298" t="str">
        <f t="shared" si="77"/>
        <v>EDSC2011</v>
      </c>
      <c r="LS12" s="117" t="s">
        <v>54</v>
      </c>
      <c r="LT12" s="104"/>
      <c r="LU12" s="117" t="s">
        <v>56</v>
      </c>
      <c r="LV12" s="298" t="str">
        <f t="shared" si="78"/>
        <v>EDSC2011</v>
      </c>
      <c r="LW12" s="117" t="s">
        <v>54</v>
      </c>
      <c r="LX12" s="104"/>
      <c r="LY12" s="117" t="s">
        <v>56</v>
      </c>
      <c r="LZ12" s="298" t="str">
        <f t="shared" si="79"/>
        <v>EDSC2011</v>
      </c>
      <c r="MA12" s="117" t="s">
        <v>54</v>
      </c>
      <c r="MB12" s="104"/>
      <c r="MC12" s="117" t="s">
        <v>56</v>
      </c>
      <c r="MD12" s="298" t="str">
        <f t="shared" si="80"/>
        <v>EDSC2011</v>
      </c>
      <c r="ME12" s="117" t="s">
        <v>54</v>
      </c>
      <c r="MF12" s="104"/>
      <c r="MG12" s="117" t="s">
        <v>56</v>
      </c>
      <c r="MH12" s="298" t="str">
        <f t="shared" si="81"/>
        <v>EDSC2011</v>
      </c>
      <c r="MI12" s="117" t="s">
        <v>54</v>
      </c>
      <c r="MJ12" s="104"/>
      <c r="MK12" s="117" t="s">
        <v>56</v>
      </c>
      <c r="ML12" s="298" t="str">
        <f t="shared" si="82"/>
        <v>EDSC2011</v>
      </c>
      <c r="MM12" s="117" t="s">
        <v>54</v>
      </c>
      <c r="MN12" s="104"/>
      <c r="MO12" s="117" t="s">
        <v>56</v>
      </c>
      <c r="MP12" s="298" t="str">
        <f t="shared" si="83"/>
        <v>EDSC2011</v>
      </c>
      <c r="MQ12" s="117" t="s">
        <v>54</v>
      </c>
      <c r="MR12" s="104"/>
      <c r="MS12" s="117" t="s">
        <v>56</v>
      </c>
      <c r="MT12" s="298" t="str">
        <f t="shared" si="84"/>
        <v>EDSC2011</v>
      </c>
      <c r="MU12" s="117" t="s">
        <v>54</v>
      </c>
      <c r="MV12" s="104"/>
      <c r="MW12" s="117" t="s">
        <v>56</v>
      </c>
      <c r="MX12" s="298" t="str">
        <f t="shared" si="85"/>
        <v>EDSC2011</v>
      </c>
      <c r="MY12" s="117" t="s">
        <v>54</v>
      </c>
      <c r="MZ12" s="104"/>
      <c r="NA12" s="117" t="s">
        <v>56</v>
      </c>
      <c r="NB12" s="298" t="str">
        <f t="shared" si="86"/>
        <v>EDSC2011</v>
      </c>
      <c r="NC12" s="117" t="s">
        <v>54</v>
      </c>
      <c r="ND12" s="104"/>
      <c r="NE12" s="117" t="s">
        <v>56</v>
      </c>
      <c r="NF12" s="298" t="str">
        <f t="shared" si="87"/>
        <v>EDSC2011</v>
      </c>
      <c r="NG12" s="117" t="s">
        <v>54</v>
      </c>
      <c r="NH12" s="104"/>
      <c r="NI12" s="117" t="s">
        <v>56</v>
      </c>
      <c r="NJ12" s="298" t="str">
        <f t="shared" si="88"/>
        <v>EDSC2011</v>
      </c>
      <c r="NK12" s="117" t="s">
        <v>54</v>
      </c>
      <c r="NL12" s="104"/>
      <c r="NM12" s="117" t="s">
        <v>56</v>
      </c>
      <c r="NN12" s="298" t="str">
        <f t="shared" si="89"/>
        <v>EDSC2011</v>
      </c>
      <c r="NO12" s="117" t="s">
        <v>54</v>
      </c>
      <c r="NP12" s="104"/>
      <c r="NQ12" s="117" t="s">
        <v>56</v>
      </c>
      <c r="NR12" s="298" t="str">
        <f t="shared" si="90"/>
        <v>EDSC2011</v>
      </c>
      <c r="NS12" s="117" t="s">
        <v>54</v>
      </c>
      <c r="NT12" s="104"/>
      <c r="NU12" s="117" t="s">
        <v>56</v>
      </c>
      <c r="NV12" s="298" t="str">
        <f t="shared" si="91"/>
        <v>EDSC2011</v>
      </c>
      <c r="NW12" s="117" t="s">
        <v>54</v>
      </c>
      <c r="NX12" s="104"/>
      <c r="NY12" s="117" t="s">
        <v>56</v>
      </c>
      <c r="NZ12" s="298" t="str">
        <f t="shared" si="92"/>
        <v>EDSC2011</v>
      </c>
      <c r="OA12" s="117" t="s">
        <v>54</v>
      </c>
      <c r="OB12" s="104"/>
      <c r="OC12" s="117" t="s">
        <v>56</v>
      </c>
      <c r="OD12" s="298" t="str">
        <f t="shared" si="93"/>
        <v>EDSC2011</v>
      </c>
      <c r="OE12" s="117" t="s">
        <v>54</v>
      </c>
      <c r="OF12" s="104"/>
      <c r="OG12" s="117" t="s">
        <v>56</v>
      </c>
      <c r="OH12" s="298" t="str">
        <f t="shared" si="94"/>
        <v>EDSC2011</v>
      </c>
      <c r="OI12" s="117" t="s">
        <v>54</v>
      </c>
      <c r="OJ12" s="104"/>
      <c r="OK12" s="117" t="s">
        <v>56</v>
      </c>
      <c r="OL12" s="298" t="str">
        <f t="shared" si="95"/>
        <v>EDSC2011</v>
      </c>
      <c r="OM12" s="117" t="s">
        <v>54</v>
      </c>
      <c r="ON12" s="104"/>
      <c r="OO12" s="117" t="s">
        <v>56</v>
      </c>
      <c r="OP12" s="298" t="str">
        <f t="shared" si="96"/>
        <v>EDSC2011</v>
      </c>
      <c r="OQ12" s="117" t="s">
        <v>54</v>
      </c>
      <c r="OR12" s="104"/>
      <c r="OS12" s="117" t="s">
        <v>56</v>
      </c>
      <c r="OT12" s="298" t="str">
        <f t="shared" si="97"/>
        <v>EDSC2011</v>
      </c>
      <c r="OU12" s="117" t="s">
        <v>54</v>
      </c>
      <c r="OV12" s="104"/>
      <c r="OW12" s="117" t="s">
        <v>56</v>
      </c>
      <c r="OX12" s="298" t="str">
        <f t="shared" si="98"/>
        <v>EDSC2011</v>
      </c>
      <c r="OY12" s="117" t="s">
        <v>54</v>
      </c>
      <c r="OZ12" s="104"/>
      <c r="PA12" s="117" t="s">
        <v>56</v>
      </c>
      <c r="PB12" s="298" t="str">
        <f t="shared" si="99"/>
        <v>EDSC2011</v>
      </c>
      <c r="PC12" s="117" t="s">
        <v>54</v>
      </c>
      <c r="PD12" s="104"/>
      <c r="PE12" s="117" t="s">
        <v>56</v>
      </c>
      <c r="PF12" s="298" t="str">
        <f t="shared" si="100"/>
        <v>EDSC2011</v>
      </c>
      <c r="PG12" s="117" t="s">
        <v>54</v>
      </c>
      <c r="PH12" s="104"/>
      <c r="PI12" s="117" t="s">
        <v>56</v>
      </c>
      <c r="PJ12" s="298" t="str">
        <f t="shared" si="101"/>
        <v>EDSC2011</v>
      </c>
      <c r="PK12" s="117" t="s">
        <v>54</v>
      </c>
      <c r="PL12" s="104"/>
      <c r="PM12" s="117" t="s">
        <v>56</v>
      </c>
      <c r="PN12" s="298" t="str">
        <f t="shared" si="102"/>
        <v>EDSC2011</v>
      </c>
      <c r="PO12" s="117" t="s">
        <v>54</v>
      </c>
      <c r="PP12" s="104"/>
      <c r="PQ12" s="117" t="s">
        <v>56</v>
      </c>
      <c r="PR12" s="298" t="str">
        <f t="shared" si="103"/>
        <v>EDSC2011</v>
      </c>
      <c r="PS12" s="117" t="s">
        <v>54</v>
      </c>
      <c r="PT12" s="104"/>
      <c r="PU12" s="117" t="s">
        <v>56</v>
      </c>
      <c r="PV12" s="298" t="str">
        <f t="shared" si="104"/>
        <v>EDSC2011</v>
      </c>
      <c r="PW12" s="117" t="s">
        <v>54</v>
      </c>
      <c r="PX12" s="104"/>
      <c r="PY12" s="117" t="s">
        <v>56</v>
      </c>
      <c r="PZ12" s="298" t="str">
        <f t="shared" si="105"/>
        <v>EDSC2011</v>
      </c>
      <c r="QA12" s="117" t="s">
        <v>54</v>
      </c>
      <c r="QB12" s="104"/>
      <c r="QC12" s="117" t="s">
        <v>56</v>
      </c>
      <c r="QD12" s="298" t="str">
        <f t="shared" si="106"/>
        <v>EDSC2011</v>
      </c>
      <c r="QE12" s="117" t="s">
        <v>54</v>
      </c>
      <c r="QF12" s="104"/>
      <c r="QG12" s="117" t="s">
        <v>56</v>
      </c>
      <c r="QH12" s="298" t="str">
        <f t="shared" si="107"/>
        <v>EDSC2011</v>
      </c>
      <c r="QI12" s="117" t="s">
        <v>54</v>
      </c>
      <c r="QJ12" s="104"/>
    </row>
    <row r="13" spans="1:481" x14ac:dyDescent="0.25">
      <c r="A13" s="352" t="s">
        <v>382</v>
      </c>
      <c r="B13" s="268" t="s">
        <v>344</v>
      </c>
      <c r="C13" s="268" t="s">
        <v>100</v>
      </c>
      <c r="D13" s="269">
        <v>45658</v>
      </c>
      <c r="E13" s="275">
        <v>2</v>
      </c>
      <c r="F13" s="269">
        <v>45658</v>
      </c>
      <c r="G13" s="268" t="s">
        <v>376</v>
      </c>
      <c r="J13" s="141"/>
      <c r="K13" s="146" t="str">
        <f>INDEX(TableStreams[Choose your Specialisation Stream second (drop-down list)],MATCH(L13,TableStreams[UDC],0))</f>
        <v>Biological Sciences Education Minor Teaching Area Stream (BEd Secondary)</v>
      </c>
      <c r="L13" s="141" t="s">
        <v>350</v>
      </c>
      <c r="O13" s="332">
        <v>2</v>
      </c>
      <c r="P13" s="3">
        <v>11</v>
      </c>
      <c r="Q13" s="117" t="s">
        <v>56</v>
      </c>
      <c r="R13" s="127" t="s">
        <v>383</v>
      </c>
      <c r="S13" s="117" t="s">
        <v>54</v>
      </c>
      <c r="T13" s="104"/>
      <c r="U13" s="117" t="s">
        <v>56</v>
      </c>
      <c r="V13" s="127" t="str">
        <f>HLOOKUP(CONCATENATE(V$4,V$6),RangeMajorsSec,$O13,FALSE)</f>
        <v>MATH1016</v>
      </c>
      <c r="W13" s="117" t="s">
        <v>54</v>
      </c>
      <c r="X13" s="104"/>
      <c r="Y13" s="117" t="s">
        <v>56</v>
      </c>
      <c r="Z13" s="127" t="str">
        <f>HLOOKUP(CONCATENATE(Z$4,Z$6),RangeMajorsSec,$O13,FALSE)</f>
        <v>THTR1002</v>
      </c>
      <c r="AA13" s="117" t="s">
        <v>54</v>
      </c>
      <c r="AB13" s="104"/>
      <c r="AC13" s="117" t="s">
        <v>56</v>
      </c>
      <c r="AD13" s="127" t="str">
        <f>HLOOKUP(CONCATENATE(AD$4,AD$6),RangeMajorsSec,$O13,FALSE)</f>
        <v>THTR1002</v>
      </c>
      <c r="AE13" s="117" t="s">
        <v>54</v>
      </c>
      <c r="AF13" s="104"/>
      <c r="AG13" s="117" t="s">
        <v>56</v>
      </c>
      <c r="AH13" s="127" t="str">
        <f>HLOOKUP(CONCATENATE(AH$4,AH$6),RangeMajorsSec,$O13,FALSE)</f>
        <v>THTR1002</v>
      </c>
      <c r="AI13" s="117" t="s">
        <v>54</v>
      </c>
      <c r="AJ13" s="104"/>
      <c r="AK13" s="117" t="s">
        <v>56</v>
      </c>
      <c r="AL13" s="127" t="str">
        <f>HLOOKUP(CONCATENATE(AL$4,AL$6),RangeMajorsSec,$O13,FALSE)</f>
        <v>THTR1002</v>
      </c>
      <c r="AM13" s="117" t="s">
        <v>54</v>
      </c>
      <c r="AN13" s="104"/>
      <c r="AO13" s="117" t="s">
        <v>56</v>
      </c>
      <c r="AP13" s="127" t="str">
        <f>HLOOKUP(CONCATENATE(AP$4,AP$6),RangeMajorsSec,$O13,FALSE)</f>
        <v>THTR1002</v>
      </c>
      <c r="AQ13" s="117" t="s">
        <v>54</v>
      </c>
      <c r="AR13" s="104"/>
      <c r="AS13" s="117" t="s">
        <v>56</v>
      </c>
      <c r="AT13" s="127" t="str">
        <f>HLOOKUP(CONCATENATE(AT$4,AT$6),RangeMajorsSec,$O13,FALSE)</f>
        <v>THTR1002</v>
      </c>
      <c r="AU13" s="117" t="s">
        <v>54</v>
      </c>
      <c r="AV13" s="104"/>
      <c r="AW13" s="117" t="s">
        <v>56</v>
      </c>
      <c r="AX13" s="127" t="str">
        <f>HLOOKUP(CONCATENATE(AX$4,AX$6),RangeMajorsSec,$O13,FALSE)</f>
        <v>THTR1002</v>
      </c>
      <c r="AY13" s="117" t="s">
        <v>54</v>
      </c>
      <c r="AZ13" s="104"/>
      <c r="BA13" s="117" t="s">
        <v>56</v>
      </c>
      <c r="BB13" s="127" t="str">
        <f>HLOOKUP(CONCATENATE(BB$4,BB$6),RangeMajorsSec,$O13,FALSE)</f>
        <v>AC-ARME1</v>
      </c>
      <c r="BC13" s="117" t="s">
        <v>54</v>
      </c>
      <c r="BD13" s="104"/>
      <c r="BE13" s="117" t="s">
        <v>56</v>
      </c>
      <c r="BF13" s="127" t="str">
        <f>HLOOKUP(CONCATENATE(BF$4,BF$6),RangeMajorsSec,$O13,FALSE)</f>
        <v>AC-ARME1</v>
      </c>
      <c r="BG13" s="117" t="s">
        <v>54</v>
      </c>
      <c r="BH13" s="104"/>
      <c r="BI13" s="117" t="s">
        <v>56</v>
      </c>
      <c r="BJ13" s="127" t="str">
        <f>HLOOKUP(CONCATENATE(BJ$4,BJ$6),RangeMajorsSec,$O13,FALSE)</f>
        <v>AC-ARME1</v>
      </c>
      <c r="BK13" s="117" t="s">
        <v>54</v>
      </c>
      <c r="BL13" s="104"/>
      <c r="BM13" s="117" t="s">
        <v>56</v>
      </c>
      <c r="BN13" s="127" t="str">
        <f>HLOOKUP(CONCATENATE(BN$4,BN$6),RangeMajorsSec,$O13,FALSE)</f>
        <v>AC-ARME1</v>
      </c>
      <c r="BO13" s="117" t="s">
        <v>54</v>
      </c>
      <c r="BP13" s="104"/>
      <c r="BQ13" s="117" t="s">
        <v>56</v>
      </c>
      <c r="BR13" s="127" t="str">
        <f>HLOOKUP(CONCATENATE(BR$4,BR$6),RangeMajorsSec,$O13,FALSE)</f>
        <v>AC-ARME1</v>
      </c>
      <c r="BS13" s="117" t="s">
        <v>54</v>
      </c>
      <c r="BT13" s="104"/>
      <c r="BU13" s="117" t="s">
        <v>56</v>
      </c>
      <c r="BV13" s="127" t="str">
        <f>HLOOKUP(CONCATENATE(BV$4,BV$6),RangeMajorsSec,$O13,FALSE)</f>
        <v>AC-ARME1</v>
      </c>
      <c r="BW13" s="117" t="s">
        <v>54</v>
      </c>
      <c r="BX13" s="104"/>
      <c r="BY13" s="117" t="s">
        <v>56</v>
      </c>
      <c r="BZ13" s="127" t="str">
        <f>HLOOKUP(CONCATENATE(BZ$4,BZ$6),RangeMajorsSec,$O13,FALSE)</f>
        <v>VISA1004</v>
      </c>
      <c r="CA13" s="117" t="s">
        <v>54</v>
      </c>
      <c r="CB13" s="104"/>
      <c r="CC13" s="117" t="s">
        <v>56</v>
      </c>
      <c r="CD13" s="127" t="str">
        <f>HLOOKUP(CONCATENATE(CD$4,CD$6),RangeMajorsSec,$O13,FALSE)</f>
        <v>VISA1004</v>
      </c>
      <c r="CE13" s="117" t="s">
        <v>54</v>
      </c>
      <c r="CF13" s="104"/>
      <c r="CG13" s="117" t="s">
        <v>56</v>
      </c>
      <c r="CH13" s="127" t="str">
        <f>HLOOKUP(CONCATENATE(CH$4,CH$6),RangeMajorsSec,$O13,FALSE)</f>
        <v>VISA1004</v>
      </c>
      <c r="CI13" s="117" t="s">
        <v>54</v>
      </c>
      <c r="CJ13" s="104"/>
      <c r="CK13" s="117" t="s">
        <v>56</v>
      </c>
      <c r="CL13" s="127" t="str">
        <f>HLOOKUP(CONCATENATE(CL$4,CL$6),RangeMajorsSec,$O13,FALSE)</f>
        <v>VISA1004</v>
      </c>
      <c r="CM13" s="117" t="s">
        <v>54</v>
      </c>
      <c r="CN13" s="104"/>
      <c r="CO13" s="117" t="s">
        <v>56</v>
      </c>
      <c r="CP13" s="127" t="str">
        <f>HLOOKUP(CONCATENATE(CP$4,CP$6),RangeMajorsSec,$O13,FALSE)</f>
        <v>VISA1004</v>
      </c>
      <c r="CQ13" s="117" t="s">
        <v>54</v>
      </c>
      <c r="CR13" s="104"/>
      <c r="CS13" s="117" t="s">
        <v>56</v>
      </c>
      <c r="CT13" s="127" t="str">
        <f>HLOOKUP(CONCATENATE(CT$4,CT$6),RangeMajorsSec,$O13,FALSE)</f>
        <v>VISA1004</v>
      </c>
      <c r="CU13" s="117" t="s">
        <v>54</v>
      </c>
      <c r="CV13" s="104"/>
      <c r="CW13" s="117" t="s">
        <v>56</v>
      </c>
      <c r="CX13" s="127" t="str">
        <f>HLOOKUP(CONCATENATE(CX$4,CX$6),RangeMajorsSec,$O13,FALSE)</f>
        <v>VISA1004</v>
      </c>
      <c r="CY13" s="117" t="s">
        <v>54</v>
      </c>
      <c r="CZ13" s="104"/>
      <c r="DA13" s="117" t="s">
        <v>56</v>
      </c>
      <c r="DB13" s="127" t="str">
        <f>HLOOKUP(CONCATENATE(DB$4,DB$6),RangeMajorsSec,$O13,FALSE)</f>
        <v>CWRI1003</v>
      </c>
      <c r="DC13" s="117" t="s">
        <v>54</v>
      </c>
      <c r="DD13" s="104"/>
      <c r="DE13" s="117" t="s">
        <v>56</v>
      </c>
      <c r="DF13" s="127" t="str">
        <f>HLOOKUP(CONCATENATE(DF$4,DF$6),RangeMajorsSec,$O13,FALSE)</f>
        <v>CWRI1003</v>
      </c>
      <c r="DG13" s="117" t="s">
        <v>54</v>
      </c>
      <c r="DH13" s="104"/>
      <c r="DI13" s="117" t="s">
        <v>56</v>
      </c>
      <c r="DJ13" s="127" t="str">
        <f>HLOOKUP(CONCATENATE(DJ$4,DJ$6),RangeMajorsSec,$O13,FALSE)</f>
        <v>CWRI1003</v>
      </c>
      <c r="DK13" s="117" t="s">
        <v>54</v>
      </c>
      <c r="DL13" s="104"/>
      <c r="DM13" s="117" t="s">
        <v>56</v>
      </c>
      <c r="DN13" s="127" t="str">
        <f>HLOOKUP(CONCATENATE(DN$4,DN$6),RangeMajorsSec,$O13,FALSE)</f>
        <v>CWRI1003</v>
      </c>
      <c r="DO13" s="117" t="s">
        <v>54</v>
      </c>
      <c r="DP13" s="104"/>
      <c r="DQ13" s="117" t="s">
        <v>56</v>
      </c>
      <c r="DR13" s="127" t="str">
        <f>HLOOKUP(CONCATENATE(DR$4,DR$6),RangeMajorsSec,$O13,FALSE)</f>
        <v>CWRI1003</v>
      </c>
      <c r="DS13" s="117" t="s">
        <v>54</v>
      </c>
      <c r="DT13" s="104"/>
      <c r="DU13" s="117" t="s">
        <v>56</v>
      </c>
      <c r="DV13" s="127" t="str">
        <f>HLOOKUP(CONCATENATE(DV$4,DV$6),RangeMajorsSec,$O13,FALSE)</f>
        <v>CWRI1003</v>
      </c>
      <c r="DW13" s="117" t="s">
        <v>54</v>
      </c>
      <c r="DX13" s="104"/>
      <c r="DY13" s="117" t="s">
        <v>56</v>
      </c>
      <c r="DZ13" s="127" t="str">
        <f>HLOOKUP(CONCATENATE(DZ$4,DZ$6),RangeMajorsSec,$O13,FALSE)</f>
        <v>CWRI1003</v>
      </c>
      <c r="EA13" s="117" t="s">
        <v>54</v>
      </c>
      <c r="EB13" s="104"/>
      <c r="EC13" s="117" t="s">
        <v>56</v>
      </c>
      <c r="ED13" s="127" t="str">
        <f>HLOOKUP(CONCATENATE(ED$4,ED$6),RangeMajorsSec,$O13,FALSE)</f>
        <v>CWRI1003</v>
      </c>
      <c r="EE13" s="117" t="s">
        <v>54</v>
      </c>
      <c r="EF13" s="104"/>
      <c r="EG13" s="117" t="s">
        <v>56</v>
      </c>
      <c r="EH13" s="127" t="str">
        <f>HLOOKUP(CONCATENATE(EH$4,EH$6),RangeMajorsSec,$O13,FALSE)</f>
        <v>CWRI1003</v>
      </c>
      <c r="EI13" s="117" t="s">
        <v>54</v>
      </c>
      <c r="EJ13" s="104"/>
      <c r="EK13" s="117" t="s">
        <v>56</v>
      </c>
      <c r="EL13" s="127" t="str">
        <f>HLOOKUP(CONCATENATE(EL$4,EL$6),RangeMajorsSec,$O13,FALSE)</f>
        <v>ECON1000</v>
      </c>
      <c r="EM13" s="117" t="s">
        <v>54</v>
      </c>
      <c r="EN13" s="104"/>
      <c r="EO13" s="117" t="s">
        <v>56</v>
      </c>
      <c r="EP13" s="127" t="str">
        <f>HLOOKUP(CONCATENATE(EP$4,EP$6),RangeMajorsSec,$O13,FALSE)</f>
        <v>ECON1000</v>
      </c>
      <c r="EQ13" s="117" t="s">
        <v>54</v>
      </c>
      <c r="ER13" s="104"/>
      <c r="ES13" s="117" t="s">
        <v>56</v>
      </c>
      <c r="ET13" s="127" t="str">
        <f>HLOOKUP(CONCATENATE(ET$4,ET$6),RangeMajorsSec,$O13,FALSE)</f>
        <v>ECON1000</v>
      </c>
      <c r="EU13" s="117" t="s">
        <v>54</v>
      </c>
      <c r="EV13" s="104"/>
      <c r="EW13" s="117" t="s">
        <v>56</v>
      </c>
      <c r="EX13" s="127" t="str">
        <f>HLOOKUP(CONCATENATE(EX$4,EX$6),RangeMajorsSec,$O13,FALSE)</f>
        <v>ECON1000</v>
      </c>
      <c r="EY13" s="117" t="s">
        <v>54</v>
      </c>
      <c r="EZ13" s="104"/>
      <c r="FA13" s="117" t="s">
        <v>56</v>
      </c>
      <c r="FB13" s="127" t="str">
        <f>HLOOKUP(CONCATENATE(FB$4,FB$6),RangeMajorsSec,$O13,FALSE)</f>
        <v>ECON1000</v>
      </c>
      <c r="FC13" s="117" t="s">
        <v>54</v>
      </c>
      <c r="FD13" s="104"/>
      <c r="FE13" s="117" t="s">
        <v>56</v>
      </c>
      <c r="FF13" s="127" t="str">
        <f>HLOOKUP(CONCATENATE(FF$4,FF$6),RangeMajorsSec,$O13,FALSE)</f>
        <v>ECON1000</v>
      </c>
      <c r="FG13" s="117" t="s">
        <v>54</v>
      </c>
      <c r="FH13" s="104"/>
      <c r="FI13" s="117" t="s">
        <v>56</v>
      </c>
      <c r="FJ13" s="127" t="str">
        <f>HLOOKUP(CONCATENATE(FJ$4,FJ$6),RangeMajorsSec,$O13,FALSE)</f>
        <v>ECON1000</v>
      </c>
      <c r="FK13" s="117" t="s">
        <v>54</v>
      </c>
      <c r="FL13" s="104"/>
      <c r="FM13" s="117" t="s">
        <v>56</v>
      </c>
      <c r="FN13" s="127" t="str">
        <f>HLOOKUP(CONCATENATE(FN$4,FN$6),RangeMajorsSec,$O13,FALSE)</f>
        <v>ECON1000</v>
      </c>
      <c r="FO13" s="117" t="s">
        <v>54</v>
      </c>
      <c r="FP13" s="104"/>
      <c r="FQ13" s="117" t="s">
        <v>56</v>
      </c>
      <c r="FR13" s="127" t="str">
        <f>HLOOKUP(CONCATENATE(FR$4,FR$6),RangeMajorsSec,$O13,FALSE)</f>
        <v>AC-HSGE11</v>
      </c>
      <c r="FS13" s="117" t="s">
        <v>54</v>
      </c>
      <c r="FT13" s="104"/>
      <c r="FU13" s="117" t="s">
        <v>56</v>
      </c>
      <c r="FV13" s="127" t="str">
        <f>HLOOKUP(CONCATENATE(FV$4,FV$6),RangeMajorsSec,$O13,FALSE)</f>
        <v>AC-HSGE11</v>
      </c>
      <c r="FW13" s="117" t="s">
        <v>54</v>
      </c>
      <c r="FX13" s="104"/>
      <c r="FY13" s="117" t="s">
        <v>56</v>
      </c>
      <c r="FZ13" s="127" t="str">
        <f>HLOOKUP(CONCATENATE(FZ$4,FZ$6),RangeMajorsSec,$O13,FALSE)</f>
        <v>AC-HSGE11</v>
      </c>
      <c r="GA13" s="117" t="s">
        <v>54</v>
      </c>
      <c r="GB13" s="104"/>
      <c r="GC13" s="117" t="s">
        <v>56</v>
      </c>
      <c r="GD13" s="127" t="str">
        <f>HLOOKUP(CONCATENATE(GD$4,GD$6),RangeMajorsSec,$O13,FALSE)</f>
        <v>AC-HSGE11</v>
      </c>
      <c r="GE13" s="117" t="s">
        <v>54</v>
      </c>
      <c r="GF13" s="104"/>
      <c r="GG13" s="117" t="s">
        <v>56</v>
      </c>
      <c r="GH13" s="127" t="str">
        <f>HLOOKUP(CONCATENATE(GH$4,GH$6),RangeMajorsSec,$O13,FALSE)</f>
        <v>AC-HSGE11</v>
      </c>
      <c r="GI13" s="117" t="s">
        <v>54</v>
      </c>
      <c r="GJ13" s="104"/>
      <c r="GK13" s="117" t="s">
        <v>56</v>
      </c>
      <c r="GL13" s="127" t="str">
        <f>HLOOKUP(CONCATENATE(GL$4,GL$6),RangeMajorsSec,$O13,FALSE)</f>
        <v>AC-HSGE11</v>
      </c>
      <c r="GM13" s="117" t="s">
        <v>54</v>
      </c>
      <c r="GN13" s="104"/>
      <c r="GO13" s="117" t="s">
        <v>56</v>
      </c>
      <c r="GP13" s="127" t="str">
        <f>HLOOKUP(CONCATENATE(GP$4,GP$6),RangeMajorsSec,$O13,FALSE)</f>
        <v>AC-HSGE11</v>
      </c>
      <c r="GQ13" s="117" t="s">
        <v>54</v>
      </c>
      <c r="GR13" s="104"/>
      <c r="GS13" s="117" t="s">
        <v>56</v>
      </c>
      <c r="GT13" s="127" t="str">
        <f>HLOOKUP(CONCATENATE(GT$4,GT$6),RangeMajorsSec,$O13,FALSE)</f>
        <v>AC-HSGE11</v>
      </c>
      <c r="GU13" s="117" t="s">
        <v>54</v>
      </c>
      <c r="GV13" s="104"/>
      <c r="GW13" s="117" t="s">
        <v>56</v>
      </c>
      <c r="GX13" s="127" t="str">
        <f>HLOOKUP(CONCATENATE(GX$4,GX$6),RangeMajorsSec,$O13,FALSE)</f>
        <v>ANTH1001</v>
      </c>
      <c r="GY13" s="117" t="s">
        <v>54</v>
      </c>
      <c r="GZ13" s="104"/>
      <c r="HA13" s="117" t="s">
        <v>56</v>
      </c>
      <c r="HB13" s="127" t="str">
        <f>HLOOKUP(CONCATENATE(HB$4,HB$6),RangeMajorsSec,$O13,FALSE)</f>
        <v>ANTH1001</v>
      </c>
      <c r="HC13" s="117" t="s">
        <v>54</v>
      </c>
      <c r="HD13" s="104"/>
      <c r="HE13" s="117" t="s">
        <v>56</v>
      </c>
      <c r="HF13" s="127" t="str">
        <f>HLOOKUP(CONCATENATE(HF$4,HF$6),RangeMajorsSec,$O13,FALSE)</f>
        <v>ANTH1001</v>
      </c>
      <c r="HG13" s="117" t="s">
        <v>54</v>
      </c>
      <c r="HH13" s="104"/>
      <c r="HI13" s="117" t="s">
        <v>56</v>
      </c>
      <c r="HJ13" s="127" t="str">
        <f>HLOOKUP(CONCATENATE(HJ$4,HJ$6),RangeMajorsSec,$O13,FALSE)</f>
        <v>ANTH1001</v>
      </c>
      <c r="HK13" s="117" t="s">
        <v>54</v>
      </c>
      <c r="HL13" s="104"/>
      <c r="HM13" s="117" t="s">
        <v>56</v>
      </c>
      <c r="HN13" s="127" t="str">
        <f>HLOOKUP(CONCATENATE(HN$4,HN$6),RangeMajorsSec,$O13,FALSE)</f>
        <v>ANTH1001</v>
      </c>
      <c r="HO13" s="117" t="s">
        <v>54</v>
      </c>
      <c r="HP13" s="104"/>
      <c r="HQ13" s="117" t="s">
        <v>56</v>
      </c>
      <c r="HR13" s="127" t="str">
        <f>HLOOKUP(CONCATENATE(HR$4,HR$6),RangeMajorsSec,$O13,FALSE)</f>
        <v>ANTH1001</v>
      </c>
      <c r="HS13" s="117" t="s">
        <v>54</v>
      </c>
      <c r="HT13" s="104"/>
      <c r="HU13" s="117" t="s">
        <v>56</v>
      </c>
      <c r="HV13" s="127" t="str">
        <f>HLOOKUP(CONCATENATE(HV$4,HV$6),RangeMajorsSec,$O13,FALSE)</f>
        <v>ANTH1001</v>
      </c>
      <c r="HW13" s="117" t="s">
        <v>54</v>
      </c>
      <c r="HX13" s="104"/>
      <c r="HY13" s="117" t="s">
        <v>56</v>
      </c>
      <c r="HZ13" s="127" t="str">
        <f>HLOOKUP(CONCATENATE(HZ$4,HZ$6),RangeMajorsSec,$O13,FALSE)</f>
        <v>ANTH1001</v>
      </c>
      <c r="IA13" s="117" t="s">
        <v>54</v>
      </c>
      <c r="IB13" s="104"/>
      <c r="IC13" s="117" t="s">
        <v>56</v>
      </c>
      <c r="ID13" s="127" t="str">
        <f>HLOOKUP(CONCATENATE(ID$4,ID$6),RangeMajorsSec,$O13,FALSE)</f>
        <v>ANTH1001</v>
      </c>
      <c r="IE13" s="117" t="s">
        <v>54</v>
      </c>
      <c r="IF13" s="104"/>
      <c r="IG13" s="117" t="s">
        <v>56</v>
      </c>
      <c r="IH13" s="127" t="str">
        <f>HLOOKUP(CONCATENATE(IH$4,IH$6),RangeMajorsSec,$O13,FALSE)</f>
        <v>ANTH1001</v>
      </c>
      <c r="II13" s="117" t="s">
        <v>54</v>
      </c>
      <c r="IJ13" s="104"/>
      <c r="IK13" s="117" t="s">
        <v>56</v>
      </c>
      <c r="IL13" s="127" t="str">
        <f>HLOOKUP(CONCATENATE(IL$4,IL$6),RangeMajorsSec,$O13,FALSE)</f>
        <v>ANTH1001</v>
      </c>
      <c r="IM13" s="117" t="s">
        <v>54</v>
      </c>
      <c r="IN13" s="104"/>
      <c r="IO13" s="117" t="s">
        <v>56</v>
      </c>
      <c r="IP13" s="127" t="str">
        <f>HLOOKUP(CONCATENATE(IP$4,IP$6),RangeMajorsSec,$O13,FALSE)</f>
        <v>ANTH1001</v>
      </c>
      <c r="IQ13" s="117" t="s">
        <v>54</v>
      </c>
      <c r="IR13" s="104"/>
      <c r="IS13" s="117" t="s">
        <v>56</v>
      </c>
      <c r="IT13" s="127" t="str">
        <f>HLOOKUP(CONCATENATE(IT$4,IT$6),RangeMajorsSec,$O13,FALSE)</f>
        <v>ANTH1001</v>
      </c>
      <c r="IU13" s="117" t="s">
        <v>54</v>
      </c>
      <c r="IV13" s="104"/>
      <c r="IW13" s="117" t="s">
        <v>56</v>
      </c>
      <c r="IX13" s="127" t="str">
        <f>HLOOKUP(CONCATENATE(IX$4,IX$6),RangeMajorsSec,$O13,FALSE)</f>
        <v>ANTH1001</v>
      </c>
      <c r="IY13" s="117" t="s">
        <v>54</v>
      </c>
      <c r="IZ13" s="104"/>
      <c r="JA13" s="117" t="s">
        <v>56</v>
      </c>
      <c r="JB13" s="127" t="str">
        <f>HLOOKUP(CONCATENATE(JB$4,JB$6),RangeMajorsSec,$O13,FALSE)</f>
        <v>ANTH1001</v>
      </c>
      <c r="JC13" s="117" t="s">
        <v>54</v>
      </c>
      <c r="JD13" s="104"/>
      <c r="JE13" s="117" t="s">
        <v>56</v>
      </c>
      <c r="JF13" s="127" t="str">
        <f>HLOOKUP(CONCATENATE(JF$4,JF$6),RangeMajorsSec,$O13,FALSE)</f>
        <v>ANTH1001</v>
      </c>
      <c r="JG13" s="117" t="s">
        <v>54</v>
      </c>
      <c r="JH13" s="104"/>
      <c r="JI13" s="117" t="s">
        <v>56</v>
      </c>
      <c r="JJ13" s="127" t="str">
        <f>HLOOKUP(CONCATENATE(JJ$4,JJ$6),RangeMajorsSec,$O13,FALSE)</f>
        <v>ANTH1001</v>
      </c>
      <c r="JK13" s="117" t="s">
        <v>54</v>
      </c>
      <c r="JL13" s="104"/>
      <c r="JM13" s="117" t="s">
        <v>56</v>
      </c>
      <c r="JN13" s="127" t="str">
        <f>HLOOKUP(CONCATENATE(JN$4,JN$6),RangeMajorsSec,$O13,FALSE)</f>
        <v>MATH1016</v>
      </c>
      <c r="JO13" s="117" t="s">
        <v>54</v>
      </c>
      <c r="JP13" s="104"/>
      <c r="JQ13" s="117" t="s">
        <v>56</v>
      </c>
      <c r="JR13" s="127" t="str">
        <f>HLOOKUP(CONCATENATE(JR$4,JR$6),RangeMajorsSec,$O13,FALSE)</f>
        <v>MATH1016</v>
      </c>
      <c r="JS13" s="117" t="s">
        <v>54</v>
      </c>
      <c r="JT13" s="104"/>
      <c r="JU13" s="117" t="s">
        <v>56</v>
      </c>
      <c r="JV13" s="127" t="str">
        <f>HLOOKUP(CONCATENATE(JV$4,JV$6),RangeMajorsSec,$O13,FALSE)</f>
        <v>MATH1016</v>
      </c>
      <c r="JW13" s="117" t="s">
        <v>54</v>
      </c>
      <c r="JX13" s="104"/>
      <c r="JY13" s="117" t="s">
        <v>56</v>
      </c>
      <c r="JZ13" s="127" t="str">
        <f>HLOOKUP(CONCATENATE(JZ$4,JZ$6),RangeMajorsSec,$O13,FALSE)</f>
        <v>MATH1016</v>
      </c>
      <c r="KA13" s="117" t="s">
        <v>54</v>
      </c>
      <c r="KB13" s="104"/>
      <c r="KC13" s="117" t="s">
        <v>56</v>
      </c>
      <c r="KD13" s="127" t="str">
        <f>HLOOKUP(CONCATENATE(KD$4,KD$6),RangeMajorsSec,$O13,FALSE)</f>
        <v>MATH1016</v>
      </c>
      <c r="KE13" s="117" t="s">
        <v>54</v>
      </c>
      <c r="KF13" s="104"/>
      <c r="KG13" s="117" t="s">
        <v>56</v>
      </c>
      <c r="KH13" s="127" t="str">
        <f>HLOOKUP(CONCATENATE(KH$4,KH$6),RangeMajorsSec,$O13,FALSE)</f>
        <v>MATH1016</v>
      </c>
      <c r="KI13" s="117" t="s">
        <v>54</v>
      </c>
      <c r="KJ13" s="104"/>
      <c r="KK13" s="117" t="s">
        <v>56</v>
      </c>
      <c r="KL13" s="127" t="str">
        <f>HLOOKUP(CONCATENATE(KL$4,KL$6),RangeMajorsSec,$O13,FALSE)</f>
        <v>MATH1016</v>
      </c>
      <c r="KM13" s="117" t="s">
        <v>54</v>
      </c>
      <c r="KN13" s="104"/>
      <c r="KO13" s="117" t="s">
        <v>56</v>
      </c>
      <c r="KP13" s="127" t="str">
        <f>HLOOKUP(CONCATENATE(KP$4,KP$6),RangeMajorsSec,$O13,FALSE)</f>
        <v>MATH1016</v>
      </c>
      <c r="KQ13" s="117" t="s">
        <v>54</v>
      </c>
      <c r="KR13" s="104"/>
      <c r="KS13" s="117" t="s">
        <v>56</v>
      </c>
      <c r="KT13" s="127" t="str">
        <f>HLOOKUP(CONCATENATE(KT$4,KT$6),RangeMajorsSec,$O13,FALSE)</f>
        <v>MATH1016</v>
      </c>
      <c r="KU13" s="117" t="s">
        <v>54</v>
      </c>
      <c r="KV13" s="104"/>
      <c r="KW13" s="117" t="s">
        <v>56</v>
      </c>
      <c r="KX13" s="127" t="str">
        <f>HLOOKUP(CONCATENATE(KX$4,KX$6),RangeMajorsSec,$O13,FALSE)</f>
        <v>REHT1001</v>
      </c>
      <c r="KY13" s="117" t="s">
        <v>54</v>
      </c>
      <c r="KZ13" s="104"/>
      <c r="LA13" s="117" t="s">
        <v>56</v>
      </c>
      <c r="LB13" s="127" t="str">
        <f>HLOOKUP(CONCATENATE(LB$4,LB$6),RangeMajorsSec,$O13,FALSE)</f>
        <v>REHT1001</v>
      </c>
      <c r="LC13" s="117" t="s">
        <v>54</v>
      </c>
      <c r="LD13" s="104"/>
      <c r="LE13" s="117" t="s">
        <v>56</v>
      </c>
      <c r="LF13" s="127" t="str">
        <f>HLOOKUP(CONCATENATE(LF$4,LF$6),RangeMajorsSec,$O13,FALSE)</f>
        <v>AC-SCBI1</v>
      </c>
      <c r="LG13" s="117" t="s">
        <v>54</v>
      </c>
      <c r="LH13" s="104"/>
      <c r="LI13" s="117" t="s">
        <v>56</v>
      </c>
      <c r="LJ13" s="127" t="str">
        <f>HLOOKUP(CONCATENATE(LJ$4,LJ$6),RangeMajorsSec,$O13,FALSE)</f>
        <v>AC-SCBI1</v>
      </c>
      <c r="LK13" s="117" t="s">
        <v>54</v>
      </c>
      <c r="LL13" s="104"/>
      <c r="LM13" s="117" t="s">
        <v>56</v>
      </c>
      <c r="LN13" s="127" t="str">
        <f>HLOOKUP(CONCATENATE(LN$4,LN$6),RangeMajorsSec,$O13,FALSE)</f>
        <v>AC-SCBI1</v>
      </c>
      <c r="LO13" s="117" t="s">
        <v>54</v>
      </c>
      <c r="LP13" s="104"/>
      <c r="LQ13" s="117" t="s">
        <v>56</v>
      </c>
      <c r="LR13" s="127" t="str">
        <f>HLOOKUP(CONCATENATE(LR$4,LR$6),RangeMajorsSec,$O13,FALSE)</f>
        <v>AC-SCBI1</v>
      </c>
      <c r="LS13" s="117" t="s">
        <v>54</v>
      </c>
      <c r="LT13" s="104"/>
      <c r="LU13" s="117" t="s">
        <v>56</v>
      </c>
      <c r="LV13" s="127" t="str">
        <f>HLOOKUP(CONCATENATE(LV$4,LV$6),RangeMajorsSec,$O13,FALSE)</f>
        <v>AC-SCBI1</v>
      </c>
      <c r="LW13" s="117" t="s">
        <v>54</v>
      </c>
      <c r="LX13" s="104"/>
      <c r="LY13" s="117" t="s">
        <v>56</v>
      </c>
      <c r="LZ13" s="127" t="str">
        <f>HLOOKUP(CONCATENATE(LZ$4,LZ$6),RangeMajorsSec,$O13,FALSE)</f>
        <v>AC-SCBI1</v>
      </c>
      <c r="MA13" s="117" t="s">
        <v>54</v>
      </c>
      <c r="MB13" s="104"/>
      <c r="MC13" s="117" t="s">
        <v>56</v>
      </c>
      <c r="MD13" s="127" t="str">
        <f>HLOOKUP(CONCATENATE(MD$4,MD$6),RangeMajorsSec,$O13,FALSE)</f>
        <v>AC-SCBI1</v>
      </c>
      <c r="ME13" s="117" t="s">
        <v>54</v>
      </c>
      <c r="MF13" s="104"/>
      <c r="MG13" s="117" t="s">
        <v>56</v>
      </c>
      <c r="MH13" s="127" t="str">
        <f>HLOOKUP(CONCATENATE(MH$4,MH$6),RangeMajorsSec,$O13,FALSE)</f>
        <v>AC-SCBI1</v>
      </c>
      <c r="MI13" s="117" t="s">
        <v>54</v>
      </c>
      <c r="MJ13" s="104"/>
      <c r="MK13" s="117" t="s">
        <v>56</v>
      </c>
      <c r="ML13" s="127" t="str">
        <f>HLOOKUP(CONCATENATE(ML$4,ML$6),RangeMajorsSec,$O13,FALSE)</f>
        <v>CHEM1000</v>
      </c>
      <c r="MM13" s="117" t="s">
        <v>54</v>
      </c>
      <c r="MN13" s="104"/>
      <c r="MO13" s="117" t="s">
        <v>56</v>
      </c>
      <c r="MP13" s="127" t="str">
        <f>HLOOKUP(CONCATENATE(MP$4,MP$6),RangeMajorsSec,$O13,FALSE)</f>
        <v>CHEM1000</v>
      </c>
      <c r="MQ13" s="117" t="s">
        <v>54</v>
      </c>
      <c r="MR13" s="104"/>
      <c r="MS13" s="117" t="s">
        <v>56</v>
      </c>
      <c r="MT13" s="127" t="str">
        <f>HLOOKUP(CONCATENATE(MT$4,MT$6),RangeMajorsSec,$O13,FALSE)</f>
        <v>CHEM1000</v>
      </c>
      <c r="MU13" s="117" t="s">
        <v>54</v>
      </c>
      <c r="MV13" s="104"/>
      <c r="MW13" s="117" t="s">
        <v>56</v>
      </c>
      <c r="MX13" s="127" t="str">
        <f>HLOOKUP(CONCATENATE(MX$4,MX$6),RangeMajorsSec,$O13,FALSE)</f>
        <v>CHEM1000</v>
      </c>
      <c r="MY13" s="117" t="s">
        <v>54</v>
      </c>
      <c r="MZ13" s="104"/>
      <c r="NA13" s="117" t="s">
        <v>56</v>
      </c>
      <c r="NB13" s="127" t="str">
        <f>HLOOKUP(CONCATENATE(NB$4,NB$6),RangeMajorsSec,$O13,FALSE)</f>
        <v>CHEM1000</v>
      </c>
      <c r="NC13" s="117" t="s">
        <v>54</v>
      </c>
      <c r="ND13" s="104"/>
      <c r="NE13" s="117" t="s">
        <v>56</v>
      </c>
      <c r="NF13" s="127" t="str">
        <f>HLOOKUP(CONCATENATE(NF$4,NF$6),RangeMajorsSec,$O13,FALSE)</f>
        <v>CHEM1000</v>
      </c>
      <c r="NG13" s="117" t="s">
        <v>54</v>
      </c>
      <c r="NH13" s="104"/>
      <c r="NI13" s="117" t="s">
        <v>56</v>
      </c>
      <c r="NJ13" s="127" t="str">
        <f>HLOOKUP(CONCATENATE(NJ$4,NJ$6),RangeMajorsSec,$O13,FALSE)</f>
        <v>CHEM1000</v>
      </c>
      <c r="NK13" s="117" t="s">
        <v>54</v>
      </c>
      <c r="NL13" s="104"/>
      <c r="NM13" s="117" t="s">
        <v>56</v>
      </c>
      <c r="NN13" s="127" t="str">
        <f>HLOOKUP(CONCATENATE(NN$4,NN$6),RangeMajorsSec,$O13,FALSE)</f>
        <v>CHEM1000</v>
      </c>
      <c r="NO13" s="117" t="s">
        <v>54</v>
      </c>
      <c r="NP13" s="104"/>
      <c r="NQ13" s="117" t="s">
        <v>56</v>
      </c>
      <c r="NR13" s="127" t="str">
        <f>HLOOKUP(CONCATENATE(NR$4,NR$6),RangeMajorsSec,$O13,FALSE)</f>
        <v>HUMB1000</v>
      </c>
      <c r="NS13" s="117" t="s">
        <v>54</v>
      </c>
      <c r="NT13" s="104"/>
      <c r="NU13" s="117" t="s">
        <v>56</v>
      </c>
      <c r="NV13" s="127" t="str">
        <f>HLOOKUP(CONCATENATE(NV$4,NV$6),RangeMajorsSec,$O13,FALSE)</f>
        <v>HUMB1000</v>
      </c>
      <c r="NW13" s="117" t="s">
        <v>54</v>
      </c>
      <c r="NX13" s="104"/>
      <c r="NY13" s="117" t="s">
        <v>56</v>
      </c>
      <c r="NZ13" s="127" t="str">
        <f>HLOOKUP(CONCATENATE(NZ$4,NZ$6),RangeMajorsSec,$O13,FALSE)</f>
        <v>HUMB1000</v>
      </c>
      <c r="OA13" s="117" t="s">
        <v>54</v>
      </c>
      <c r="OB13" s="104"/>
      <c r="OC13" s="117" t="s">
        <v>56</v>
      </c>
      <c r="OD13" s="127" t="str">
        <f>HLOOKUP(CONCATENATE(OD$4,OD$6),RangeMajorsSec,$O13,FALSE)</f>
        <v>HUMB1000</v>
      </c>
      <c r="OE13" s="117" t="s">
        <v>54</v>
      </c>
      <c r="OF13" s="104"/>
      <c r="OG13" s="117" t="s">
        <v>56</v>
      </c>
      <c r="OH13" s="127" t="str">
        <f>HLOOKUP(CONCATENATE(OH$4,OH$6),RangeMajorsSec,$O13,FALSE)</f>
        <v>HUMB1000</v>
      </c>
      <c r="OI13" s="117" t="s">
        <v>54</v>
      </c>
      <c r="OJ13" s="104"/>
      <c r="OK13" s="117" t="s">
        <v>56</v>
      </c>
      <c r="OL13" s="127" t="str">
        <f>HLOOKUP(CONCATENATE(OL$4,OL$6),RangeMajorsSec,$O13,FALSE)</f>
        <v>HUMB1000</v>
      </c>
      <c r="OM13" s="117" t="s">
        <v>54</v>
      </c>
      <c r="ON13" s="104"/>
      <c r="OO13" s="117" t="s">
        <v>56</v>
      </c>
      <c r="OP13" s="127" t="str">
        <f>HLOOKUP(CONCATENATE(OP$4,OP$6),RangeMajorsSec,$O13,FALSE)</f>
        <v>HUMB1000</v>
      </c>
      <c r="OQ13" s="117" t="s">
        <v>54</v>
      </c>
      <c r="OR13" s="104"/>
      <c r="OS13" s="117" t="s">
        <v>56</v>
      </c>
      <c r="OT13" s="127" t="str">
        <f>HLOOKUP(CONCATENATE(OT$4,OT$6),RangeMajorsSec,$O13,FALSE)</f>
        <v>HUMB1000</v>
      </c>
      <c r="OU13" s="117" t="s">
        <v>54</v>
      </c>
      <c r="OV13" s="104"/>
      <c r="OW13" s="117" t="s">
        <v>56</v>
      </c>
      <c r="OX13" s="127" t="str">
        <f>HLOOKUP(CONCATENATE(OX$4,OX$6),RangeMajorsSec,$O13,FALSE)</f>
        <v>PSYC1001</v>
      </c>
      <c r="OY13" s="117" t="s">
        <v>54</v>
      </c>
      <c r="OZ13" s="104"/>
      <c r="PA13" s="117" t="s">
        <v>56</v>
      </c>
      <c r="PB13" s="127" t="str">
        <f>HLOOKUP(CONCATENATE(PB$4,PB$6),RangeMajorsSec,$O13,FALSE)</f>
        <v>PSYC1001</v>
      </c>
      <c r="PC13" s="117" t="s">
        <v>54</v>
      </c>
      <c r="PD13" s="104"/>
      <c r="PE13" s="117" t="s">
        <v>56</v>
      </c>
      <c r="PF13" s="127" t="str">
        <f>HLOOKUP(CONCATENATE(PF$4,PF$6),RangeMajorsSec,$O13,FALSE)</f>
        <v>PSYC1001</v>
      </c>
      <c r="PG13" s="117" t="s">
        <v>54</v>
      </c>
      <c r="PH13" s="104"/>
      <c r="PI13" s="117" t="s">
        <v>56</v>
      </c>
      <c r="PJ13" s="127" t="str">
        <f>HLOOKUP(CONCATENATE(PJ$4,PJ$6),RangeMajorsSec,$O13,FALSE)</f>
        <v>PSYC1001</v>
      </c>
      <c r="PK13" s="117" t="s">
        <v>54</v>
      </c>
      <c r="PL13" s="104"/>
      <c r="PM13" s="117" t="s">
        <v>56</v>
      </c>
      <c r="PN13" s="127" t="str">
        <f>HLOOKUP(CONCATENATE(PN$4,PN$6),RangeMajorsSec,$O13,FALSE)</f>
        <v>PSYC1001</v>
      </c>
      <c r="PO13" s="117" t="s">
        <v>54</v>
      </c>
      <c r="PP13" s="104"/>
      <c r="PQ13" s="117" t="s">
        <v>56</v>
      </c>
      <c r="PR13" s="127" t="str">
        <f>HLOOKUP(CONCATENATE(PR$4,PR$6),RangeMajorsSec,$O13,FALSE)</f>
        <v>PSYC1001</v>
      </c>
      <c r="PS13" s="117" t="s">
        <v>54</v>
      </c>
      <c r="PT13" s="104"/>
      <c r="PU13" s="117" t="s">
        <v>56</v>
      </c>
      <c r="PV13" s="127" t="str">
        <f>HLOOKUP(CONCATENATE(PV$4,PV$6),RangeMajorsSec,$O13,FALSE)</f>
        <v>PSYC1001</v>
      </c>
      <c r="PW13" s="117" t="s">
        <v>54</v>
      </c>
      <c r="PX13" s="104"/>
      <c r="PY13" s="117" t="s">
        <v>56</v>
      </c>
      <c r="PZ13" s="127" t="str">
        <f>HLOOKUP(CONCATENATE(PZ$4,PZ$6),RangeMajorsSec,$O13,FALSE)</f>
        <v>PSYC1001</v>
      </c>
      <c r="QA13" s="117" t="s">
        <v>54</v>
      </c>
      <c r="QB13" s="104"/>
      <c r="QC13" s="117" t="s">
        <v>56</v>
      </c>
      <c r="QD13" s="127" t="e">
        <f>HLOOKUP(CONCATENATE(QD$4,QD$6),RangeMajorsSec,$O13,FALSE)</f>
        <v>#N/A</v>
      </c>
      <c r="QE13" s="117" t="s">
        <v>54</v>
      </c>
      <c r="QF13" s="104"/>
      <c r="QG13" s="117" t="s">
        <v>56</v>
      </c>
      <c r="QH13" s="127" t="e">
        <f>HLOOKUP(CONCATENATE(QH$4,QH$6),RangeMajorsSec,$O13,FALSE)</f>
        <v>#N/A</v>
      </c>
      <c r="QI13" s="117" t="s">
        <v>54</v>
      </c>
      <c r="QJ13" s="104"/>
    </row>
    <row r="14" spans="1:481" x14ac:dyDescent="0.25">
      <c r="A14" s="352" t="s">
        <v>207</v>
      </c>
      <c r="B14" s="268" t="s">
        <v>345</v>
      </c>
      <c r="C14" s="268" t="s">
        <v>100</v>
      </c>
      <c r="D14" s="269">
        <v>45658</v>
      </c>
      <c r="E14" s="268">
        <v>1</v>
      </c>
      <c r="F14" s="269">
        <v>45658</v>
      </c>
      <c r="G14" s="268" t="s">
        <v>376</v>
      </c>
      <c r="J14" s="141"/>
      <c r="K14" s="146" t="str">
        <f>INDEX(TableStreams[Choose your Specialisation Stream second (drop-down list)],MATCH(L14,TableStreams[UDC],0))</f>
        <v>English Education Minor Teaching Area Stream (BEd Secondary)</v>
      </c>
      <c r="L14" s="141" t="s">
        <v>353</v>
      </c>
      <c r="O14" s="340">
        <v>2</v>
      </c>
      <c r="P14" s="19">
        <v>12</v>
      </c>
      <c r="Q14" s="118" t="s">
        <v>56</v>
      </c>
      <c r="R14" s="128" t="s">
        <v>384</v>
      </c>
      <c r="S14" s="118" t="s">
        <v>54</v>
      </c>
      <c r="T14" s="103"/>
      <c r="U14" s="118" t="s">
        <v>56</v>
      </c>
      <c r="V14" s="338" t="str">
        <f>HLOOKUP(CONCATENATE(V$5,V$6),RangeStreamsSec,$O14,FALSE)</f>
        <v>MATH1015</v>
      </c>
      <c r="W14" s="118" t="s">
        <v>54</v>
      </c>
      <c r="X14" s="103"/>
      <c r="Y14" s="118" t="s">
        <v>56</v>
      </c>
      <c r="Z14" s="128" t="str">
        <f>HLOOKUP(CONCATENATE(Z$5,Z$6),RangeStreamsSec,$O14,FALSE)</f>
        <v>AC-BSCIM1</v>
      </c>
      <c r="AA14" s="118" t="s">
        <v>54</v>
      </c>
      <c r="AB14" s="103"/>
      <c r="AC14" s="118" t="s">
        <v>56</v>
      </c>
      <c r="AD14" s="128" t="str">
        <f>HLOOKUP(CONCATENATE(AD$5,AD$6),RangeStreamsSec,$O14,FALSE)</f>
        <v>AC-PARTB1</v>
      </c>
      <c r="AE14" s="118" t="s">
        <v>54</v>
      </c>
      <c r="AF14" s="103"/>
      <c r="AG14" s="118" t="s">
        <v>56</v>
      </c>
      <c r="AH14" s="128" t="str">
        <f>HLOOKUP(CONCATENATE(AH$5,AH$6),RangeStreamsSec,$O14,FALSE)</f>
        <v>CWRI1003</v>
      </c>
      <c r="AI14" s="118" t="s">
        <v>54</v>
      </c>
      <c r="AJ14" s="103"/>
      <c r="AK14" s="118" t="s">
        <v>56</v>
      </c>
      <c r="AL14" s="128" t="str">
        <f>HLOOKUP(CONCATENATE(AL$5,AL$6),RangeStreamsSec,$O14,FALSE)</f>
        <v>PHGY1000</v>
      </c>
      <c r="AM14" s="118" t="s">
        <v>54</v>
      </c>
      <c r="AN14" s="103"/>
      <c r="AO14" s="118" t="s">
        <v>56</v>
      </c>
      <c r="AP14" s="128" t="str">
        <f>HLOOKUP(CONCATENATE(AP$5,AP$6),RangeStreamsSec,$O14,FALSE)</f>
        <v>ANTH1001</v>
      </c>
      <c r="AQ14" s="118" t="s">
        <v>54</v>
      </c>
      <c r="AR14" s="103"/>
      <c r="AS14" s="118" t="s">
        <v>56</v>
      </c>
      <c r="AT14" s="128" t="str">
        <f>HLOOKUP(CONCATENATE(AT$5,AT$6),RangeStreamsSec,$O14,FALSE)</f>
        <v>MATH1016</v>
      </c>
      <c r="AU14" s="118" t="s">
        <v>54</v>
      </c>
      <c r="AV14" s="103"/>
      <c r="AW14" s="118" t="s">
        <v>56</v>
      </c>
      <c r="AX14" s="128" t="str">
        <f>HLOOKUP(CONCATENATE(AX$5,AX$6),RangeStreamsSec,$O14,FALSE)</f>
        <v>PSYC1001</v>
      </c>
      <c r="AY14" s="118" t="s">
        <v>54</v>
      </c>
      <c r="AZ14" s="103"/>
      <c r="BA14" s="118" t="s">
        <v>56</v>
      </c>
      <c r="BB14" s="128" t="str">
        <f>HLOOKUP(CONCATENATE(BB$5,BB$6),RangeStreamsSec,$O14,FALSE)</f>
        <v>AC-BSCIM1</v>
      </c>
      <c r="BC14" s="118" t="s">
        <v>54</v>
      </c>
      <c r="BD14" s="103"/>
      <c r="BE14" s="118" t="s">
        <v>56</v>
      </c>
      <c r="BF14" s="128" t="str">
        <f>HLOOKUP(CONCATENATE(BF$5,BF$6),RangeStreamsSec,$O14,FALSE)</f>
        <v>CWRI1003</v>
      </c>
      <c r="BG14" s="118" t="s">
        <v>54</v>
      </c>
      <c r="BH14" s="103"/>
      <c r="BI14" s="118" t="s">
        <v>56</v>
      </c>
      <c r="BJ14" s="128" t="str">
        <f>HLOOKUP(CONCATENATE(BJ$5,BJ$6),RangeStreamsSec,$O14,FALSE)</f>
        <v>PHGY1000</v>
      </c>
      <c r="BK14" s="118" t="s">
        <v>54</v>
      </c>
      <c r="BL14" s="103"/>
      <c r="BM14" s="118" t="s">
        <v>56</v>
      </c>
      <c r="BN14" s="128" t="str">
        <f>HLOOKUP(CONCATENATE(BN$5,BN$6),RangeStreamsSec,$O14,FALSE)</f>
        <v>ANTH1001</v>
      </c>
      <c r="BO14" s="118" t="s">
        <v>54</v>
      </c>
      <c r="BP14" s="103"/>
      <c r="BQ14" s="118" t="s">
        <v>56</v>
      </c>
      <c r="BR14" s="128" t="str">
        <f>HLOOKUP(CONCATENATE(BR$5,BR$6),RangeStreamsSec,$O14,FALSE)</f>
        <v>MATH1016</v>
      </c>
      <c r="BS14" s="118" t="s">
        <v>54</v>
      </c>
      <c r="BT14" s="103"/>
      <c r="BU14" s="118" t="s">
        <v>56</v>
      </c>
      <c r="BV14" s="128" t="str">
        <f>HLOOKUP(CONCATENATE(BV$5,BV$6),RangeStreamsSec,$O14,FALSE)</f>
        <v>PSYC1001</v>
      </c>
      <c r="BW14" s="118" t="s">
        <v>54</v>
      </c>
      <c r="BX14" s="103"/>
      <c r="BY14" s="118" t="s">
        <v>56</v>
      </c>
      <c r="BZ14" s="128" t="str">
        <f>HLOOKUP(CONCATENATE(BZ$5,BZ$6),RangeStreamsSec,$O14,FALSE)</f>
        <v>AC-BSCIM1</v>
      </c>
      <c r="CA14" s="118" t="s">
        <v>54</v>
      </c>
      <c r="CB14" s="103"/>
      <c r="CC14" s="118" t="s">
        <v>56</v>
      </c>
      <c r="CD14" s="128" t="str">
        <f>HLOOKUP(CONCATENATE(CD$5,CD$6),RangeStreamsSec,$O14,FALSE)</f>
        <v>EDUC1029</v>
      </c>
      <c r="CE14" s="118" t="s">
        <v>54</v>
      </c>
      <c r="CF14" s="103"/>
      <c r="CG14" s="118" t="s">
        <v>56</v>
      </c>
      <c r="CH14" s="128" t="str">
        <f>HLOOKUP(CONCATENATE(CH$5,CH$6),RangeStreamsSec,$O14,FALSE)</f>
        <v>CWRI1003</v>
      </c>
      <c r="CI14" s="118" t="s">
        <v>54</v>
      </c>
      <c r="CJ14" s="103"/>
      <c r="CK14" s="118" t="s">
        <v>56</v>
      </c>
      <c r="CL14" s="128" t="str">
        <f>HLOOKUP(CONCATENATE(CL$5,CL$6),RangeStreamsSec,$O14,FALSE)</f>
        <v>PHGY1000</v>
      </c>
      <c r="CM14" s="118" t="s">
        <v>54</v>
      </c>
      <c r="CN14" s="103"/>
      <c r="CO14" s="118" t="s">
        <v>56</v>
      </c>
      <c r="CP14" s="128" t="str">
        <f>HLOOKUP(CONCATENATE(CP$5,CP$6),RangeStreamsSec,$O14,FALSE)</f>
        <v>ANTH1001</v>
      </c>
      <c r="CQ14" s="118" t="s">
        <v>54</v>
      </c>
      <c r="CR14" s="103"/>
      <c r="CS14" s="118" t="s">
        <v>56</v>
      </c>
      <c r="CT14" s="128" t="str">
        <f>HLOOKUP(CONCATENATE(CT$5,CT$6),RangeStreamsSec,$O14,FALSE)</f>
        <v>MATH1016</v>
      </c>
      <c r="CU14" s="118" t="s">
        <v>54</v>
      </c>
      <c r="CV14" s="103"/>
      <c r="CW14" s="118" t="s">
        <v>56</v>
      </c>
      <c r="CX14" s="128" t="str">
        <f>HLOOKUP(CONCATENATE(CX$5,CX$6),RangeStreamsSec,$O14,FALSE)</f>
        <v>PSYC1001</v>
      </c>
      <c r="CY14" s="118" t="s">
        <v>54</v>
      </c>
      <c r="CZ14" s="103"/>
      <c r="DA14" s="118" t="s">
        <v>56</v>
      </c>
      <c r="DB14" s="128" t="str">
        <f>HLOOKUP(CONCATENATE(DB$5,DB$6),RangeStreamsSec,$O14,FALSE)</f>
        <v>AC-BSCIM1</v>
      </c>
      <c r="DC14" s="118" t="s">
        <v>54</v>
      </c>
      <c r="DD14" s="103"/>
      <c r="DE14" s="118" t="s">
        <v>56</v>
      </c>
      <c r="DF14" s="128" t="str">
        <f>HLOOKUP(CONCATENATE(DF$5,DF$6),RangeStreamsSec,$O14,FALSE)</f>
        <v>COMS1010</v>
      </c>
      <c r="DG14" s="118" t="s">
        <v>54</v>
      </c>
      <c r="DH14" s="103"/>
      <c r="DI14" s="118" t="s">
        <v>56</v>
      </c>
      <c r="DJ14" s="128" t="str">
        <f>HLOOKUP(CONCATENATE(DJ$5,DJ$6),RangeStreamsSec,$O14,FALSE)</f>
        <v>PHGY1000</v>
      </c>
      <c r="DK14" s="118" t="s">
        <v>54</v>
      </c>
      <c r="DL14" s="103"/>
      <c r="DM14" s="118" t="s">
        <v>56</v>
      </c>
      <c r="DN14" s="128" t="str">
        <f>HLOOKUP(CONCATENATE(DN$5,DN$6),RangeStreamsSec,$O14,FALSE)</f>
        <v>ANTH1001</v>
      </c>
      <c r="DO14" s="118" t="s">
        <v>54</v>
      </c>
      <c r="DP14" s="103"/>
      <c r="DQ14" s="118" t="s">
        <v>56</v>
      </c>
      <c r="DR14" s="128" t="str">
        <f>HLOOKUP(CONCATENATE(DR$5,DR$6),RangeStreamsSec,$O14,FALSE)</f>
        <v>MATH1016</v>
      </c>
      <c r="DS14" s="118" t="s">
        <v>54</v>
      </c>
      <c r="DT14" s="103"/>
      <c r="DU14" s="118" t="s">
        <v>56</v>
      </c>
      <c r="DV14" s="128" t="str">
        <f>HLOOKUP(CONCATENATE(DV$5,DV$6),RangeStreamsSec,$O14,FALSE)</f>
        <v>PSYC1001</v>
      </c>
      <c r="DW14" s="118" t="s">
        <v>54</v>
      </c>
      <c r="DX14" s="103"/>
      <c r="DY14" s="118" t="s">
        <v>56</v>
      </c>
      <c r="DZ14" s="128" t="str">
        <f>HLOOKUP(CONCATENATE(DZ$5,DZ$6),RangeStreamsSec,$O14,FALSE)</f>
        <v>SCST1000</v>
      </c>
      <c r="EA14" s="118" t="s">
        <v>54</v>
      </c>
      <c r="EB14" s="103"/>
      <c r="EC14" s="118" t="s">
        <v>56</v>
      </c>
      <c r="ED14" s="128" t="str">
        <f>HLOOKUP(CONCATENATE(ED$5,ED$6),RangeStreamsSec,$O14,FALSE)</f>
        <v>SPRO1000</v>
      </c>
      <c r="EE14" s="118" t="s">
        <v>54</v>
      </c>
      <c r="EF14" s="103"/>
      <c r="EG14" s="118" t="s">
        <v>56</v>
      </c>
      <c r="EH14" s="128" t="str">
        <f>HLOOKUP(CONCATENATE(EH$5,EH$6),RangeStreamsSec,$O14,FALSE)</f>
        <v>VISA1004</v>
      </c>
      <c r="EI14" s="118" t="s">
        <v>54</v>
      </c>
      <c r="EJ14" s="103"/>
      <c r="EK14" s="118" t="s">
        <v>56</v>
      </c>
      <c r="EL14" s="128" t="str">
        <f>HLOOKUP(CONCATENATE(EL$5,EL$6),RangeStreamsSec,$O14,FALSE)</f>
        <v>AC-BSCIM1</v>
      </c>
      <c r="EM14" s="118" t="s">
        <v>54</v>
      </c>
      <c r="EN14" s="103"/>
      <c r="EO14" s="118" t="s">
        <v>56</v>
      </c>
      <c r="EP14" s="128" t="str">
        <f>HLOOKUP(CONCATENATE(EP$5,EP$6),RangeStreamsSec,$O14,FALSE)</f>
        <v>INDS2001</v>
      </c>
      <c r="EQ14" s="118" t="s">
        <v>54</v>
      </c>
      <c r="ER14" s="103"/>
      <c r="ES14" s="118" t="s">
        <v>56</v>
      </c>
      <c r="ET14" s="128" t="str">
        <f>HLOOKUP(CONCATENATE(ET$5,ET$6),RangeStreamsSec,$O14,FALSE)</f>
        <v>CWRI1003</v>
      </c>
      <c r="EU14" s="118" t="s">
        <v>54</v>
      </c>
      <c r="EV14" s="103"/>
      <c r="EW14" s="118" t="s">
        <v>56</v>
      </c>
      <c r="EX14" s="128" t="str">
        <f>HLOOKUP(CONCATENATE(EX$5,EX$6),RangeStreamsSec,$O14,FALSE)</f>
        <v>MATH1016</v>
      </c>
      <c r="EY14" s="118" t="s">
        <v>54</v>
      </c>
      <c r="EZ14" s="103"/>
      <c r="FA14" s="118" t="s">
        <v>56</v>
      </c>
      <c r="FB14" s="128" t="str">
        <f>HLOOKUP(CONCATENATE(FB$5,FB$6),RangeStreamsSec,$O14,FALSE)</f>
        <v>PSYC1001</v>
      </c>
      <c r="FC14" s="118" t="s">
        <v>54</v>
      </c>
      <c r="FD14" s="103"/>
      <c r="FE14" s="118" t="s">
        <v>56</v>
      </c>
      <c r="FF14" s="128" t="str">
        <f>HLOOKUP(CONCATENATE(FF$5,FF$6),RangeStreamsSec,$O14,FALSE)</f>
        <v>SCST1000</v>
      </c>
      <c r="FG14" s="118" t="s">
        <v>54</v>
      </c>
      <c r="FH14" s="103"/>
      <c r="FI14" s="118" t="s">
        <v>56</v>
      </c>
      <c r="FJ14" s="128" t="str">
        <f>HLOOKUP(CONCATENATE(FJ$5,FJ$6),RangeStreamsSec,$O14,FALSE)</f>
        <v>SPRO1000</v>
      </c>
      <c r="FK14" s="118" t="s">
        <v>54</v>
      </c>
      <c r="FL14" s="103"/>
      <c r="FM14" s="118" t="s">
        <v>56</v>
      </c>
      <c r="FN14" s="128" t="str">
        <f>HLOOKUP(CONCATENATE(FN$5,FN$6),RangeStreamsSec,$O14,FALSE)</f>
        <v>VISA1004</v>
      </c>
      <c r="FO14" s="118" t="s">
        <v>54</v>
      </c>
      <c r="FP14" s="103"/>
      <c r="FQ14" s="118" t="s">
        <v>56</v>
      </c>
      <c r="FR14" s="128" t="str">
        <f>HLOOKUP(CONCATENATE(FR$5,FR$6),RangeStreamsSec,$O14,FALSE)</f>
        <v>AC-BSCIM1</v>
      </c>
      <c r="FS14" s="118" t="s">
        <v>54</v>
      </c>
      <c r="FT14" s="103"/>
      <c r="FU14" s="118" t="s">
        <v>56</v>
      </c>
      <c r="FV14" s="128" t="str">
        <f>HLOOKUP(CONCATENATE(FV$5,FV$6),RangeStreamsSec,$O14,FALSE)</f>
        <v>INDS2001</v>
      </c>
      <c r="FW14" s="118" t="s">
        <v>54</v>
      </c>
      <c r="FX14" s="103"/>
      <c r="FY14" s="118" t="s">
        <v>56</v>
      </c>
      <c r="FZ14" s="128" t="str">
        <f>HLOOKUP(CONCATENATE(FZ$5,FZ$6),RangeStreamsSec,$O14,FALSE)</f>
        <v>CWRI1003</v>
      </c>
      <c r="GA14" s="118" t="s">
        <v>54</v>
      </c>
      <c r="GB14" s="103"/>
      <c r="GC14" s="118" t="s">
        <v>56</v>
      </c>
      <c r="GD14" s="128" t="str">
        <f>HLOOKUP(CONCATENATE(GD$5,GD$6),RangeStreamsSec,$O14,FALSE)</f>
        <v>MATH1016</v>
      </c>
      <c r="GE14" s="118" t="s">
        <v>54</v>
      </c>
      <c r="GF14" s="103"/>
      <c r="GG14" s="118" t="s">
        <v>56</v>
      </c>
      <c r="GH14" s="128" t="str">
        <f>HLOOKUP(CONCATENATE(GH$5,GH$6),RangeStreamsSec,$O14,FALSE)</f>
        <v>PSYC1001</v>
      </c>
      <c r="GI14" s="118" t="s">
        <v>54</v>
      </c>
      <c r="GJ14" s="103"/>
      <c r="GK14" s="118" t="s">
        <v>56</v>
      </c>
      <c r="GL14" s="128" t="str">
        <f>HLOOKUP(CONCATENATE(GL$5,GL$6),RangeStreamsSec,$O14,FALSE)</f>
        <v>SCST1000</v>
      </c>
      <c r="GM14" s="118" t="s">
        <v>54</v>
      </c>
      <c r="GN14" s="103"/>
      <c r="GO14" s="118" t="s">
        <v>56</v>
      </c>
      <c r="GP14" s="128" t="str">
        <f>HLOOKUP(CONCATENATE(GP$5,GP$6),RangeStreamsSec,$O14,FALSE)</f>
        <v>SPRO1000</v>
      </c>
      <c r="GQ14" s="118" t="s">
        <v>54</v>
      </c>
      <c r="GR14" s="103"/>
      <c r="GS14" s="118" t="s">
        <v>56</v>
      </c>
      <c r="GT14" s="128" t="str">
        <f>HLOOKUP(CONCATENATE(GT$5,GT$6),RangeStreamsSec,$O14,FALSE)</f>
        <v>VISA1004</v>
      </c>
      <c r="GU14" s="118" t="s">
        <v>54</v>
      </c>
      <c r="GV14" s="103"/>
      <c r="GW14" s="118" t="s">
        <v>56</v>
      </c>
      <c r="GX14" s="128" t="str">
        <f>HLOOKUP(CONCATENATE(GX$5,GX$6),RangeStreamsSec,$O14,FALSE)</f>
        <v>AC-BSCIM1</v>
      </c>
      <c r="GY14" s="118" t="s">
        <v>54</v>
      </c>
      <c r="GZ14" s="103"/>
      <c r="HA14" s="118" t="s">
        <v>56</v>
      </c>
      <c r="HB14" s="128" t="str">
        <f>HLOOKUP(CONCATENATE(HB$5,HB$6),RangeStreamsSec,$O14,FALSE)</f>
        <v>PHGY1000</v>
      </c>
      <c r="HC14" s="118" t="s">
        <v>54</v>
      </c>
      <c r="HD14" s="103"/>
      <c r="HE14" s="118" t="s">
        <v>56</v>
      </c>
      <c r="HF14" s="128" t="str">
        <f>HLOOKUP(CONCATENATE(HF$5,HF$6),RangeStreamsSec,$O14,FALSE)</f>
        <v>CWRI1003</v>
      </c>
      <c r="HG14" s="118" t="s">
        <v>54</v>
      </c>
      <c r="HH14" s="103"/>
      <c r="HI14" s="118" t="s">
        <v>56</v>
      </c>
      <c r="HJ14" s="128" t="str">
        <f>HLOOKUP(CONCATENATE(HJ$5,HJ$6),RangeStreamsSec,$O14,FALSE)</f>
        <v>MATH1016</v>
      </c>
      <c r="HK14" s="118" t="s">
        <v>54</v>
      </c>
      <c r="HL14" s="103"/>
      <c r="HM14" s="118" t="s">
        <v>56</v>
      </c>
      <c r="HN14" s="128" t="str">
        <f>HLOOKUP(CONCATENATE(HN$5,HN$6),RangeStreamsSec,$O14,FALSE)</f>
        <v>PSYC1001</v>
      </c>
      <c r="HO14" s="118" t="s">
        <v>54</v>
      </c>
      <c r="HP14" s="103"/>
      <c r="HQ14" s="118" t="s">
        <v>56</v>
      </c>
      <c r="HR14" s="128" t="str">
        <f>HLOOKUP(CONCATENATE(HR$5,HR$6),RangeStreamsSec,$O14,FALSE)</f>
        <v>SCST1000</v>
      </c>
      <c r="HS14" s="118" t="s">
        <v>54</v>
      </c>
      <c r="HT14" s="103"/>
      <c r="HU14" s="118" t="s">
        <v>56</v>
      </c>
      <c r="HV14" s="128" t="str">
        <f>HLOOKUP(CONCATENATE(HV$5,HV$6),RangeStreamsSec,$O14,FALSE)</f>
        <v>SPRO1000</v>
      </c>
      <c r="HW14" s="118" t="s">
        <v>54</v>
      </c>
      <c r="HX14" s="103"/>
      <c r="HY14" s="118" t="s">
        <v>56</v>
      </c>
      <c r="HZ14" s="128" t="str">
        <f>HLOOKUP(CONCATENATE(HZ$5,HZ$6),RangeStreamsSec,$O14,FALSE)</f>
        <v>VISA1004</v>
      </c>
      <c r="IA14" s="118" t="s">
        <v>54</v>
      </c>
      <c r="IB14" s="103"/>
      <c r="IC14" s="118" t="s">
        <v>56</v>
      </c>
      <c r="ID14" s="128" t="str">
        <f>HLOOKUP(CONCATENATE(ID$5,ID$6),RangeStreamsSec,$O14,FALSE)</f>
        <v>AC-BSCIM1</v>
      </c>
      <c r="IE14" s="118" t="s">
        <v>54</v>
      </c>
      <c r="IF14" s="103"/>
      <c r="IG14" s="118" t="s">
        <v>56</v>
      </c>
      <c r="IH14" s="128" t="str">
        <f>HLOOKUP(CONCATENATE(IH$5,IH$6),RangeStreamsSec,$O14,FALSE)</f>
        <v>INDS2001</v>
      </c>
      <c r="II14" s="118" t="s">
        <v>54</v>
      </c>
      <c r="IJ14" s="103"/>
      <c r="IK14" s="118" t="s">
        <v>56</v>
      </c>
      <c r="IL14" s="128" t="str">
        <f>HLOOKUP(CONCATENATE(IL$5,IL$6),RangeStreamsSec,$O14,FALSE)</f>
        <v>CWRI1003</v>
      </c>
      <c r="IM14" s="118" t="s">
        <v>54</v>
      </c>
      <c r="IN14" s="103"/>
      <c r="IO14" s="118" t="s">
        <v>56</v>
      </c>
      <c r="IP14" s="128" t="str">
        <f>HLOOKUP(CONCATENATE(IP$5,IP$6),RangeStreamsSec,$O14,FALSE)</f>
        <v>MATH1016</v>
      </c>
      <c r="IQ14" s="118" t="s">
        <v>54</v>
      </c>
      <c r="IR14" s="103"/>
      <c r="IS14" s="118" t="s">
        <v>56</v>
      </c>
      <c r="IT14" s="128" t="str">
        <f>HLOOKUP(CONCATENATE(IT$5,IT$6),RangeStreamsSec,$O14,FALSE)</f>
        <v>PSYC1001</v>
      </c>
      <c r="IU14" s="118" t="s">
        <v>54</v>
      </c>
      <c r="IV14" s="103"/>
      <c r="IW14" s="118" t="s">
        <v>56</v>
      </c>
      <c r="IX14" s="128" t="str">
        <f>HLOOKUP(CONCATENATE(IX$5,IX$6),RangeStreamsSec,$O14,FALSE)</f>
        <v>SCST1000</v>
      </c>
      <c r="IY14" s="118" t="s">
        <v>54</v>
      </c>
      <c r="IZ14" s="103"/>
      <c r="JA14" s="118" t="s">
        <v>56</v>
      </c>
      <c r="JB14" s="128" t="str">
        <f>HLOOKUP(CONCATENATE(JB$5,JB$6),RangeStreamsSec,$O14,FALSE)</f>
        <v>SPRO1000</v>
      </c>
      <c r="JC14" s="118" t="s">
        <v>54</v>
      </c>
      <c r="JD14" s="103"/>
      <c r="JE14" s="118" t="s">
        <v>56</v>
      </c>
      <c r="JF14" s="128" t="str">
        <f>HLOOKUP(CONCATENATE(JF$5,JF$6),RangeStreamsSec,$O14,FALSE)</f>
        <v>VISA1004</v>
      </c>
      <c r="JG14" s="118" t="s">
        <v>54</v>
      </c>
      <c r="JH14" s="103"/>
      <c r="JI14" s="118" t="s">
        <v>56</v>
      </c>
      <c r="JJ14" s="128" t="e">
        <f>HLOOKUP(CONCATENATE(JJ$5,JJ$6),RangeStreamsSec,$O14,FALSE)</f>
        <v>#N/A</v>
      </c>
      <c r="JK14" s="118" t="s">
        <v>54</v>
      </c>
      <c r="JL14" s="103"/>
      <c r="JM14" s="118" t="s">
        <v>56</v>
      </c>
      <c r="JN14" s="128" t="str">
        <f>HLOOKUP(CONCATENATE(JN$5,JN$6),RangeStreamsSec,$O14,FALSE)</f>
        <v>AC-BSCIM1</v>
      </c>
      <c r="JO14" s="118" t="s">
        <v>54</v>
      </c>
      <c r="JP14" s="103"/>
      <c r="JQ14" s="118" t="s">
        <v>56</v>
      </c>
      <c r="JR14" s="128" t="str">
        <f>HLOOKUP(CONCATENATE(JR$5,JR$6),RangeStreamsSec,$O14,FALSE)</f>
        <v>Opt-MATHB</v>
      </c>
      <c r="JS14" s="118" t="s">
        <v>54</v>
      </c>
      <c r="JT14" s="103"/>
      <c r="JU14" s="118" t="s">
        <v>56</v>
      </c>
      <c r="JV14" s="128" t="str">
        <f>HLOOKUP(CONCATENATE(JV$5,JV$6),RangeStreamsSec,$O14,FALSE)</f>
        <v>CWRI1003</v>
      </c>
      <c r="JW14" s="118" t="s">
        <v>54</v>
      </c>
      <c r="JX14" s="103"/>
      <c r="JY14" s="118" t="s">
        <v>56</v>
      </c>
      <c r="JZ14" s="128" t="str">
        <f>HLOOKUP(CONCATENATE(JZ$5,JZ$6),RangeStreamsSec,$O14,FALSE)</f>
        <v>PHGY1000</v>
      </c>
      <c r="KA14" s="118" t="s">
        <v>54</v>
      </c>
      <c r="KB14" s="103"/>
      <c r="KC14" s="118" t="s">
        <v>56</v>
      </c>
      <c r="KD14" s="128" t="str">
        <f>HLOOKUP(CONCATENATE(KD$5,KD$6),RangeStreamsSec,$O14,FALSE)</f>
        <v>ANTH1001</v>
      </c>
      <c r="KE14" s="118" t="s">
        <v>54</v>
      </c>
      <c r="KF14" s="103"/>
      <c r="KG14" s="118" t="s">
        <v>56</v>
      </c>
      <c r="KH14" s="128" t="str">
        <f>HLOOKUP(CONCATENATE(KH$5,KH$6),RangeStreamsSec,$O14,FALSE)</f>
        <v>PSYC1001</v>
      </c>
      <c r="KI14" s="118" t="s">
        <v>54</v>
      </c>
      <c r="KJ14" s="103"/>
      <c r="KK14" s="118" t="s">
        <v>56</v>
      </c>
      <c r="KL14" s="128" t="str">
        <f>HLOOKUP(CONCATENATE(KL$5,KL$6),RangeStreamsSec,$O14,FALSE)</f>
        <v>SCST1000</v>
      </c>
      <c r="KM14" s="118" t="s">
        <v>54</v>
      </c>
      <c r="KN14" s="103"/>
      <c r="KO14" s="118" t="s">
        <v>56</v>
      </c>
      <c r="KP14" s="128" t="str">
        <f>HLOOKUP(CONCATENATE(KP$5,KP$6),RangeStreamsSec,$O14,FALSE)</f>
        <v>SPRO1000</v>
      </c>
      <c r="KQ14" s="118" t="s">
        <v>54</v>
      </c>
      <c r="KR14" s="103"/>
      <c r="KS14" s="118" t="s">
        <v>56</v>
      </c>
      <c r="KT14" s="128" t="str">
        <f>HLOOKUP(CONCATENATE(KT$5,KT$6),RangeStreamsSec,$O14,FALSE)</f>
        <v>VISA1004</v>
      </c>
      <c r="KU14" s="118" t="s">
        <v>54</v>
      </c>
      <c r="KV14" s="103"/>
      <c r="KW14" s="118" t="s">
        <v>56</v>
      </c>
      <c r="KX14" s="128" t="str">
        <f>HLOOKUP(CONCATENATE(KX$5,KX$6),RangeStreamsSec,$O14,FALSE)</f>
        <v>AC-BSCIM1</v>
      </c>
      <c r="KY14" s="118" t="s">
        <v>54</v>
      </c>
      <c r="KZ14" s="103"/>
      <c r="LA14" s="118" t="s">
        <v>56</v>
      </c>
      <c r="LB14" s="128" t="str">
        <f>HLOOKUP(CONCATENATE(LB$5,LB$6),RangeStreamsSec,$O14,FALSE)</f>
        <v>HUMB1002</v>
      </c>
      <c r="LC14" s="118" t="s">
        <v>54</v>
      </c>
      <c r="LD14" s="103"/>
      <c r="LE14" s="118" t="s">
        <v>56</v>
      </c>
      <c r="LF14" s="128" t="str">
        <f>HLOOKUP(CONCATENATE(LF$5,LF$6),RangeStreamsSec,$O14,FALSE)</f>
        <v>AC-BIOLB1</v>
      </c>
      <c r="LG14" s="118" t="s">
        <v>54</v>
      </c>
      <c r="LH14" s="103"/>
      <c r="LI14" s="118" t="s">
        <v>56</v>
      </c>
      <c r="LJ14" s="128" t="str">
        <f>HLOOKUP(CONCATENATE(LJ$5,LJ$6),RangeStreamsSec,$O14,FALSE)</f>
        <v>CWRI1003</v>
      </c>
      <c r="LK14" s="118" t="s">
        <v>54</v>
      </c>
      <c r="LL14" s="103"/>
      <c r="LM14" s="118" t="s">
        <v>56</v>
      </c>
      <c r="LN14" s="128" t="str">
        <f>HLOOKUP(CONCATENATE(LN$5,LN$6),RangeStreamsSec,$O14,FALSE)</f>
        <v>PHGY1000</v>
      </c>
      <c r="LO14" s="118" t="s">
        <v>54</v>
      </c>
      <c r="LP14" s="103"/>
      <c r="LQ14" s="118" t="s">
        <v>56</v>
      </c>
      <c r="LR14" s="128" t="str">
        <f>HLOOKUP(CONCATENATE(LR$5,LR$6),RangeStreamsSec,$O14,FALSE)</f>
        <v>ANTH1001</v>
      </c>
      <c r="LS14" s="118" t="s">
        <v>54</v>
      </c>
      <c r="LT14" s="103"/>
      <c r="LU14" s="118" t="s">
        <v>56</v>
      </c>
      <c r="LV14" s="128" t="str">
        <f>HLOOKUP(CONCATENATE(LV$5,LV$6),RangeStreamsSec,$O14,FALSE)</f>
        <v>MATH1016</v>
      </c>
      <c r="LW14" s="118" t="s">
        <v>54</v>
      </c>
      <c r="LX14" s="103"/>
      <c r="LY14" s="118" t="s">
        <v>56</v>
      </c>
      <c r="LZ14" s="128" t="str">
        <f>HLOOKUP(CONCATENATE(LZ$5,LZ$6),RangeStreamsSec,$O14,FALSE)</f>
        <v>SCST1000</v>
      </c>
      <c r="MA14" s="118" t="s">
        <v>54</v>
      </c>
      <c r="MB14" s="103"/>
      <c r="MC14" s="118" t="s">
        <v>56</v>
      </c>
      <c r="MD14" s="128" t="str">
        <f>HLOOKUP(CONCATENATE(MD$5,MD$6),RangeStreamsSec,$O14,FALSE)</f>
        <v>SPRO1000</v>
      </c>
      <c r="ME14" s="118" t="s">
        <v>54</v>
      </c>
      <c r="MF14" s="103"/>
      <c r="MG14" s="118" t="s">
        <v>56</v>
      </c>
      <c r="MH14" s="128" t="str">
        <f>HLOOKUP(CONCATENATE(MH$5,MH$6),RangeStreamsSec,$O14,FALSE)</f>
        <v>VISA1004</v>
      </c>
      <c r="MI14" s="118" t="s">
        <v>54</v>
      </c>
      <c r="MJ14" s="103"/>
      <c r="MK14" s="118" t="s">
        <v>56</v>
      </c>
      <c r="ML14" s="128" t="str">
        <f>HLOOKUP(CONCATENATE(ML$5,ML$6),RangeStreamsSec,$O14,FALSE)</f>
        <v>AC-CHEMB1</v>
      </c>
      <c r="MM14" s="118" t="s">
        <v>54</v>
      </c>
      <c r="MN14" s="103"/>
      <c r="MO14" s="118" t="s">
        <v>56</v>
      </c>
      <c r="MP14" s="128" t="str">
        <f>HLOOKUP(CONCATENATE(MP$5,MP$6),RangeStreamsSec,$O14,FALSE)</f>
        <v>CWRI1003</v>
      </c>
      <c r="MQ14" s="118" t="s">
        <v>54</v>
      </c>
      <c r="MR14" s="103"/>
      <c r="MS14" s="118" t="s">
        <v>56</v>
      </c>
      <c r="MT14" s="128" t="str">
        <f>HLOOKUP(CONCATENATE(MT$5,MT$6),RangeStreamsSec,$O14,FALSE)</f>
        <v>PHGY1000</v>
      </c>
      <c r="MU14" s="118" t="s">
        <v>54</v>
      </c>
      <c r="MV14" s="103"/>
      <c r="MW14" s="118" t="s">
        <v>56</v>
      </c>
      <c r="MX14" s="128" t="str">
        <f>HLOOKUP(CONCATENATE(MX$5,MX$6),RangeStreamsSec,$O14,FALSE)</f>
        <v>ANTH1001</v>
      </c>
      <c r="MY14" s="118" t="s">
        <v>54</v>
      </c>
      <c r="MZ14" s="103"/>
      <c r="NA14" s="118" t="s">
        <v>56</v>
      </c>
      <c r="NB14" s="128" t="str">
        <f>HLOOKUP(CONCATENATE(NB$5,NB$6),RangeStreamsSec,$O14,FALSE)</f>
        <v>MATH1016</v>
      </c>
      <c r="NC14" s="118" t="s">
        <v>54</v>
      </c>
      <c r="ND14" s="103"/>
      <c r="NE14" s="118" t="s">
        <v>56</v>
      </c>
      <c r="NF14" s="128" t="str">
        <f>HLOOKUP(CONCATENATE(NF$5,NF$6),RangeStreamsSec,$O14,FALSE)</f>
        <v>SCST1000</v>
      </c>
      <c r="NG14" s="118" t="s">
        <v>54</v>
      </c>
      <c r="NH14" s="103"/>
      <c r="NI14" s="118" t="s">
        <v>56</v>
      </c>
      <c r="NJ14" s="128" t="str">
        <f>HLOOKUP(CONCATENATE(NJ$5,NJ$6),RangeStreamsSec,$O14,FALSE)</f>
        <v>SPRO1000</v>
      </c>
      <c r="NK14" s="118" t="s">
        <v>54</v>
      </c>
      <c r="NL14" s="103"/>
      <c r="NM14" s="118" t="s">
        <v>56</v>
      </c>
      <c r="NN14" s="128" t="str">
        <f>HLOOKUP(CONCATENATE(NN$5,NN$6),RangeStreamsSec,$O14,FALSE)</f>
        <v>VISA1004</v>
      </c>
      <c r="NO14" s="118" t="s">
        <v>54</v>
      </c>
      <c r="NP14" s="103"/>
      <c r="NQ14" s="118" t="s">
        <v>56</v>
      </c>
      <c r="NR14" s="128" t="str">
        <f>HLOOKUP(CONCATENATE(NR$5,NR$6),RangeStreamsSec,$O14,FALSE)</f>
        <v>AC-HUMBB1</v>
      </c>
      <c r="NS14" s="118" t="s">
        <v>54</v>
      </c>
      <c r="NT14" s="103"/>
      <c r="NU14" s="118" t="s">
        <v>56</v>
      </c>
      <c r="NV14" s="128" t="str">
        <f>HLOOKUP(CONCATENATE(NV$5,NV$6),RangeStreamsSec,$O14,FALSE)</f>
        <v>CWRI1003</v>
      </c>
      <c r="NW14" s="118" t="s">
        <v>54</v>
      </c>
      <c r="NX14" s="103"/>
      <c r="NY14" s="118" t="s">
        <v>56</v>
      </c>
      <c r="NZ14" s="128" t="str">
        <f>HLOOKUP(CONCATENATE(NZ$5,NZ$6),RangeStreamsSec,$O14,FALSE)</f>
        <v>PHGY1000</v>
      </c>
      <c r="OA14" s="118" t="s">
        <v>54</v>
      </c>
      <c r="OB14" s="103"/>
      <c r="OC14" s="118" t="s">
        <v>56</v>
      </c>
      <c r="OD14" s="128" t="str">
        <f>HLOOKUP(CONCATENATE(OD$5,OD$6),RangeStreamsSec,$O14,FALSE)</f>
        <v>ANTH1001</v>
      </c>
      <c r="OE14" s="118" t="s">
        <v>54</v>
      </c>
      <c r="OF14" s="103"/>
      <c r="OG14" s="118" t="s">
        <v>56</v>
      </c>
      <c r="OH14" s="128" t="str">
        <f>HLOOKUP(CONCATENATE(OH$5,OH$6),RangeStreamsSec,$O14,FALSE)</f>
        <v>MATH1016</v>
      </c>
      <c r="OI14" s="118" t="s">
        <v>54</v>
      </c>
      <c r="OJ14" s="103"/>
      <c r="OK14" s="118" t="s">
        <v>56</v>
      </c>
      <c r="OL14" s="128" t="str">
        <f>HLOOKUP(CONCATENATE(OL$5,OL$6),RangeStreamsSec,$O14,FALSE)</f>
        <v>SCST1000</v>
      </c>
      <c r="OM14" s="118" t="s">
        <v>54</v>
      </c>
      <c r="ON14" s="103"/>
      <c r="OO14" s="118" t="s">
        <v>56</v>
      </c>
      <c r="OP14" s="128" t="str">
        <f>HLOOKUP(CONCATENATE(OP$5,OP$6),RangeStreamsSec,$O14,FALSE)</f>
        <v>SPRO1000</v>
      </c>
      <c r="OQ14" s="118" t="s">
        <v>54</v>
      </c>
      <c r="OR14" s="103"/>
      <c r="OS14" s="118" t="s">
        <v>56</v>
      </c>
      <c r="OT14" s="128" t="str">
        <f>HLOOKUP(CONCATENATE(OT$5,OT$6),RangeStreamsSec,$O14,FALSE)</f>
        <v>VISA1004</v>
      </c>
      <c r="OU14" s="118" t="s">
        <v>54</v>
      </c>
      <c r="OV14" s="103"/>
      <c r="OW14" s="118" t="s">
        <v>56</v>
      </c>
      <c r="OX14" s="128" t="str">
        <f>HLOOKUP(CONCATENATE(OX$5,OX$6),RangeStreamsSec,$O14,FALSE)</f>
        <v>AC-PSYCB1</v>
      </c>
      <c r="OY14" s="118" t="s">
        <v>54</v>
      </c>
      <c r="OZ14" s="103"/>
      <c r="PA14" s="118" t="s">
        <v>56</v>
      </c>
      <c r="PB14" s="128" t="str">
        <f>HLOOKUP(CONCATENATE(PB$5,PB$6),RangeStreamsSec,$O14,FALSE)</f>
        <v>CWRI1003</v>
      </c>
      <c r="PC14" s="118" t="s">
        <v>54</v>
      </c>
      <c r="PD14" s="103"/>
      <c r="PE14" s="118" t="s">
        <v>56</v>
      </c>
      <c r="PF14" s="128" t="str">
        <f>HLOOKUP(CONCATENATE(PF$5,PF$6),RangeStreamsSec,$O14,FALSE)</f>
        <v>PHGY1000</v>
      </c>
      <c r="PG14" s="118" t="s">
        <v>54</v>
      </c>
      <c r="PH14" s="103"/>
      <c r="PI14" s="118" t="s">
        <v>56</v>
      </c>
      <c r="PJ14" s="128" t="str">
        <f>HLOOKUP(CONCATENATE(PJ$5,PJ$6),RangeStreamsSec,$O14,FALSE)</f>
        <v>ANTH1001</v>
      </c>
      <c r="PK14" s="118" t="s">
        <v>54</v>
      </c>
      <c r="PL14" s="103"/>
      <c r="PM14" s="118" t="s">
        <v>56</v>
      </c>
      <c r="PN14" s="128" t="str">
        <f>HLOOKUP(CONCATENATE(PN$5,PN$6),RangeStreamsSec,$O14,FALSE)</f>
        <v>MATH1016</v>
      </c>
      <c r="PO14" s="118" t="s">
        <v>54</v>
      </c>
      <c r="PP14" s="103"/>
      <c r="PQ14" s="118" t="s">
        <v>56</v>
      </c>
      <c r="PR14" s="128" t="str">
        <f>HLOOKUP(CONCATENATE(PR$5,PR$6),RangeStreamsSec,$O14,FALSE)</f>
        <v>SCST1000</v>
      </c>
      <c r="PS14" s="118" t="s">
        <v>54</v>
      </c>
      <c r="PT14" s="103"/>
      <c r="PU14" s="118" t="s">
        <v>56</v>
      </c>
      <c r="PV14" s="128" t="str">
        <f>HLOOKUP(CONCATENATE(PV$5,PV$6),RangeStreamsSec,$O14,FALSE)</f>
        <v>SPRO1000</v>
      </c>
      <c r="PW14" s="118" t="s">
        <v>54</v>
      </c>
      <c r="PX14" s="103"/>
      <c r="PY14" s="118" t="s">
        <v>56</v>
      </c>
      <c r="PZ14" s="128" t="str">
        <f>HLOOKUP(CONCATENATE(PZ$5,PZ$6),RangeStreamsSec,$O14,FALSE)</f>
        <v>VISA1004</v>
      </c>
      <c r="QA14" s="118" t="s">
        <v>54</v>
      </c>
      <c r="QB14" s="103"/>
      <c r="QC14" s="118" t="s">
        <v>56</v>
      </c>
      <c r="QD14" s="128" t="e">
        <f>HLOOKUP(CONCATENATE(QD$5,QD$6),RangeStreamsSec,$O14,FALSE)</f>
        <v>#N/A</v>
      </c>
      <c r="QE14" s="118" t="s">
        <v>54</v>
      </c>
      <c r="QF14" s="103"/>
      <c r="QG14" s="118" t="s">
        <v>56</v>
      </c>
      <c r="QH14" s="128" t="e">
        <f>HLOOKUP(CONCATENATE(QH$5,QH$6),RangeStreamsSec,$O14,FALSE)</f>
        <v>#N/A</v>
      </c>
      <c r="QI14" s="118" t="s">
        <v>54</v>
      </c>
      <c r="QJ14" s="103"/>
    </row>
    <row r="15" spans="1:481" x14ac:dyDescent="0.25">
      <c r="A15" s="352" t="s">
        <v>385</v>
      </c>
      <c r="B15" s="268" t="s">
        <v>346</v>
      </c>
      <c r="C15" s="268" t="s">
        <v>100</v>
      </c>
      <c r="D15" s="269">
        <v>45658</v>
      </c>
      <c r="E15" s="268">
        <v>1</v>
      </c>
      <c r="F15" s="269">
        <v>45658</v>
      </c>
      <c r="G15" s="268" t="s">
        <v>376</v>
      </c>
      <c r="J15" s="141"/>
      <c r="K15" s="146" t="str">
        <f>INDEX(TableStreams[Choose your Specialisation Stream second (drop-down list)],MATCH(L15,TableStreams[UDC],0))</f>
        <v>Geography Education Minor Teaching Area Stream (BEd Secondary)</v>
      </c>
      <c r="L15" s="141" t="s">
        <v>354</v>
      </c>
      <c r="O15" s="19"/>
      <c r="P15" s="3">
        <v>13</v>
      </c>
      <c r="Q15" s="116" t="s">
        <v>87</v>
      </c>
      <c r="R15" s="115" t="s">
        <v>386</v>
      </c>
      <c r="S15" s="116" t="s">
        <v>89</v>
      </c>
      <c r="T15" s="115"/>
      <c r="U15" s="116" t="s">
        <v>87</v>
      </c>
      <c r="V15" s="297" t="str">
        <f>$R15</f>
        <v>EDSC2012</v>
      </c>
      <c r="W15" s="116" t="s">
        <v>89</v>
      </c>
      <c r="X15" s="115"/>
      <c r="Y15" s="116" t="s">
        <v>87</v>
      </c>
      <c r="Z15" s="297" t="str">
        <f>$R15</f>
        <v>EDSC2012</v>
      </c>
      <c r="AA15" s="116" t="s">
        <v>89</v>
      </c>
      <c r="AB15" s="115"/>
      <c r="AC15" s="116" t="s">
        <v>87</v>
      </c>
      <c r="AD15" s="297" t="str">
        <f>$R15</f>
        <v>EDSC2012</v>
      </c>
      <c r="AE15" s="116" t="s">
        <v>89</v>
      </c>
      <c r="AF15" s="115"/>
      <c r="AG15" s="116" t="s">
        <v>87</v>
      </c>
      <c r="AH15" s="297" t="str">
        <f>$R15</f>
        <v>EDSC2012</v>
      </c>
      <c r="AI15" s="116" t="s">
        <v>89</v>
      </c>
      <c r="AJ15" s="115"/>
      <c r="AK15" s="116" t="s">
        <v>87</v>
      </c>
      <c r="AL15" s="297" t="str">
        <f>$R15</f>
        <v>EDSC2012</v>
      </c>
      <c r="AM15" s="116" t="s">
        <v>89</v>
      </c>
      <c r="AN15" s="115"/>
      <c r="AO15" s="116" t="s">
        <v>87</v>
      </c>
      <c r="AP15" s="297" t="str">
        <f>$R15</f>
        <v>EDSC2012</v>
      </c>
      <c r="AQ15" s="116" t="s">
        <v>89</v>
      </c>
      <c r="AR15" s="115"/>
      <c r="AS15" s="116" t="s">
        <v>87</v>
      </c>
      <c r="AT15" s="297" t="str">
        <f>$R15</f>
        <v>EDSC2012</v>
      </c>
      <c r="AU15" s="116" t="s">
        <v>89</v>
      </c>
      <c r="AV15" s="115"/>
      <c r="AW15" s="116" t="s">
        <v>87</v>
      </c>
      <c r="AX15" s="297" t="str">
        <f>$R15</f>
        <v>EDSC2012</v>
      </c>
      <c r="AY15" s="116" t="s">
        <v>89</v>
      </c>
      <c r="AZ15" s="115"/>
      <c r="BA15" s="116" t="s">
        <v>87</v>
      </c>
      <c r="BB15" s="297" t="str">
        <f>$R15</f>
        <v>EDSC2012</v>
      </c>
      <c r="BC15" s="116" t="s">
        <v>89</v>
      </c>
      <c r="BD15" s="115"/>
      <c r="BE15" s="116" t="s">
        <v>87</v>
      </c>
      <c r="BF15" s="297" t="str">
        <f>$R15</f>
        <v>EDSC2012</v>
      </c>
      <c r="BG15" s="116" t="s">
        <v>89</v>
      </c>
      <c r="BH15" s="115"/>
      <c r="BI15" s="116" t="s">
        <v>87</v>
      </c>
      <c r="BJ15" s="297" t="str">
        <f>$R15</f>
        <v>EDSC2012</v>
      </c>
      <c r="BK15" s="116" t="s">
        <v>89</v>
      </c>
      <c r="BL15" s="115"/>
      <c r="BM15" s="116" t="s">
        <v>87</v>
      </c>
      <c r="BN15" s="297" t="str">
        <f>$R15</f>
        <v>EDSC2012</v>
      </c>
      <c r="BO15" s="116" t="s">
        <v>89</v>
      </c>
      <c r="BP15" s="115"/>
      <c r="BQ15" s="116" t="s">
        <v>87</v>
      </c>
      <c r="BR15" s="297" t="str">
        <f>$R15</f>
        <v>EDSC2012</v>
      </c>
      <c r="BS15" s="116" t="s">
        <v>89</v>
      </c>
      <c r="BT15" s="115"/>
      <c r="BU15" s="116" t="s">
        <v>87</v>
      </c>
      <c r="BV15" s="297" t="str">
        <f>$R15</f>
        <v>EDSC2012</v>
      </c>
      <c r="BW15" s="116" t="s">
        <v>89</v>
      </c>
      <c r="BX15" s="115"/>
      <c r="BY15" s="116" t="s">
        <v>87</v>
      </c>
      <c r="BZ15" s="297" t="str">
        <f>$R15</f>
        <v>EDSC2012</v>
      </c>
      <c r="CA15" s="116" t="s">
        <v>89</v>
      </c>
      <c r="CB15" s="115"/>
      <c r="CC15" s="116" t="s">
        <v>87</v>
      </c>
      <c r="CD15" s="297" t="str">
        <f>$R15</f>
        <v>EDSC2012</v>
      </c>
      <c r="CE15" s="116" t="s">
        <v>89</v>
      </c>
      <c r="CF15" s="115"/>
      <c r="CG15" s="116" t="s">
        <v>87</v>
      </c>
      <c r="CH15" s="297" t="str">
        <f>$R15</f>
        <v>EDSC2012</v>
      </c>
      <c r="CI15" s="116" t="s">
        <v>89</v>
      </c>
      <c r="CJ15" s="115"/>
      <c r="CK15" s="116" t="s">
        <v>87</v>
      </c>
      <c r="CL15" s="297" t="str">
        <f>$R15</f>
        <v>EDSC2012</v>
      </c>
      <c r="CM15" s="116" t="s">
        <v>89</v>
      </c>
      <c r="CN15" s="115"/>
      <c r="CO15" s="116" t="s">
        <v>87</v>
      </c>
      <c r="CP15" s="297" t="str">
        <f>$R15</f>
        <v>EDSC2012</v>
      </c>
      <c r="CQ15" s="116" t="s">
        <v>89</v>
      </c>
      <c r="CR15" s="115"/>
      <c r="CS15" s="116" t="s">
        <v>87</v>
      </c>
      <c r="CT15" s="297" t="str">
        <f>$R15</f>
        <v>EDSC2012</v>
      </c>
      <c r="CU15" s="116" t="s">
        <v>89</v>
      </c>
      <c r="CV15" s="115"/>
      <c r="CW15" s="116" t="s">
        <v>87</v>
      </c>
      <c r="CX15" s="297" t="str">
        <f>$R15</f>
        <v>EDSC2012</v>
      </c>
      <c r="CY15" s="116" t="s">
        <v>89</v>
      </c>
      <c r="CZ15" s="115"/>
      <c r="DA15" s="116" t="s">
        <v>87</v>
      </c>
      <c r="DB15" s="297" t="str">
        <f>$R15</f>
        <v>EDSC2012</v>
      </c>
      <c r="DC15" s="116" t="s">
        <v>89</v>
      </c>
      <c r="DD15" s="115"/>
      <c r="DE15" s="116" t="s">
        <v>87</v>
      </c>
      <c r="DF15" s="297" t="str">
        <f>$R15</f>
        <v>EDSC2012</v>
      </c>
      <c r="DG15" s="116" t="s">
        <v>89</v>
      </c>
      <c r="DH15" s="115"/>
      <c r="DI15" s="116" t="s">
        <v>87</v>
      </c>
      <c r="DJ15" s="297" t="str">
        <f>$R15</f>
        <v>EDSC2012</v>
      </c>
      <c r="DK15" s="116" t="s">
        <v>89</v>
      </c>
      <c r="DL15" s="115"/>
      <c r="DM15" s="116" t="s">
        <v>87</v>
      </c>
      <c r="DN15" s="297" t="str">
        <f>$R15</f>
        <v>EDSC2012</v>
      </c>
      <c r="DO15" s="116" t="s">
        <v>89</v>
      </c>
      <c r="DP15" s="115"/>
      <c r="DQ15" s="116" t="s">
        <v>87</v>
      </c>
      <c r="DR15" s="297" t="str">
        <f>$R15</f>
        <v>EDSC2012</v>
      </c>
      <c r="DS15" s="116" t="s">
        <v>89</v>
      </c>
      <c r="DT15" s="115"/>
      <c r="DU15" s="116" t="s">
        <v>87</v>
      </c>
      <c r="DV15" s="297" t="str">
        <f>$R15</f>
        <v>EDSC2012</v>
      </c>
      <c r="DW15" s="116" t="s">
        <v>89</v>
      </c>
      <c r="DX15" s="115"/>
      <c r="DY15" s="116" t="s">
        <v>87</v>
      </c>
      <c r="DZ15" s="297" t="str">
        <f>$R15</f>
        <v>EDSC2012</v>
      </c>
      <c r="EA15" s="116" t="s">
        <v>89</v>
      </c>
      <c r="EB15" s="115"/>
      <c r="EC15" s="116" t="s">
        <v>87</v>
      </c>
      <c r="ED15" s="297" t="str">
        <f>$R15</f>
        <v>EDSC2012</v>
      </c>
      <c r="EE15" s="116" t="s">
        <v>89</v>
      </c>
      <c r="EF15" s="115"/>
      <c r="EG15" s="116" t="s">
        <v>87</v>
      </c>
      <c r="EH15" s="297" t="str">
        <f>$R15</f>
        <v>EDSC2012</v>
      </c>
      <c r="EI15" s="116" t="s">
        <v>89</v>
      </c>
      <c r="EJ15" s="115"/>
      <c r="EK15" s="116" t="s">
        <v>87</v>
      </c>
      <c r="EL15" s="297" t="str">
        <f>$R15</f>
        <v>EDSC2012</v>
      </c>
      <c r="EM15" s="116" t="s">
        <v>89</v>
      </c>
      <c r="EN15" s="115"/>
      <c r="EO15" s="116" t="s">
        <v>87</v>
      </c>
      <c r="EP15" s="297" t="str">
        <f>$R15</f>
        <v>EDSC2012</v>
      </c>
      <c r="EQ15" s="116" t="s">
        <v>89</v>
      </c>
      <c r="ER15" s="115"/>
      <c r="ES15" s="116" t="s">
        <v>87</v>
      </c>
      <c r="ET15" s="297" t="str">
        <f>$R15</f>
        <v>EDSC2012</v>
      </c>
      <c r="EU15" s="116" t="s">
        <v>89</v>
      </c>
      <c r="EV15" s="115"/>
      <c r="EW15" s="116" t="s">
        <v>87</v>
      </c>
      <c r="EX15" s="297" t="str">
        <f>$R15</f>
        <v>EDSC2012</v>
      </c>
      <c r="EY15" s="116" t="s">
        <v>89</v>
      </c>
      <c r="EZ15" s="115"/>
      <c r="FA15" s="116" t="s">
        <v>87</v>
      </c>
      <c r="FB15" s="297" t="str">
        <f>$R15</f>
        <v>EDSC2012</v>
      </c>
      <c r="FC15" s="116" t="s">
        <v>89</v>
      </c>
      <c r="FD15" s="115"/>
      <c r="FE15" s="116" t="s">
        <v>87</v>
      </c>
      <c r="FF15" s="297" t="str">
        <f>$R15</f>
        <v>EDSC2012</v>
      </c>
      <c r="FG15" s="116" t="s">
        <v>89</v>
      </c>
      <c r="FH15" s="115"/>
      <c r="FI15" s="116" t="s">
        <v>87</v>
      </c>
      <c r="FJ15" s="297" t="str">
        <f>$R15</f>
        <v>EDSC2012</v>
      </c>
      <c r="FK15" s="116" t="s">
        <v>89</v>
      </c>
      <c r="FL15" s="115"/>
      <c r="FM15" s="116" t="s">
        <v>87</v>
      </c>
      <c r="FN15" s="297" t="str">
        <f>$R15</f>
        <v>EDSC2012</v>
      </c>
      <c r="FO15" s="116" t="s">
        <v>89</v>
      </c>
      <c r="FP15" s="115"/>
      <c r="FQ15" s="116" t="s">
        <v>87</v>
      </c>
      <c r="FR15" s="297" t="str">
        <f>$R15</f>
        <v>EDSC2012</v>
      </c>
      <c r="FS15" s="116" t="s">
        <v>89</v>
      </c>
      <c r="FT15" s="115"/>
      <c r="FU15" s="116" t="s">
        <v>87</v>
      </c>
      <c r="FV15" s="297" t="str">
        <f>$R15</f>
        <v>EDSC2012</v>
      </c>
      <c r="FW15" s="116" t="s">
        <v>89</v>
      </c>
      <c r="FX15" s="115"/>
      <c r="FY15" s="116" t="s">
        <v>87</v>
      </c>
      <c r="FZ15" s="297" t="str">
        <f>$R15</f>
        <v>EDSC2012</v>
      </c>
      <c r="GA15" s="116" t="s">
        <v>89</v>
      </c>
      <c r="GB15" s="115"/>
      <c r="GC15" s="116" t="s">
        <v>87</v>
      </c>
      <c r="GD15" s="297" t="str">
        <f>$R15</f>
        <v>EDSC2012</v>
      </c>
      <c r="GE15" s="116" t="s">
        <v>89</v>
      </c>
      <c r="GF15" s="115"/>
      <c r="GG15" s="116" t="s">
        <v>87</v>
      </c>
      <c r="GH15" s="297" t="str">
        <f>$R15</f>
        <v>EDSC2012</v>
      </c>
      <c r="GI15" s="116" t="s">
        <v>89</v>
      </c>
      <c r="GJ15" s="115"/>
      <c r="GK15" s="116" t="s">
        <v>87</v>
      </c>
      <c r="GL15" s="297" t="str">
        <f>$R15</f>
        <v>EDSC2012</v>
      </c>
      <c r="GM15" s="116" t="s">
        <v>89</v>
      </c>
      <c r="GN15" s="115"/>
      <c r="GO15" s="116" t="s">
        <v>87</v>
      </c>
      <c r="GP15" s="297" t="str">
        <f>$R15</f>
        <v>EDSC2012</v>
      </c>
      <c r="GQ15" s="116" t="s">
        <v>89</v>
      </c>
      <c r="GR15" s="115"/>
      <c r="GS15" s="116" t="s">
        <v>87</v>
      </c>
      <c r="GT15" s="297" t="str">
        <f>$R15</f>
        <v>EDSC2012</v>
      </c>
      <c r="GU15" s="116" t="s">
        <v>89</v>
      </c>
      <c r="GV15" s="115"/>
      <c r="GW15" s="116" t="s">
        <v>87</v>
      </c>
      <c r="GX15" s="297" t="str">
        <f>$R15</f>
        <v>EDSC2012</v>
      </c>
      <c r="GY15" s="116" t="s">
        <v>89</v>
      </c>
      <c r="GZ15" s="115"/>
      <c r="HA15" s="116" t="s">
        <v>87</v>
      </c>
      <c r="HB15" s="297" t="str">
        <f>$R15</f>
        <v>EDSC2012</v>
      </c>
      <c r="HC15" s="116" t="s">
        <v>89</v>
      </c>
      <c r="HD15" s="115"/>
      <c r="HE15" s="116" t="s">
        <v>87</v>
      </c>
      <c r="HF15" s="297" t="str">
        <f>$R15</f>
        <v>EDSC2012</v>
      </c>
      <c r="HG15" s="116" t="s">
        <v>89</v>
      </c>
      <c r="HH15" s="115"/>
      <c r="HI15" s="116" t="s">
        <v>87</v>
      </c>
      <c r="HJ15" s="297" t="str">
        <f>$R15</f>
        <v>EDSC2012</v>
      </c>
      <c r="HK15" s="116" t="s">
        <v>89</v>
      </c>
      <c r="HL15" s="115"/>
      <c r="HM15" s="116" t="s">
        <v>87</v>
      </c>
      <c r="HN15" s="297" t="str">
        <f>$R15</f>
        <v>EDSC2012</v>
      </c>
      <c r="HO15" s="116" t="s">
        <v>89</v>
      </c>
      <c r="HP15" s="115"/>
      <c r="HQ15" s="116" t="s">
        <v>87</v>
      </c>
      <c r="HR15" s="297" t="str">
        <f>$R15</f>
        <v>EDSC2012</v>
      </c>
      <c r="HS15" s="116" t="s">
        <v>89</v>
      </c>
      <c r="HT15" s="115"/>
      <c r="HU15" s="116" t="s">
        <v>87</v>
      </c>
      <c r="HV15" s="297" t="str">
        <f>$R15</f>
        <v>EDSC2012</v>
      </c>
      <c r="HW15" s="116" t="s">
        <v>89</v>
      </c>
      <c r="HX15" s="115"/>
      <c r="HY15" s="116" t="s">
        <v>87</v>
      </c>
      <c r="HZ15" s="297" t="str">
        <f>$R15</f>
        <v>EDSC2012</v>
      </c>
      <c r="IA15" s="116" t="s">
        <v>89</v>
      </c>
      <c r="IB15" s="115"/>
      <c r="IC15" s="116" t="s">
        <v>87</v>
      </c>
      <c r="ID15" s="297" t="str">
        <f>$R15</f>
        <v>EDSC2012</v>
      </c>
      <c r="IE15" s="116" t="s">
        <v>89</v>
      </c>
      <c r="IF15" s="115"/>
      <c r="IG15" s="116" t="s">
        <v>87</v>
      </c>
      <c r="IH15" s="297" t="str">
        <f>$R15</f>
        <v>EDSC2012</v>
      </c>
      <c r="II15" s="116" t="s">
        <v>89</v>
      </c>
      <c r="IJ15" s="115"/>
      <c r="IK15" s="116" t="s">
        <v>87</v>
      </c>
      <c r="IL15" s="297" t="str">
        <f>$R15</f>
        <v>EDSC2012</v>
      </c>
      <c r="IM15" s="116" t="s">
        <v>89</v>
      </c>
      <c r="IN15" s="115"/>
      <c r="IO15" s="116" t="s">
        <v>87</v>
      </c>
      <c r="IP15" s="297" t="str">
        <f>$R15</f>
        <v>EDSC2012</v>
      </c>
      <c r="IQ15" s="116" t="s">
        <v>89</v>
      </c>
      <c r="IR15" s="115"/>
      <c r="IS15" s="116" t="s">
        <v>87</v>
      </c>
      <c r="IT15" s="297" t="str">
        <f>$R15</f>
        <v>EDSC2012</v>
      </c>
      <c r="IU15" s="116" t="s">
        <v>89</v>
      </c>
      <c r="IV15" s="115"/>
      <c r="IW15" s="116" t="s">
        <v>87</v>
      </c>
      <c r="IX15" s="297" t="str">
        <f>$R15</f>
        <v>EDSC2012</v>
      </c>
      <c r="IY15" s="116" t="s">
        <v>89</v>
      </c>
      <c r="IZ15" s="115"/>
      <c r="JA15" s="116" t="s">
        <v>87</v>
      </c>
      <c r="JB15" s="297" t="str">
        <f>$R15</f>
        <v>EDSC2012</v>
      </c>
      <c r="JC15" s="116" t="s">
        <v>89</v>
      </c>
      <c r="JD15" s="115"/>
      <c r="JE15" s="116" t="s">
        <v>87</v>
      </c>
      <c r="JF15" s="297" t="str">
        <f>$R15</f>
        <v>EDSC2012</v>
      </c>
      <c r="JG15" s="116" t="s">
        <v>89</v>
      </c>
      <c r="JH15" s="115"/>
      <c r="JI15" s="116" t="s">
        <v>87</v>
      </c>
      <c r="JJ15" s="297" t="str">
        <f>$R15</f>
        <v>EDSC2012</v>
      </c>
      <c r="JK15" s="116" t="s">
        <v>89</v>
      </c>
      <c r="JL15" s="115"/>
      <c r="JM15" s="116" t="s">
        <v>87</v>
      </c>
      <c r="JN15" s="297" t="str">
        <f>$R15</f>
        <v>EDSC2012</v>
      </c>
      <c r="JO15" s="116" t="s">
        <v>89</v>
      </c>
      <c r="JP15" s="115"/>
      <c r="JQ15" s="116" t="s">
        <v>87</v>
      </c>
      <c r="JR15" s="297" t="str">
        <f>$R15</f>
        <v>EDSC2012</v>
      </c>
      <c r="JS15" s="116" t="s">
        <v>89</v>
      </c>
      <c r="JT15" s="115"/>
      <c r="JU15" s="116" t="s">
        <v>87</v>
      </c>
      <c r="JV15" s="297" t="str">
        <f>$R15</f>
        <v>EDSC2012</v>
      </c>
      <c r="JW15" s="116" t="s">
        <v>89</v>
      </c>
      <c r="JX15" s="115"/>
      <c r="JY15" s="116" t="s">
        <v>87</v>
      </c>
      <c r="JZ15" s="297" t="str">
        <f>$R15</f>
        <v>EDSC2012</v>
      </c>
      <c r="KA15" s="116" t="s">
        <v>89</v>
      </c>
      <c r="KB15" s="115"/>
      <c r="KC15" s="116" t="s">
        <v>87</v>
      </c>
      <c r="KD15" s="297" t="str">
        <f>$R15</f>
        <v>EDSC2012</v>
      </c>
      <c r="KE15" s="116" t="s">
        <v>89</v>
      </c>
      <c r="KF15" s="115"/>
      <c r="KG15" s="116" t="s">
        <v>87</v>
      </c>
      <c r="KH15" s="297" t="str">
        <f>$R15</f>
        <v>EDSC2012</v>
      </c>
      <c r="KI15" s="116" t="s">
        <v>89</v>
      </c>
      <c r="KJ15" s="115"/>
      <c r="KK15" s="116" t="s">
        <v>87</v>
      </c>
      <c r="KL15" s="297" t="str">
        <f>$R15</f>
        <v>EDSC2012</v>
      </c>
      <c r="KM15" s="116" t="s">
        <v>89</v>
      </c>
      <c r="KN15" s="115"/>
      <c r="KO15" s="116" t="s">
        <v>87</v>
      </c>
      <c r="KP15" s="297" t="str">
        <f>$R15</f>
        <v>EDSC2012</v>
      </c>
      <c r="KQ15" s="116" t="s">
        <v>89</v>
      </c>
      <c r="KR15" s="115"/>
      <c r="KS15" s="116" t="s">
        <v>87</v>
      </c>
      <c r="KT15" s="297" t="str">
        <f>$R15</f>
        <v>EDSC2012</v>
      </c>
      <c r="KU15" s="116" t="s">
        <v>89</v>
      </c>
      <c r="KV15" s="115"/>
      <c r="KW15" s="116" t="s">
        <v>87</v>
      </c>
      <c r="KX15" s="297" t="str">
        <f>$R15</f>
        <v>EDSC2012</v>
      </c>
      <c r="KY15" s="116" t="s">
        <v>89</v>
      </c>
      <c r="KZ15" s="115"/>
      <c r="LA15" s="116" t="s">
        <v>87</v>
      </c>
      <c r="LB15" s="297" t="str">
        <f>$R15</f>
        <v>EDSC2012</v>
      </c>
      <c r="LC15" s="116" t="s">
        <v>89</v>
      </c>
      <c r="LD15" s="115"/>
      <c r="LE15" s="116" t="s">
        <v>87</v>
      </c>
      <c r="LF15" s="297" t="str">
        <f>$R15</f>
        <v>EDSC2012</v>
      </c>
      <c r="LG15" s="116" t="s">
        <v>89</v>
      </c>
      <c r="LH15" s="115"/>
      <c r="LI15" s="116" t="s">
        <v>87</v>
      </c>
      <c r="LJ15" s="297" t="str">
        <f>$R15</f>
        <v>EDSC2012</v>
      </c>
      <c r="LK15" s="116" t="s">
        <v>89</v>
      </c>
      <c r="LL15" s="115"/>
      <c r="LM15" s="116" t="s">
        <v>87</v>
      </c>
      <c r="LN15" s="297" t="str">
        <f>$R15</f>
        <v>EDSC2012</v>
      </c>
      <c r="LO15" s="116" t="s">
        <v>89</v>
      </c>
      <c r="LP15" s="115"/>
      <c r="LQ15" s="116" t="s">
        <v>87</v>
      </c>
      <c r="LR15" s="297" t="str">
        <f>$R15</f>
        <v>EDSC2012</v>
      </c>
      <c r="LS15" s="116" t="s">
        <v>89</v>
      </c>
      <c r="LT15" s="115"/>
      <c r="LU15" s="116" t="s">
        <v>87</v>
      </c>
      <c r="LV15" s="297" t="str">
        <f>$R15</f>
        <v>EDSC2012</v>
      </c>
      <c r="LW15" s="116" t="s">
        <v>89</v>
      </c>
      <c r="LX15" s="115"/>
      <c r="LY15" s="116" t="s">
        <v>87</v>
      </c>
      <c r="LZ15" s="297" t="str">
        <f>$R15</f>
        <v>EDSC2012</v>
      </c>
      <c r="MA15" s="116" t="s">
        <v>89</v>
      </c>
      <c r="MB15" s="115"/>
      <c r="MC15" s="116" t="s">
        <v>87</v>
      </c>
      <c r="MD15" s="297" t="str">
        <f>$R15</f>
        <v>EDSC2012</v>
      </c>
      <c r="ME15" s="116" t="s">
        <v>89</v>
      </c>
      <c r="MF15" s="115"/>
      <c r="MG15" s="116" t="s">
        <v>87</v>
      </c>
      <c r="MH15" s="297" t="str">
        <f>$R15</f>
        <v>EDSC2012</v>
      </c>
      <c r="MI15" s="116" t="s">
        <v>89</v>
      </c>
      <c r="MJ15" s="115"/>
      <c r="MK15" s="116" t="s">
        <v>87</v>
      </c>
      <c r="ML15" s="297" t="str">
        <f>$R15</f>
        <v>EDSC2012</v>
      </c>
      <c r="MM15" s="116" t="s">
        <v>89</v>
      </c>
      <c r="MN15" s="115"/>
      <c r="MO15" s="116" t="s">
        <v>87</v>
      </c>
      <c r="MP15" s="297" t="str">
        <f>$R15</f>
        <v>EDSC2012</v>
      </c>
      <c r="MQ15" s="116" t="s">
        <v>89</v>
      </c>
      <c r="MR15" s="115"/>
      <c r="MS15" s="116" t="s">
        <v>87</v>
      </c>
      <c r="MT15" s="297" t="str">
        <f>$R15</f>
        <v>EDSC2012</v>
      </c>
      <c r="MU15" s="116" t="s">
        <v>89</v>
      </c>
      <c r="MV15" s="115"/>
      <c r="MW15" s="116" t="s">
        <v>87</v>
      </c>
      <c r="MX15" s="297" t="str">
        <f>$R15</f>
        <v>EDSC2012</v>
      </c>
      <c r="MY15" s="116" t="s">
        <v>89</v>
      </c>
      <c r="MZ15" s="115"/>
      <c r="NA15" s="116" t="s">
        <v>87</v>
      </c>
      <c r="NB15" s="297" t="str">
        <f>$R15</f>
        <v>EDSC2012</v>
      </c>
      <c r="NC15" s="116" t="s">
        <v>89</v>
      </c>
      <c r="ND15" s="115"/>
      <c r="NE15" s="116" t="s">
        <v>87</v>
      </c>
      <c r="NF15" s="297" t="str">
        <f>$R15</f>
        <v>EDSC2012</v>
      </c>
      <c r="NG15" s="116" t="s">
        <v>89</v>
      </c>
      <c r="NH15" s="115"/>
      <c r="NI15" s="116" t="s">
        <v>87</v>
      </c>
      <c r="NJ15" s="297" t="str">
        <f>$R15</f>
        <v>EDSC2012</v>
      </c>
      <c r="NK15" s="116" t="s">
        <v>89</v>
      </c>
      <c r="NL15" s="115"/>
      <c r="NM15" s="116" t="s">
        <v>87</v>
      </c>
      <c r="NN15" s="297" t="str">
        <f>$R15</f>
        <v>EDSC2012</v>
      </c>
      <c r="NO15" s="116" t="s">
        <v>89</v>
      </c>
      <c r="NP15" s="115"/>
      <c r="NQ15" s="116" t="s">
        <v>87</v>
      </c>
      <c r="NR15" s="297" t="str">
        <f>$R15</f>
        <v>EDSC2012</v>
      </c>
      <c r="NS15" s="116" t="s">
        <v>89</v>
      </c>
      <c r="NT15" s="115"/>
      <c r="NU15" s="116" t="s">
        <v>87</v>
      </c>
      <c r="NV15" s="297" t="str">
        <f>$R15</f>
        <v>EDSC2012</v>
      </c>
      <c r="NW15" s="116" t="s">
        <v>89</v>
      </c>
      <c r="NX15" s="115"/>
      <c r="NY15" s="116" t="s">
        <v>87</v>
      </c>
      <c r="NZ15" s="297" t="str">
        <f>$R15</f>
        <v>EDSC2012</v>
      </c>
      <c r="OA15" s="116" t="s">
        <v>89</v>
      </c>
      <c r="OB15" s="115"/>
      <c r="OC15" s="116" t="s">
        <v>87</v>
      </c>
      <c r="OD15" s="297" t="str">
        <f>$R15</f>
        <v>EDSC2012</v>
      </c>
      <c r="OE15" s="116" t="s">
        <v>89</v>
      </c>
      <c r="OF15" s="115"/>
      <c r="OG15" s="116" t="s">
        <v>87</v>
      </c>
      <c r="OH15" s="297" t="str">
        <f>$R15</f>
        <v>EDSC2012</v>
      </c>
      <c r="OI15" s="116" t="s">
        <v>89</v>
      </c>
      <c r="OJ15" s="115"/>
      <c r="OK15" s="116" t="s">
        <v>87</v>
      </c>
      <c r="OL15" s="297" t="str">
        <f>$R15</f>
        <v>EDSC2012</v>
      </c>
      <c r="OM15" s="116" t="s">
        <v>89</v>
      </c>
      <c r="ON15" s="115"/>
      <c r="OO15" s="116" t="s">
        <v>87</v>
      </c>
      <c r="OP15" s="297" t="str">
        <f>$R15</f>
        <v>EDSC2012</v>
      </c>
      <c r="OQ15" s="116" t="s">
        <v>89</v>
      </c>
      <c r="OR15" s="115"/>
      <c r="OS15" s="116" t="s">
        <v>87</v>
      </c>
      <c r="OT15" s="297" t="str">
        <f>$R15</f>
        <v>EDSC2012</v>
      </c>
      <c r="OU15" s="116" t="s">
        <v>89</v>
      </c>
      <c r="OV15" s="115"/>
      <c r="OW15" s="116" t="s">
        <v>87</v>
      </c>
      <c r="OX15" s="297" t="str">
        <f>$R15</f>
        <v>EDSC2012</v>
      </c>
      <c r="OY15" s="116" t="s">
        <v>89</v>
      </c>
      <c r="OZ15" s="115"/>
      <c r="PA15" s="116" t="s">
        <v>87</v>
      </c>
      <c r="PB15" s="297" t="str">
        <f>$R15</f>
        <v>EDSC2012</v>
      </c>
      <c r="PC15" s="116" t="s">
        <v>89</v>
      </c>
      <c r="PD15" s="115"/>
      <c r="PE15" s="116" t="s">
        <v>87</v>
      </c>
      <c r="PF15" s="297" t="str">
        <f>$R15</f>
        <v>EDSC2012</v>
      </c>
      <c r="PG15" s="116" t="s">
        <v>89</v>
      </c>
      <c r="PH15" s="115"/>
      <c r="PI15" s="116" t="s">
        <v>87</v>
      </c>
      <c r="PJ15" s="297" t="str">
        <f>$R15</f>
        <v>EDSC2012</v>
      </c>
      <c r="PK15" s="116" t="s">
        <v>89</v>
      </c>
      <c r="PL15" s="115"/>
      <c r="PM15" s="116" t="s">
        <v>87</v>
      </c>
      <c r="PN15" s="297" t="str">
        <f>$R15</f>
        <v>EDSC2012</v>
      </c>
      <c r="PO15" s="116" t="s">
        <v>89</v>
      </c>
      <c r="PP15" s="115"/>
      <c r="PQ15" s="116" t="s">
        <v>87</v>
      </c>
      <c r="PR15" s="297" t="str">
        <f>$R15</f>
        <v>EDSC2012</v>
      </c>
      <c r="PS15" s="116" t="s">
        <v>89</v>
      </c>
      <c r="PT15" s="115"/>
      <c r="PU15" s="116" t="s">
        <v>87</v>
      </c>
      <c r="PV15" s="297" t="str">
        <f>$R15</f>
        <v>EDSC2012</v>
      </c>
      <c r="PW15" s="116" t="s">
        <v>89</v>
      </c>
      <c r="PX15" s="115"/>
      <c r="PY15" s="116" t="s">
        <v>87</v>
      </c>
      <c r="PZ15" s="297" t="str">
        <f>$R15</f>
        <v>EDSC2012</v>
      </c>
      <c r="QA15" s="116" t="s">
        <v>89</v>
      </c>
      <c r="QB15" s="115"/>
      <c r="QC15" s="116" t="s">
        <v>87</v>
      </c>
      <c r="QD15" s="297" t="str">
        <f>$R15</f>
        <v>EDSC2012</v>
      </c>
      <c r="QE15" s="116" t="s">
        <v>89</v>
      </c>
      <c r="QF15" s="115"/>
      <c r="QG15" s="116" t="s">
        <v>87</v>
      </c>
      <c r="QH15" s="297" t="str">
        <f>$R15</f>
        <v>EDSC2012</v>
      </c>
      <c r="QI15" s="116" t="s">
        <v>89</v>
      </c>
      <c r="QJ15" s="115"/>
    </row>
    <row r="16" spans="1:481" x14ac:dyDescent="0.25">
      <c r="A16" s="352" t="s">
        <v>387</v>
      </c>
      <c r="B16" s="268" t="s">
        <v>347</v>
      </c>
      <c r="C16" s="268" t="s">
        <v>100</v>
      </c>
      <c r="D16" s="269">
        <v>45658</v>
      </c>
      <c r="E16" s="275">
        <v>2</v>
      </c>
      <c r="F16" s="269">
        <v>45658</v>
      </c>
      <c r="G16" s="268" t="s">
        <v>376</v>
      </c>
      <c r="J16" s="141"/>
      <c r="K16" s="146" t="str">
        <f>INDEX(TableStreams[Choose your Specialisation Stream second (drop-down list)],MATCH(L16,TableStreams[UDC],0))</f>
        <v>History Education Minor Teaching Area Stream (BEd Secondary)</v>
      </c>
      <c r="L16" s="141" t="s">
        <v>355</v>
      </c>
      <c r="O16" s="332">
        <v>3</v>
      </c>
      <c r="P16" s="19">
        <v>14</v>
      </c>
      <c r="Q16" s="117" t="s">
        <v>87</v>
      </c>
      <c r="R16" s="127" t="s">
        <v>383</v>
      </c>
      <c r="S16" s="117" t="s">
        <v>89</v>
      </c>
      <c r="T16" s="104"/>
      <c r="U16" s="117" t="s">
        <v>87</v>
      </c>
      <c r="V16" s="127" t="str">
        <f>HLOOKUP(CONCATENATE(V$4,V$6),RangeMajorsSec,$O16,FALSE)</f>
        <v>EDSC4022</v>
      </c>
      <c r="W16" s="117" t="s">
        <v>89</v>
      </c>
      <c r="X16" s="104"/>
      <c r="Y16" s="117" t="s">
        <v>87</v>
      </c>
      <c r="Z16" s="127" t="str">
        <f>HLOOKUP(CONCATENATE(Z$4,Z$6),RangeMajorsSec,$O16,FALSE)</f>
        <v>THTR1001</v>
      </c>
      <c r="AA16" s="117" t="s">
        <v>89</v>
      </c>
      <c r="AB16" s="104"/>
      <c r="AC16" s="117" t="s">
        <v>87</v>
      </c>
      <c r="AD16" s="127" t="str">
        <f>HLOOKUP(CONCATENATE(AD$4,AD$6),RangeMajorsSec,$O16,FALSE)</f>
        <v>THTR1001</v>
      </c>
      <c r="AE16" s="117" t="s">
        <v>89</v>
      </c>
      <c r="AF16" s="104"/>
      <c r="AG16" s="117" t="s">
        <v>87</v>
      </c>
      <c r="AH16" s="127" t="str">
        <f>HLOOKUP(CONCATENATE(AH$4,AH$6),RangeMajorsSec,$O16,FALSE)</f>
        <v>THTR1001</v>
      </c>
      <c r="AI16" s="117" t="s">
        <v>89</v>
      </c>
      <c r="AJ16" s="104"/>
      <c r="AK16" s="117" t="s">
        <v>87</v>
      </c>
      <c r="AL16" s="127" t="str">
        <f>HLOOKUP(CONCATENATE(AL$4,AL$6),RangeMajorsSec,$O16,FALSE)</f>
        <v>THTR1001</v>
      </c>
      <c r="AM16" s="117" t="s">
        <v>89</v>
      </c>
      <c r="AN16" s="104"/>
      <c r="AO16" s="117" t="s">
        <v>87</v>
      </c>
      <c r="AP16" s="127" t="str">
        <f>HLOOKUP(CONCATENATE(AP$4,AP$6),RangeMajorsSec,$O16,FALSE)</f>
        <v>THTR1001</v>
      </c>
      <c r="AQ16" s="117" t="s">
        <v>89</v>
      </c>
      <c r="AR16" s="104"/>
      <c r="AS16" s="117" t="s">
        <v>87</v>
      </c>
      <c r="AT16" s="127" t="str">
        <f>HLOOKUP(CONCATENATE(AT$4,AT$6),RangeMajorsSec,$O16,FALSE)</f>
        <v>THTR1001</v>
      </c>
      <c r="AU16" s="117" t="s">
        <v>89</v>
      </c>
      <c r="AV16" s="104"/>
      <c r="AW16" s="117" t="s">
        <v>87</v>
      </c>
      <c r="AX16" s="127" t="str">
        <f>HLOOKUP(CONCATENATE(AX$4,AX$6),RangeMajorsSec,$O16,FALSE)</f>
        <v>THTR1001</v>
      </c>
      <c r="AY16" s="117" t="s">
        <v>89</v>
      </c>
      <c r="AZ16" s="104"/>
      <c r="BA16" s="117" t="s">
        <v>87</v>
      </c>
      <c r="BB16" s="127" t="str">
        <f>HLOOKUP(CONCATENATE(BB$4,BB$6),RangeMajorsSec,$O16,FALSE)</f>
        <v>EDSC4032</v>
      </c>
      <c r="BC16" s="117" t="s">
        <v>89</v>
      </c>
      <c r="BD16" s="104"/>
      <c r="BE16" s="117" t="s">
        <v>87</v>
      </c>
      <c r="BF16" s="127" t="str">
        <f>HLOOKUP(CONCATENATE(BF$4,BF$6),RangeMajorsSec,$O16,FALSE)</f>
        <v>EDSC4032</v>
      </c>
      <c r="BG16" s="117" t="s">
        <v>89</v>
      </c>
      <c r="BH16" s="104"/>
      <c r="BI16" s="117" t="s">
        <v>87</v>
      </c>
      <c r="BJ16" s="127" t="str">
        <f>HLOOKUP(CONCATENATE(BJ$4,BJ$6),RangeMajorsSec,$O16,FALSE)</f>
        <v>EDSC4032</v>
      </c>
      <c r="BK16" s="117" t="s">
        <v>89</v>
      </c>
      <c r="BL16" s="104"/>
      <c r="BM16" s="117" t="s">
        <v>87</v>
      </c>
      <c r="BN16" s="127" t="str">
        <f>HLOOKUP(CONCATENATE(BN$4,BN$6),RangeMajorsSec,$O16,FALSE)</f>
        <v>EDSC4032</v>
      </c>
      <c r="BO16" s="117" t="s">
        <v>89</v>
      </c>
      <c r="BP16" s="104"/>
      <c r="BQ16" s="117" t="s">
        <v>87</v>
      </c>
      <c r="BR16" s="127" t="str">
        <f>HLOOKUP(CONCATENATE(BR$4,BR$6),RangeMajorsSec,$O16,FALSE)</f>
        <v>EDSC4032</v>
      </c>
      <c r="BS16" s="117" t="s">
        <v>89</v>
      </c>
      <c r="BT16" s="104"/>
      <c r="BU16" s="117" t="s">
        <v>87</v>
      </c>
      <c r="BV16" s="127" t="str">
        <f>HLOOKUP(CONCATENATE(BV$4,BV$6),RangeMajorsSec,$O16,FALSE)</f>
        <v>EDSC4032</v>
      </c>
      <c r="BW16" s="117" t="s">
        <v>89</v>
      </c>
      <c r="BX16" s="104"/>
      <c r="BY16" s="117" t="s">
        <v>87</v>
      </c>
      <c r="BZ16" s="127" t="str">
        <f>HLOOKUP(CONCATENATE(BZ$4,BZ$6),RangeMajorsSec,$O16,FALSE)</f>
        <v>EDSC4032</v>
      </c>
      <c r="CA16" s="117" t="s">
        <v>89</v>
      </c>
      <c r="CB16" s="104"/>
      <c r="CC16" s="117" t="s">
        <v>87</v>
      </c>
      <c r="CD16" s="127" t="str">
        <f>HLOOKUP(CONCATENATE(CD$4,CD$6),RangeMajorsSec,$O16,FALSE)</f>
        <v>EDSC4032</v>
      </c>
      <c r="CE16" s="117" t="s">
        <v>89</v>
      </c>
      <c r="CF16" s="104"/>
      <c r="CG16" s="117" t="s">
        <v>87</v>
      </c>
      <c r="CH16" s="127" t="str">
        <f>HLOOKUP(CONCATENATE(CH$4,CH$6),RangeMajorsSec,$O16,FALSE)</f>
        <v>EDSC4032</v>
      </c>
      <c r="CI16" s="117" t="s">
        <v>89</v>
      </c>
      <c r="CJ16" s="104"/>
      <c r="CK16" s="117" t="s">
        <v>87</v>
      </c>
      <c r="CL16" s="127" t="str">
        <f>HLOOKUP(CONCATENATE(CL$4,CL$6),RangeMajorsSec,$O16,FALSE)</f>
        <v>EDSC4032</v>
      </c>
      <c r="CM16" s="117" t="s">
        <v>89</v>
      </c>
      <c r="CN16" s="104"/>
      <c r="CO16" s="117" t="s">
        <v>87</v>
      </c>
      <c r="CP16" s="127" t="str">
        <f>HLOOKUP(CONCATENATE(CP$4,CP$6),RangeMajorsSec,$O16,FALSE)</f>
        <v>EDSC4032</v>
      </c>
      <c r="CQ16" s="117" t="s">
        <v>89</v>
      </c>
      <c r="CR16" s="104"/>
      <c r="CS16" s="117" t="s">
        <v>87</v>
      </c>
      <c r="CT16" s="127" t="str">
        <f>HLOOKUP(CONCATENATE(CT$4,CT$6),RangeMajorsSec,$O16,FALSE)</f>
        <v>EDSC4032</v>
      </c>
      <c r="CU16" s="117" t="s">
        <v>89</v>
      </c>
      <c r="CV16" s="104"/>
      <c r="CW16" s="117" t="s">
        <v>87</v>
      </c>
      <c r="CX16" s="127" t="str">
        <f>HLOOKUP(CONCATENATE(CX$4,CX$6),RangeMajorsSec,$O16,FALSE)</f>
        <v>EDSC4032</v>
      </c>
      <c r="CY16" s="117" t="s">
        <v>89</v>
      </c>
      <c r="CZ16" s="104"/>
      <c r="DA16" s="117" t="s">
        <v>87</v>
      </c>
      <c r="DB16" s="127" t="str">
        <f>HLOOKUP(CONCATENATE(DB$4,DB$6),RangeMajorsSec,$O16,FALSE)</f>
        <v>EDSC4030</v>
      </c>
      <c r="DC16" s="117" t="s">
        <v>89</v>
      </c>
      <c r="DD16" s="104"/>
      <c r="DE16" s="117" t="s">
        <v>87</v>
      </c>
      <c r="DF16" s="127" t="str">
        <f>HLOOKUP(CONCATENATE(DF$4,DF$6),RangeMajorsSec,$O16,FALSE)</f>
        <v>EDSC4030</v>
      </c>
      <c r="DG16" s="117" t="s">
        <v>89</v>
      </c>
      <c r="DH16" s="104"/>
      <c r="DI16" s="117" t="s">
        <v>87</v>
      </c>
      <c r="DJ16" s="127" t="str">
        <f>HLOOKUP(CONCATENATE(DJ$4,DJ$6),RangeMajorsSec,$O16,FALSE)</f>
        <v>EDSC4030</v>
      </c>
      <c r="DK16" s="117" t="s">
        <v>89</v>
      </c>
      <c r="DL16" s="104"/>
      <c r="DM16" s="117" t="s">
        <v>87</v>
      </c>
      <c r="DN16" s="127" t="str">
        <f>HLOOKUP(CONCATENATE(DN$4,DN$6),RangeMajorsSec,$O16,FALSE)</f>
        <v>EDSC4030</v>
      </c>
      <c r="DO16" s="117" t="s">
        <v>89</v>
      </c>
      <c r="DP16" s="104"/>
      <c r="DQ16" s="117" t="s">
        <v>87</v>
      </c>
      <c r="DR16" s="127" t="str">
        <f>HLOOKUP(CONCATENATE(DR$4,DR$6),RangeMajorsSec,$O16,FALSE)</f>
        <v>EDSC4030</v>
      </c>
      <c r="DS16" s="117" t="s">
        <v>89</v>
      </c>
      <c r="DT16" s="104"/>
      <c r="DU16" s="117" t="s">
        <v>87</v>
      </c>
      <c r="DV16" s="127" t="str">
        <f>HLOOKUP(CONCATENATE(DV$4,DV$6),RangeMajorsSec,$O16,FALSE)</f>
        <v>EDSC4030</v>
      </c>
      <c r="DW16" s="117" t="s">
        <v>89</v>
      </c>
      <c r="DX16" s="104"/>
      <c r="DY16" s="117" t="s">
        <v>87</v>
      </c>
      <c r="DZ16" s="127" t="str">
        <f>HLOOKUP(CONCATENATE(DZ$4,DZ$6),RangeMajorsSec,$O16,FALSE)</f>
        <v>EDSC4030</v>
      </c>
      <c r="EA16" s="117" t="s">
        <v>89</v>
      </c>
      <c r="EB16" s="104"/>
      <c r="EC16" s="117" t="s">
        <v>87</v>
      </c>
      <c r="ED16" s="127" t="str">
        <f>HLOOKUP(CONCATENATE(ED$4,ED$6),RangeMajorsSec,$O16,FALSE)</f>
        <v>EDSC4030</v>
      </c>
      <c r="EE16" s="117" t="s">
        <v>89</v>
      </c>
      <c r="EF16" s="104"/>
      <c r="EG16" s="117" t="s">
        <v>87</v>
      </c>
      <c r="EH16" s="127" t="str">
        <f>HLOOKUP(CONCATENATE(EH$4,EH$6),RangeMajorsSec,$O16,FALSE)</f>
        <v>EDSC4030</v>
      </c>
      <c r="EI16" s="117" t="s">
        <v>89</v>
      </c>
      <c r="EJ16" s="104"/>
      <c r="EK16" s="117" t="s">
        <v>87</v>
      </c>
      <c r="EL16" s="127" t="str">
        <f>HLOOKUP(CONCATENATE(EL$4,EL$6),RangeMajorsSec,$O16,FALSE)</f>
        <v>EDSC4024</v>
      </c>
      <c r="EM16" s="117" t="s">
        <v>89</v>
      </c>
      <c r="EN16" s="104"/>
      <c r="EO16" s="117" t="s">
        <v>87</v>
      </c>
      <c r="EP16" s="127" t="str">
        <f>HLOOKUP(CONCATENATE(EP$4,EP$6),RangeMajorsSec,$O16,FALSE)</f>
        <v>EDSC4024</v>
      </c>
      <c r="EQ16" s="117" t="s">
        <v>89</v>
      </c>
      <c r="ER16" s="104"/>
      <c r="ES16" s="117" t="s">
        <v>87</v>
      </c>
      <c r="ET16" s="127" t="str">
        <f>HLOOKUP(CONCATENATE(ET$4,ET$6),RangeMajorsSec,$O16,FALSE)</f>
        <v>EDSC4024</v>
      </c>
      <c r="EU16" s="117" t="s">
        <v>89</v>
      </c>
      <c r="EV16" s="104"/>
      <c r="EW16" s="117" t="s">
        <v>87</v>
      </c>
      <c r="EX16" s="127" t="str">
        <f>HLOOKUP(CONCATENATE(EX$4,EX$6),RangeMajorsSec,$O16,FALSE)</f>
        <v>EDSC4024</v>
      </c>
      <c r="EY16" s="117" t="s">
        <v>89</v>
      </c>
      <c r="EZ16" s="104"/>
      <c r="FA16" s="117" t="s">
        <v>87</v>
      </c>
      <c r="FB16" s="127" t="str">
        <f>HLOOKUP(CONCATENATE(FB$4,FB$6),RangeMajorsSec,$O16,FALSE)</f>
        <v>EDSC4024</v>
      </c>
      <c r="FC16" s="117" t="s">
        <v>89</v>
      </c>
      <c r="FD16" s="104"/>
      <c r="FE16" s="117" t="s">
        <v>87</v>
      </c>
      <c r="FF16" s="127" t="str">
        <f>HLOOKUP(CONCATENATE(FF$4,FF$6),RangeMajorsSec,$O16,FALSE)</f>
        <v>EDSC4024</v>
      </c>
      <c r="FG16" s="117" t="s">
        <v>89</v>
      </c>
      <c r="FH16" s="104"/>
      <c r="FI16" s="117" t="s">
        <v>87</v>
      </c>
      <c r="FJ16" s="127" t="str">
        <f>HLOOKUP(CONCATENATE(FJ$4,FJ$6),RangeMajorsSec,$O16,FALSE)</f>
        <v>EDSC4024</v>
      </c>
      <c r="FK16" s="117" t="s">
        <v>89</v>
      </c>
      <c r="FL16" s="104"/>
      <c r="FM16" s="117" t="s">
        <v>87</v>
      </c>
      <c r="FN16" s="127" t="str">
        <f>HLOOKUP(CONCATENATE(FN$4,FN$6),RangeMajorsSec,$O16,FALSE)</f>
        <v>EDSC4024</v>
      </c>
      <c r="FO16" s="117" t="s">
        <v>89</v>
      </c>
      <c r="FP16" s="104"/>
      <c r="FQ16" s="117" t="s">
        <v>87</v>
      </c>
      <c r="FR16" s="127" t="str">
        <f>HLOOKUP(CONCATENATE(FR$4,FR$6),RangeMajorsSec,$O16,FALSE)</f>
        <v>EDSC4024</v>
      </c>
      <c r="FS16" s="117" t="s">
        <v>89</v>
      </c>
      <c r="FT16" s="104"/>
      <c r="FU16" s="117" t="s">
        <v>87</v>
      </c>
      <c r="FV16" s="127" t="str">
        <f>HLOOKUP(CONCATENATE(FV$4,FV$6),RangeMajorsSec,$O16,FALSE)</f>
        <v>EDSC4024</v>
      </c>
      <c r="FW16" s="117" t="s">
        <v>89</v>
      </c>
      <c r="FX16" s="104"/>
      <c r="FY16" s="117" t="s">
        <v>87</v>
      </c>
      <c r="FZ16" s="127" t="str">
        <f>HLOOKUP(CONCATENATE(FZ$4,FZ$6),RangeMajorsSec,$O16,FALSE)</f>
        <v>EDSC4024</v>
      </c>
      <c r="GA16" s="117" t="s">
        <v>89</v>
      </c>
      <c r="GB16" s="104"/>
      <c r="GC16" s="117" t="s">
        <v>87</v>
      </c>
      <c r="GD16" s="127" t="str">
        <f>HLOOKUP(CONCATENATE(GD$4,GD$6),RangeMajorsSec,$O16,FALSE)</f>
        <v>EDSC4024</v>
      </c>
      <c r="GE16" s="117" t="s">
        <v>89</v>
      </c>
      <c r="GF16" s="104"/>
      <c r="GG16" s="117" t="s">
        <v>87</v>
      </c>
      <c r="GH16" s="127" t="str">
        <f>HLOOKUP(CONCATENATE(GH$4,GH$6),RangeMajorsSec,$O16,FALSE)</f>
        <v>EDSC4024</v>
      </c>
      <c r="GI16" s="117" t="s">
        <v>89</v>
      </c>
      <c r="GJ16" s="104"/>
      <c r="GK16" s="117" t="s">
        <v>87</v>
      </c>
      <c r="GL16" s="127" t="str">
        <f>HLOOKUP(CONCATENATE(GL$4,GL$6),RangeMajorsSec,$O16,FALSE)</f>
        <v>EDSC4024</v>
      </c>
      <c r="GM16" s="117" t="s">
        <v>89</v>
      </c>
      <c r="GN16" s="104"/>
      <c r="GO16" s="117" t="s">
        <v>87</v>
      </c>
      <c r="GP16" s="127" t="str">
        <f>HLOOKUP(CONCATENATE(GP$4,GP$6),RangeMajorsSec,$O16,FALSE)</f>
        <v>EDSC4024</v>
      </c>
      <c r="GQ16" s="117" t="s">
        <v>89</v>
      </c>
      <c r="GR16" s="104"/>
      <c r="GS16" s="117" t="s">
        <v>87</v>
      </c>
      <c r="GT16" s="127" t="str">
        <f>HLOOKUP(CONCATENATE(GT$4,GT$6),RangeMajorsSec,$O16,FALSE)</f>
        <v>EDSC4024</v>
      </c>
      <c r="GU16" s="117" t="s">
        <v>89</v>
      </c>
      <c r="GV16" s="104"/>
      <c r="GW16" s="117" t="s">
        <v>87</v>
      </c>
      <c r="GX16" s="127" t="str">
        <f>HLOOKUP(CONCATENATE(GX$4,GX$6),RangeMajorsSec,$O16,FALSE)</f>
        <v>EDSC4024</v>
      </c>
      <c r="GY16" s="117" t="s">
        <v>89</v>
      </c>
      <c r="GZ16" s="104"/>
      <c r="HA16" s="117" t="s">
        <v>87</v>
      </c>
      <c r="HB16" s="127" t="str">
        <f>HLOOKUP(CONCATENATE(HB$4,HB$6),RangeMajorsSec,$O16,FALSE)</f>
        <v>EDSC4024</v>
      </c>
      <c r="HC16" s="117" t="s">
        <v>89</v>
      </c>
      <c r="HD16" s="104"/>
      <c r="HE16" s="117" t="s">
        <v>87</v>
      </c>
      <c r="HF16" s="127" t="str">
        <f>HLOOKUP(CONCATENATE(HF$4,HF$6),RangeMajorsSec,$O16,FALSE)</f>
        <v>EDSC4024</v>
      </c>
      <c r="HG16" s="117" t="s">
        <v>89</v>
      </c>
      <c r="HH16" s="104"/>
      <c r="HI16" s="117" t="s">
        <v>87</v>
      </c>
      <c r="HJ16" s="127" t="str">
        <f>HLOOKUP(CONCATENATE(HJ$4,HJ$6),RangeMajorsSec,$O16,FALSE)</f>
        <v>EDSC4024</v>
      </c>
      <c r="HK16" s="117" t="s">
        <v>89</v>
      </c>
      <c r="HL16" s="104"/>
      <c r="HM16" s="117" t="s">
        <v>87</v>
      </c>
      <c r="HN16" s="127" t="str">
        <f>HLOOKUP(CONCATENATE(HN$4,HN$6),RangeMajorsSec,$O16,FALSE)</f>
        <v>EDSC4024</v>
      </c>
      <c r="HO16" s="117" t="s">
        <v>89</v>
      </c>
      <c r="HP16" s="104"/>
      <c r="HQ16" s="117" t="s">
        <v>87</v>
      </c>
      <c r="HR16" s="127" t="str">
        <f>HLOOKUP(CONCATENATE(HR$4,HR$6),RangeMajorsSec,$O16,FALSE)</f>
        <v>EDSC4024</v>
      </c>
      <c r="HS16" s="117" t="s">
        <v>89</v>
      </c>
      <c r="HT16" s="104"/>
      <c r="HU16" s="117" t="s">
        <v>87</v>
      </c>
      <c r="HV16" s="127" t="str">
        <f>HLOOKUP(CONCATENATE(HV$4,HV$6),RangeMajorsSec,$O16,FALSE)</f>
        <v>EDSC4024</v>
      </c>
      <c r="HW16" s="117" t="s">
        <v>89</v>
      </c>
      <c r="HX16" s="104"/>
      <c r="HY16" s="117" t="s">
        <v>87</v>
      </c>
      <c r="HZ16" s="127" t="str">
        <f>HLOOKUP(CONCATENATE(HZ$4,HZ$6),RangeMajorsSec,$O16,FALSE)</f>
        <v>EDSC4024</v>
      </c>
      <c r="IA16" s="117" t="s">
        <v>89</v>
      </c>
      <c r="IB16" s="104"/>
      <c r="IC16" s="117" t="s">
        <v>87</v>
      </c>
      <c r="ID16" s="127" t="str">
        <f>HLOOKUP(CONCATENATE(ID$4,ID$6),RangeMajorsSec,$O16,FALSE)</f>
        <v>EDSC4024</v>
      </c>
      <c r="IE16" s="117" t="s">
        <v>89</v>
      </c>
      <c r="IF16" s="104"/>
      <c r="IG16" s="117" t="s">
        <v>87</v>
      </c>
      <c r="IH16" s="127" t="str">
        <f>HLOOKUP(CONCATENATE(IH$4,IH$6),RangeMajorsSec,$O16,FALSE)</f>
        <v>EDSC4024</v>
      </c>
      <c r="II16" s="117" t="s">
        <v>89</v>
      </c>
      <c r="IJ16" s="104"/>
      <c r="IK16" s="117" t="s">
        <v>87</v>
      </c>
      <c r="IL16" s="127" t="str">
        <f>HLOOKUP(CONCATENATE(IL$4,IL$6),RangeMajorsSec,$O16,FALSE)</f>
        <v>EDSC4024</v>
      </c>
      <c r="IM16" s="117" t="s">
        <v>89</v>
      </c>
      <c r="IN16" s="104"/>
      <c r="IO16" s="117" t="s">
        <v>87</v>
      </c>
      <c r="IP16" s="127" t="str">
        <f>HLOOKUP(CONCATENATE(IP$4,IP$6),RangeMajorsSec,$O16,FALSE)</f>
        <v>EDSC4024</v>
      </c>
      <c r="IQ16" s="117" t="s">
        <v>89</v>
      </c>
      <c r="IR16" s="104"/>
      <c r="IS16" s="117" t="s">
        <v>87</v>
      </c>
      <c r="IT16" s="127" t="str">
        <f>HLOOKUP(CONCATENATE(IT$4,IT$6),RangeMajorsSec,$O16,FALSE)</f>
        <v>EDSC4024</v>
      </c>
      <c r="IU16" s="117" t="s">
        <v>89</v>
      </c>
      <c r="IV16" s="104"/>
      <c r="IW16" s="117" t="s">
        <v>87</v>
      </c>
      <c r="IX16" s="127" t="str">
        <f>HLOOKUP(CONCATENATE(IX$4,IX$6),RangeMajorsSec,$O16,FALSE)</f>
        <v>EDSC4024</v>
      </c>
      <c r="IY16" s="117" t="s">
        <v>89</v>
      </c>
      <c r="IZ16" s="104"/>
      <c r="JA16" s="117" t="s">
        <v>87</v>
      </c>
      <c r="JB16" s="127" t="str">
        <f>HLOOKUP(CONCATENATE(JB$4,JB$6),RangeMajorsSec,$O16,FALSE)</f>
        <v>EDSC4024</v>
      </c>
      <c r="JC16" s="117" t="s">
        <v>89</v>
      </c>
      <c r="JD16" s="104"/>
      <c r="JE16" s="117" t="s">
        <v>87</v>
      </c>
      <c r="JF16" s="127" t="str">
        <f>HLOOKUP(CONCATENATE(JF$4,JF$6),RangeMajorsSec,$O16,FALSE)</f>
        <v>EDSC4024</v>
      </c>
      <c r="JG16" s="117" t="s">
        <v>89</v>
      </c>
      <c r="JH16" s="104"/>
      <c r="JI16" s="117" t="s">
        <v>87</v>
      </c>
      <c r="JJ16" s="127" t="str">
        <f>HLOOKUP(CONCATENATE(JJ$4,JJ$6),RangeMajorsSec,$O16,FALSE)</f>
        <v>EDSC4024</v>
      </c>
      <c r="JK16" s="117" t="s">
        <v>89</v>
      </c>
      <c r="JL16" s="104"/>
      <c r="JM16" s="117" t="s">
        <v>87</v>
      </c>
      <c r="JN16" s="127" t="str">
        <f>HLOOKUP(CONCATENATE(JN$4,JN$6),RangeMajorsSec,$O16,FALSE)</f>
        <v>EDSC4020</v>
      </c>
      <c r="JO16" s="117" t="s">
        <v>89</v>
      </c>
      <c r="JP16" s="104"/>
      <c r="JQ16" s="117" t="s">
        <v>87</v>
      </c>
      <c r="JR16" s="127" t="str">
        <f>HLOOKUP(CONCATENATE(JR$4,JR$6),RangeMajorsSec,$O16,FALSE)</f>
        <v>EDSC4020</v>
      </c>
      <c r="JS16" s="117" t="s">
        <v>89</v>
      </c>
      <c r="JT16" s="104"/>
      <c r="JU16" s="117" t="s">
        <v>87</v>
      </c>
      <c r="JV16" s="127" t="str">
        <f>HLOOKUP(CONCATENATE(JV$4,JV$6),RangeMajorsSec,$O16,FALSE)</f>
        <v>EDSC4020</v>
      </c>
      <c r="JW16" s="117" t="s">
        <v>89</v>
      </c>
      <c r="JX16" s="104"/>
      <c r="JY16" s="117" t="s">
        <v>87</v>
      </c>
      <c r="JZ16" s="127" t="str">
        <f>HLOOKUP(CONCATENATE(JZ$4,JZ$6),RangeMajorsSec,$O16,FALSE)</f>
        <v>EDSC4020</v>
      </c>
      <c r="KA16" s="117" t="s">
        <v>89</v>
      </c>
      <c r="KB16" s="104"/>
      <c r="KC16" s="117" t="s">
        <v>87</v>
      </c>
      <c r="KD16" s="127" t="str">
        <f>HLOOKUP(CONCATENATE(KD$4,KD$6),RangeMajorsSec,$O16,FALSE)</f>
        <v>EDSC4020</v>
      </c>
      <c r="KE16" s="117" t="s">
        <v>89</v>
      </c>
      <c r="KF16" s="104"/>
      <c r="KG16" s="117" t="s">
        <v>87</v>
      </c>
      <c r="KH16" s="127" t="str">
        <f>HLOOKUP(CONCATENATE(KH$4,KH$6),RangeMajorsSec,$O16,FALSE)</f>
        <v>EDSC4020</v>
      </c>
      <c r="KI16" s="117" t="s">
        <v>89</v>
      </c>
      <c r="KJ16" s="104"/>
      <c r="KK16" s="117" t="s">
        <v>87</v>
      </c>
      <c r="KL16" s="127" t="str">
        <f>HLOOKUP(CONCATENATE(KL$4,KL$6),RangeMajorsSec,$O16,FALSE)</f>
        <v>EDSC4020</v>
      </c>
      <c r="KM16" s="117" t="s">
        <v>89</v>
      </c>
      <c r="KN16" s="104"/>
      <c r="KO16" s="117" t="s">
        <v>87</v>
      </c>
      <c r="KP16" s="127" t="str">
        <f>HLOOKUP(CONCATENATE(KP$4,KP$6),RangeMajorsSec,$O16,FALSE)</f>
        <v>EDSC4020</v>
      </c>
      <c r="KQ16" s="117" t="s">
        <v>89</v>
      </c>
      <c r="KR16" s="104"/>
      <c r="KS16" s="117" t="s">
        <v>87</v>
      </c>
      <c r="KT16" s="127" t="str">
        <f>HLOOKUP(CONCATENATE(KT$4,KT$6),RangeMajorsSec,$O16,FALSE)</f>
        <v>EDSC4020</v>
      </c>
      <c r="KU16" s="117" t="s">
        <v>89</v>
      </c>
      <c r="KV16" s="104"/>
      <c r="KW16" s="117" t="s">
        <v>87</v>
      </c>
      <c r="KX16" s="362" t="s">
        <v>60</v>
      </c>
      <c r="KY16" s="117" t="s">
        <v>89</v>
      </c>
      <c r="KZ16" s="104"/>
      <c r="LA16" s="117" t="s">
        <v>87</v>
      </c>
      <c r="LB16" s="362" t="s">
        <v>60</v>
      </c>
      <c r="LC16" s="117" t="s">
        <v>89</v>
      </c>
      <c r="LD16" s="104"/>
      <c r="LE16" s="117" t="s">
        <v>87</v>
      </c>
      <c r="LF16" s="127" t="str">
        <f>HLOOKUP(CONCATENATE(LF$4,LF$6),RangeMajorsSec,$O16,FALSE)</f>
        <v>EDSC4022</v>
      </c>
      <c r="LG16" s="117" t="s">
        <v>89</v>
      </c>
      <c r="LH16" s="104"/>
      <c r="LI16" s="117" t="s">
        <v>87</v>
      </c>
      <c r="LJ16" s="127" t="str">
        <f>HLOOKUP(CONCATENATE(LJ$4,LJ$6),RangeMajorsSec,$O16,FALSE)</f>
        <v>EDSC4022</v>
      </c>
      <c r="LK16" s="117" t="s">
        <v>89</v>
      </c>
      <c r="LL16" s="104"/>
      <c r="LM16" s="117" t="s">
        <v>87</v>
      </c>
      <c r="LN16" s="127" t="str">
        <f>HLOOKUP(CONCATENATE(LN$4,LN$6),RangeMajorsSec,$O16,FALSE)</f>
        <v>EDSC4022</v>
      </c>
      <c r="LO16" s="117" t="s">
        <v>89</v>
      </c>
      <c r="LP16" s="104"/>
      <c r="LQ16" s="117" t="s">
        <v>87</v>
      </c>
      <c r="LR16" s="127" t="str">
        <f>HLOOKUP(CONCATENATE(LR$4,LR$6),RangeMajorsSec,$O16,FALSE)</f>
        <v>EDSC4022</v>
      </c>
      <c r="LS16" s="117" t="s">
        <v>89</v>
      </c>
      <c r="LT16" s="104"/>
      <c r="LU16" s="117" t="s">
        <v>87</v>
      </c>
      <c r="LV16" s="127" t="str">
        <f>HLOOKUP(CONCATENATE(LV$4,LV$6),RangeMajorsSec,$O16,FALSE)</f>
        <v>EDSC4022</v>
      </c>
      <c r="LW16" s="117" t="s">
        <v>89</v>
      </c>
      <c r="LX16" s="104"/>
      <c r="LY16" s="117" t="s">
        <v>87</v>
      </c>
      <c r="LZ16" s="127" t="str">
        <f>HLOOKUP(CONCATENATE(LZ$4,LZ$6),RangeMajorsSec,$O16,FALSE)</f>
        <v>EDSC4022</v>
      </c>
      <c r="MA16" s="117" t="s">
        <v>89</v>
      </c>
      <c r="MB16" s="104"/>
      <c r="MC16" s="117" t="s">
        <v>87</v>
      </c>
      <c r="MD16" s="127" t="str">
        <f>HLOOKUP(CONCATENATE(MD$4,MD$6),RangeMajorsSec,$O16,FALSE)</f>
        <v>EDSC4022</v>
      </c>
      <c r="ME16" s="117" t="s">
        <v>89</v>
      </c>
      <c r="MF16" s="104"/>
      <c r="MG16" s="117" t="s">
        <v>87</v>
      </c>
      <c r="MH16" s="127" t="str">
        <f>HLOOKUP(CONCATENATE(MH$4,MH$6),RangeMajorsSec,$O16,FALSE)</f>
        <v>EDSC4022</v>
      </c>
      <c r="MI16" s="117" t="s">
        <v>89</v>
      </c>
      <c r="MJ16" s="104"/>
      <c r="MK16" s="117" t="s">
        <v>87</v>
      </c>
      <c r="ML16" s="127" t="str">
        <f>HLOOKUP(CONCATENATE(ML$4,ML$6),RangeMajorsSec,$O16,FALSE)</f>
        <v>EDSC4022</v>
      </c>
      <c r="MM16" s="117" t="s">
        <v>89</v>
      </c>
      <c r="MN16" s="104"/>
      <c r="MO16" s="117" t="s">
        <v>87</v>
      </c>
      <c r="MP16" s="127" t="str">
        <f>HLOOKUP(CONCATENATE(MP$4,MP$6),RangeMajorsSec,$O16,FALSE)</f>
        <v>EDSC4022</v>
      </c>
      <c r="MQ16" s="117" t="s">
        <v>89</v>
      </c>
      <c r="MR16" s="104"/>
      <c r="MS16" s="117" t="s">
        <v>87</v>
      </c>
      <c r="MT16" s="127" t="str">
        <f>HLOOKUP(CONCATENATE(MT$4,MT$6),RangeMajorsSec,$O16,FALSE)</f>
        <v>EDSC4022</v>
      </c>
      <c r="MU16" s="117" t="s">
        <v>89</v>
      </c>
      <c r="MV16" s="104"/>
      <c r="MW16" s="117" t="s">
        <v>87</v>
      </c>
      <c r="MX16" s="127" t="str">
        <f>HLOOKUP(CONCATENATE(MX$4,MX$6),RangeMajorsSec,$O16,FALSE)</f>
        <v>EDSC4022</v>
      </c>
      <c r="MY16" s="117" t="s">
        <v>89</v>
      </c>
      <c r="MZ16" s="104"/>
      <c r="NA16" s="117" t="s">
        <v>87</v>
      </c>
      <c r="NB16" s="127" t="str">
        <f>HLOOKUP(CONCATENATE(NB$4,NB$6),RangeMajorsSec,$O16,FALSE)</f>
        <v>EDSC4022</v>
      </c>
      <c r="NC16" s="117" t="s">
        <v>89</v>
      </c>
      <c r="ND16" s="104"/>
      <c r="NE16" s="117" t="s">
        <v>87</v>
      </c>
      <c r="NF16" s="127" t="str">
        <f>HLOOKUP(CONCATENATE(NF$4,NF$6),RangeMajorsSec,$O16,FALSE)</f>
        <v>EDSC4022</v>
      </c>
      <c r="NG16" s="117" t="s">
        <v>89</v>
      </c>
      <c r="NH16" s="104"/>
      <c r="NI16" s="117" t="s">
        <v>87</v>
      </c>
      <c r="NJ16" s="127" t="str">
        <f>HLOOKUP(CONCATENATE(NJ$4,NJ$6),RangeMajorsSec,$O16,FALSE)</f>
        <v>EDSC4022</v>
      </c>
      <c r="NK16" s="117" t="s">
        <v>89</v>
      </c>
      <c r="NL16" s="104"/>
      <c r="NM16" s="117" t="s">
        <v>87</v>
      </c>
      <c r="NN16" s="127" t="str">
        <f>HLOOKUP(CONCATENATE(NN$4,NN$6),RangeMajorsSec,$O16,FALSE)</f>
        <v>EDSC4022</v>
      </c>
      <c r="NO16" s="117" t="s">
        <v>89</v>
      </c>
      <c r="NP16" s="104"/>
      <c r="NQ16" s="117" t="s">
        <v>87</v>
      </c>
      <c r="NR16" s="127" t="str">
        <f>HLOOKUP(CONCATENATE(NR$4,NR$6),RangeMajorsSec,$O16,FALSE)</f>
        <v>EDSC4022</v>
      </c>
      <c r="NS16" s="117" t="s">
        <v>89</v>
      </c>
      <c r="NT16" s="104"/>
      <c r="NU16" s="117" t="s">
        <v>87</v>
      </c>
      <c r="NV16" s="127" t="str">
        <f>HLOOKUP(CONCATENATE(NV$4,NV$6),RangeMajorsSec,$O16,FALSE)</f>
        <v>EDSC4022</v>
      </c>
      <c r="NW16" s="117" t="s">
        <v>89</v>
      </c>
      <c r="NX16" s="104"/>
      <c r="NY16" s="117" t="s">
        <v>87</v>
      </c>
      <c r="NZ16" s="127" t="str">
        <f>HLOOKUP(CONCATENATE(NZ$4,NZ$6),RangeMajorsSec,$O16,FALSE)</f>
        <v>EDSC4022</v>
      </c>
      <c r="OA16" s="117" t="s">
        <v>89</v>
      </c>
      <c r="OB16" s="104"/>
      <c r="OC16" s="117" t="s">
        <v>87</v>
      </c>
      <c r="OD16" s="127" t="str">
        <f>HLOOKUP(CONCATENATE(OD$4,OD$6),RangeMajorsSec,$O16,FALSE)</f>
        <v>EDSC4022</v>
      </c>
      <c r="OE16" s="117" t="s">
        <v>89</v>
      </c>
      <c r="OF16" s="104"/>
      <c r="OG16" s="117" t="s">
        <v>87</v>
      </c>
      <c r="OH16" s="127" t="str">
        <f>HLOOKUP(CONCATENATE(OH$4,OH$6),RangeMajorsSec,$O16,FALSE)</f>
        <v>EDSC4022</v>
      </c>
      <c r="OI16" s="117" t="s">
        <v>89</v>
      </c>
      <c r="OJ16" s="104"/>
      <c r="OK16" s="117" t="s">
        <v>87</v>
      </c>
      <c r="OL16" s="127" t="str">
        <f>HLOOKUP(CONCATENATE(OL$4,OL$6),RangeMajorsSec,$O16,FALSE)</f>
        <v>EDSC4022</v>
      </c>
      <c r="OM16" s="117" t="s">
        <v>89</v>
      </c>
      <c r="ON16" s="104"/>
      <c r="OO16" s="117" t="s">
        <v>87</v>
      </c>
      <c r="OP16" s="127" t="str">
        <f>HLOOKUP(CONCATENATE(OP$4,OP$6),RangeMajorsSec,$O16,FALSE)</f>
        <v>EDSC4022</v>
      </c>
      <c r="OQ16" s="117" t="s">
        <v>89</v>
      </c>
      <c r="OR16" s="104"/>
      <c r="OS16" s="117" t="s">
        <v>87</v>
      </c>
      <c r="OT16" s="127" t="str">
        <f>HLOOKUP(CONCATENATE(OT$4,OT$6),RangeMajorsSec,$O16,FALSE)</f>
        <v>EDSC4022</v>
      </c>
      <c r="OU16" s="117" t="s">
        <v>89</v>
      </c>
      <c r="OV16" s="104"/>
      <c r="OW16" s="117" t="s">
        <v>87</v>
      </c>
      <c r="OX16" s="127" t="str">
        <f>HLOOKUP(CONCATENATE(OX$4,OX$6),RangeMajorsSec,$O16,FALSE)</f>
        <v>EDSC4022</v>
      </c>
      <c r="OY16" s="117" t="s">
        <v>89</v>
      </c>
      <c r="OZ16" s="104"/>
      <c r="PA16" s="117" t="s">
        <v>87</v>
      </c>
      <c r="PB16" s="127" t="str">
        <f>HLOOKUP(CONCATENATE(PB$4,PB$6),RangeMajorsSec,$O16,FALSE)</f>
        <v>EDSC4022</v>
      </c>
      <c r="PC16" s="117" t="s">
        <v>89</v>
      </c>
      <c r="PD16" s="104"/>
      <c r="PE16" s="117" t="s">
        <v>87</v>
      </c>
      <c r="PF16" s="127" t="str">
        <f>HLOOKUP(CONCATENATE(PF$4,PF$6),RangeMajorsSec,$O16,FALSE)</f>
        <v>EDSC4022</v>
      </c>
      <c r="PG16" s="117" t="s">
        <v>89</v>
      </c>
      <c r="PH16" s="104"/>
      <c r="PI16" s="117" t="s">
        <v>87</v>
      </c>
      <c r="PJ16" s="127" t="str">
        <f>HLOOKUP(CONCATENATE(PJ$4,PJ$6),RangeMajorsSec,$O16,FALSE)</f>
        <v>EDSC4022</v>
      </c>
      <c r="PK16" s="117" t="s">
        <v>89</v>
      </c>
      <c r="PL16" s="104"/>
      <c r="PM16" s="117" t="s">
        <v>87</v>
      </c>
      <c r="PN16" s="127" t="str">
        <f>HLOOKUP(CONCATENATE(PN$4,PN$6),RangeMajorsSec,$O16,FALSE)</f>
        <v>EDSC4022</v>
      </c>
      <c r="PO16" s="117" t="s">
        <v>89</v>
      </c>
      <c r="PP16" s="104"/>
      <c r="PQ16" s="117" t="s">
        <v>87</v>
      </c>
      <c r="PR16" s="127" t="str">
        <f>HLOOKUP(CONCATENATE(PR$4,PR$6),RangeMajorsSec,$O16,FALSE)</f>
        <v>EDSC4022</v>
      </c>
      <c r="PS16" s="117" t="s">
        <v>89</v>
      </c>
      <c r="PT16" s="104"/>
      <c r="PU16" s="117" t="s">
        <v>87</v>
      </c>
      <c r="PV16" s="127" t="str">
        <f>HLOOKUP(CONCATENATE(PV$4,PV$6),RangeMajorsSec,$O16,FALSE)</f>
        <v>EDSC4022</v>
      </c>
      <c r="PW16" s="117" t="s">
        <v>89</v>
      </c>
      <c r="PX16" s="104"/>
      <c r="PY16" s="117" t="s">
        <v>87</v>
      </c>
      <c r="PZ16" s="127" t="str">
        <f>HLOOKUP(CONCATENATE(PZ$4,PZ$6),RangeMajorsSec,$O16,FALSE)</f>
        <v>EDSC4022</v>
      </c>
      <c r="QA16" s="117" t="s">
        <v>89</v>
      </c>
      <c r="QB16" s="104"/>
      <c r="QC16" s="117" t="s">
        <v>87</v>
      </c>
      <c r="QD16" s="127" t="e">
        <f>HLOOKUP(CONCATENATE(QD$4,QD$6),RangeMajorsSec,$O16,FALSE)</f>
        <v>#N/A</v>
      </c>
      <c r="QE16" s="117" t="s">
        <v>89</v>
      </c>
      <c r="QF16" s="104"/>
      <c r="QG16" s="117" t="s">
        <v>87</v>
      </c>
      <c r="QH16" s="127" t="e">
        <f>HLOOKUP(CONCATENATE(QH$4,QH$6),RangeMajorsSec,$O16,FALSE)</f>
        <v>#N/A</v>
      </c>
      <c r="QI16" s="117" t="s">
        <v>89</v>
      </c>
      <c r="QJ16" s="104"/>
    </row>
    <row r="17" spans="1:452" x14ac:dyDescent="0.25">
      <c r="A17" s="352" t="s">
        <v>388</v>
      </c>
      <c r="B17" s="268" t="s">
        <v>348</v>
      </c>
      <c r="C17" s="268" t="s">
        <v>100</v>
      </c>
      <c r="D17" s="269">
        <v>45658</v>
      </c>
      <c r="E17" s="268">
        <v>1</v>
      </c>
      <c r="F17" s="269">
        <v>45658</v>
      </c>
      <c r="G17" s="268" t="s">
        <v>376</v>
      </c>
      <c r="J17" s="141"/>
      <c r="K17" s="146" t="str">
        <f>INDEX(TableStreams[Choose your Specialisation Stream second (drop-down list)],MATCH(L17,TableStreams[UDC],0))</f>
        <v>Mathematics Education Minor Teaching Area Stream (BEd Secondary)</v>
      </c>
      <c r="L17" s="141" t="s">
        <v>356</v>
      </c>
      <c r="O17" s="332">
        <v>4</v>
      </c>
      <c r="P17" s="3">
        <v>15</v>
      </c>
      <c r="Q17" s="117" t="s">
        <v>87</v>
      </c>
      <c r="R17" s="127" t="s">
        <v>383</v>
      </c>
      <c r="S17" s="117" t="s">
        <v>89</v>
      </c>
      <c r="T17" s="104"/>
      <c r="U17" s="117" t="s">
        <v>87</v>
      </c>
      <c r="V17" s="127" t="str">
        <f>HLOOKUP(CONCATENATE(V$4,V$6),RangeMajorsSec,$O17,FALSE)</f>
        <v>STAT1004</v>
      </c>
      <c r="W17" s="117" t="s">
        <v>89</v>
      </c>
      <c r="X17" s="104"/>
      <c r="Y17" s="117" t="s">
        <v>87</v>
      </c>
      <c r="Z17" s="127" t="str">
        <f>HLOOKUP(CONCATENATE(Z$4,Z$6),RangeMajorsSec,$O17,FALSE)</f>
        <v>EDSC4032</v>
      </c>
      <c r="AA17" s="117" t="s">
        <v>89</v>
      </c>
      <c r="AB17" s="104"/>
      <c r="AC17" s="117" t="s">
        <v>87</v>
      </c>
      <c r="AD17" s="127" t="str">
        <f>HLOOKUP(CONCATENATE(AD$4,AD$6),RangeMajorsSec,$O17,FALSE)</f>
        <v>EDSC4032</v>
      </c>
      <c r="AE17" s="117" t="s">
        <v>89</v>
      </c>
      <c r="AF17" s="104"/>
      <c r="AG17" s="117" t="s">
        <v>87</v>
      </c>
      <c r="AH17" s="127" t="str">
        <f>HLOOKUP(CONCATENATE(AH$4,AH$6),RangeMajorsSec,$O17,FALSE)</f>
        <v>EDSC4032</v>
      </c>
      <c r="AI17" s="117" t="s">
        <v>89</v>
      </c>
      <c r="AJ17" s="104"/>
      <c r="AK17" s="117" t="s">
        <v>87</v>
      </c>
      <c r="AL17" s="127" t="str">
        <f>HLOOKUP(CONCATENATE(AL$4,AL$6),RangeMajorsSec,$O17,FALSE)</f>
        <v>EDSC4032</v>
      </c>
      <c r="AM17" s="117" t="s">
        <v>89</v>
      </c>
      <c r="AN17" s="104"/>
      <c r="AO17" s="117" t="s">
        <v>87</v>
      </c>
      <c r="AP17" s="127" t="str">
        <f>HLOOKUP(CONCATENATE(AP$4,AP$6),RangeMajorsSec,$O17,FALSE)</f>
        <v>EDSC4032</v>
      </c>
      <c r="AQ17" s="117" t="s">
        <v>89</v>
      </c>
      <c r="AR17" s="104"/>
      <c r="AS17" s="117" t="s">
        <v>87</v>
      </c>
      <c r="AT17" s="127" t="str">
        <f>HLOOKUP(CONCATENATE(AT$4,AT$6),RangeMajorsSec,$O17,FALSE)</f>
        <v>EDSC4032</v>
      </c>
      <c r="AU17" s="117" t="s">
        <v>89</v>
      </c>
      <c r="AV17" s="104"/>
      <c r="AW17" s="117" t="s">
        <v>87</v>
      </c>
      <c r="AX17" s="127" t="str">
        <f>HLOOKUP(CONCATENATE(AX$4,AX$6),RangeMajorsSec,$O17,FALSE)</f>
        <v>EDSC4032</v>
      </c>
      <c r="AY17" s="117" t="s">
        <v>89</v>
      </c>
      <c r="AZ17" s="104"/>
      <c r="BA17" s="117" t="s">
        <v>87</v>
      </c>
      <c r="BB17" s="127" t="str">
        <f>HLOOKUP(CONCATENATE(BB$4,BB$6),RangeMajorsSec,$O17,FALSE)</f>
        <v>NETS2000</v>
      </c>
      <c r="BC17" s="117" t="s">
        <v>89</v>
      </c>
      <c r="BD17" s="104"/>
      <c r="BE17" s="117" t="s">
        <v>87</v>
      </c>
      <c r="BF17" s="127" t="str">
        <f>HLOOKUP(CONCATENATE(BF$4,BF$6),RangeMajorsSec,$O17,FALSE)</f>
        <v>NETS2000</v>
      </c>
      <c r="BG17" s="117" t="s">
        <v>89</v>
      </c>
      <c r="BH17" s="104"/>
      <c r="BI17" s="117" t="s">
        <v>87</v>
      </c>
      <c r="BJ17" s="127" t="str">
        <f>HLOOKUP(CONCATENATE(BJ$4,BJ$6),RangeMajorsSec,$O17,FALSE)</f>
        <v>NETS2000</v>
      </c>
      <c r="BK17" s="117" t="s">
        <v>89</v>
      </c>
      <c r="BL17" s="104"/>
      <c r="BM17" s="117" t="s">
        <v>87</v>
      </c>
      <c r="BN17" s="127" t="str">
        <f>HLOOKUP(CONCATENATE(BN$4,BN$6),RangeMajorsSec,$O17,FALSE)</f>
        <v>NETS2000</v>
      </c>
      <c r="BO17" s="117" t="s">
        <v>89</v>
      </c>
      <c r="BP17" s="104"/>
      <c r="BQ17" s="117" t="s">
        <v>87</v>
      </c>
      <c r="BR17" s="127" t="str">
        <f>HLOOKUP(CONCATENATE(BR$4,BR$6),RangeMajorsSec,$O17,FALSE)</f>
        <v>NETS2000</v>
      </c>
      <c r="BS17" s="117" t="s">
        <v>89</v>
      </c>
      <c r="BT17" s="104"/>
      <c r="BU17" s="117" t="s">
        <v>87</v>
      </c>
      <c r="BV17" s="127" t="str">
        <f>HLOOKUP(CONCATENATE(BV$4,BV$6),RangeMajorsSec,$O17,FALSE)</f>
        <v>NETS2000</v>
      </c>
      <c r="BW17" s="117" t="s">
        <v>89</v>
      </c>
      <c r="BX17" s="104"/>
      <c r="BY17" s="117" t="s">
        <v>87</v>
      </c>
      <c r="BZ17" s="127" t="str">
        <f>HLOOKUP(CONCATENATE(BZ$4,BZ$6),RangeMajorsSec,$O17,FALSE)</f>
        <v>AC-ARVA1</v>
      </c>
      <c r="CA17" s="117" t="s">
        <v>89</v>
      </c>
      <c r="CB17" s="104"/>
      <c r="CC17" s="117" t="s">
        <v>87</v>
      </c>
      <c r="CD17" s="127" t="str">
        <f>HLOOKUP(CONCATENATE(CD$4,CD$6),RangeMajorsSec,$O17,FALSE)</f>
        <v>AC-ARVA1</v>
      </c>
      <c r="CE17" s="117" t="s">
        <v>89</v>
      </c>
      <c r="CF17" s="104"/>
      <c r="CG17" s="117" t="s">
        <v>87</v>
      </c>
      <c r="CH17" s="127" t="str">
        <f>HLOOKUP(CONCATENATE(CH$4,CH$6),RangeMajorsSec,$O17,FALSE)</f>
        <v>AC-ARVA1</v>
      </c>
      <c r="CI17" s="117" t="s">
        <v>89</v>
      </c>
      <c r="CJ17" s="104"/>
      <c r="CK17" s="117" t="s">
        <v>87</v>
      </c>
      <c r="CL17" s="127" t="str">
        <f>HLOOKUP(CONCATENATE(CL$4,CL$6),RangeMajorsSec,$O17,FALSE)</f>
        <v>AC-ARVA1</v>
      </c>
      <c r="CM17" s="117" t="s">
        <v>89</v>
      </c>
      <c r="CN17" s="104"/>
      <c r="CO17" s="117" t="s">
        <v>87</v>
      </c>
      <c r="CP17" s="127" t="str">
        <f>HLOOKUP(CONCATENATE(CP$4,CP$6),RangeMajorsSec,$O17,FALSE)</f>
        <v>AC-ARVA1</v>
      </c>
      <c r="CQ17" s="117" t="s">
        <v>89</v>
      </c>
      <c r="CR17" s="104"/>
      <c r="CS17" s="117" t="s">
        <v>87</v>
      </c>
      <c r="CT17" s="127" t="str">
        <f>HLOOKUP(CONCATENATE(CT$4,CT$6),RangeMajorsSec,$O17,FALSE)</f>
        <v>AC-ARVA1</v>
      </c>
      <c r="CU17" s="117" t="s">
        <v>89</v>
      </c>
      <c r="CV17" s="104"/>
      <c r="CW17" s="117" t="s">
        <v>87</v>
      </c>
      <c r="CX17" s="127" t="str">
        <f>HLOOKUP(CONCATENATE(CX$4,CX$6),RangeMajorsSec,$O17,FALSE)</f>
        <v>AC-ARVA1</v>
      </c>
      <c r="CY17" s="117" t="s">
        <v>89</v>
      </c>
      <c r="CZ17" s="104"/>
      <c r="DA17" s="117" t="s">
        <v>87</v>
      </c>
      <c r="DB17" s="127" t="str">
        <f>HLOOKUP(CONCATENATE(DB$4,DB$6),RangeMajorsSec,$O17,FALSE)</f>
        <v>AC-ENGL1</v>
      </c>
      <c r="DC17" s="117" t="s">
        <v>89</v>
      </c>
      <c r="DD17" s="104"/>
      <c r="DE17" s="117" t="s">
        <v>87</v>
      </c>
      <c r="DF17" s="127" t="str">
        <f>HLOOKUP(CONCATENATE(DF$4,DF$6),RangeMajorsSec,$O17,FALSE)</f>
        <v>AC-ENGL1</v>
      </c>
      <c r="DG17" s="117" t="s">
        <v>89</v>
      </c>
      <c r="DH17" s="104"/>
      <c r="DI17" s="117" t="s">
        <v>87</v>
      </c>
      <c r="DJ17" s="127" t="str">
        <f>HLOOKUP(CONCATENATE(DJ$4,DJ$6),RangeMajorsSec,$O17,FALSE)</f>
        <v>AC-ENGL1</v>
      </c>
      <c r="DK17" s="117" t="s">
        <v>89</v>
      </c>
      <c r="DL17" s="104"/>
      <c r="DM17" s="117" t="s">
        <v>87</v>
      </c>
      <c r="DN17" s="127" t="str">
        <f>HLOOKUP(CONCATENATE(DN$4,DN$6),RangeMajorsSec,$O17,FALSE)</f>
        <v>AC-ENGL1</v>
      </c>
      <c r="DO17" s="117" t="s">
        <v>89</v>
      </c>
      <c r="DP17" s="104"/>
      <c r="DQ17" s="117" t="s">
        <v>87</v>
      </c>
      <c r="DR17" s="127" t="str">
        <f>HLOOKUP(CONCATENATE(DR$4,DR$6),RangeMajorsSec,$O17,FALSE)</f>
        <v>AC-ENGL1</v>
      </c>
      <c r="DS17" s="117" t="s">
        <v>89</v>
      </c>
      <c r="DT17" s="104"/>
      <c r="DU17" s="117" t="s">
        <v>87</v>
      </c>
      <c r="DV17" s="127" t="str">
        <f>HLOOKUP(CONCATENATE(DV$4,DV$6),RangeMajorsSec,$O17,FALSE)</f>
        <v>AC-ENGL1</v>
      </c>
      <c r="DW17" s="117" t="s">
        <v>89</v>
      </c>
      <c r="DX17" s="104"/>
      <c r="DY17" s="117" t="s">
        <v>87</v>
      </c>
      <c r="DZ17" s="127" t="str">
        <f>HLOOKUP(CONCATENATE(DZ$4,DZ$6),RangeMajorsSec,$O17,FALSE)</f>
        <v>AC-ENGL1</v>
      </c>
      <c r="EA17" s="117" t="s">
        <v>89</v>
      </c>
      <c r="EB17" s="104"/>
      <c r="EC17" s="117" t="s">
        <v>87</v>
      </c>
      <c r="ED17" s="127" t="str">
        <f>HLOOKUP(CONCATENATE(ED$4,ED$6),RangeMajorsSec,$O17,FALSE)</f>
        <v>AC-ENGL1</v>
      </c>
      <c r="EE17" s="117" t="s">
        <v>89</v>
      </c>
      <c r="EF17" s="104"/>
      <c r="EG17" s="117" t="s">
        <v>87</v>
      </c>
      <c r="EH17" s="127" t="str">
        <f>HLOOKUP(CONCATENATE(EH$4,EH$6),RangeMajorsSec,$O17,FALSE)</f>
        <v>AC-ENGL1</v>
      </c>
      <c r="EI17" s="117" t="s">
        <v>89</v>
      </c>
      <c r="EJ17" s="104"/>
      <c r="EK17" s="117" t="s">
        <v>87</v>
      </c>
      <c r="EL17" s="127" t="str">
        <f>HLOOKUP(CONCATENATE(EL$4,EL$6),RangeMajorsSec,$O17,FALSE)</f>
        <v>AC-HSEC11</v>
      </c>
      <c r="EM17" s="117" t="s">
        <v>89</v>
      </c>
      <c r="EN17" s="104"/>
      <c r="EO17" s="117" t="s">
        <v>87</v>
      </c>
      <c r="EP17" s="127" t="str">
        <f>HLOOKUP(CONCATENATE(EP$4,EP$6),RangeMajorsSec,$O17,FALSE)</f>
        <v>AC-HSEC11</v>
      </c>
      <c r="EQ17" s="117" t="s">
        <v>89</v>
      </c>
      <c r="ER17" s="104"/>
      <c r="ES17" s="117" t="s">
        <v>87</v>
      </c>
      <c r="ET17" s="127" t="str">
        <f>HLOOKUP(CONCATENATE(ET$4,ET$6),RangeMajorsSec,$O17,FALSE)</f>
        <v>AC-HSEC11</v>
      </c>
      <c r="EU17" s="117" t="s">
        <v>89</v>
      </c>
      <c r="EV17" s="104"/>
      <c r="EW17" s="117" t="s">
        <v>87</v>
      </c>
      <c r="EX17" s="127" t="str">
        <f>HLOOKUP(CONCATENATE(EX$4,EX$6),RangeMajorsSec,$O17,FALSE)</f>
        <v>AC-HSEC11</v>
      </c>
      <c r="EY17" s="117" t="s">
        <v>89</v>
      </c>
      <c r="EZ17" s="104"/>
      <c r="FA17" s="117" t="s">
        <v>87</v>
      </c>
      <c r="FB17" s="127" t="str">
        <f>HLOOKUP(CONCATENATE(FB$4,FB$6),RangeMajorsSec,$O17,FALSE)</f>
        <v>AC-HSEC11</v>
      </c>
      <c r="FC17" s="117" t="s">
        <v>89</v>
      </c>
      <c r="FD17" s="104"/>
      <c r="FE17" s="117" t="s">
        <v>87</v>
      </c>
      <c r="FF17" s="127" t="str">
        <f>HLOOKUP(CONCATENATE(FF$4,FF$6),RangeMajorsSec,$O17,FALSE)</f>
        <v>AC-HSEC11</v>
      </c>
      <c r="FG17" s="117" t="s">
        <v>89</v>
      </c>
      <c r="FH17" s="104"/>
      <c r="FI17" s="117" t="s">
        <v>87</v>
      </c>
      <c r="FJ17" s="127" t="str">
        <f>HLOOKUP(CONCATENATE(FJ$4,FJ$6),RangeMajorsSec,$O17,FALSE)</f>
        <v>AC-HSEC11</v>
      </c>
      <c r="FK17" s="117" t="s">
        <v>89</v>
      </c>
      <c r="FL17" s="104"/>
      <c r="FM17" s="117" t="s">
        <v>87</v>
      </c>
      <c r="FN17" s="127" t="str">
        <f>HLOOKUP(CONCATENATE(FN$4,FN$6),RangeMajorsSec,$O17,FALSE)</f>
        <v>AC-HSEC11</v>
      </c>
      <c r="FO17" s="117" t="s">
        <v>89</v>
      </c>
      <c r="FP17" s="104"/>
      <c r="FQ17" s="117" t="s">
        <v>87</v>
      </c>
      <c r="FR17" s="127" t="str">
        <f>HLOOKUP(CONCATENATE(FR$4,FR$6),RangeMajorsSec,$O17,FALSE)</f>
        <v>GEOG1000</v>
      </c>
      <c r="FS17" s="117" t="s">
        <v>89</v>
      </c>
      <c r="FT17" s="104"/>
      <c r="FU17" s="117" t="s">
        <v>87</v>
      </c>
      <c r="FV17" s="127" t="str">
        <f>HLOOKUP(CONCATENATE(FV$4,FV$6),RangeMajorsSec,$O17,FALSE)</f>
        <v>GEOG1000</v>
      </c>
      <c r="FW17" s="117" t="s">
        <v>89</v>
      </c>
      <c r="FX17" s="104"/>
      <c r="FY17" s="117" t="s">
        <v>87</v>
      </c>
      <c r="FZ17" s="127" t="str">
        <f>HLOOKUP(CONCATENATE(FZ$4,FZ$6),RangeMajorsSec,$O17,FALSE)</f>
        <v>GEOG1000</v>
      </c>
      <c r="GA17" s="117" t="s">
        <v>89</v>
      </c>
      <c r="GB17" s="104"/>
      <c r="GC17" s="117" t="s">
        <v>87</v>
      </c>
      <c r="GD17" s="127" t="str">
        <f>HLOOKUP(CONCATENATE(GD$4,GD$6),RangeMajorsSec,$O17,FALSE)</f>
        <v>GEOG1000</v>
      </c>
      <c r="GE17" s="117" t="s">
        <v>89</v>
      </c>
      <c r="GF17" s="104"/>
      <c r="GG17" s="117" t="s">
        <v>87</v>
      </c>
      <c r="GH17" s="127" t="str">
        <f>HLOOKUP(CONCATENATE(GH$4,GH$6),RangeMajorsSec,$O17,FALSE)</f>
        <v>GEOG1000</v>
      </c>
      <c r="GI17" s="117" t="s">
        <v>89</v>
      </c>
      <c r="GJ17" s="104"/>
      <c r="GK17" s="117" t="s">
        <v>87</v>
      </c>
      <c r="GL17" s="127" t="str">
        <f>HLOOKUP(CONCATENATE(GL$4,GL$6),RangeMajorsSec,$O17,FALSE)</f>
        <v>GEOG1000</v>
      </c>
      <c r="GM17" s="117" t="s">
        <v>89</v>
      </c>
      <c r="GN17" s="104"/>
      <c r="GO17" s="117" t="s">
        <v>87</v>
      </c>
      <c r="GP17" s="127" t="str">
        <f>HLOOKUP(CONCATENATE(GP$4,GP$6),RangeMajorsSec,$O17,FALSE)</f>
        <v>GEOG1000</v>
      </c>
      <c r="GQ17" s="117" t="s">
        <v>89</v>
      </c>
      <c r="GR17" s="104"/>
      <c r="GS17" s="117" t="s">
        <v>87</v>
      </c>
      <c r="GT17" s="127" t="str">
        <f>HLOOKUP(CONCATENATE(GT$4,GT$6),RangeMajorsSec,$O17,FALSE)</f>
        <v>GEOG1000</v>
      </c>
      <c r="GU17" s="117" t="s">
        <v>89</v>
      </c>
      <c r="GV17" s="104"/>
      <c r="GW17" s="117" t="s">
        <v>87</v>
      </c>
      <c r="GX17" s="127" t="str">
        <f>HLOOKUP(CONCATENATE(GX$4,GX$6),RangeMajorsSec,$O17,FALSE)</f>
        <v>HIST1000</v>
      </c>
      <c r="GY17" s="117" t="s">
        <v>89</v>
      </c>
      <c r="GZ17" s="104"/>
      <c r="HA17" s="117" t="s">
        <v>87</v>
      </c>
      <c r="HB17" s="127" t="str">
        <f>HLOOKUP(CONCATENATE(HB$4,HB$6),RangeMajorsSec,$O17,FALSE)</f>
        <v>HIST1000</v>
      </c>
      <c r="HC17" s="117" t="s">
        <v>89</v>
      </c>
      <c r="HD17" s="104"/>
      <c r="HE17" s="117" t="s">
        <v>87</v>
      </c>
      <c r="HF17" s="127" t="str">
        <f>HLOOKUP(CONCATENATE(HF$4,HF$6),RangeMajorsSec,$O17,FALSE)</f>
        <v>HIST1000</v>
      </c>
      <c r="HG17" s="117" t="s">
        <v>89</v>
      </c>
      <c r="HH17" s="104"/>
      <c r="HI17" s="117" t="s">
        <v>87</v>
      </c>
      <c r="HJ17" s="127" t="str">
        <f>HLOOKUP(CONCATENATE(HJ$4,HJ$6),RangeMajorsSec,$O17,FALSE)</f>
        <v>HIST1000</v>
      </c>
      <c r="HK17" s="117" t="s">
        <v>89</v>
      </c>
      <c r="HL17" s="104"/>
      <c r="HM17" s="117" t="s">
        <v>87</v>
      </c>
      <c r="HN17" s="127" t="str">
        <f>HLOOKUP(CONCATENATE(HN$4,HN$6),RangeMajorsSec,$O17,FALSE)</f>
        <v>HIST1000</v>
      </c>
      <c r="HO17" s="117" t="s">
        <v>89</v>
      </c>
      <c r="HP17" s="104"/>
      <c r="HQ17" s="117" t="s">
        <v>87</v>
      </c>
      <c r="HR17" s="127" t="str">
        <f>HLOOKUP(CONCATENATE(HR$4,HR$6),RangeMajorsSec,$O17,FALSE)</f>
        <v>HIST1000</v>
      </c>
      <c r="HS17" s="117" t="s">
        <v>89</v>
      </c>
      <c r="HT17" s="104"/>
      <c r="HU17" s="117" t="s">
        <v>87</v>
      </c>
      <c r="HV17" s="127" t="str">
        <f>HLOOKUP(CONCATENATE(HV$4,HV$6),RangeMajorsSec,$O17,FALSE)</f>
        <v>HIST1000</v>
      </c>
      <c r="HW17" s="117" t="s">
        <v>89</v>
      </c>
      <c r="HX17" s="104"/>
      <c r="HY17" s="117" t="s">
        <v>87</v>
      </c>
      <c r="HZ17" s="127" t="str">
        <f>HLOOKUP(CONCATENATE(HZ$4,HZ$6),RangeMajorsSec,$O17,FALSE)</f>
        <v>HIST1000</v>
      </c>
      <c r="IA17" s="117" t="s">
        <v>89</v>
      </c>
      <c r="IB17" s="104"/>
      <c r="IC17" s="117" t="s">
        <v>87</v>
      </c>
      <c r="ID17" s="127" t="str">
        <f>HLOOKUP(CONCATENATE(ID$4,ID$6),RangeMajorsSec,$O17,FALSE)</f>
        <v>STRD1000</v>
      </c>
      <c r="IE17" s="117" t="s">
        <v>89</v>
      </c>
      <c r="IF17" s="104"/>
      <c r="IG17" s="117" t="s">
        <v>87</v>
      </c>
      <c r="IH17" s="127" t="str">
        <f>HLOOKUP(CONCATENATE(IH$4,IH$6),RangeMajorsSec,$O17,FALSE)</f>
        <v>STRD1000</v>
      </c>
      <c r="II17" s="117" t="s">
        <v>89</v>
      </c>
      <c r="IJ17" s="104"/>
      <c r="IK17" s="117" t="s">
        <v>87</v>
      </c>
      <c r="IL17" s="127" t="str">
        <f>HLOOKUP(CONCATENATE(IL$4,IL$6),RangeMajorsSec,$O17,FALSE)</f>
        <v>STRD1000</v>
      </c>
      <c r="IM17" s="117" t="s">
        <v>89</v>
      </c>
      <c r="IN17" s="104"/>
      <c r="IO17" s="117" t="s">
        <v>87</v>
      </c>
      <c r="IP17" s="127" t="str">
        <f>HLOOKUP(CONCATENATE(IP$4,IP$6),RangeMajorsSec,$O17,FALSE)</f>
        <v>STRD1000</v>
      </c>
      <c r="IQ17" s="117" t="s">
        <v>89</v>
      </c>
      <c r="IR17" s="104"/>
      <c r="IS17" s="117" t="s">
        <v>87</v>
      </c>
      <c r="IT17" s="127" t="str">
        <f>HLOOKUP(CONCATENATE(IT$4,IT$6),RangeMajorsSec,$O17,FALSE)</f>
        <v>STRD1000</v>
      </c>
      <c r="IU17" s="117" t="s">
        <v>89</v>
      </c>
      <c r="IV17" s="104"/>
      <c r="IW17" s="117" t="s">
        <v>87</v>
      </c>
      <c r="IX17" s="127" t="str">
        <f>HLOOKUP(CONCATENATE(IX$4,IX$6),RangeMajorsSec,$O17,FALSE)</f>
        <v>STRD1000</v>
      </c>
      <c r="IY17" s="117" t="s">
        <v>89</v>
      </c>
      <c r="IZ17" s="104"/>
      <c r="JA17" s="117" t="s">
        <v>87</v>
      </c>
      <c r="JB17" s="127" t="str">
        <f>HLOOKUP(CONCATENATE(JB$4,JB$6),RangeMajorsSec,$O17,FALSE)</f>
        <v>STRD1000</v>
      </c>
      <c r="JC17" s="117" t="s">
        <v>89</v>
      </c>
      <c r="JD17" s="104"/>
      <c r="JE17" s="117" t="s">
        <v>87</v>
      </c>
      <c r="JF17" s="127" t="str">
        <f>HLOOKUP(CONCATENATE(JF$4,JF$6),RangeMajorsSec,$O17,FALSE)</f>
        <v>STRD1000</v>
      </c>
      <c r="JG17" s="117" t="s">
        <v>89</v>
      </c>
      <c r="JH17" s="104"/>
      <c r="JI17" s="117" t="s">
        <v>87</v>
      </c>
      <c r="JJ17" s="127" t="str">
        <f>HLOOKUP(CONCATENATE(JJ$4,JJ$6),RangeMajorsSec,$O17,FALSE)</f>
        <v>STRD1000</v>
      </c>
      <c r="JK17" s="117" t="s">
        <v>89</v>
      </c>
      <c r="JL17" s="104"/>
      <c r="JM17" s="117" t="s">
        <v>87</v>
      </c>
      <c r="JN17" s="127" t="str">
        <f>HLOOKUP(CONCATENATE(JN$4,JN$6),RangeMajorsSec,$O17,FALSE)</f>
        <v>STAT1005</v>
      </c>
      <c r="JO17" s="117" t="s">
        <v>89</v>
      </c>
      <c r="JP17" s="104"/>
      <c r="JQ17" s="117" t="s">
        <v>87</v>
      </c>
      <c r="JR17" s="127" t="str">
        <f>HLOOKUP(CONCATENATE(JR$4,JR$6),RangeMajorsSec,$O17,FALSE)</f>
        <v>STAT1005</v>
      </c>
      <c r="JS17" s="117" t="s">
        <v>89</v>
      </c>
      <c r="JT17" s="104"/>
      <c r="JU17" s="117" t="s">
        <v>87</v>
      </c>
      <c r="JV17" s="127" t="str">
        <f>HLOOKUP(CONCATENATE(JV$4,JV$6),RangeMajorsSec,$O17,FALSE)</f>
        <v>STAT1005</v>
      </c>
      <c r="JW17" s="117" t="s">
        <v>89</v>
      </c>
      <c r="JX17" s="104"/>
      <c r="JY17" s="117" t="s">
        <v>87</v>
      </c>
      <c r="JZ17" s="127" t="str">
        <f>HLOOKUP(CONCATENATE(JZ$4,JZ$6),RangeMajorsSec,$O17,FALSE)</f>
        <v>STAT1005</v>
      </c>
      <c r="KA17" s="117" t="s">
        <v>89</v>
      </c>
      <c r="KB17" s="104"/>
      <c r="KC17" s="117" t="s">
        <v>87</v>
      </c>
      <c r="KD17" s="127" t="str">
        <f>HLOOKUP(CONCATENATE(KD$4,KD$6),RangeMajorsSec,$O17,FALSE)</f>
        <v>STAT1005</v>
      </c>
      <c r="KE17" s="117" t="s">
        <v>89</v>
      </c>
      <c r="KF17" s="104"/>
      <c r="KG17" s="117" t="s">
        <v>87</v>
      </c>
      <c r="KH17" s="127" t="str">
        <f>HLOOKUP(CONCATENATE(KH$4,KH$6),RangeMajorsSec,$O17,FALSE)</f>
        <v>STAT1005</v>
      </c>
      <c r="KI17" s="117" t="s">
        <v>89</v>
      </c>
      <c r="KJ17" s="104"/>
      <c r="KK17" s="117" t="s">
        <v>87</v>
      </c>
      <c r="KL17" s="127" t="str">
        <f>HLOOKUP(CONCATENATE(KL$4,KL$6),RangeMajorsSec,$O17,FALSE)</f>
        <v>STAT1005</v>
      </c>
      <c r="KM17" s="117" t="s">
        <v>89</v>
      </c>
      <c r="KN17" s="104"/>
      <c r="KO17" s="117" t="s">
        <v>87</v>
      </c>
      <c r="KP17" s="127" t="str">
        <f>HLOOKUP(CONCATENATE(KP$4,KP$6),RangeMajorsSec,$O17,FALSE)</f>
        <v>STAT1005</v>
      </c>
      <c r="KQ17" s="117" t="s">
        <v>89</v>
      </c>
      <c r="KR17" s="104"/>
      <c r="KS17" s="117" t="s">
        <v>87</v>
      </c>
      <c r="KT17" s="127" t="str">
        <f>HLOOKUP(CONCATENATE(KT$4,KT$6),RangeMajorsSec,$O17,FALSE)</f>
        <v>STAT1005</v>
      </c>
      <c r="KU17" s="117" t="s">
        <v>89</v>
      </c>
      <c r="KV17" s="104"/>
      <c r="KW17" s="117" t="s">
        <v>87</v>
      </c>
      <c r="KX17" s="127" t="str">
        <f>HLOOKUP(CONCATENATE(KX$4,KX$6),RangeMajorsSec,$O17,FALSE)</f>
        <v>EDSC4034</v>
      </c>
      <c r="KY17" s="117" t="s">
        <v>89</v>
      </c>
      <c r="KZ17" s="104"/>
      <c r="LA17" s="117" t="s">
        <v>87</v>
      </c>
      <c r="LB17" s="127" t="str">
        <f>HLOOKUP(CONCATENATE(LB$4,LB$6),RangeMajorsSec,$O17,FALSE)</f>
        <v>EDSC4034</v>
      </c>
      <c r="LC17" s="117" t="s">
        <v>89</v>
      </c>
      <c r="LD17" s="104"/>
      <c r="LE17" s="117" t="s">
        <v>87</v>
      </c>
      <c r="LF17" s="127" t="str">
        <f>HLOOKUP(CONCATENATE(LF$4,LF$6),RangeMajorsSec,$O17,FALSE)</f>
        <v>BIOL1005</v>
      </c>
      <c r="LG17" s="117" t="s">
        <v>89</v>
      </c>
      <c r="LH17" s="104"/>
      <c r="LI17" s="117" t="s">
        <v>87</v>
      </c>
      <c r="LJ17" s="127" t="str">
        <f>HLOOKUP(CONCATENATE(LJ$4,LJ$6),RangeMajorsSec,$O17,FALSE)</f>
        <v>BIOL1005</v>
      </c>
      <c r="LK17" s="117" t="s">
        <v>89</v>
      </c>
      <c r="LL17" s="104"/>
      <c r="LM17" s="117" t="s">
        <v>87</v>
      </c>
      <c r="LN17" s="127" t="str">
        <f>HLOOKUP(CONCATENATE(LN$4,LN$6),RangeMajorsSec,$O17,FALSE)</f>
        <v>BIOL1005</v>
      </c>
      <c r="LO17" s="117" t="s">
        <v>89</v>
      </c>
      <c r="LP17" s="104"/>
      <c r="LQ17" s="117" t="s">
        <v>87</v>
      </c>
      <c r="LR17" s="127" t="str">
        <f>HLOOKUP(CONCATENATE(LR$4,LR$6),RangeMajorsSec,$O17,FALSE)</f>
        <v>BIOL1005</v>
      </c>
      <c r="LS17" s="117" t="s">
        <v>89</v>
      </c>
      <c r="LT17" s="104"/>
      <c r="LU17" s="117" t="s">
        <v>87</v>
      </c>
      <c r="LV17" s="127" t="str">
        <f>HLOOKUP(CONCATENATE(LV$4,LV$6),RangeMajorsSec,$O17,FALSE)</f>
        <v>BIOL1005</v>
      </c>
      <c r="LW17" s="117" t="s">
        <v>89</v>
      </c>
      <c r="LX17" s="104"/>
      <c r="LY17" s="117" t="s">
        <v>87</v>
      </c>
      <c r="LZ17" s="127" t="str">
        <f>HLOOKUP(CONCATENATE(LZ$4,LZ$6),RangeMajorsSec,$O17,FALSE)</f>
        <v>BIOL1005</v>
      </c>
      <c r="MA17" s="117" t="s">
        <v>89</v>
      </c>
      <c r="MB17" s="104"/>
      <c r="MC17" s="117" t="s">
        <v>87</v>
      </c>
      <c r="MD17" s="127" t="str">
        <f>HLOOKUP(CONCATENATE(MD$4,MD$6),RangeMajorsSec,$O17,FALSE)</f>
        <v>BIOL1005</v>
      </c>
      <c r="ME17" s="117" t="s">
        <v>89</v>
      </c>
      <c r="MF17" s="104"/>
      <c r="MG17" s="117" t="s">
        <v>87</v>
      </c>
      <c r="MH17" s="127" t="str">
        <f>HLOOKUP(CONCATENATE(MH$4,MH$6),RangeMajorsSec,$O17,FALSE)</f>
        <v>BIOL1005</v>
      </c>
      <c r="MI17" s="117" t="s">
        <v>89</v>
      </c>
      <c r="MJ17" s="104"/>
      <c r="MK17" s="117" t="s">
        <v>87</v>
      </c>
      <c r="ML17" s="127" t="str">
        <f>HLOOKUP(CONCATENATE(ML$4,ML$6),RangeMajorsSec,$O17,FALSE)</f>
        <v>CHEM1002</v>
      </c>
      <c r="MM17" s="117" t="s">
        <v>89</v>
      </c>
      <c r="MN17" s="104"/>
      <c r="MO17" s="117" t="s">
        <v>87</v>
      </c>
      <c r="MP17" s="127" t="str">
        <f>HLOOKUP(CONCATENATE(MP$4,MP$6),RangeMajorsSec,$O17,FALSE)</f>
        <v>CHEM1002</v>
      </c>
      <c r="MQ17" s="117" t="s">
        <v>89</v>
      </c>
      <c r="MR17" s="104"/>
      <c r="MS17" s="117" t="s">
        <v>87</v>
      </c>
      <c r="MT17" s="127" t="str">
        <f>HLOOKUP(CONCATENATE(MT$4,MT$6),RangeMajorsSec,$O17,FALSE)</f>
        <v>CHEM1002</v>
      </c>
      <c r="MU17" s="117" t="s">
        <v>89</v>
      </c>
      <c r="MV17" s="104"/>
      <c r="MW17" s="117" t="s">
        <v>87</v>
      </c>
      <c r="MX17" s="127" t="str">
        <f>HLOOKUP(CONCATENATE(MX$4,MX$6),RangeMajorsSec,$O17,FALSE)</f>
        <v>CHEM1002</v>
      </c>
      <c r="MY17" s="117" t="s">
        <v>89</v>
      </c>
      <c r="MZ17" s="104"/>
      <c r="NA17" s="117" t="s">
        <v>87</v>
      </c>
      <c r="NB17" s="127" t="str">
        <f>HLOOKUP(CONCATENATE(NB$4,NB$6),RangeMajorsSec,$O17,FALSE)</f>
        <v>CHEM1002</v>
      </c>
      <c r="NC17" s="117" t="s">
        <v>89</v>
      </c>
      <c r="ND17" s="104"/>
      <c r="NE17" s="117" t="s">
        <v>87</v>
      </c>
      <c r="NF17" s="127" t="str">
        <f>HLOOKUP(CONCATENATE(NF$4,NF$6),RangeMajorsSec,$O17,FALSE)</f>
        <v>CHEM1002</v>
      </c>
      <c r="NG17" s="117" t="s">
        <v>89</v>
      </c>
      <c r="NH17" s="104"/>
      <c r="NI17" s="117" t="s">
        <v>87</v>
      </c>
      <c r="NJ17" s="127" t="str">
        <f>HLOOKUP(CONCATENATE(NJ$4,NJ$6),RangeMajorsSec,$O17,FALSE)</f>
        <v>CHEM1002</v>
      </c>
      <c r="NK17" s="117" t="s">
        <v>89</v>
      </c>
      <c r="NL17" s="104"/>
      <c r="NM17" s="117" t="s">
        <v>87</v>
      </c>
      <c r="NN17" s="127" t="str">
        <f>HLOOKUP(CONCATENATE(NN$4,NN$6),RangeMajorsSec,$O17,FALSE)</f>
        <v>CHEM1002</v>
      </c>
      <c r="NO17" s="117" t="s">
        <v>89</v>
      </c>
      <c r="NP17" s="104"/>
      <c r="NQ17" s="117" t="s">
        <v>87</v>
      </c>
      <c r="NR17" s="127" t="str">
        <f>HLOOKUP(CONCATENATE(NR$4,NR$6),RangeMajorsSec,$O17,FALSE)</f>
        <v>HUMB1001</v>
      </c>
      <c r="NS17" s="117" t="s">
        <v>89</v>
      </c>
      <c r="NT17" s="104"/>
      <c r="NU17" s="117" t="s">
        <v>87</v>
      </c>
      <c r="NV17" s="127" t="str">
        <f>HLOOKUP(CONCATENATE(NV$4,NV$6),RangeMajorsSec,$O17,FALSE)</f>
        <v>HUMB1001</v>
      </c>
      <c r="NW17" s="117" t="s">
        <v>89</v>
      </c>
      <c r="NX17" s="104"/>
      <c r="NY17" s="117" t="s">
        <v>87</v>
      </c>
      <c r="NZ17" s="127" t="str">
        <f>HLOOKUP(CONCATENATE(NZ$4,NZ$6),RangeMajorsSec,$O17,FALSE)</f>
        <v>HUMB1001</v>
      </c>
      <c r="OA17" s="117" t="s">
        <v>89</v>
      </c>
      <c r="OB17" s="104"/>
      <c r="OC17" s="117" t="s">
        <v>87</v>
      </c>
      <c r="OD17" s="127" t="str">
        <f>HLOOKUP(CONCATENATE(OD$4,OD$6),RangeMajorsSec,$O17,FALSE)</f>
        <v>HUMB1001</v>
      </c>
      <c r="OE17" s="117" t="s">
        <v>89</v>
      </c>
      <c r="OF17" s="104"/>
      <c r="OG17" s="117" t="s">
        <v>87</v>
      </c>
      <c r="OH17" s="127" t="str">
        <f>HLOOKUP(CONCATENATE(OH$4,OH$6),RangeMajorsSec,$O17,FALSE)</f>
        <v>HUMB1001</v>
      </c>
      <c r="OI17" s="117" t="s">
        <v>89</v>
      </c>
      <c r="OJ17" s="104"/>
      <c r="OK17" s="117" t="s">
        <v>87</v>
      </c>
      <c r="OL17" s="127" t="str">
        <f>HLOOKUP(CONCATENATE(OL$4,OL$6),RangeMajorsSec,$O17,FALSE)</f>
        <v>HUMB1001</v>
      </c>
      <c r="OM17" s="117" t="s">
        <v>89</v>
      </c>
      <c r="ON17" s="104"/>
      <c r="OO17" s="117" t="s">
        <v>87</v>
      </c>
      <c r="OP17" s="127" t="str">
        <f>HLOOKUP(CONCATENATE(OP$4,OP$6),RangeMajorsSec,$O17,FALSE)</f>
        <v>HUMB1001</v>
      </c>
      <c r="OQ17" s="117" t="s">
        <v>89</v>
      </c>
      <c r="OR17" s="104"/>
      <c r="OS17" s="117" t="s">
        <v>87</v>
      </c>
      <c r="OT17" s="127" t="str">
        <f>HLOOKUP(CONCATENATE(OT$4,OT$6),RangeMajorsSec,$O17,FALSE)</f>
        <v>HUMB1001</v>
      </c>
      <c r="OU17" s="117" t="s">
        <v>89</v>
      </c>
      <c r="OV17" s="104"/>
      <c r="OW17" s="117" t="s">
        <v>87</v>
      </c>
      <c r="OX17" s="127" t="str">
        <f>HLOOKUP(CONCATENATE(OX$4,OX$6),RangeMajorsSec,$O17,FALSE)</f>
        <v>PSYC1000</v>
      </c>
      <c r="OY17" s="117" t="s">
        <v>89</v>
      </c>
      <c r="OZ17" s="104"/>
      <c r="PA17" s="117" t="s">
        <v>87</v>
      </c>
      <c r="PB17" s="127" t="str">
        <f>HLOOKUP(CONCATENATE(PB$4,PB$6),RangeMajorsSec,$O17,FALSE)</f>
        <v>PSYC1000</v>
      </c>
      <c r="PC17" s="117" t="s">
        <v>89</v>
      </c>
      <c r="PD17" s="104"/>
      <c r="PE17" s="117" t="s">
        <v>87</v>
      </c>
      <c r="PF17" s="127" t="str">
        <f>HLOOKUP(CONCATENATE(PF$4,PF$6),RangeMajorsSec,$O17,FALSE)</f>
        <v>PSYC1000</v>
      </c>
      <c r="PG17" s="117" t="s">
        <v>89</v>
      </c>
      <c r="PH17" s="104"/>
      <c r="PI17" s="117" t="s">
        <v>87</v>
      </c>
      <c r="PJ17" s="127" t="str">
        <f>HLOOKUP(CONCATENATE(PJ$4,PJ$6),RangeMajorsSec,$O17,FALSE)</f>
        <v>PSYC1000</v>
      </c>
      <c r="PK17" s="117" t="s">
        <v>89</v>
      </c>
      <c r="PL17" s="104"/>
      <c r="PM17" s="117" t="s">
        <v>87</v>
      </c>
      <c r="PN17" s="127" t="str">
        <f>HLOOKUP(CONCATENATE(PN$4,PN$6),RangeMajorsSec,$O17,FALSE)</f>
        <v>PSYC1000</v>
      </c>
      <c r="PO17" s="117" t="s">
        <v>89</v>
      </c>
      <c r="PP17" s="104"/>
      <c r="PQ17" s="117" t="s">
        <v>87</v>
      </c>
      <c r="PR17" s="127" t="str">
        <f>HLOOKUP(CONCATENATE(PR$4,PR$6),RangeMajorsSec,$O17,FALSE)</f>
        <v>PSYC1000</v>
      </c>
      <c r="PS17" s="117" t="s">
        <v>89</v>
      </c>
      <c r="PT17" s="104"/>
      <c r="PU17" s="117" t="s">
        <v>87</v>
      </c>
      <c r="PV17" s="127" t="str">
        <f>HLOOKUP(CONCATENATE(PV$4,PV$6),RangeMajorsSec,$O17,FALSE)</f>
        <v>PSYC1000</v>
      </c>
      <c r="PW17" s="117" t="s">
        <v>89</v>
      </c>
      <c r="PX17" s="104"/>
      <c r="PY17" s="117" t="s">
        <v>87</v>
      </c>
      <c r="PZ17" s="127" t="str">
        <f>HLOOKUP(CONCATENATE(PZ$4,PZ$6),RangeMajorsSec,$O17,FALSE)</f>
        <v>PSYC1000</v>
      </c>
      <c r="QA17" s="117" t="s">
        <v>89</v>
      </c>
      <c r="QB17" s="104"/>
      <c r="QC17" s="117" t="s">
        <v>87</v>
      </c>
      <c r="QD17" s="127" t="e">
        <f>HLOOKUP(CONCATENATE(QD$4,QD$6),RangeMajorsSec,$O17,FALSE)</f>
        <v>#N/A</v>
      </c>
      <c r="QE17" s="117" t="s">
        <v>89</v>
      </c>
      <c r="QF17" s="104"/>
      <c r="QG17" s="117" t="s">
        <v>87</v>
      </c>
      <c r="QH17" s="127" t="e">
        <f>HLOOKUP(CONCATENATE(QH$4,QH$6),RangeMajorsSec,$O17,FALSE)</f>
        <v>#N/A</v>
      </c>
      <c r="QI17" s="117" t="s">
        <v>89</v>
      </c>
      <c r="QJ17" s="104"/>
    </row>
    <row r="18" spans="1:452" x14ac:dyDescent="0.25">
      <c r="A18" s="352" t="s">
        <v>389</v>
      </c>
      <c r="B18" s="268" t="s">
        <v>336</v>
      </c>
      <c r="C18" s="268" t="s">
        <v>100</v>
      </c>
      <c r="D18" s="269">
        <v>45658</v>
      </c>
      <c r="E18" s="268">
        <v>1</v>
      </c>
      <c r="F18" s="269">
        <v>45658</v>
      </c>
      <c r="G18" s="268" t="s">
        <v>376</v>
      </c>
      <c r="J18" s="142"/>
      <c r="K18" s="147" t="str">
        <f>INDEX(TableStreams[Choose your Specialisation Stream second (drop-down list)],MATCH(L18,TableStreams[UDC],0))</f>
        <v>Psychology Education Minor Teaching Area Stream (BEd Secondary)</v>
      </c>
      <c r="L18" s="142" t="s">
        <v>357</v>
      </c>
      <c r="O18" s="340">
        <v>3</v>
      </c>
      <c r="P18" s="19">
        <v>16</v>
      </c>
      <c r="Q18" s="117" t="s">
        <v>87</v>
      </c>
      <c r="R18" s="128" t="s">
        <v>384</v>
      </c>
      <c r="S18" s="117" t="s">
        <v>89</v>
      </c>
      <c r="T18" s="104"/>
      <c r="U18" s="117" t="s">
        <v>87</v>
      </c>
      <c r="V18" s="338" t="str">
        <f>HLOOKUP(CONCATENATE(V$5,V$6),RangeStreamsSec,$O18,FALSE)</f>
        <v>PHYS1005</v>
      </c>
      <c r="W18" s="117" t="s">
        <v>89</v>
      </c>
      <c r="X18" s="104"/>
      <c r="Y18" s="117" t="s">
        <v>87</v>
      </c>
      <c r="Z18" s="128" t="str">
        <f>HLOOKUP(CONCATENATE(Z$5,Z$6),RangeStreamsSec,$O18,FALSE)</f>
        <v>AC-BSCIM2</v>
      </c>
      <c r="AA18" s="117" t="s">
        <v>89</v>
      </c>
      <c r="AB18" s="104"/>
      <c r="AC18" s="117" t="s">
        <v>87</v>
      </c>
      <c r="AD18" s="128" t="str">
        <f>HLOOKUP(CONCATENATE(AD$5,AD$6),RangeStreamsSec,$O18,FALSE)</f>
        <v>AC-PARTB2</v>
      </c>
      <c r="AE18" s="117" t="s">
        <v>89</v>
      </c>
      <c r="AF18" s="104"/>
      <c r="AG18" s="117" t="s">
        <v>87</v>
      </c>
      <c r="AH18" s="128" t="str">
        <f>HLOOKUP(CONCATENATE(AH$5,AH$6),RangeStreamsSec,$O18,FALSE)</f>
        <v>LCST1004</v>
      </c>
      <c r="AI18" s="117" t="s">
        <v>89</v>
      </c>
      <c r="AJ18" s="104"/>
      <c r="AK18" s="117" t="s">
        <v>87</v>
      </c>
      <c r="AL18" s="128" t="str">
        <f>HLOOKUP(CONCATENATE(AL$5,AL$6),RangeStreamsSec,$O18,FALSE)</f>
        <v>GEOG1000</v>
      </c>
      <c r="AM18" s="117" t="s">
        <v>89</v>
      </c>
      <c r="AN18" s="104"/>
      <c r="AO18" s="117" t="s">
        <v>87</v>
      </c>
      <c r="AP18" s="128" t="str">
        <f>HLOOKUP(CONCATENATE(AP$5,AP$6),RangeStreamsSec,$O18,FALSE)</f>
        <v>HIST1000</v>
      </c>
      <c r="AQ18" s="117" t="s">
        <v>89</v>
      </c>
      <c r="AR18" s="104"/>
      <c r="AS18" s="117" t="s">
        <v>87</v>
      </c>
      <c r="AT18" s="128" t="str">
        <f>HLOOKUP(CONCATENATE(AT$5,AT$6),RangeStreamsSec,$O18,FALSE)</f>
        <v>MATH1015</v>
      </c>
      <c r="AU18" s="117" t="s">
        <v>89</v>
      </c>
      <c r="AV18" s="104"/>
      <c r="AW18" s="117" t="s">
        <v>87</v>
      </c>
      <c r="AX18" s="128" t="str">
        <f>HLOOKUP(CONCATENATE(AX$5,AX$6),RangeStreamsSec,$O18,FALSE)</f>
        <v>PSYC1000</v>
      </c>
      <c r="AY18" s="117" t="s">
        <v>89</v>
      </c>
      <c r="AZ18" s="104"/>
      <c r="BA18" s="117" t="s">
        <v>87</v>
      </c>
      <c r="BB18" s="128" t="str">
        <f>HLOOKUP(CONCATENATE(BB$5,BB$6),RangeStreamsSec,$O18,FALSE)</f>
        <v>AC-BSCIM2</v>
      </c>
      <c r="BC18" s="117" t="s">
        <v>89</v>
      </c>
      <c r="BD18" s="104"/>
      <c r="BE18" s="117" t="s">
        <v>87</v>
      </c>
      <c r="BF18" s="128" t="str">
        <f>HLOOKUP(CONCATENATE(BF$5,BF$6),RangeStreamsSec,$O18,FALSE)</f>
        <v>LCST1004</v>
      </c>
      <c r="BG18" s="117" t="s">
        <v>89</v>
      </c>
      <c r="BH18" s="104"/>
      <c r="BI18" s="117" t="s">
        <v>87</v>
      </c>
      <c r="BJ18" s="128" t="str">
        <f>HLOOKUP(CONCATENATE(BJ$5,BJ$6),RangeStreamsSec,$O18,FALSE)</f>
        <v>GEOG1000</v>
      </c>
      <c r="BK18" s="117" t="s">
        <v>89</v>
      </c>
      <c r="BL18" s="104"/>
      <c r="BM18" s="117" t="s">
        <v>87</v>
      </c>
      <c r="BN18" s="128" t="str">
        <f>HLOOKUP(CONCATENATE(BN$5,BN$6),RangeStreamsSec,$O18,FALSE)</f>
        <v>HIST1000</v>
      </c>
      <c r="BO18" s="117" t="s">
        <v>89</v>
      </c>
      <c r="BP18" s="104"/>
      <c r="BQ18" s="117" t="s">
        <v>87</v>
      </c>
      <c r="BR18" s="128" t="str">
        <f>HLOOKUP(CONCATENATE(BR$5,BR$6),RangeStreamsSec,$O18,FALSE)</f>
        <v>MATH1015</v>
      </c>
      <c r="BS18" s="117" t="s">
        <v>89</v>
      </c>
      <c r="BT18" s="104"/>
      <c r="BU18" s="117" t="s">
        <v>87</v>
      </c>
      <c r="BV18" s="128" t="str">
        <f>HLOOKUP(CONCATENATE(BV$5,BV$6),RangeStreamsSec,$O18,FALSE)</f>
        <v>PSYC1000</v>
      </c>
      <c r="BW18" s="117" t="s">
        <v>89</v>
      </c>
      <c r="BX18" s="104"/>
      <c r="BY18" s="117" t="s">
        <v>87</v>
      </c>
      <c r="BZ18" s="128" t="str">
        <f>HLOOKUP(CONCATENATE(BZ$5,BZ$6),RangeStreamsSec,$O18,FALSE)</f>
        <v>AC-BSCIM2</v>
      </c>
      <c r="CA18" s="117" t="s">
        <v>89</v>
      </c>
      <c r="CB18" s="104"/>
      <c r="CC18" s="117" t="s">
        <v>87</v>
      </c>
      <c r="CD18" s="128" t="str">
        <f>HLOOKUP(CONCATENATE(CD$5,CD$6),RangeStreamsSec,$O18,FALSE)</f>
        <v>VISA1005</v>
      </c>
      <c r="CE18" s="117" t="s">
        <v>89</v>
      </c>
      <c r="CF18" s="104"/>
      <c r="CG18" s="117" t="s">
        <v>87</v>
      </c>
      <c r="CH18" s="128" t="str">
        <f>HLOOKUP(CONCATENATE(CH$5,CH$6),RangeStreamsSec,$O18,FALSE)</f>
        <v>LCST1004</v>
      </c>
      <c r="CI18" s="117" t="s">
        <v>89</v>
      </c>
      <c r="CJ18" s="104"/>
      <c r="CK18" s="117" t="s">
        <v>87</v>
      </c>
      <c r="CL18" s="128" t="str">
        <f>HLOOKUP(CONCATENATE(CL$5,CL$6),RangeStreamsSec,$O18,FALSE)</f>
        <v>GEOG1000</v>
      </c>
      <c r="CM18" s="117" t="s">
        <v>89</v>
      </c>
      <c r="CN18" s="104"/>
      <c r="CO18" s="117" t="s">
        <v>87</v>
      </c>
      <c r="CP18" s="128" t="str">
        <f>HLOOKUP(CONCATENATE(CP$5,CP$6),RangeStreamsSec,$O18,FALSE)</f>
        <v>HIST1000</v>
      </c>
      <c r="CQ18" s="117" t="s">
        <v>89</v>
      </c>
      <c r="CR18" s="104"/>
      <c r="CS18" s="117" t="s">
        <v>87</v>
      </c>
      <c r="CT18" s="128" t="str">
        <f>HLOOKUP(CONCATENATE(CT$5,CT$6),RangeStreamsSec,$O18,FALSE)</f>
        <v>MATH1015</v>
      </c>
      <c r="CU18" s="117" t="s">
        <v>89</v>
      </c>
      <c r="CV18" s="104"/>
      <c r="CW18" s="117" t="s">
        <v>87</v>
      </c>
      <c r="CX18" s="128" t="str">
        <f>HLOOKUP(CONCATENATE(CX$5,CX$6),RangeStreamsSec,$O18,FALSE)</f>
        <v>PSYC1000</v>
      </c>
      <c r="CY18" s="117" t="s">
        <v>89</v>
      </c>
      <c r="CZ18" s="104"/>
      <c r="DA18" s="117" t="s">
        <v>87</v>
      </c>
      <c r="DB18" s="128" t="str">
        <f>HLOOKUP(CONCATENATE(DB$5,DB$6),RangeStreamsSec,$O18,FALSE)</f>
        <v>AC-BSCIM2</v>
      </c>
      <c r="DC18" s="117" t="s">
        <v>89</v>
      </c>
      <c r="DD18" s="104"/>
      <c r="DE18" s="117" t="s">
        <v>87</v>
      </c>
      <c r="DF18" s="128" t="str">
        <f>HLOOKUP(CONCATENATE(DF$5,DF$6),RangeStreamsSec,$O18,FALSE)</f>
        <v>CWRI2001</v>
      </c>
      <c r="DG18" s="117" t="s">
        <v>89</v>
      </c>
      <c r="DH18" s="104"/>
      <c r="DI18" s="117" t="s">
        <v>87</v>
      </c>
      <c r="DJ18" s="128" t="str">
        <f>HLOOKUP(CONCATENATE(DJ$5,DJ$6),RangeStreamsSec,$O18,FALSE)</f>
        <v>GEOG1000</v>
      </c>
      <c r="DK18" s="117" t="s">
        <v>89</v>
      </c>
      <c r="DL18" s="104"/>
      <c r="DM18" s="117" t="s">
        <v>87</v>
      </c>
      <c r="DN18" s="128" t="str">
        <f>HLOOKUP(CONCATENATE(DN$5,DN$6),RangeStreamsSec,$O18,FALSE)</f>
        <v>HIST1000</v>
      </c>
      <c r="DO18" s="117" t="s">
        <v>89</v>
      </c>
      <c r="DP18" s="104"/>
      <c r="DQ18" s="117" t="s">
        <v>87</v>
      </c>
      <c r="DR18" s="128" t="str">
        <f>HLOOKUP(CONCATENATE(DR$5,DR$6),RangeStreamsSec,$O18,FALSE)</f>
        <v>MATH1015</v>
      </c>
      <c r="DS18" s="117" t="s">
        <v>89</v>
      </c>
      <c r="DT18" s="104"/>
      <c r="DU18" s="117" t="s">
        <v>87</v>
      </c>
      <c r="DV18" s="128" t="str">
        <f>HLOOKUP(CONCATENATE(DV$5,DV$6),RangeStreamsSec,$O18,FALSE)</f>
        <v>PSYC1000</v>
      </c>
      <c r="DW18" s="117" t="s">
        <v>89</v>
      </c>
      <c r="DX18" s="104"/>
      <c r="DY18" s="117" t="s">
        <v>87</v>
      </c>
      <c r="DZ18" s="128" t="str">
        <f>HLOOKUP(CONCATENATE(DZ$5,DZ$6),RangeStreamsSec,$O18,FALSE)</f>
        <v>NETS2000</v>
      </c>
      <c r="EA18" s="117" t="s">
        <v>89</v>
      </c>
      <c r="EB18" s="104"/>
      <c r="EC18" s="117" t="s">
        <v>87</v>
      </c>
      <c r="ED18" s="128" t="str">
        <f>HLOOKUP(CONCATENATE(ED$5,ED$6),RangeStreamsSec,$O18,FALSE)</f>
        <v>THTR1001</v>
      </c>
      <c r="EE18" s="117" t="s">
        <v>89</v>
      </c>
      <c r="EF18" s="104"/>
      <c r="EG18" s="117" t="s">
        <v>87</v>
      </c>
      <c r="EH18" s="128" t="str">
        <f>HLOOKUP(CONCATENATE(EH$5,EH$6),RangeStreamsSec,$O18,FALSE)</f>
        <v>VISA2023</v>
      </c>
      <c r="EI18" s="117" t="s">
        <v>89</v>
      </c>
      <c r="EJ18" s="104"/>
      <c r="EK18" s="117" t="s">
        <v>87</v>
      </c>
      <c r="EL18" s="128" t="str">
        <f>HLOOKUP(CONCATENATE(EL$5,EL$6),RangeStreamsSec,$O18,FALSE)</f>
        <v>AC-BSCIM2</v>
      </c>
      <c r="EM18" s="117" t="s">
        <v>89</v>
      </c>
      <c r="EN18" s="104"/>
      <c r="EO18" s="117" t="s">
        <v>87</v>
      </c>
      <c r="EP18" s="128" t="str">
        <f>HLOOKUP(CONCATENATE(EP$5,EP$6),RangeStreamsSec,$O18,FALSE)</f>
        <v>HIST1000</v>
      </c>
      <c r="EQ18" s="117" t="s">
        <v>89</v>
      </c>
      <c r="ER18" s="104"/>
      <c r="ES18" s="117" t="s">
        <v>87</v>
      </c>
      <c r="ET18" s="128" t="str">
        <f>HLOOKUP(CONCATENATE(ET$5,ET$6),RangeStreamsSec,$O18,FALSE)</f>
        <v>LCST1004</v>
      </c>
      <c r="EU18" s="117" t="s">
        <v>89</v>
      </c>
      <c r="EV18" s="104"/>
      <c r="EW18" s="117" t="s">
        <v>87</v>
      </c>
      <c r="EX18" s="128" t="str">
        <f>HLOOKUP(CONCATENATE(EX$5,EX$6),RangeStreamsSec,$O18,FALSE)</f>
        <v>MATH1015</v>
      </c>
      <c r="EY18" s="117" t="s">
        <v>89</v>
      </c>
      <c r="EZ18" s="104"/>
      <c r="FA18" s="117" t="s">
        <v>87</v>
      </c>
      <c r="FB18" s="128" t="str">
        <f>HLOOKUP(CONCATENATE(FB$5,FB$6),RangeStreamsSec,$O18,FALSE)</f>
        <v>PSYC1000</v>
      </c>
      <c r="FC18" s="117" t="s">
        <v>89</v>
      </c>
      <c r="FD18" s="104"/>
      <c r="FE18" s="117" t="s">
        <v>87</v>
      </c>
      <c r="FF18" s="128" t="str">
        <f>HLOOKUP(CONCATENATE(FF$5,FF$6),RangeStreamsSec,$O18,FALSE)</f>
        <v>NETS2000</v>
      </c>
      <c r="FG18" s="117" t="s">
        <v>89</v>
      </c>
      <c r="FH18" s="104"/>
      <c r="FI18" s="117" t="s">
        <v>87</v>
      </c>
      <c r="FJ18" s="128" t="str">
        <f>HLOOKUP(CONCATENATE(FJ$5,FJ$6),RangeStreamsSec,$O18,FALSE)</f>
        <v>THTR1001</v>
      </c>
      <c r="FK18" s="117" t="s">
        <v>89</v>
      </c>
      <c r="FL18" s="104"/>
      <c r="FM18" s="117" t="s">
        <v>87</v>
      </c>
      <c r="FN18" s="128" t="str">
        <f>HLOOKUP(CONCATENATE(FN$5,FN$6),RangeStreamsSec,$O18,FALSE)</f>
        <v>VISA2023</v>
      </c>
      <c r="FO18" s="117" t="s">
        <v>89</v>
      </c>
      <c r="FP18" s="104"/>
      <c r="FQ18" s="117" t="s">
        <v>87</v>
      </c>
      <c r="FR18" s="128" t="str">
        <f>HLOOKUP(CONCATENATE(FR$5,FR$6),RangeStreamsSec,$O18,FALSE)</f>
        <v>AC-BSCIM2</v>
      </c>
      <c r="FS18" s="117" t="s">
        <v>89</v>
      </c>
      <c r="FT18" s="104"/>
      <c r="FU18" s="117" t="s">
        <v>87</v>
      </c>
      <c r="FV18" s="128" t="str">
        <f>HLOOKUP(CONCATENATE(FV$5,FV$6),RangeStreamsSec,$O18,FALSE)</f>
        <v>ECON1000</v>
      </c>
      <c r="FW18" s="117" t="s">
        <v>89</v>
      </c>
      <c r="FX18" s="104"/>
      <c r="FY18" s="117" t="s">
        <v>87</v>
      </c>
      <c r="FZ18" s="128" t="str">
        <f>HLOOKUP(CONCATENATE(FZ$5,FZ$6),RangeStreamsSec,$O18,FALSE)</f>
        <v>LCST1004</v>
      </c>
      <c r="GA18" s="117" t="s">
        <v>89</v>
      </c>
      <c r="GB18" s="104"/>
      <c r="GC18" s="117" t="s">
        <v>87</v>
      </c>
      <c r="GD18" s="128" t="str">
        <f>HLOOKUP(CONCATENATE(GD$5,GD$6),RangeStreamsSec,$O18,FALSE)</f>
        <v>MATH1015</v>
      </c>
      <c r="GE18" s="117" t="s">
        <v>89</v>
      </c>
      <c r="GF18" s="104"/>
      <c r="GG18" s="117" t="s">
        <v>87</v>
      </c>
      <c r="GH18" s="128" t="str">
        <f>HLOOKUP(CONCATENATE(GH$5,GH$6),RangeStreamsSec,$O18,FALSE)</f>
        <v>PSYC1000</v>
      </c>
      <c r="GI18" s="117" t="s">
        <v>89</v>
      </c>
      <c r="GJ18" s="104"/>
      <c r="GK18" s="117" t="s">
        <v>87</v>
      </c>
      <c r="GL18" s="128" t="str">
        <f>HLOOKUP(CONCATENATE(GL$5,GL$6),RangeStreamsSec,$O18,FALSE)</f>
        <v>NETS2000</v>
      </c>
      <c r="GM18" s="117" t="s">
        <v>89</v>
      </c>
      <c r="GN18" s="104"/>
      <c r="GO18" s="117" t="s">
        <v>87</v>
      </c>
      <c r="GP18" s="128" t="str">
        <f>HLOOKUP(CONCATENATE(GP$5,GP$6),RangeStreamsSec,$O18,FALSE)</f>
        <v>THTR1001</v>
      </c>
      <c r="GQ18" s="117" t="s">
        <v>89</v>
      </c>
      <c r="GR18" s="104"/>
      <c r="GS18" s="117" t="s">
        <v>87</v>
      </c>
      <c r="GT18" s="128" t="str">
        <f>HLOOKUP(CONCATENATE(GT$5,GT$6),RangeStreamsSec,$O18,FALSE)</f>
        <v>VISA2023</v>
      </c>
      <c r="GU18" s="117" t="s">
        <v>89</v>
      </c>
      <c r="GV18" s="104"/>
      <c r="GW18" s="117" t="s">
        <v>87</v>
      </c>
      <c r="GX18" s="128" t="str">
        <f>HLOOKUP(CONCATENATE(GX$5,GX$6),RangeStreamsSec,$O18,FALSE)</f>
        <v>AC-BSCIM2</v>
      </c>
      <c r="GY18" s="117" t="s">
        <v>89</v>
      </c>
      <c r="GZ18" s="104"/>
      <c r="HA18" s="117" t="s">
        <v>87</v>
      </c>
      <c r="HB18" s="128" t="str">
        <f>HLOOKUP(CONCATENATE(HB$5,HB$6),RangeStreamsSec,$O18,FALSE)</f>
        <v>ECON1000</v>
      </c>
      <c r="HC18" s="117" t="s">
        <v>89</v>
      </c>
      <c r="HD18" s="104"/>
      <c r="HE18" s="117" t="s">
        <v>87</v>
      </c>
      <c r="HF18" s="128" t="str">
        <f>HLOOKUP(CONCATENATE(HF$5,HF$6),RangeStreamsSec,$O18,FALSE)</f>
        <v>LCST1004</v>
      </c>
      <c r="HG18" s="117" t="s">
        <v>89</v>
      </c>
      <c r="HH18" s="104"/>
      <c r="HI18" s="117" t="s">
        <v>87</v>
      </c>
      <c r="HJ18" s="128" t="str">
        <f>HLOOKUP(CONCATENATE(HJ$5,HJ$6),RangeStreamsSec,$O18,FALSE)</f>
        <v>MATH1015</v>
      </c>
      <c r="HK18" s="117" t="s">
        <v>89</v>
      </c>
      <c r="HL18" s="104"/>
      <c r="HM18" s="117" t="s">
        <v>87</v>
      </c>
      <c r="HN18" s="128" t="str">
        <f>HLOOKUP(CONCATENATE(HN$5,HN$6),RangeStreamsSec,$O18,FALSE)</f>
        <v>PSYC1000</v>
      </c>
      <c r="HO18" s="117" t="s">
        <v>89</v>
      </c>
      <c r="HP18" s="104"/>
      <c r="HQ18" s="117" t="s">
        <v>87</v>
      </c>
      <c r="HR18" s="128" t="str">
        <f>HLOOKUP(CONCATENATE(HR$5,HR$6),RangeStreamsSec,$O18,FALSE)</f>
        <v>NETS2000</v>
      </c>
      <c r="HS18" s="117" t="s">
        <v>89</v>
      </c>
      <c r="HT18" s="104"/>
      <c r="HU18" s="117" t="s">
        <v>87</v>
      </c>
      <c r="HV18" s="128" t="str">
        <f>HLOOKUP(CONCATENATE(HV$5,HV$6),RangeStreamsSec,$O18,FALSE)</f>
        <v>THTR1001</v>
      </c>
      <c r="HW18" s="117" t="s">
        <v>89</v>
      </c>
      <c r="HX18" s="104"/>
      <c r="HY18" s="117" t="s">
        <v>87</v>
      </c>
      <c r="HZ18" s="128" t="str">
        <f>HLOOKUP(CONCATENATE(HZ$5,HZ$6),RangeStreamsSec,$O18,FALSE)</f>
        <v>VISA2023</v>
      </c>
      <c r="IA18" s="117" t="s">
        <v>89</v>
      </c>
      <c r="IB18" s="104"/>
      <c r="IC18" s="117" t="s">
        <v>87</v>
      </c>
      <c r="ID18" s="128" t="str">
        <f>HLOOKUP(CONCATENATE(ID$5,ID$6),RangeStreamsSec,$O18,FALSE)</f>
        <v>AC-BSCIM2</v>
      </c>
      <c r="IE18" s="117" t="s">
        <v>89</v>
      </c>
      <c r="IF18" s="104"/>
      <c r="IG18" s="117" t="s">
        <v>87</v>
      </c>
      <c r="IH18" s="128" t="str">
        <f>HLOOKUP(CONCATENATE(IH$5,IH$6),RangeStreamsSec,$O18,FALSE)</f>
        <v>ECON1000</v>
      </c>
      <c r="II18" s="117" t="s">
        <v>89</v>
      </c>
      <c r="IJ18" s="104"/>
      <c r="IK18" s="117" t="s">
        <v>87</v>
      </c>
      <c r="IL18" s="128" t="str">
        <f>HLOOKUP(CONCATENATE(IL$5,IL$6),RangeStreamsSec,$O18,FALSE)</f>
        <v>LCST1004</v>
      </c>
      <c r="IM18" s="117" t="s">
        <v>89</v>
      </c>
      <c r="IN18" s="104"/>
      <c r="IO18" s="117" t="s">
        <v>87</v>
      </c>
      <c r="IP18" s="128" t="str">
        <f>HLOOKUP(CONCATENATE(IP$5,IP$6),RangeStreamsSec,$O18,FALSE)</f>
        <v>MATH1015</v>
      </c>
      <c r="IQ18" s="117" t="s">
        <v>89</v>
      </c>
      <c r="IR18" s="104"/>
      <c r="IS18" s="117" t="s">
        <v>87</v>
      </c>
      <c r="IT18" s="128" t="str">
        <f>HLOOKUP(CONCATENATE(IT$5,IT$6),RangeStreamsSec,$O18,FALSE)</f>
        <v>PSYC1000</v>
      </c>
      <c r="IU18" s="117" t="s">
        <v>89</v>
      </c>
      <c r="IV18" s="104"/>
      <c r="IW18" s="117" t="s">
        <v>87</v>
      </c>
      <c r="IX18" s="128" t="str">
        <f>HLOOKUP(CONCATENATE(IX$5,IX$6),RangeStreamsSec,$O18,FALSE)</f>
        <v>NETS2000</v>
      </c>
      <c r="IY18" s="117" t="s">
        <v>89</v>
      </c>
      <c r="IZ18" s="104"/>
      <c r="JA18" s="117" t="s">
        <v>87</v>
      </c>
      <c r="JB18" s="128" t="str">
        <f>HLOOKUP(CONCATENATE(JB$5,JB$6),RangeStreamsSec,$O18,FALSE)</f>
        <v>THTR1001</v>
      </c>
      <c r="JC18" s="117" t="s">
        <v>89</v>
      </c>
      <c r="JD18" s="104"/>
      <c r="JE18" s="117" t="s">
        <v>87</v>
      </c>
      <c r="JF18" s="128" t="str">
        <f>HLOOKUP(CONCATENATE(JF$5,JF$6),RangeStreamsSec,$O18,FALSE)</f>
        <v>VISA2023</v>
      </c>
      <c r="JG18" s="117" t="s">
        <v>89</v>
      </c>
      <c r="JH18" s="104"/>
      <c r="JI18" s="117" t="s">
        <v>87</v>
      </c>
      <c r="JJ18" s="128" t="e">
        <f>HLOOKUP(CONCATENATE(JJ$5,JJ$6),RangeStreamsSec,$O18,FALSE)</f>
        <v>#N/A</v>
      </c>
      <c r="JK18" s="117" t="s">
        <v>89</v>
      </c>
      <c r="JL18" s="104"/>
      <c r="JM18" s="117" t="s">
        <v>87</v>
      </c>
      <c r="JN18" s="128" t="str">
        <f>HLOOKUP(CONCATENATE(JN$5,JN$6),RangeStreamsSec,$O18,FALSE)</f>
        <v>AC-BSCIM2</v>
      </c>
      <c r="JO18" s="117" t="s">
        <v>89</v>
      </c>
      <c r="JP18" s="104"/>
      <c r="JQ18" s="117" t="s">
        <v>87</v>
      </c>
      <c r="JR18" s="128" t="str">
        <f>HLOOKUP(CONCATENATE(JR$5,JR$6),RangeStreamsSec,$O18,FALSE)</f>
        <v>STAT2006</v>
      </c>
      <c r="JS18" s="117" t="s">
        <v>89</v>
      </c>
      <c r="JT18" s="104"/>
      <c r="JU18" s="117" t="s">
        <v>87</v>
      </c>
      <c r="JV18" s="128" t="str">
        <f>HLOOKUP(CONCATENATE(JV$5,JV$6),RangeStreamsSec,$O18,FALSE)</f>
        <v>LCST1004</v>
      </c>
      <c r="JW18" s="117" t="s">
        <v>89</v>
      </c>
      <c r="JX18" s="104"/>
      <c r="JY18" s="117" t="s">
        <v>87</v>
      </c>
      <c r="JZ18" s="128" t="str">
        <f>HLOOKUP(CONCATENATE(JZ$5,JZ$6),RangeStreamsSec,$O18,FALSE)</f>
        <v>GEOG1000</v>
      </c>
      <c r="KA18" s="117" t="s">
        <v>89</v>
      </c>
      <c r="KB18" s="104"/>
      <c r="KC18" s="117" t="s">
        <v>87</v>
      </c>
      <c r="KD18" s="128" t="str">
        <f>HLOOKUP(CONCATENATE(KD$5,KD$6),RangeStreamsSec,$O18,FALSE)</f>
        <v>HIST1000</v>
      </c>
      <c r="KE18" s="117" t="s">
        <v>89</v>
      </c>
      <c r="KF18" s="104"/>
      <c r="KG18" s="117" t="s">
        <v>87</v>
      </c>
      <c r="KH18" s="128" t="str">
        <f>HLOOKUP(CONCATENATE(KH$5,KH$6),RangeStreamsSec,$O18,FALSE)</f>
        <v>PSYC1000</v>
      </c>
      <c r="KI18" s="117" t="s">
        <v>89</v>
      </c>
      <c r="KJ18" s="104"/>
      <c r="KK18" s="117" t="s">
        <v>87</v>
      </c>
      <c r="KL18" s="128" t="str">
        <f>HLOOKUP(CONCATENATE(KL$5,KL$6),RangeStreamsSec,$O18,FALSE)</f>
        <v>NETS2000</v>
      </c>
      <c r="KM18" s="117" t="s">
        <v>89</v>
      </c>
      <c r="KN18" s="104"/>
      <c r="KO18" s="117" t="s">
        <v>87</v>
      </c>
      <c r="KP18" s="128" t="str">
        <f>HLOOKUP(CONCATENATE(KP$5,KP$6),RangeStreamsSec,$O18,FALSE)</f>
        <v>THTR1001</v>
      </c>
      <c r="KQ18" s="117" t="s">
        <v>89</v>
      </c>
      <c r="KR18" s="104"/>
      <c r="KS18" s="117" t="s">
        <v>87</v>
      </c>
      <c r="KT18" s="128" t="str">
        <f>HLOOKUP(CONCATENATE(KT$5,KT$6),RangeStreamsSec,$O18,FALSE)</f>
        <v>VISA2023</v>
      </c>
      <c r="KU18" s="117" t="s">
        <v>89</v>
      </c>
      <c r="KV18" s="104"/>
      <c r="KW18" s="117" t="s">
        <v>87</v>
      </c>
      <c r="KX18" s="128" t="str">
        <f>HLOOKUP(CONCATENATE(KX$5,KX$6),RangeStreamsSec,$O18,FALSE)</f>
        <v>AC-BSCIM2</v>
      </c>
      <c r="KY18" s="117" t="s">
        <v>89</v>
      </c>
      <c r="KZ18" s="104"/>
      <c r="LA18" s="117" t="s">
        <v>87</v>
      </c>
      <c r="LB18" s="128" t="str">
        <f>HLOOKUP(CONCATENATE(LB$5,LB$6),RangeStreamsSec,$O18,FALSE)</f>
        <v>HUMB2006</v>
      </c>
      <c r="LC18" s="117" t="s">
        <v>89</v>
      </c>
      <c r="LD18" s="104"/>
      <c r="LE18" s="117" t="s">
        <v>87</v>
      </c>
      <c r="LF18" s="128" t="str">
        <f>HLOOKUP(CONCATENATE(LF$5,LF$6),RangeStreamsSec,$O18,FALSE)</f>
        <v>AC-BIOLB2</v>
      </c>
      <c r="LG18" s="117" t="s">
        <v>89</v>
      </c>
      <c r="LH18" s="104"/>
      <c r="LI18" s="117" t="s">
        <v>87</v>
      </c>
      <c r="LJ18" s="128" t="str">
        <f>HLOOKUP(CONCATENATE(LJ$5,LJ$6),RangeStreamsSec,$O18,FALSE)</f>
        <v>LCST1004</v>
      </c>
      <c r="LK18" s="117" t="s">
        <v>89</v>
      </c>
      <c r="LL18" s="104"/>
      <c r="LM18" s="117" t="s">
        <v>87</v>
      </c>
      <c r="LN18" s="128" t="str">
        <f>HLOOKUP(CONCATENATE(LN$5,LN$6),RangeStreamsSec,$O18,FALSE)</f>
        <v>GEOG1000</v>
      </c>
      <c r="LO18" s="117" t="s">
        <v>89</v>
      </c>
      <c r="LP18" s="104"/>
      <c r="LQ18" s="117" t="s">
        <v>87</v>
      </c>
      <c r="LR18" s="128" t="str">
        <f>HLOOKUP(CONCATENATE(LR$5,LR$6),RangeStreamsSec,$O18,FALSE)</f>
        <v>HIST1000</v>
      </c>
      <c r="LS18" s="117" t="s">
        <v>89</v>
      </c>
      <c r="LT18" s="104"/>
      <c r="LU18" s="117" t="s">
        <v>87</v>
      </c>
      <c r="LV18" s="128" t="str">
        <f>HLOOKUP(CONCATENATE(LV$5,LV$6),RangeStreamsSec,$O18,FALSE)</f>
        <v>MATH1015</v>
      </c>
      <c r="LW18" s="117" t="s">
        <v>89</v>
      </c>
      <c r="LX18" s="104"/>
      <c r="LY18" s="117" t="s">
        <v>87</v>
      </c>
      <c r="LZ18" s="128" t="str">
        <f>HLOOKUP(CONCATENATE(LZ$5,LZ$6),RangeStreamsSec,$O18,FALSE)</f>
        <v>NETS2000</v>
      </c>
      <c r="MA18" s="117" t="s">
        <v>89</v>
      </c>
      <c r="MB18" s="104"/>
      <c r="MC18" s="117" t="s">
        <v>87</v>
      </c>
      <c r="MD18" s="128" t="str">
        <f>HLOOKUP(CONCATENATE(MD$5,MD$6),RangeStreamsSec,$O18,FALSE)</f>
        <v>THTR1001</v>
      </c>
      <c r="ME18" s="117" t="s">
        <v>89</v>
      </c>
      <c r="MF18" s="104"/>
      <c r="MG18" s="117" t="s">
        <v>87</v>
      </c>
      <c r="MH18" s="128" t="str">
        <f>HLOOKUP(CONCATENATE(MH$5,MH$6),RangeStreamsSec,$O18,FALSE)</f>
        <v>VISA2023</v>
      </c>
      <c r="MI18" s="117" t="s">
        <v>89</v>
      </c>
      <c r="MJ18" s="104"/>
      <c r="MK18" s="117" t="s">
        <v>87</v>
      </c>
      <c r="ML18" s="128" t="str">
        <f>HLOOKUP(CONCATENATE(ML$5,ML$6),RangeStreamsSec,$O18,FALSE)</f>
        <v>AC-CHEMB2</v>
      </c>
      <c r="MM18" s="117" t="s">
        <v>89</v>
      </c>
      <c r="MN18" s="104"/>
      <c r="MO18" s="117" t="s">
        <v>87</v>
      </c>
      <c r="MP18" s="128" t="str">
        <f>HLOOKUP(CONCATENATE(MP$5,MP$6),RangeStreamsSec,$O18,FALSE)</f>
        <v>LCST1004</v>
      </c>
      <c r="MQ18" s="117" t="s">
        <v>89</v>
      </c>
      <c r="MR18" s="104"/>
      <c r="MS18" s="117" t="s">
        <v>87</v>
      </c>
      <c r="MT18" s="128" t="str">
        <f>HLOOKUP(CONCATENATE(MT$5,MT$6),RangeStreamsSec,$O18,FALSE)</f>
        <v>GEOG1000</v>
      </c>
      <c r="MU18" s="117" t="s">
        <v>89</v>
      </c>
      <c r="MV18" s="104"/>
      <c r="MW18" s="117" t="s">
        <v>87</v>
      </c>
      <c r="MX18" s="128" t="str">
        <f>HLOOKUP(CONCATENATE(MX$5,MX$6),RangeStreamsSec,$O18,FALSE)</f>
        <v>HIST1000</v>
      </c>
      <c r="MY18" s="117" t="s">
        <v>89</v>
      </c>
      <c r="MZ18" s="104"/>
      <c r="NA18" s="117" t="s">
        <v>87</v>
      </c>
      <c r="NB18" s="128" t="str">
        <f>HLOOKUP(CONCATENATE(NB$5,NB$6),RangeStreamsSec,$O18,FALSE)</f>
        <v>MATH1015</v>
      </c>
      <c r="NC18" s="117" t="s">
        <v>89</v>
      </c>
      <c r="ND18" s="104"/>
      <c r="NE18" s="117" t="s">
        <v>87</v>
      </c>
      <c r="NF18" s="128" t="str">
        <f>HLOOKUP(CONCATENATE(NF$5,NF$6),RangeStreamsSec,$O18,FALSE)</f>
        <v>NETS2000</v>
      </c>
      <c r="NG18" s="117" t="s">
        <v>89</v>
      </c>
      <c r="NH18" s="104"/>
      <c r="NI18" s="117" t="s">
        <v>87</v>
      </c>
      <c r="NJ18" s="128" t="str">
        <f>HLOOKUP(CONCATENATE(NJ$5,NJ$6),RangeStreamsSec,$O18,FALSE)</f>
        <v>THTR1001</v>
      </c>
      <c r="NK18" s="117" t="s">
        <v>89</v>
      </c>
      <c r="NL18" s="104"/>
      <c r="NM18" s="117" t="s">
        <v>87</v>
      </c>
      <c r="NN18" s="128" t="str">
        <f>HLOOKUP(CONCATENATE(NN$5,NN$6),RangeStreamsSec,$O18,FALSE)</f>
        <v>VISA2023</v>
      </c>
      <c r="NO18" s="117" t="s">
        <v>89</v>
      </c>
      <c r="NP18" s="104"/>
      <c r="NQ18" s="117" t="s">
        <v>87</v>
      </c>
      <c r="NR18" s="128" t="str">
        <f>HLOOKUP(CONCATENATE(NR$5,NR$6),RangeStreamsSec,$O18,FALSE)</f>
        <v>BIOL1005</v>
      </c>
      <c r="NS18" s="117" t="s">
        <v>89</v>
      </c>
      <c r="NT18" s="104"/>
      <c r="NU18" s="117" t="s">
        <v>87</v>
      </c>
      <c r="NV18" s="128" t="str">
        <f>HLOOKUP(CONCATENATE(NV$5,NV$6),RangeStreamsSec,$O18,FALSE)</f>
        <v>LCST1004</v>
      </c>
      <c r="NW18" s="117" t="s">
        <v>89</v>
      </c>
      <c r="NX18" s="104"/>
      <c r="NY18" s="117" t="s">
        <v>87</v>
      </c>
      <c r="NZ18" s="128" t="str">
        <f>HLOOKUP(CONCATENATE(NZ$5,NZ$6),RangeStreamsSec,$O18,FALSE)</f>
        <v>GEOG1000</v>
      </c>
      <c r="OA18" s="117" t="s">
        <v>89</v>
      </c>
      <c r="OB18" s="104"/>
      <c r="OC18" s="117" t="s">
        <v>87</v>
      </c>
      <c r="OD18" s="128" t="str">
        <f>HLOOKUP(CONCATENATE(OD$5,OD$6),RangeStreamsSec,$O18,FALSE)</f>
        <v>HIST1000</v>
      </c>
      <c r="OE18" s="117" t="s">
        <v>89</v>
      </c>
      <c r="OF18" s="104"/>
      <c r="OG18" s="117" t="s">
        <v>87</v>
      </c>
      <c r="OH18" s="128" t="str">
        <f>HLOOKUP(CONCATENATE(OH$5,OH$6),RangeStreamsSec,$O18,FALSE)</f>
        <v>MATH1015</v>
      </c>
      <c r="OI18" s="117" t="s">
        <v>89</v>
      </c>
      <c r="OJ18" s="104"/>
      <c r="OK18" s="117" t="s">
        <v>87</v>
      </c>
      <c r="OL18" s="128" t="str">
        <f>HLOOKUP(CONCATENATE(OL$5,OL$6),RangeStreamsSec,$O18,FALSE)</f>
        <v>NETS2000</v>
      </c>
      <c r="OM18" s="117" t="s">
        <v>89</v>
      </c>
      <c r="ON18" s="104"/>
      <c r="OO18" s="117" t="s">
        <v>87</v>
      </c>
      <c r="OP18" s="128" t="str">
        <f>HLOOKUP(CONCATENATE(OP$5,OP$6),RangeStreamsSec,$O18,FALSE)</f>
        <v>THTR1001</v>
      </c>
      <c r="OQ18" s="117" t="s">
        <v>89</v>
      </c>
      <c r="OR18" s="104"/>
      <c r="OS18" s="117" t="s">
        <v>87</v>
      </c>
      <c r="OT18" s="128" t="str">
        <f>HLOOKUP(CONCATENATE(OT$5,OT$6),RangeStreamsSec,$O18,FALSE)</f>
        <v>VISA2023</v>
      </c>
      <c r="OU18" s="117" t="s">
        <v>89</v>
      </c>
      <c r="OV18" s="104"/>
      <c r="OW18" s="117" t="s">
        <v>87</v>
      </c>
      <c r="OX18" s="128" t="str">
        <f>HLOOKUP(CONCATENATE(OX$5,OX$6),RangeStreamsSec,$O18,FALSE)</f>
        <v>BIOL1005</v>
      </c>
      <c r="OY18" s="117" t="s">
        <v>89</v>
      </c>
      <c r="OZ18" s="104"/>
      <c r="PA18" s="117" t="s">
        <v>87</v>
      </c>
      <c r="PB18" s="128" t="str">
        <f>HLOOKUP(CONCATENATE(PB$5,PB$6),RangeStreamsSec,$O18,FALSE)</f>
        <v>LCST1004</v>
      </c>
      <c r="PC18" s="117" t="s">
        <v>89</v>
      </c>
      <c r="PD18" s="104"/>
      <c r="PE18" s="117" t="s">
        <v>87</v>
      </c>
      <c r="PF18" s="128" t="str">
        <f>HLOOKUP(CONCATENATE(PF$5,PF$6),RangeStreamsSec,$O18,FALSE)</f>
        <v>GEOG1000</v>
      </c>
      <c r="PG18" s="117" t="s">
        <v>89</v>
      </c>
      <c r="PH18" s="104"/>
      <c r="PI18" s="117" t="s">
        <v>87</v>
      </c>
      <c r="PJ18" s="128" t="str">
        <f>HLOOKUP(CONCATENATE(PJ$5,PJ$6),RangeStreamsSec,$O18,FALSE)</f>
        <v>HIST1000</v>
      </c>
      <c r="PK18" s="117" t="s">
        <v>89</v>
      </c>
      <c r="PL18" s="104"/>
      <c r="PM18" s="117" t="s">
        <v>87</v>
      </c>
      <c r="PN18" s="128" t="str">
        <f>HLOOKUP(CONCATENATE(PN$5,PN$6),RangeStreamsSec,$O18,FALSE)</f>
        <v>MATH1015</v>
      </c>
      <c r="PO18" s="117" t="s">
        <v>89</v>
      </c>
      <c r="PP18" s="104"/>
      <c r="PQ18" s="117" t="s">
        <v>87</v>
      </c>
      <c r="PR18" s="128" t="str">
        <f>HLOOKUP(CONCATENATE(PR$5,PR$6),RangeStreamsSec,$O18,FALSE)</f>
        <v>NETS2000</v>
      </c>
      <c r="PS18" s="117" t="s">
        <v>89</v>
      </c>
      <c r="PT18" s="104"/>
      <c r="PU18" s="117" t="s">
        <v>87</v>
      </c>
      <c r="PV18" s="128" t="str">
        <f>HLOOKUP(CONCATENATE(PV$5,PV$6),RangeStreamsSec,$O18,FALSE)</f>
        <v>THTR1001</v>
      </c>
      <c r="PW18" s="117" t="s">
        <v>89</v>
      </c>
      <c r="PX18" s="104"/>
      <c r="PY18" s="117" t="s">
        <v>87</v>
      </c>
      <c r="PZ18" s="128" t="str">
        <f>HLOOKUP(CONCATENATE(PZ$5,PZ$6),RangeStreamsSec,$O18,FALSE)</f>
        <v>VISA2023</v>
      </c>
      <c r="QA18" s="117" t="s">
        <v>89</v>
      </c>
      <c r="QB18" s="104"/>
      <c r="QC18" s="117" t="s">
        <v>87</v>
      </c>
      <c r="QD18" s="128" t="e">
        <f>HLOOKUP(CONCATENATE(QD$5,QD$6),RangeStreamsSec,$O18,FALSE)</f>
        <v>#N/A</v>
      </c>
      <c r="QE18" s="117" t="s">
        <v>89</v>
      </c>
      <c r="QF18" s="104"/>
      <c r="QG18" s="117" t="s">
        <v>87</v>
      </c>
      <c r="QH18" s="128" t="e">
        <f>HLOOKUP(CONCATENATE(QH$5,QH$6),RangeStreamsSec,$O18,FALSE)</f>
        <v>#N/A</v>
      </c>
      <c r="QI18" s="117" t="s">
        <v>89</v>
      </c>
      <c r="QJ18" s="104"/>
    </row>
    <row r="19" spans="1:452" x14ac:dyDescent="0.25">
      <c r="A19" s="352" t="s">
        <v>390</v>
      </c>
      <c r="B19" s="268" t="s">
        <v>349</v>
      </c>
      <c r="C19" s="268" t="s">
        <v>100</v>
      </c>
      <c r="D19" s="269">
        <v>45658</v>
      </c>
      <c r="E19" s="268">
        <v>1</v>
      </c>
      <c r="F19" s="269">
        <v>45658</v>
      </c>
      <c r="G19" s="268" t="s">
        <v>376</v>
      </c>
      <c r="J19" s="140" t="s">
        <v>338</v>
      </c>
      <c r="K19" s="145" t="s">
        <v>221</v>
      </c>
      <c r="L19" s="140"/>
      <c r="O19" s="19"/>
      <c r="P19" s="3">
        <v>17</v>
      </c>
      <c r="Q19" s="116" t="s">
        <v>89</v>
      </c>
      <c r="R19" s="115" t="s">
        <v>391</v>
      </c>
      <c r="S19" s="116" t="s">
        <v>87</v>
      </c>
      <c r="T19" s="115"/>
      <c r="U19" s="116" t="s">
        <v>89</v>
      </c>
      <c r="V19" s="297" t="str">
        <f>$R19</f>
        <v>EDSC2013</v>
      </c>
      <c r="W19" s="116" t="s">
        <v>87</v>
      </c>
      <c r="X19" s="115"/>
      <c r="Y19" s="116" t="s">
        <v>89</v>
      </c>
      <c r="Z19" s="297" t="str">
        <f>$R19</f>
        <v>EDSC2013</v>
      </c>
      <c r="AA19" s="116" t="s">
        <v>87</v>
      </c>
      <c r="AB19" s="115"/>
      <c r="AC19" s="116" t="s">
        <v>89</v>
      </c>
      <c r="AD19" s="297" t="str">
        <f>$R19</f>
        <v>EDSC2013</v>
      </c>
      <c r="AE19" s="116" t="s">
        <v>87</v>
      </c>
      <c r="AF19" s="115"/>
      <c r="AG19" s="116" t="s">
        <v>89</v>
      </c>
      <c r="AH19" s="297" t="str">
        <f>$R19</f>
        <v>EDSC2013</v>
      </c>
      <c r="AI19" s="116" t="s">
        <v>87</v>
      </c>
      <c r="AJ19" s="115"/>
      <c r="AK19" s="116" t="s">
        <v>89</v>
      </c>
      <c r="AL19" s="297" t="str">
        <f>$R19</f>
        <v>EDSC2013</v>
      </c>
      <c r="AM19" s="116" t="s">
        <v>87</v>
      </c>
      <c r="AN19" s="115"/>
      <c r="AO19" s="116" t="s">
        <v>89</v>
      </c>
      <c r="AP19" s="297" t="str">
        <f>$R19</f>
        <v>EDSC2013</v>
      </c>
      <c r="AQ19" s="116" t="s">
        <v>87</v>
      </c>
      <c r="AR19" s="115"/>
      <c r="AS19" s="116" t="s">
        <v>89</v>
      </c>
      <c r="AT19" s="297" t="str">
        <f>$R19</f>
        <v>EDSC2013</v>
      </c>
      <c r="AU19" s="116" t="s">
        <v>87</v>
      </c>
      <c r="AV19" s="115"/>
      <c r="AW19" s="116" t="s">
        <v>89</v>
      </c>
      <c r="AX19" s="297" t="str">
        <f>$R19</f>
        <v>EDSC2013</v>
      </c>
      <c r="AY19" s="116" t="s">
        <v>87</v>
      </c>
      <c r="AZ19" s="115"/>
      <c r="BA19" s="116" t="s">
        <v>89</v>
      </c>
      <c r="BB19" s="297" t="str">
        <f>$R19</f>
        <v>EDSC2013</v>
      </c>
      <c r="BC19" s="116" t="s">
        <v>87</v>
      </c>
      <c r="BD19" s="115"/>
      <c r="BE19" s="116" t="s">
        <v>89</v>
      </c>
      <c r="BF19" s="297" t="str">
        <f>$R19</f>
        <v>EDSC2013</v>
      </c>
      <c r="BG19" s="116" t="s">
        <v>87</v>
      </c>
      <c r="BH19" s="115"/>
      <c r="BI19" s="116" t="s">
        <v>89</v>
      </c>
      <c r="BJ19" s="297" t="str">
        <f>$R19</f>
        <v>EDSC2013</v>
      </c>
      <c r="BK19" s="116" t="s">
        <v>87</v>
      </c>
      <c r="BL19" s="115"/>
      <c r="BM19" s="116" t="s">
        <v>89</v>
      </c>
      <c r="BN19" s="297" t="str">
        <f>$R19</f>
        <v>EDSC2013</v>
      </c>
      <c r="BO19" s="116" t="s">
        <v>87</v>
      </c>
      <c r="BP19" s="115"/>
      <c r="BQ19" s="116" t="s">
        <v>89</v>
      </c>
      <c r="BR19" s="297" t="str">
        <f>$R19</f>
        <v>EDSC2013</v>
      </c>
      <c r="BS19" s="116" t="s">
        <v>87</v>
      </c>
      <c r="BT19" s="115"/>
      <c r="BU19" s="116" t="s">
        <v>89</v>
      </c>
      <c r="BV19" s="297" t="str">
        <f>$R19</f>
        <v>EDSC2013</v>
      </c>
      <c r="BW19" s="116" t="s">
        <v>87</v>
      </c>
      <c r="BX19" s="115"/>
      <c r="BY19" s="116" t="s">
        <v>89</v>
      </c>
      <c r="BZ19" s="297" t="str">
        <f>$R19</f>
        <v>EDSC2013</v>
      </c>
      <c r="CA19" s="116" t="s">
        <v>87</v>
      </c>
      <c r="CB19" s="115"/>
      <c r="CC19" s="116" t="s">
        <v>89</v>
      </c>
      <c r="CD19" s="297" t="str">
        <f>$R19</f>
        <v>EDSC2013</v>
      </c>
      <c r="CE19" s="116" t="s">
        <v>87</v>
      </c>
      <c r="CF19" s="115"/>
      <c r="CG19" s="116" t="s">
        <v>89</v>
      </c>
      <c r="CH19" s="297" t="str">
        <f>$R19</f>
        <v>EDSC2013</v>
      </c>
      <c r="CI19" s="116" t="s">
        <v>87</v>
      </c>
      <c r="CJ19" s="115"/>
      <c r="CK19" s="116" t="s">
        <v>89</v>
      </c>
      <c r="CL19" s="297" t="str">
        <f>$R19</f>
        <v>EDSC2013</v>
      </c>
      <c r="CM19" s="116" t="s">
        <v>87</v>
      </c>
      <c r="CN19" s="115"/>
      <c r="CO19" s="116" t="s">
        <v>89</v>
      </c>
      <c r="CP19" s="297" t="str">
        <f>$R19</f>
        <v>EDSC2013</v>
      </c>
      <c r="CQ19" s="116" t="s">
        <v>87</v>
      </c>
      <c r="CR19" s="115"/>
      <c r="CS19" s="116" t="s">
        <v>89</v>
      </c>
      <c r="CT19" s="297" t="str">
        <f>$R19</f>
        <v>EDSC2013</v>
      </c>
      <c r="CU19" s="116" t="s">
        <v>87</v>
      </c>
      <c r="CV19" s="115"/>
      <c r="CW19" s="116" t="s">
        <v>89</v>
      </c>
      <c r="CX19" s="297" t="str">
        <f>$R19</f>
        <v>EDSC2013</v>
      </c>
      <c r="CY19" s="116" t="s">
        <v>87</v>
      </c>
      <c r="CZ19" s="115"/>
      <c r="DA19" s="116" t="s">
        <v>89</v>
      </c>
      <c r="DB19" s="297" t="str">
        <f>$R19</f>
        <v>EDSC2013</v>
      </c>
      <c r="DC19" s="116" t="s">
        <v>87</v>
      </c>
      <c r="DD19" s="115"/>
      <c r="DE19" s="116" t="s">
        <v>89</v>
      </c>
      <c r="DF19" s="297" t="str">
        <f>$R19</f>
        <v>EDSC2013</v>
      </c>
      <c r="DG19" s="116" t="s">
        <v>87</v>
      </c>
      <c r="DH19" s="115"/>
      <c r="DI19" s="116" t="s">
        <v>89</v>
      </c>
      <c r="DJ19" s="297" t="str">
        <f>$R19</f>
        <v>EDSC2013</v>
      </c>
      <c r="DK19" s="116" t="s">
        <v>87</v>
      </c>
      <c r="DL19" s="115"/>
      <c r="DM19" s="116" t="s">
        <v>89</v>
      </c>
      <c r="DN19" s="297" t="str">
        <f>$R19</f>
        <v>EDSC2013</v>
      </c>
      <c r="DO19" s="116" t="s">
        <v>87</v>
      </c>
      <c r="DP19" s="115"/>
      <c r="DQ19" s="116" t="s">
        <v>89</v>
      </c>
      <c r="DR19" s="297" t="str">
        <f>$R19</f>
        <v>EDSC2013</v>
      </c>
      <c r="DS19" s="116" t="s">
        <v>87</v>
      </c>
      <c r="DT19" s="115"/>
      <c r="DU19" s="116" t="s">
        <v>89</v>
      </c>
      <c r="DV19" s="297" t="str">
        <f>$R19</f>
        <v>EDSC2013</v>
      </c>
      <c r="DW19" s="116" t="s">
        <v>87</v>
      </c>
      <c r="DX19" s="115"/>
      <c r="DY19" s="116" t="s">
        <v>89</v>
      </c>
      <c r="DZ19" s="297" t="str">
        <f>$R19</f>
        <v>EDSC2013</v>
      </c>
      <c r="EA19" s="116" t="s">
        <v>87</v>
      </c>
      <c r="EB19" s="115"/>
      <c r="EC19" s="116" t="s">
        <v>89</v>
      </c>
      <c r="ED19" s="297" t="str">
        <f>$R19</f>
        <v>EDSC2013</v>
      </c>
      <c r="EE19" s="116" t="s">
        <v>87</v>
      </c>
      <c r="EF19" s="115"/>
      <c r="EG19" s="116" t="s">
        <v>89</v>
      </c>
      <c r="EH19" s="297" t="str">
        <f>$R19</f>
        <v>EDSC2013</v>
      </c>
      <c r="EI19" s="116" t="s">
        <v>87</v>
      </c>
      <c r="EJ19" s="115"/>
      <c r="EK19" s="116" t="s">
        <v>89</v>
      </c>
      <c r="EL19" s="297" t="str">
        <f>$R19</f>
        <v>EDSC2013</v>
      </c>
      <c r="EM19" s="116" t="s">
        <v>87</v>
      </c>
      <c r="EN19" s="115"/>
      <c r="EO19" s="116" t="s">
        <v>89</v>
      </c>
      <c r="EP19" s="297" t="str">
        <f>$R19</f>
        <v>EDSC2013</v>
      </c>
      <c r="EQ19" s="116" t="s">
        <v>87</v>
      </c>
      <c r="ER19" s="115"/>
      <c r="ES19" s="116" t="s">
        <v>89</v>
      </c>
      <c r="ET19" s="297" t="str">
        <f>$R19</f>
        <v>EDSC2013</v>
      </c>
      <c r="EU19" s="116" t="s">
        <v>87</v>
      </c>
      <c r="EV19" s="115"/>
      <c r="EW19" s="116" t="s">
        <v>89</v>
      </c>
      <c r="EX19" s="297" t="str">
        <f>$R19</f>
        <v>EDSC2013</v>
      </c>
      <c r="EY19" s="116" t="s">
        <v>87</v>
      </c>
      <c r="EZ19" s="115"/>
      <c r="FA19" s="116" t="s">
        <v>89</v>
      </c>
      <c r="FB19" s="297" t="str">
        <f>$R19</f>
        <v>EDSC2013</v>
      </c>
      <c r="FC19" s="116" t="s">
        <v>87</v>
      </c>
      <c r="FD19" s="115"/>
      <c r="FE19" s="116" t="s">
        <v>89</v>
      </c>
      <c r="FF19" s="297" t="str">
        <f>$R19</f>
        <v>EDSC2013</v>
      </c>
      <c r="FG19" s="116" t="s">
        <v>87</v>
      </c>
      <c r="FH19" s="115"/>
      <c r="FI19" s="116" t="s">
        <v>89</v>
      </c>
      <c r="FJ19" s="297" t="str">
        <f>$R19</f>
        <v>EDSC2013</v>
      </c>
      <c r="FK19" s="116" t="s">
        <v>87</v>
      </c>
      <c r="FL19" s="115"/>
      <c r="FM19" s="116" t="s">
        <v>89</v>
      </c>
      <c r="FN19" s="297" t="str">
        <f>$R19</f>
        <v>EDSC2013</v>
      </c>
      <c r="FO19" s="116" t="s">
        <v>87</v>
      </c>
      <c r="FP19" s="115"/>
      <c r="FQ19" s="116" t="s">
        <v>89</v>
      </c>
      <c r="FR19" s="297" t="str">
        <f>$R19</f>
        <v>EDSC2013</v>
      </c>
      <c r="FS19" s="116" t="s">
        <v>87</v>
      </c>
      <c r="FT19" s="115"/>
      <c r="FU19" s="116" t="s">
        <v>89</v>
      </c>
      <c r="FV19" s="297" t="str">
        <f>$R19</f>
        <v>EDSC2013</v>
      </c>
      <c r="FW19" s="116" t="s">
        <v>87</v>
      </c>
      <c r="FX19" s="115"/>
      <c r="FY19" s="116" t="s">
        <v>89</v>
      </c>
      <c r="FZ19" s="297" t="str">
        <f>$R19</f>
        <v>EDSC2013</v>
      </c>
      <c r="GA19" s="116" t="s">
        <v>87</v>
      </c>
      <c r="GB19" s="115"/>
      <c r="GC19" s="116" t="s">
        <v>89</v>
      </c>
      <c r="GD19" s="297" t="str">
        <f>$R19</f>
        <v>EDSC2013</v>
      </c>
      <c r="GE19" s="116" t="s">
        <v>87</v>
      </c>
      <c r="GF19" s="115"/>
      <c r="GG19" s="116" t="s">
        <v>89</v>
      </c>
      <c r="GH19" s="297" t="str">
        <f>$R19</f>
        <v>EDSC2013</v>
      </c>
      <c r="GI19" s="116" t="s">
        <v>87</v>
      </c>
      <c r="GJ19" s="115"/>
      <c r="GK19" s="116" t="s">
        <v>89</v>
      </c>
      <c r="GL19" s="297" t="str">
        <f>$R19</f>
        <v>EDSC2013</v>
      </c>
      <c r="GM19" s="116" t="s">
        <v>87</v>
      </c>
      <c r="GN19" s="115"/>
      <c r="GO19" s="116" t="s">
        <v>89</v>
      </c>
      <c r="GP19" s="297" t="str">
        <f>$R19</f>
        <v>EDSC2013</v>
      </c>
      <c r="GQ19" s="116" t="s">
        <v>87</v>
      </c>
      <c r="GR19" s="115"/>
      <c r="GS19" s="116" t="s">
        <v>89</v>
      </c>
      <c r="GT19" s="297" t="str">
        <f>$R19</f>
        <v>EDSC2013</v>
      </c>
      <c r="GU19" s="116" t="s">
        <v>87</v>
      </c>
      <c r="GV19" s="115"/>
      <c r="GW19" s="116" t="s">
        <v>89</v>
      </c>
      <c r="GX19" s="297" t="str">
        <f>$R19</f>
        <v>EDSC2013</v>
      </c>
      <c r="GY19" s="116" t="s">
        <v>87</v>
      </c>
      <c r="GZ19" s="115"/>
      <c r="HA19" s="116" t="s">
        <v>89</v>
      </c>
      <c r="HB19" s="297" t="str">
        <f>$R19</f>
        <v>EDSC2013</v>
      </c>
      <c r="HC19" s="116" t="s">
        <v>87</v>
      </c>
      <c r="HD19" s="115"/>
      <c r="HE19" s="116" t="s">
        <v>89</v>
      </c>
      <c r="HF19" s="297" t="str">
        <f>$R19</f>
        <v>EDSC2013</v>
      </c>
      <c r="HG19" s="116" t="s">
        <v>87</v>
      </c>
      <c r="HH19" s="115"/>
      <c r="HI19" s="116" t="s">
        <v>89</v>
      </c>
      <c r="HJ19" s="297" t="str">
        <f>$R19</f>
        <v>EDSC2013</v>
      </c>
      <c r="HK19" s="116" t="s">
        <v>87</v>
      </c>
      <c r="HL19" s="115"/>
      <c r="HM19" s="116" t="s">
        <v>89</v>
      </c>
      <c r="HN19" s="297" t="str">
        <f>$R19</f>
        <v>EDSC2013</v>
      </c>
      <c r="HO19" s="116" t="s">
        <v>87</v>
      </c>
      <c r="HP19" s="115"/>
      <c r="HQ19" s="116" t="s">
        <v>89</v>
      </c>
      <c r="HR19" s="297" t="str">
        <f>$R19</f>
        <v>EDSC2013</v>
      </c>
      <c r="HS19" s="116" t="s">
        <v>87</v>
      </c>
      <c r="HT19" s="115"/>
      <c r="HU19" s="116" t="s">
        <v>89</v>
      </c>
      <c r="HV19" s="297" t="str">
        <f>$R19</f>
        <v>EDSC2013</v>
      </c>
      <c r="HW19" s="116" t="s">
        <v>87</v>
      </c>
      <c r="HX19" s="115"/>
      <c r="HY19" s="116" t="s">
        <v>89</v>
      </c>
      <c r="HZ19" s="297" t="str">
        <f>$R19</f>
        <v>EDSC2013</v>
      </c>
      <c r="IA19" s="116" t="s">
        <v>87</v>
      </c>
      <c r="IB19" s="115"/>
      <c r="IC19" s="116" t="s">
        <v>89</v>
      </c>
      <c r="ID19" s="297" t="str">
        <f>$R19</f>
        <v>EDSC2013</v>
      </c>
      <c r="IE19" s="116" t="s">
        <v>87</v>
      </c>
      <c r="IF19" s="115"/>
      <c r="IG19" s="116" t="s">
        <v>89</v>
      </c>
      <c r="IH19" s="297" t="str">
        <f>$R19</f>
        <v>EDSC2013</v>
      </c>
      <c r="II19" s="116" t="s">
        <v>87</v>
      </c>
      <c r="IJ19" s="115"/>
      <c r="IK19" s="116" t="s">
        <v>89</v>
      </c>
      <c r="IL19" s="297" t="str">
        <f>$R19</f>
        <v>EDSC2013</v>
      </c>
      <c r="IM19" s="116" t="s">
        <v>87</v>
      </c>
      <c r="IN19" s="115"/>
      <c r="IO19" s="116" t="s">
        <v>89</v>
      </c>
      <c r="IP19" s="297" t="str">
        <f>$R19</f>
        <v>EDSC2013</v>
      </c>
      <c r="IQ19" s="116" t="s">
        <v>87</v>
      </c>
      <c r="IR19" s="115"/>
      <c r="IS19" s="116" t="s">
        <v>89</v>
      </c>
      <c r="IT19" s="297" t="str">
        <f>$R19</f>
        <v>EDSC2013</v>
      </c>
      <c r="IU19" s="116" t="s">
        <v>87</v>
      </c>
      <c r="IV19" s="115"/>
      <c r="IW19" s="116" t="s">
        <v>89</v>
      </c>
      <c r="IX19" s="297" t="str">
        <f>$R19</f>
        <v>EDSC2013</v>
      </c>
      <c r="IY19" s="116" t="s">
        <v>87</v>
      </c>
      <c r="IZ19" s="115"/>
      <c r="JA19" s="116" t="s">
        <v>89</v>
      </c>
      <c r="JB19" s="297" t="str">
        <f>$R19</f>
        <v>EDSC2013</v>
      </c>
      <c r="JC19" s="116" t="s">
        <v>87</v>
      </c>
      <c r="JD19" s="115"/>
      <c r="JE19" s="116" t="s">
        <v>89</v>
      </c>
      <c r="JF19" s="297" t="str">
        <f>$R19</f>
        <v>EDSC2013</v>
      </c>
      <c r="JG19" s="116" t="s">
        <v>87</v>
      </c>
      <c r="JH19" s="115"/>
      <c r="JI19" s="116" t="s">
        <v>89</v>
      </c>
      <c r="JJ19" s="297" t="str">
        <f>$R19</f>
        <v>EDSC2013</v>
      </c>
      <c r="JK19" s="116" t="s">
        <v>87</v>
      </c>
      <c r="JL19" s="115"/>
      <c r="JM19" s="116" t="s">
        <v>89</v>
      </c>
      <c r="JN19" s="297" t="str">
        <f>$R19</f>
        <v>EDSC2013</v>
      </c>
      <c r="JO19" s="116" t="s">
        <v>87</v>
      </c>
      <c r="JP19" s="115"/>
      <c r="JQ19" s="116" t="s">
        <v>89</v>
      </c>
      <c r="JR19" s="297" t="str">
        <f>$R19</f>
        <v>EDSC2013</v>
      </c>
      <c r="JS19" s="116" t="s">
        <v>87</v>
      </c>
      <c r="JT19" s="115"/>
      <c r="JU19" s="116" t="s">
        <v>89</v>
      </c>
      <c r="JV19" s="297" t="str">
        <f>$R19</f>
        <v>EDSC2013</v>
      </c>
      <c r="JW19" s="116" t="s">
        <v>87</v>
      </c>
      <c r="JX19" s="115"/>
      <c r="JY19" s="116" t="s">
        <v>89</v>
      </c>
      <c r="JZ19" s="297" t="str">
        <f>$R19</f>
        <v>EDSC2013</v>
      </c>
      <c r="KA19" s="116" t="s">
        <v>87</v>
      </c>
      <c r="KB19" s="115"/>
      <c r="KC19" s="116" t="s">
        <v>89</v>
      </c>
      <c r="KD19" s="297" t="str">
        <f>$R19</f>
        <v>EDSC2013</v>
      </c>
      <c r="KE19" s="116" t="s">
        <v>87</v>
      </c>
      <c r="KF19" s="115"/>
      <c r="KG19" s="116" t="s">
        <v>89</v>
      </c>
      <c r="KH19" s="297" t="str">
        <f>$R19</f>
        <v>EDSC2013</v>
      </c>
      <c r="KI19" s="116" t="s">
        <v>87</v>
      </c>
      <c r="KJ19" s="115"/>
      <c r="KK19" s="116" t="s">
        <v>89</v>
      </c>
      <c r="KL19" s="297" t="str">
        <f>$R19</f>
        <v>EDSC2013</v>
      </c>
      <c r="KM19" s="116" t="s">
        <v>87</v>
      </c>
      <c r="KN19" s="115"/>
      <c r="KO19" s="116" t="s">
        <v>89</v>
      </c>
      <c r="KP19" s="297" t="str">
        <f>$R19</f>
        <v>EDSC2013</v>
      </c>
      <c r="KQ19" s="116" t="s">
        <v>87</v>
      </c>
      <c r="KR19" s="115"/>
      <c r="KS19" s="116" t="s">
        <v>89</v>
      </c>
      <c r="KT19" s="297" t="str">
        <f>$R19</f>
        <v>EDSC2013</v>
      </c>
      <c r="KU19" s="116" t="s">
        <v>87</v>
      </c>
      <c r="KV19" s="115"/>
      <c r="KW19" s="116" t="s">
        <v>89</v>
      </c>
      <c r="KX19" s="297" t="str">
        <f>$R19</f>
        <v>EDSC2013</v>
      </c>
      <c r="KY19" s="116" t="s">
        <v>87</v>
      </c>
      <c r="KZ19" s="115"/>
      <c r="LA19" s="116" t="s">
        <v>89</v>
      </c>
      <c r="LB19" s="297" t="str">
        <f>$R19</f>
        <v>EDSC2013</v>
      </c>
      <c r="LC19" s="116" t="s">
        <v>87</v>
      </c>
      <c r="LD19" s="115"/>
      <c r="LE19" s="116" t="s">
        <v>89</v>
      </c>
      <c r="LF19" s="297" t="str">
        <f>$R19</f>
        <v>EDSC2013</v>
      </c>
      <c r="LG19" s="116" t="s">
        <v>87</v>
      </c>
      <c r="LH19" s="115"/>
      <c r="LI19" s="116" t="s">
        <v>89</v>
      </c>
      <c r="LJ19" s="297" t="str">
        <f>$R19</f>
        <v>EDSC2013</v>
      </c>
      <c r="LK19" s="116" t="s">
        <v>87</v>
      </c>
      <c r="LL19" s="115"/>
      <c r="LM19" s="116" t="s">
        <v>89</v>
      </c>
      <c r="LN19" s="297" t="str">
        <f>$R19</f>
        <v>EDSC2013</v>
      </c>
      <c r="LO19" s="116" t="s">
        <v>87</v>
      </c>
      <c r="LP19" s="115"/>
      <c r="LQ19" s="116" t="s">
        <v>89</v>
      </c>
      <c r="LR19" s="297" t="str">
        <f>$R19</f>
        <v>EDSC2013</v>
      </c>
      <c r="LS19" s="116" t="s">
        <v>87</v>
      </c>
      <c r="LT19" s="115"/>
      <c r="LU19" s="116" t="s">
        <v>89</v>
      </c>
      <c r="LV19" s="297" t="str">
        <f>$R19</f>
        <v>EDSC2013</v>
      </c>
      <c r="LW19" s="116" t="s">
        <v>87</v>
      </c>
      <c r="LX19" s="115"/>
      <c r="LY19" s="116" t="s">
        <v>89</v>
      </c>
      <c r="LZ19" s="297" t="str">
        <f>$R19</f>
        <v>EDSC2013</v>
      </c>
      <c r="MA19" s="116" t="s">
        <v>87</v>
      </c>
      <c r="MB19" s="115"/>
      <c r="MC19" s="116" t="s">
        <v>89</v>
      </c>
      <c r="MD19" s="297" t="str">
        <f>$R19</f>
        <v>EDSC2013</v>
      </c>
      <c r="ME19" s="116" t="s">
        <v>87</v>
      </c>
      <c r="MF19" s="115"/>
      <c r="MG19" s="116" t="s">
        <v>89</v>
      </c>
      <c r="MH19" s="297" t="str">
        <f>$R19</f>
        <v>EDSC2013</v>
      </c>
      <c r="MI19" s="116" t="s">
        <v>87</v>
      </c>
      <c r="MJ19" s="115"/>
      <c r="MK19" s="116" t="s">
        <v>89</v>
      </c>
      <c r="ML19" s="297" t="str">
        <f>$R19</f>
        <v>EDSC2013</v>
      </c>
      <c r="MM19" s="116" t="s">
        <v>87</v>
      </c>
      <c r="MN19" s="115"/>
      <c r="MO19" s="116" t="s">
        <v>89</v>
      </c>
      <c r="MP19" s="297" t="str">
        <f>$R19</f>
        <v>EDSC2013</v>
      </c>
      <c r="MQ19" s="116" t="s">
        <v>87</v>
      </c>
      <c r="MR19" s="115"/>
      <c r="MS19" s="116" t="s">
        <v>89</v>
      </c>
      <c r="MT19" s="297" t="str">
        <f>$R19</f>
        <v>EDSC2013</v>
      </c>
      <c r="MU19" s="116" t="s">
        <v>87</v>
      </c>
      <c r="MV19" s="115"/>
      <c r="MW19" s="116" t="s">
        <v>89</v>
      </c>
      <c r="MX19" s="297" t="str">
        <f>$R19</f>
        <v>EDSC2013</v>
      </c>
      <c r="MY19" s="116" t="s">
        <v>87</v>
      </c>
      <c r="MZ19" s="115"/>
      <c r="NA19" s="116" t="s">
        <v>89</v>
      </c>
      <c r="NB19" s="297" t="str">
        <f>$R19</f>
        <v>EDSC2013</v>
      </c>
      <c r="NC19" s="116" t="s">
        <v>87</v>
      </c>
      <c r="ND19" s="115"/>
      <c r="NE19" s="116" t="s">
        <v>89</v>
      </c>
      <c r="NF19" s="297" t="str">
        <f>$R19</f>
        <v>EDSC2013</v>
      </c>
      <c r="NG19" s="116" t="s">
        <v>87</v>
      </c>
      <c r="NH19" s="115"/>
      <c r="NI19" s="116" t="s">
        <v>89</v>
      </c>
      <c r="NJ19" s="297" t="str">
        <f>$R19</f>
        <v>EDSC2013</v>
      </c>
      <c r="NK19" s="116" t="s">
        <v>87</v>
      </c>
      <c r="NL19" s="115"/>
      <c r="NM19" s="116" t="s">
        <v>89</v>
      </c>
      <c r="NN19" s="297" t="str">
        <f>$R19</f>
        <v>EDSC2013</v>
      </c>
      <c r="NO19" s="116" t="s">
        <v>87</v>
      </c>
      <c r="NP19" s="115"/>
      <c r="NQ19" s="116" t="s">
        <v>89</v>
      </c>
      <c r="NR19" s="297" t="str">
        <f>$R19</f>
        <v>EDSC2013</v>
      </c>
      <c r="NS19" s="116" t="s">
        <v>87</v>
      </c>
      <c r="NT19" s="115"/>
      <c r="NU19" s="116" t="s">
        <v>89</v>
      </c>
      <c r="NV19" s="297" t="str">
        <f>$R19</f>
        <v>EDSC2013</v>
      </c>
      <c r="NW19" s="116" t="s">
        <v>87</v>
      </c>
      <c r="NX19" s="115"/>
      <c r="NY19" s="116" t="s">
        <v>89</v>
      </c>
      <c r="NZ19" s="297" t="str">
        <f>$R19</f>
        <v>EDSC2013</v>
      </c>
      <c r="OA19" s="116" t="s">
        <v>87</v>
      </c>
      <c r="OB19" s="115"/>
      <c r="OC19" s="116" t="s">
        <v>89</v>
      </c>
      <c r="OD19" s="297" t="str">
        <f>$R19</f>
        <v>EDSC2013</v>
      </c>
      <c r="OE19" s="116" t="s">
        <v>87</v>
      </c>
      <c r="OF19" s="115"/>
      <c r="OG19" s="116" t="s">
        <v>89</v>
      </c>
      <c r="OH19" s="297" t="str">
        <f>$R19</f>
        <v>EDSC2013</v>
      </c>
      <c r="OI19" s="116" t="s">
        <v>87</v>
      </c>
      <c r="OJ19" s="115"/>
      <c r="OK19" s="116" t="s">
        <v>89</v>
      </c>
      <c r="OL19" s="297" t="str">
        <f>$R19</f>
        <v>EDSC2013</v>
      </c>
      <c r="OM19" s="116" t="s">
        <v>87</v>
      </c>
      <c r="ON19" s="115"/>
      <c r="OO19" s="116" t="s">
        <v>89</v>
      </c>
      <c r="OP19" s="297" t="str">
        <f>$R19</f>
        <v>EDSC2013</v>
      </c>
      <c r="OQ19" s="116" t="s">
        <v>87</v>
      </c>
      <c r="OR19" s="115"/>
      <c r="OS19" s="116" t="s">
        <v>89</v>
      </c>
      <c r="OT19" s="297" t="str">
        <f>$R19</f>
        <v>EDSC2013</v>
      </c>
      <c r="OU19" s="116" t="s">
        <v>87</v>
      </c>
      <c r="OV19" s="115"/>
      <c r="OW19" s="116" t="s">
        <v>89</v>
      </c>
      <c r="OX19" s="297" t="str">
        <f>$R19</f>
        <v>EDSC2013</v>
      </c>
      <c r="OY19" s="116" t="s">
        <v>87</v>
      </c>
      <c r="OZ19" s="115"/>
      <c r="PA19" s="116" t="s">
        <v>89</v>
      </c>
      <c r="PB19" s="297" t="str">
        <f>$R19</f>
        <v>EDSC2013</v>
      </c>
      <c r="PC19" s="116" t="s">
        <v>87</v>
      </c>
      <c r="PD19" s="115"/>
      <c r="PE19" s="116" t="s">
        <v>89</v>
      </c>
      <c r="PF19" s="297" t="str">
        <f>$R19</f>
        <v>EDSC2013</v>
      </c>
      <c r="PG19" s="116" t="s">
        <v>87</v>
      </c>
      <c r="PH19" s="115"/>
      <c r="PI19" s="116" t="s">
        <v>89</v>
      </c>
      <c r="PJ19" s="297" t="str">
        <f>$R19</f>
        <v>EDSC2013</v>
      </c>
      <c r="PK19" s="116" t="s">
        <v>87</v>
      </c>
      <c r="PL19" s="115"/>
      <c r="PM19" s="116" t="s">
        <v>89</v>
      </c>
      <c r="PN19" s="297" t="str">
        <f>$R19</f>
        <v>EDSC2013</v>
      </c>
      <c r="PO19" s="116" t="s">
        <v>87</v>
      </c>
      <c r="PP19" s="115"/>
      <c r="PQ19" s="116" t="s">
        <v>89</v>
      </c>
      <c r="PR19" s="297" t="str">
        <f>$R19</f>
        <v>EDSC2013</v>
      </c>
      <c r="PS19" s="116" t="s">
        <v>87</v>
      </c>
      <c r="PT19" s="115"/>
      <c r="PU19" s="116" t="s">
        <v>89</v>
      </c>
      <c r="PV19" s="297" t="str">
        <f>$R19</f>
        <v>EDSC2013</v>
      </c>
      <c r="PW19" s="116" t="s">
        <v>87</v>
      </c>
      <c r="PX19" s="115"/>
      <c r="PY19" s="116" t="s">
        <v>89</v>
      </c>
      <c r="PZ19" s="297" t="str">
        <f>$R19</f>
        <v>EDSC2013</v>
      </c>
      <c r="QA19" s="116" t="s">
        <v>87</v>
      </c>
      <c r="QB19" s="115"/>
      <c r="QC19" s="116" t="s">
        <v>89</v>
      </c>
      <c r="QD19" s="297" t="str">
        <f>$R19</f>
        <v>EDSC2013</v>
      </c>
      <c r="QE19" s="116" t="s">
        <v>87</v>
      </c>
      <c r="QF19" s="115"/>
      <c r="QG19" s="116" t="s">
        <v>89</v>
      </c>
      <c r="QH19" s="297" t="str">
        <f>$R19</f>
        <v>EDSC2013</v>
      </c>
      <c r="QI19" s="116" t="s">
        <v>87</v>
      </c>
      <c r="QJ19" s="115"/>
    </row>
    <row r="20" spans="1:452" x14ac:dyDescent="0.25">
      <c r="A20" s="351" t="s">
        <v>392</v>
      </c>
      <c r="B20" s="268" t="s">
        <v>335</v>
      </c>
      <c r="C20" s="268" t="s">
        <v>100</v>
      </c>
      <c r="D20" s="269">
        <v>45658</v>
      </c>
      <c r="E20" s="268">
        <v>1</v>
      </c>
      <c r="F20" s="269">
        <v>45658</v>
      </c>
      <c r="G20" s="268" t="s">
        <v>376</v>
      </c>
      <c r="J20" s="141"/>
      <c r="K20" s="146" t="str">
        <f>INDEX(TableStreams[Choose your Specialisation Stream second (drop-down list)],MATCH(L20,TableStreams[UDC],0))</f>
        <v>Biological Sciences Education Minor Teaching Area Stream (BEd Secondary)</v>
      </c>
      <c r="L20" s="141" t="s">
        <v>350</v>
      </c>
      <c r="O20" s="332">
        <v>5</v>
      </c>
      <c r="P20" s="19">
        <v>18</v>
      </c>
      <c r="Q20" s="117" t="s">
        <v>89</v>
      </c>
      <c r="R20" s="127" t="s">
        <v>383</v>
      </c>
      <c r="S20" s="117" t="s">
        <v>87</v>
      </c>
      <c r="T20" s="104"/>
      <c r="U20" s="117" t="s">
        <v>89</v>
      </c>
      <c r="V20" s="127" t="str">
        <f>HLOOKUP(CONCATENATE(V$4,V$6),RangeMajorsSec,$O20,FALSE)</f>
        <v>EDSC4023</v>
      </c>
      <c r="W20" s="117" t="s">
        <v>87</v>
      </c>
      <c r="X20" s="104"/>
      <c r="Y20" s="117" t="s">
        <v>89</v>
      </c>
      <c r="Z20" s="127" t="str">
        <f>HLOOKUP(CONCATENATE(Z$4,Z$6),RangeMajorsSec,$O20,FALSE)</f>
        <v>EDSC4028</v>
      </c>
      <c r="AA20" s="117" t="s">
        <v>87</v>
      </c>
      <c r="AB20" s="104"/>
      <c r="AC20" s="117" t="s">
        <v>89</v>
      </c>
      <c r="AD20" s="127" t="str">
        <f>HLOOKUP(CONCATENATE(AD$4,AD$6),RangeMajorsSec,$O20,FALSE)</f>
        <v>EDSC4028</v>
      </c>
      <c r="AE20" s="117" t="s">
        <v>87</v>
      </c>
      <c r="AF20" s="104"/>
      <c r="AG20" s="117" t="s">
        <v>89</v>
      </c>
      <c r="AH20" s="127" t="str">
        <f>HLOOKUP(CONCATENATE(AH$4,AH$6),RangeMajorsSec,$O20,FALSE)</f>
        <v>EDSC4028</v>
      </c>
      <c r="AI20" s="117" t="s">
        <v>87</v>
      </c>
      <c r="AJ20" s="104"/>
      <c r="AK20" s="117" t="s">
        <v>89</v>
      </c>
      <c r="AL20" s="127" t="str">
        <f>HLOOKUP(CONCATENATE(AL$4,AL$6),RangeMajorsSec,$O20,FALSE)</f>
        <v>EDSC4028</v>
      </c>
      <c r="AM20" s="117" t="s">
        <v>87</v>
      </c>
      <c r="AN20" s="104"/>
      <c r="AO20" s="117" t="s">
        <v>89</v>
      </c>
      <c r="AP20" s="127" t="str">
        <f>HLOOKUP(CONCATENATE(AP$4,AP$6),RangeMajorsSec,$O20,FALSE)</f>
        <v>EDSC4028</v>
      </c>
      <c r="AQ20" s="117" t="s">
        <v>87</v>
      </c>
      <c r="AR20" s="104"/>
      <c r="AS20" s="117" t="s">
        <v>89</v>
      </c>
      <c r="AT20" s="127" t="str">
        <f>HLOOKUP(CONCATENATE(AT$4,AT$6),RangeMajorsSec,$O20,FALSE)</f>
        <v>EDSC4028</v>
      </c>
      <c r="AU20" s="117" t="s">
        <v>87</v>
      </c>
      <c r="AV20" s="104"/>
      <c r="AW20" s="117" t="s">
        <v>89</v>
      </c>
      <c r="AX20" s="127" t="str">
        <f>HLOOKUP(CONCATENATE(AX$4,AX$6),RangeMajorsSec,$O20,FALSE)</f>
        <v>EDSC4028</v>
      </c>
      <c r="AY20" s="117" t="s">
        <v>87</v>
      </c>
      <c r="AZ20" s="104"/>
      <c r="BA20" s="117" t="s">
        <v>89</v>
      </c>
      <c r="BB20" s="127" t="str">
        <f>HLOOKUP(CONCATENATE(BB$4,BB$6),RangeMajorsSec,$O20,FALSE)</f>
        <v>EDSC4028</v>
      </c>
      <c r="BC20" s="117" t="s">
        <v>87</v>
      </c>
      <c r="BD20" s="104"/>
      <c r="BE20" s="117" t="s">
        <v>89</v>
      </c>
      <c r="BF20" s="127" t="str">
        <f>HLOOKUP(CONCATENATE(BF$4,BF$6),RangeMajorsSec,$O20,FALSE)</f>
        <v>EDSC4028</v>
      </c>
      <c r="BG20" s="117" t="s">
        <v>87</v>
      </c>
      <c r="BH20" s="104"/>
      <c r="BI20" s="117" t="s">
        <v>89</v>
      </c>
      <c r="BJ20" s="127" t="str">
        <f>HLOOKUP(CONCATENATE(BJ$4,BJ$6),RangeMajorsSec,$O20,FALSE)</f>
        <v>EDSC4028</v>
      </c>
      <c r="BK20" s="117" t="s">
        <v>87</v>
      </c>
      <c r="BL20" s="104"/>
      <c r="BM20" s="117" t="s">
        <v>89</v>
      </c>
      <c r="BN20" s="127" t="str">
        <f>HLOOKUP(CONCATENATE(BN$4,BN$6),RangeMajorsSec,$O20,FALSE)</f>
        <v>EDSC4028</v>
      </c>
      <c r="BO20" s="117" t="s">
        <v>87</v>
      </c>
      <c r="BP20" s="104"/>
      <c r="BQ20" s="117" t="s">
        <v>89</v>
      </c>
      <c r="BR20" s="127" t="str">
        <f>HLOOKUP(CONCATENATE(BR$4,BR$6),RangeMajorsSec,$O20,FALSE)</f>
        <v>EDSC4028</v>
      </c>
      <c r="BS20" s="117" t="s">
        <v>87</v>
      </c>
      <c r="BT20" s="104"/>
      <c r="BU20" s="117" t="s">
        <v>89</v>
      </c>
      <c r="BV20" s="127" t="str">
        <f>HLOOKUP(CONCATENATE(BV$4,BV$6),RangeMajorsSec,$O20,FALSE)</f>
        <v>EDSC4028</v>
      </c>
      <c r="BW20" s="117" t="s">
        <v>87</v>
      </c>
      <c r="BX20" s="104"/>
      <c r="BY20" s="117" t="s">
        <v>89</v>
      </c>
      <c r="BZ20" s="127" t="str">
        <f>HLOOKUP(CONCATENATE(BZ$4,BZ$6),RangeMajorsSec,$O20,FALSE)</f>
        <v>EDSC4028</v>
      </c>
      <c r="CA20" s="117" t="s">
        <v>87</v>
      </c>
      <c r="CB20" s="104"/>
      <c r="CC20" s="117" t="s">
        <v>89</v>
      </c>
      <c r="CD20" s="127" t="str">
        <f>HLOOKUP(CONCATENATE(CD$4,CD$6),RangeMajorsSec,$O20,FALSE)</f>
        <v>EDSC4028</v>
      </c>
      <c r="CE20" s="117" t="s">
        <v>87</v>
      </c>
      <c r="CF20" s="104"/>
      <c r="CG20" s="117" t="s">
        <v>89</v>
      </c>
      <c r="CH20" s="127" t="str">
        <f>HLOOKUP(CONCATENATE(CH$4,CH$6),RangeMajorsSec,$O20,FALSE)</f>
        <v>EDSC4028</v>
      </c>
      <c r="CI20" s="117" t="s">
        <v>87</v>
      </c>
      <c r="CJ20" s="104"/>
      <c r="CK20" s="117" t="s">
        <v>89</v>
      </c>
      <c r="CL20" s="127" t="str">
        <f>HLOOKUP(CONCATENATE(CL$4,CL$6),RangeMajorsSec,$O20,FALSE)</f>
        <v>EDSC4028</v>
      </c>
      <c r="CM20" s="117" t="s">
        <v>87</v>
      </c>
      <c r="CN20" s="104"/>
      <c r="CO20" s="117" t="s">
        <v>89</v>
      </c>
      <c r="CP20" s="127" t="str">
        <f>HLOOKUP(CONCATENATE(CP$4,CP$6),RangeMajorsSec,$O20,FALSE)</f>
        <v>EDSC4028</v>
      </c>
      <c r="CQ20" s="117" t="s">
        <v>87</v>
      </c>
      <c r="CR20" s="104"/>
      <c r="CS20" s="117" t="s">
        <v>89</v>
      </c>
      <c r="CT20" s="127" t="str">
        <f>HLOOKUP(CONCATENATE(CT$4,CT$6),RangeMajorsSec,$O20,FALSE)</f>
        <v>EDSC4028</v>
      </c>
      <c r="CU20" s="117" t="s">
        <v>87</v>
      </c>
      <c r="CV20" s="104"/>
      <c r="CW20" s="117" t="s">
        <v>89</v>
      </c>
      <c r="CX20" s="127" t="str">
        <f>HLOOKUP(CONCATENATE(CX$4,CX$6),RangeMajorsSec,$O20,FALSE)</f>
        <v>EDSC4028</v>
      </c>
      <c r="CY20" s="117" t="s">
        <v>87</v>
      </c>
      <c r="CZ20" s="104"/>
      <c r="DA20" s="117" t="s">
        <v>89</v>
      </c>
      <c r="DB20" s="127" t="str">
        <f>HLOOKUP(CONCATENATE(DB$4,DB$6),RangeMajorsSec,$O20,FALSE)</f>
        <v>EDSC4018</v>
      </c>
      <c r="DC20" s="117" t="s">
        <v>87</v>
      </c>
      <c r="DD20" s="104"/>
      <c r="DE20" s="117" t="s">
        <v>89</v>
      </c>
      <c r="DF20" s="127" t="str">
        <f>HLOOKUP(CONCATENATE(DF$4,DF$6),RangeMajorsSec,$O20,FALSE)</f>
        <v>EDSC4018</v>
      </c>
      <c r="DG20" s="117" t="s">
        <v>87</v>
      </c>
      <c r="DH20" s="104"/>
      <c r="DI20" s="117" t="s">
        <v>89</v>
      </c>
      <c r="DJ20" s="127" t="str">
        <f>HLOOKUP(CONCATENATE(DJ$4,DJ$6),RangeMajorsSec,$O20,FALSE)</f>
        <v>EDSC4018</v>
      </c>
      <c r="DK20" s="117" t="s">
        <v>87</v>
      </c>
      <c r="DL20" s="104"/>
      <c r="DM20" s="117" t="s">
        <v>89</v>
      </c>
      <c r="DN20" s="127" t="str">
        <f>HLOOKUP(CONCATENATE(DN$4,DN$6),RangeMajorsSec,$O20,FALSE)</f>
        <v>EDSC4018</v>
      </c>
      <c r="DO20" s="117" t="s">
        <v>87</v>
      </c>
      <c r="DP20" s="104"/>
      <c r="DQ20" s="117" t="s">
        <v>89</v>
      </c>
      <c r="DR20" s="127" t="str">
        <f>HLOOKUP(CONCATENATE(DR$4,DR$6),RangeMajorsSec,$O20,FALSE)</f>
        <v>EDSC4018</v>
      </c>
      <c r="DS20" s="117" t="s">
        <v>87</v>
      </c>
      <c r="DT20" s="104"/>
      <c r="DU20" s="117" t="s">
        <v>89</v>
      </c>
      <c r="DV20" s="127" t="str">
        <f>HLOOKUP(CONCATENATE(DV$4,DV$6),RangeMajorsSec,$O20,FALSE)</f>
        <v>EDSC4018</v>
      </c>
      <c r="DW20" s="117" t="s">
        <v>87</v>
      </c>
      <c r="DX20" s="104"/>
      <c r="DY20" s="117" t="s">
        <v>89</v>
      </c>
      <c r="DZ20" s="127" t="str">
        <f>HLOOKUP(CONCATENATE(DZ$4,DZ$6),RangeMajorsSec,$O20,FALSE)</f>
        <v>EDSC4018</v>
      </c>
      <c r="EA20" s="117" t="s">
        <v>87</v>
      </c>
      <c r="EB20" s="104"/>
      <c r="EC20" s="117" t="s">
        <v>89</v>
      </c>
      <c r="ED20" s="127" t="str">
        <f>HLOOKUP(CONCATENATE(ED$4,ED$6),RangeMajorsSec,$O20,FALSE)</f>
        <v>EDSC4018</v>
      </c>
      <c r="EE20" s="117" t="s">
        <v>87</v>
      </c>
      <c r="EF20" s="104"/>
      <c r="EG20" s="117" t="s">
        <v>89</v>
      </c>
      <c r="EH20" s="127" t="str">
        <f>HLOOKUP(CONCATENATE(EH$4,EH$6),RangeMajorsSec,$O20,FALSE)</f>
        <v>EDSC4018</v>
      </c>
      <c r="EI20" s="117" t="s">
        <v>87</v>
      </c>
      <c r="EJ20" s="104"/>
      <c r="EK20" s="117" t="s">
        <v>89</v>
      </c>
      <c r="EL20" s="127" t="str">
        <f>HLOOKUP(CONCATENATE(EL$4,EL$6),RangeMajorsSec,$O20,FALSE)</f>
        <v>EDSC4026</v>
      </c>
      <c r="EM20" s="117" t="s">
        <v>87</v>
      </c>
      <c r="EN20" s="104"/>
      <c r="EO20" s="117" t="s">
        <v>89</v>
      </c>
      <c r="EP20" s="127" t="str">
        <f>HLOOKUP(CONCATENATE(EP$4,EP$6),RangeMajorsSec,$O20,FALSE)</f>
        <v>EDSC4026</v>
      </c>
      <c r="EQ20" s="117" t="s">
        <v>87</v>
      </c>
      <c r="ER20" s="104"/>
      <c r="ES20" s="117" t="s">
        <v>89</v>
      </c>
      <c r="ET20" s="127" t="str">
        <f>HLOOKUP(CONCATENATE(ET$4,ET$6),RangeMajorsSec,$O20,FALSE)</f>
        <v>EDSC4026</v>
      </c>
      <c r="EU20" s="117" t="s">
        <v>87</v>
      </c>
      <c r="EV20" s="104"/>
      <c r="EW20" s="117" t="s">
        <v>89</v>
      </c>
      <c r="EX20" s="127" t="str">
        <f>HLOOKUP(CONCATENATE(EX$4,EX$6),RangeMajorsSec,$O20,FALSE)</f>
        <v>EDSC4026</v>
      </c>
      <c r="EY20" s="117" t="s">
        <v>87</v>
      </c>
      <c r="EZ20" s="104"/>
      <c r="FA20" s="117" t="s">
        <v>89</v>
      </c>
      <c r="FB20" s="127" t="str">
        <f>HLOOKUP(CONCATENATE(FB$4,FB$6),RangeMajorsSec,$O20,FALSE)</f>
        <v>EDSC4026</v>
      </c>
      <c r="FC20" s="117" t="s">
        <v>87</v>
      </c>
      <c r="FD20" s="104"/>
      <c r="FE20" s="117" t="s">
        <v>89</v>
      </c>
      <c r="FF20" s="127" t="str">
        <f>HLOOKUP(CONCATENATE(FF$4,FF$6),RangeMajorsSec,$O20,FALSE)</f>
        <v>EDSC4026</v>
      </c>
      <c r="FG20" s="117" t="s">
        <v>87</v>
      </c>
      <c r="FH20" s="104"/>
      <c r="FI20" s="117" t="s">
        <v>89</v>
      </c>
      <c r="FJ20" s="127" t="str">
        <f>HLOOKUP(CONCATENATE(FJ$4,FJ$6),RangeMajorsSec,$O20,FALSE)</f>
        <v>EDSC4026</v>
      </c>
      <c r="FK20" s="117" t="s">
        <v>87</v>
      </c>
      <c r="FL20" s="104"/>
      <c r="FM20" s="117" t="s">
        <v>89</v>
      </c>
      <c r="FN20" s="127" t="str">
        <f>HLOOKUP(CONCATENATE(FN$4,FN$6),RangeMajorsSec,$O20,FALSE)</f>
        <v>EDSC4026</v>
      </c>
      <c r="FO20" s="117" t="s">
        <v>87</v>
      </c>
      <c r="FP20" s="104"/>
      <c r="FQ20" s="117" t="s">
        <v>89</v>
      </c>
      <c r="FR20" s="127" t="str">
        <f>HLOOKUP(CONCATENATE(FR$4,FR$6),RangeMajorsSec,$O20,FALSE)</f>
        <v>EDSC4026</v>
      </c>
      <c r="FS20" s="117" t="s">
        <v>87</v>
      </c>
      <c r="FT20" s="104"/>
      <c r="FU20" s="117" t="s">
        <v>89</v>
      </c>
      <c r="FV20" s="127" t="str">
        <f>HLOOKUP(CONCATENATE(FV$4,FV$6),RangeMajorsSec,$O20,FALSE)</f>
        <v>EDSC4026</v>
      </c>
      <c r="FW20" s="117" t="s">
        <v>87</v>
      </c>
      <c r="FX20" s="104"/>
      <c r="FY20" s="117" t="s">
        <v>89</v>
      </c>
      <c r="FZ20" s="127" t="str">
        <f>HLOOKUP(CONCATENATE(FZ$4,FZ$6),RangeMajorsSec,$O20,FALSE)</f>
        <v>EDSC4026</v>
      </c>
      <c r="GA20" s="117" t="s">
        <v>87</v>
      </c>
      <c r="GB20" s="104"/>
      <c r="GC20" s="117" t="s">
        <v>89</v>
      </c>
      <c r="GD20" s="127" t="str">
        <f>HLOOKUP(CONCATENATE(GD$4,GD$6),RangeMajorsSec,$O20,FALSE)</f>
        <v>EDSC4026</v>
      </c>
      <c r="GE20" s="117" t="s">
        <v>87</v>
      </c>
      <c r="GF20" s="104"/>
      <c r="GG20" s="117" t="s">
        <v>89</v>
      </c>
      <c r="GH20" s="127" t="str">
        <f>HLOOKUP(CONCATENATE(GH$4,GH$6),RangeMajorsSec,$O20,FALSE)</f>
        <v>EDSC4026</v>
      </c>
      <c r="GI20" s="117" t="s">
        <v>87</v>
      </c>
      <c r="GJ20" s="104"/>
      <c r="GK20" s="117" t="s">
        <v>89</v>
      </c>
      <c r="GL20" s="127" t="str">
        <f>HLOOKUP(CONCATENATE(GL$4,GL$6),RangeMajorsSec,$O20,FALSE)</f>
        <v>EDSC4026</v>
      </c>
      <c r="GM20" s="117" t="s">
        <v>87</v>
      </c>
      <c r="GN20" s="104"/>
      <c r="GO20" s="117" t="s">
        <v>89</v>
      </c>
      <c r="GP20" s="127" t="str">
        <f>HLOOKUP(CONCATENATE(GP$4,GP$6),RangeMajorsSec,$O20,FALSE)</f>
        <v>EDSC4026</v>
      </c>
      <c r="GQ20" s="117" t="s">
        <v>87</v>
      </c>
      <c r="GR20" s="104"/>
      <c r="GS20" s="117" t="s">
        <v>89</v>
      </c>
      <c r="GT20" s="127" t="str">
        <f>HLOOKUP(CONCATENATE(GT$4,GT$6),RangeMajorsSec,$O20,FALSE)</f>
        <v>EDSC4026</v>
      </c>
      <c r="GU20" s="117" t="s">
        <v>87</v>
      </c>
      <c r="GV20" s="104"/>
      <c r="GW20" s="117" t="s">
        <v>89</v>
      </c>
      <c r="GX20" s="127" t="str">
        <f>HLOOKUP(CONCATENATE(GX$4,GX$6),RangeMajorsSec,$O20,FALSE)</f>
        <v>EDSC4026</v>
      </c>
      <c r="GY20" s="117" t="s">
        <v>87</v>
      </c>
      <c r="GZ20" s="104"/>
      <c r="HA20" s="117" t="s">
        <v>89</v>
      </c>
      <c r="HB20" s="127" t="str">
        <f>HLOOKUP(CONCATENATE(HB$4,HB$6),RangeMajorsSec,$O20,FALSE)</f>
        <v>EDSC4026</v>
      </c>
      <c r="HC20" s="117" t="s">
        <v>87</v>
      </c>
      <c r="HD20" s="104"/>
      <c r="HE20" s="117" t="s">
        <v>89</v>
      </c>
      <c r="HF20" s="127" t="str">
        <f>HLOOKUP(CONCATENATE(HF$4,HF$6),RangeMajorsSec,$O20,FALSE)</f>
        <v>EDSC4026</v>
      </c>
      <c r="HG20" s="117" t="s">
        <v>87</v>
      </c>
      <c r="HH20" s="104"/>
      <c r="HI20" s="117" t="s">
        <v>89</v>
      </c>
      <c r="HJ20" s="127" t="str">
        <f>HLOOKUP(CONCATENATE(HJ$4,HJ$6),RangeMajorsSec,$O20,FALSE)</f>
        <v>EDSC4026</v>
      </c>
      <c r="HK20" s="117" t="s">
        <v>87</v>
      </c>
      <c r="HL20" s="104"/>
      <c r="HM20" s="117" t="s">
        <v>89</v>
      </c>
      <c r="HN20" s="127" t="str">
        <f>HLOOKUP(CONCATENATE(HN$4,HN$6),RangeMajorsSec,$O20,FALSE)</f>
        <v>EDSC4026</v>
      </c>
      <c r="HO20" s="117" t="s">
        <v>87</v>
      </c>
      <c r="HP20" s="104"/>
      <c r="HQ20" s="117" t="s">
        <v>89</v>
      </c>
      <c r="HR20" s="127" t="str">
        <f>HLOOKUP(CONCATENATE(HR$4,HR$6),RangeMajorsSec,$O20,FALSE)</f>
        <v>EDSC4026</v>
      </c>
      <c r="HS20" s="117" t="s">
        <v>87</v>
      </c>
      <c r="HT20" s="104"/>
      <c r="HU20" s="117" t="s">
        <v>89</v>
      </c>
      <c r="HV20" s="127" t="str">
        <f>HLOOKUP(CONCATENATE(HV$4,HV$6),RangeMajorsSec,$O20,FALSE)</f>
        <v>EDSC4026</v>
      </c>
      <c r="HW20" s="117" t="s">
        <v>87</v>
      </c>
      <c r="HX20" s="104"/>
      <c r="HY20" s="117" t="s">
        <v>89</v>
      </c>
      <c r="HZ20" s="127" t="str">
        <f>HLOOKUP(CONCATENATE(HZ$4,HZ$6),RangeMajorsSec,$O20,FALSE)</f>
        <v>EDSC4026</v>
      </c>
      <c r="IA20" s="117" t="s">
        <v>87</v>
      </c>
      <c r="IB20" s="104"/>
      <c r="IC20" s="117" t="s">
        <v>89</v>
      </c>
      <c r="ID20" s="127" t="str">
        <f>HLOOKUP(CONCATENATE(ID$4,ID$6),RangeMajorsSec,$O20,FALSE)</f>
        <v>EDSC4026</v>
      </c>
      <c r="IE20" s="117" t="s">
        <v>87</v>
      </c>
      <c r="IF20" s="104"/>
      <c r="IG20" s="117" t="s">
        <v>89</v>
      </c>
      <c r="IH20" s="127" t="str">
        <f>HLOOKUP(CONCATENATE(IH$4,IH$6),RangeMajorsSec,$O20,FALSE)</f>
        <v>EDSC4026</v>
      </c>
      <c r="II20" s="117" t="s">
        <v>87</v>
      </c>
      <c r="IJ20" s="104"/>
      <c r="IK20" s="117" t="s">
        <v>89</v>
      </c>
      <c r="IL20" s="127" t="str">
        <f>HLOOKUP(CONCATENATE(IL$4,IL$6),RangeMajorsSec,$O20,FALSE)</f>
        <v>EDSC4026</v>
      </c>
      <c r="IM20" s="117" t="s">
        <v>87</v>
      </c>
      <c r="IN20" s="104"/>
      <c r="IO20" s="117" t="s">
        <v>89</v>
      </c>
      <c r="IP20" s="127" t="str">
        <f>HLOOKUP(CONCATENATE(IP$4,IP$6),RangeMajorsSec,$O20,FALSE)</f>
        <v>EDSC4026</v>
      </c>
      <c r="IQ20" s="117" t="s">
        <v>87</v>
      </c>
      <c r="IR20" s="104"/>
      <c r="IS20" s="117" t="s">
        <v>89</v>
      </c>
      <c r="IT20" s="127" t="str">
        <f>HLOOKUP(CONCATENATE(IT$4,IT$6),RangeMajorsSec,$O20,FALSE)</f>
        <v>EDSC4026</v>
      </c>
      <c r="IU20" s="117" t="s">
        <v>87</v>
      </c>
      <c r="IV20" s="104"/>
      <c r="IW20" s="117" t="s">
        <v>89</v>
      </c>
      <c r="IX20" s="127" t="str">
        <f>HLOOKUP(CONCATENATE(IX$4,IX$6),RangeMajorsSec,$O20,FALSE)</f>
        <v>EDSC4026</v>
      </c>
      <c r="IY20" s="117" t="s">
        <v>87</v>
      </c>
      <c r="IZ20" s="104"/>
      <c r="JA20" s="117" t="s">
        <v>89</v>
      </c>
      <c r="JB20" s="127" t="str">
        <f>HLOOKUP(CONCATENATE(JB$4,JB$6),RangeMajorsSec,$O20,FALSE)</f>
        <v>EDSC4026</v>
      </c>
      <c r="JC20" s="117" t="s">
        <v>87</v>
      </c>
      <c r="JD20" s="104"/>
      <c r="JE20" s="117" t="s">
        <v>89</v>
      </c>
      <c r="JF20" s="127" t="str">
        <f>HLOOKUP(CONCATENATE(JF$4,JF$6),RangeMajorsSec,$O20,FALSE)</f>
        <v>EDSC4026</v>
      </c>
      <c r="JG20" s="117" t="s">
        <v>87</v>
      </c>
      <c r="JH20" s="104"/>
      <c r="JI20" s="117" t="s">
        <v>89</v>
      </c>
      <c r="JJ20" s="127" t="str">
        <f>HLOOKUP(CONCATENATE(JJ$4,JJ$6),RangeMajorsSec,$O20,FALSE)</f>
        <v>EDSC4026</v>
      </c>
      <c r="JK20" s="117" t="s">
        <v>87</v>
      </c>
      <c r="JL20" s="104"/>
      <c r="JM20" s="117" t="s">
        <v>89</v>
      </c>
      <c r="JN20" s="127" t="str">
        <f>HLOOKUP(CONCATENATE(JN$4,JN$6),RangeMajorsSec,$O20,FALSE)</f>
        <v>EDSC4021</v>
      </c>
      <c r="JO20" s="117" t="s">
        <v>87</v>
      </c>
      <c r="JP20" s="104"/>
      <c r="JQ20" s="117" t="s">
        <v>89</v>
      </c>
      <c r="JR20" s="127" t="str">
        <f>HLOOKUP(CONCATENATE(JR$4,JR$6),RangeMajorsSec,$O20,FALSE)</f>
        <v>EDSC4021</v>
      </c>
      <c r="JS20" s="117" t="s">
        <v>87</v>
      </c>
      <c r="JT20" s="104"/>
      <c r="JU20" s="117" t="s">
        <v>89</v>
      </c>
      <c r="JV20" s="127" t="str">
        <f>HLOOKUP(CONCATENATE(JV$4,JV$6),RangeMajorsSec,$O20,FALSE)</f>
        <v>EDSC4021</v>
      </c>
      <c r="JW20" s="117" t="s">
        <v>87</v>
      </c>
      <c r="JX20" s="104"/>
      <c r="JY20" s="117" t="s">
        <v>89</v>
      </c>
      <c r="JZ20" s="127" t="str">
        <f>HLOOKUP(CONCATENATE(JZ$4,JZ$6),RangeMajorsSec,$O20,FALSE)</f>
        <v>EDSC4021</v>
      </c>
      <c r="KA20" s="117" t="s">
        <v>87</v>
      </c>
      <c r="KB20" s="104"/>
      <c r="KC20" s="117" t="s">
        <v>89</v>
      </c>
      <c r="KD20" s="127" t="str">
        <f>HLOOKUP(CONCATENATE(KD$4,KD$6),RangeMajorsSec,$O20,FALSE)</f>
        <v>EDSC4021</v>
      </c>
      <c r="KE20" s="117" t="s">
        <v>87</v>
      </c>
      <c r="KF20" s="104"/>
      <c r="KG20" s="117" t="s">
        <v>89</v>
      </c>
      <c r="KH20" s="127" t="str">
        <f>HLOOKUP(CONCATENATE(KH$4,KH$6),RangeMajorsSec,$O20,FALSE)</f>
        <v>EDSC4021</v>
      </c>
      <c r="KI20" s="117" t="s">
        <v>87</v>
      </c>
      <c r="KJ20" s="104"/>
      <c r="KK20" s="117" t="s">
        <v>89</v>
      </c>
      <c r="KL20" s="127" t="str">
        <f>HLOOKUP(CONCATENATE(KL$4,KL$6),RangeMajorsSec,$O20,FALSE)</f>
        <v>EDSC4021</v>
      </c>
      <c r="KM20" s="117" t="s">
        <v>87</v>
      </c>
      <c r="KN20" s="104"/>
      <c r="KO20" s="117" t="s">
        <v>89</v>
      </c>
      <c r="KP20" s="127" t="str">
        <f>HLOOKUP(CONCATENATE(KP$4,KP$6),RangeMajorsSec,$O20,FALSE)</f>
        <v>EDSC4021</v>
      </c>
      <c r="KQ20" s="117" t="s">
        <v>87</v>
      </c>
      <c r="KR20" s="104"/>
      <c r="KS20" s="117" t="s">
        <v>89</v>
      </c>
      <c r="KT20" s="127" t="str">
        <f>HLOOKUP(CONCATENATE(KT$4,KT$6),RangeMajorsSec,$O20,FALSE)</f>
        <v>EDSC4021</v>
      </c>
      <c r="KU20" s="117" t="s">
        <v>87</v>
      </c>
      <c r="KV20" s="104"/>
      <c r="KW20" s="117" t="s">
        <v>89</v>
      </c>
      <c r="KX20" s="127" t="str">
        <f>HLOOKUP(CONCATENATE(KX$4,KX$6),RangeMajorsSec,$O20,FALSE)</f>
        <v>EDSC4035</v>
      </c>
      <c r="KY20" s="117" t="s">
        <v>87</v>
      </c>
      <c r="KZ20" s="104"/>
      <c r="LA20" s="117" t="s">
        <v>89</v>
      </c>
      <c r="LB20" s="127" t="str">
        <f>HLOOKUP(CONCATENATE(LB$4,LB$6),RangeMajorsSec,$O20,FALSE)</f>
        <v>EDSC4035</v>
      </c>
      <c r="LC20" s="117" t="s">
        <v>87</v>
      </c>
      <c r="LD20" s="104"/>
      <c r="LE20" s="117" t="s">
        <v>89</v>
      </c>
      <c r="LF20" s="127" t="str">
        <f>HLOOKUP(CONCATENATE(LF$4,LF$6),RangeMajorsSec,$O20,FALSE)</f>
        <v>EDSC4023</v>
      </c>
      <c r="LG20" s="117" t="s">
        <v>87</v>
      </c>
      <c r="LH20" s="104"/>
      <c r="LI20" s="117" t="s">
        <v>89</v>
      </c>
      <c r="LJ20" s="127" t="str">
        <f>HLOOKUP(CONCATENATE(LJ$4,LJ$6),RangeMajorsSec,$O20,FALSE)</f>
        <v>EDSC4023</v>
      </c>
      <c r="LK20" s="117" t="s">
        <v>87</v>
      </c>
      <c r="LL20" s="104"/>
      <c r="LM20" s="117" t="s">
        <v>89</v>
      </c>
      <c r="LN20" s="127" t="str">
        <f>HLOOKUP(CONCATENATE(LN$4,LN$6),RangeMajorsSec,$O20,FALSE)</f>
        <v>EDSC4023</v>
      </c>
      <c r="LO20" s="117" t="s">
        <v>87</v>
      </c>
      <c r="LP20" s="104"/>
      <c r="LQ20" s="117" t="s">
        <v>89</v>
      </c>
      <c r="LR20" s="127" t="str">
        <f>HLOOKUP(CONCATENATE(LR$4,LR$6),RangeMajorsSec,$O20,FALSE)</f>
        <v>EDSC4023</v>
      </c>
      <c r="LS20" s="117" t="s">
        <v>87</v>
      </c>
      <c r="LT20" s="104"/>
      <c r="LU20" s="117" t="s">
        <v>89</v>
      </c>
      <c r="LV20" s="127" t="str">
        <f>HLOOKUP(CONCATENATE(LV$4,LV$6),RangeMajorsSec,$O20,FALSE)</f>
        <v>EDSC4023</v>
      </c>
      <c r="LW20" s="117" t="s">
        <v>87</v>
      </c>
      <c r="LX20" s="104"/>
      <c r="LY20" s="117" t="s">
        <v>89</v>
      </c>
      <c r="LZ20" s="127" t="str">
        <f>HLOOKUP(CONCATENATE(LZ$4,LZ$6),RangeMajorsSec,$O20,FALSE)</f>
        <v>EDSC4023</v>
      </c>
      <c r="MA20" s="117" t="s">
        <v>87</v>
      </c>
      <c r="MB20" s="104"/>
      <c r="MC20" s="117" t="s">
        <v>89</v>
      </c>
      <c r="MD20" s="127" t="str">
        <f>HLOOKUP(CONCATENATE(MD$4,MD$6),RangeMajorsSec,$O20,FALSE)</f>
        <v>EDSC4023</v>
      </c>
      <c r="ME20" s="117" t="s">
        <v>87</v>
      </c>
      <c r="MF20" s="104"/>
      <c r="MG20" s="117" t="s">
        <v>89</v>
      </c>
      <c r="MH20" s="127" t="str">
        <f>HLOOKUP(CONCATENATE(MH$4,MH$6),RangeMajorsSec,$O20,FALSE)</f>
        <v>EDSC4023</v>
      </c>
      <c r="MI20" s="117" t="s">
        <v>87</v>
      </c>
      <c r="MJ20" s="104"/>
      <c r="MK20" s="117" t="s">
        <v>89</v>
      </c>
      <c r="ML20" s="127" t="str">
        <f>HLOOKUP(CONCATENATE(ML$4,ML$6),RangeMajorsSec,$O20,FALSE)</f>
        <v>CHEM2005</v>
      </c>
      <c r="MM20" s="117" t="s">
        <v>87</v>
      </c>
      <c r="MN20" s="104"/>
      <c r="MO20" s="117" t="s">
        <v>89</v>
      </c>
      <c r="MP20" s="127" t="str">
        <f>HLOOKUP(CONCATENATE(MP$4,MP$6),RangeMajorsSec,$O20,FALSE)</f>
        <v>CHEM2005</v>
      </c>
      <c r="MQ20" s="117" t="s">
        <v>87</v>
      </c>
      <c r="MR20" s="104"/>
      <c r="MS20" s="117" t="s">
        <v>89</v>
      </c>
      <c r="MT20" s="127" t="str">
        <f>HLOOKUP(CONCATENATE(MT$4,MT$6),RangeMajorsSec,$O20,FALSE)</f>
        <v>CHEM2005</v>
      </c>
      <c r="MU20" s="117" t="s">
        <v>87</v>
      </c>
      <c r="MV20" s="104"/>
      <c r="MW20" s="117" t="s">
        <v>89</v>
      </c>
      <c r="MX20" s="127" t="str">
        <f>HLOOKUP(CONCATENATE(MX$4,MX$6),RangeMajorsSec,$O20,FALSE)</f>
        <v>CHEM2005</v>
      </c>
      <c r="MY20" s="117" t="s">
        <v>87</v>
      </c>
      <c r="MZ20" s="104"/>
      <c r="NA20" s="117" t="s">
        <v>89</v>
      </c>
      <c r="NB20" s="127" t="str">
        <f>HLOOKUP(CONCATENATE(NB$4,NB$6),RangeMajorsSec,$O20,FALSE)</f>
        <v>CHEM2005</v>
      </c>
      <c r="NC20" s="117" t="s">
        <v>87</v>
      </c>
      <c r="ND20" s="104"/>
      <c r="NE20" s="117" t="s">
        <v>89</v>
      </c>
      <c r="NF20" s="127" t="str">
        <f>HLOOKUP(CONCATENATE(NF$4,NF$6),RangeMajorsSec,$O20,FALSE)</f>
        <v>CHEM2005</v>
      </c>
      <c r="NG20" s="117" t="s">
        <v>87</v>
      </c>
      <c r="NH20" s="104"/>
      <c r="NI20" s="117" t="s">
        <v>89</v>
      </c>
      <c r="NJ20" s="127" t="str">
        <f>HLOOKUP(CONCATENATE(NJ$4,NJ$6),RangeMajorsSec,$O20,FALSE)</f>
        <v>CHEM2005</v>
      </c>
      <c r="NK20" s="117" t="s">
        <v>87</v>
      </c>
      <c r="NL20" s="104"/>
      <c r="NM20" s="117" t="s">
        <v>89</v>
      </c>
      <c r="NN20" s="127" t="str">
        <f>HLOOKUP(CONCATENATE(NN$4,NN$6),RangeMajorsSec,$O20,FALSE)</f>
        <v>CHEM2005</v>
      </c>
      <c r="NO20" s="117" t="s">
        <v>87</v>
      </c>
      <c r="NP20" s="104"/>
      <c r="NQ20" s="117" t="s">
        <v>89</v>
      </c>
      <c r="NR20" s="127" t="str">
        <f>HLOOKUP(CONCATENATE(NR$4,NR$6),RangeMajorsSec,$O20,FALSE)</f>
        <v>EDSC4023</v>
      </c>
      <c r="NS20" s="117" t="s">
        <v>87</v>
      </c>
      <c r="NT20" s="104"/>
      <c r="NU20" s="117" t="s">
        <v>89</v>
      </c>
      <c r="NV20" s="127" t="str">
        <f>HLOOKUP(CONCATENATE(NV$4,NV$6),RangeMajorsSec,$O20,FALSE)</f>
        <v>EDSC4023</v>
      </c>
      <c r="NW20" s="117" t="s">
        <v>87</v>
      </c>
      <c r="NX20" s="104"/>
      <c r="NY20" s="117" t="s">
        <v>89</v>
      </c>
      <c r="NZ20" s="127" t="str">
        <f>HLOOKUP(CONCATENATE(NZ$4,NZ$6),RangeMajorsSec,$O20,FALSE)</f>
        <v>EDSC4023</v>
      </c>
      <c r="OA20" s="117" t="s">
        <v>87</v>
      </c>
      <c r="OB20" s="104"/>
      <c r="OC20" s="117" t="s">
        <v>89</v>
      </c>
      <c r="OD20" s="127" t="str">
        <f>HLOOKUP(CONCATENATE(OD$4,OD$6),RangeMajorsSec,$O20,FALSE)</f>
        <v>EDSC4023</v>
      </c>
      <c r="OE20" s="117" t="s">
        <v>87</v>
      </c>
      <c r="OF20" s="104"/>
      <c r="OG20" s="117" t="s">
        <v>89</v>
      </c>
      <c r="OH20" s="127" t="str">
        <f>HLOOKUP(CONCATENATE(OH$4,OH$6),RangeMajorsSec,$O20,FALSE)</f>
        <v>EDSC4023</v>
      </c>
      <c r="OI20" s="117" t="s">
        <v>87</v>
      </c>
      <c r="OJ20" s="104"/>
      <c r="OK20" s="117" t="s">
        <v>89</v>
      </c>
      <c r="OL20" s="127" t="str">
        <f>HLOOKUP(CONCATENATE(OL$4,OL$6),RangeMajorsSec,$O20,FALSE)</f>
        <v>EDSC4023</v>
      </c>
      <c r="OM20" s="117" t="s">
        <v>87</v>
      </c>
      <c r="ON20" s="104"/>
      <c r="OO20" s="117" t="s">
        <v>89</v>
      </c>
      <c r="OP20" s="127" t="str">
        <f>HLOOKUP(CONCATENATE(OP$4,OP$6),RangeMajorsSec,$O20,FALSE)</f>
        <v>EDSC4023</v>
      </c>
      <c r="OQ20" s="117" t="s">
        <v>87</v>
      </c>
      <c r="OR20" s="104"/>
      <c r="OS20" s="117" t="s">
        <v>89</v>
      </c>
      <c r="OT20" s="127" t="str">
        <f>HLOOKUP(CONCATENATE(OT$4,OT$6),RangeMajorsSec,$O20,FALSE)</f>
        <v>EDSC4023</v>
      </c>
      <c r="OU20" s="117" t="s">
        <v>87</v>
      </c>
      <c r="OV20" s="104"/>
      <c r="OW20" s="117" t="s">
        <v>89</v>
      </c>
      <c r="OX20" s="127" t="str">
        <f>HLOOKUP(CONCATENATE(OX$4,OX$6),RangeMajorsSec,$O20,FALSE)</f>
        <v>PSYC2003</v>
      </c>
      <c r="OY20" s="117" t="s">
        <v>87</v>
      </c>
      <c r="OZ20" s="104"/>
      <c r="PA20" s="117" t="s">
        <v>89</v>
      </c>
      <c r="PB20" s="127" t="str">
        <f>HLOOKUP(CONCATENATE(PB$4,PB$6),RangeMajorsSec,$O20,FALSE)</f>
        <v>PSYC2003</v>
      </c>
      <c r="PC20" s="117" t="s">
        <v>87</v>
      </c>
      <c r="PD20" s="104"/>
      <c r="PE20" s="117" t="s">
        <v>89</v>
      </c>
      <c r="PF20" s="127" t="str">
        <f>HLOOKUP(CONCATENATE(PF$4,PF$6),RangeMajorsSec,$O20,FALSE)</f>
        <v>PSYC2003</v>
      </c>
      <c r="PG20" s="117" t="s">
        <v>87</v>
      </c>
      <c r="PH20" s="104"/>
      <c r="PI20" s="117" t="s">
        <v>89</v>
      </c>
      <c r="PJ20" s="127" t="str">
        <f>HLOOKUP(CONCATENATE(PJ$4,PJ$6),RangeMajorsSec,$O20,FALSE)</f>
        <v>PSYC2003</v>
      </c>
      <c r="PK20" s="117" t="s">
        <v>87</v>
      </c>
      <c r="PL20" s="104"/>
      <c r="PM20" s="117" t="s">
        <v>89</v>
      </c>
      <c r="PN20" s="127" t="str">
        <f>HLOOKUP(CONCATENATE(PN$4,PN$6),RangeMajorsSec,$O20,FALSE)</f>
        <v>PSYC2003</v>
      </c>
      <c r="PO20" s="117" t="s">
        <v>87</v>
      </c>
      <c r="PP20" s="104"/>
      <c r="PQ20" s="117" t="s">
        <v>89</v>
      </c>
      <c r="PR20" s="127" t="str">
        <f>HLOOKUP(CONCATENATE(PR$4,PR$6),RangeMajorsSec,$O20,FALSE)</f>
        <v>PSYC2003</v>
      </c>
      <c r="PS20" s="117" t="s">
        <v>87</v>
      </c>
      <c r="PT20" s="104"/>
      <c r="PU20" s="117" t="s">
        <v>89</v>
      </c>
      <c r="PV20" s="127" t="str">
        <f>HLOOKUP(CONCATENATE(PV$4,PV$6),RangeMajorsSec,$O20,FALSE)</f>
        <v>PSYC2003</v>
      </c>
      <c r="PW20" s="117" t="s">
        <v>87</v>
      </c>
      <c r="PX20" s="104"/>
      <c r="PY20" s="117" t="s">
        <v>89</v>
      </c>
      <c r="PZ20" s="127" t="str">
        <f>HLOOKUP(CONCATENATE(PZ$4,PZ$6),RangeMajorsSec,$O20,FALSE)</f>
        <v>PSYC2003</v>
      </c>
      <c r="QA20" s="117" t="s">
        <v>87</v>
      </c>
      <c r="QB20" s="104"/>
      <c r="QC20" s="117" t="s">
        <v>89</v>
      </c>
      <c r="QD20" s="127" t="e">
        <f>HLOOKUP(CONCATENATE(QD$4,QD$6),RangeMajorsSec,$O20,FALSE)</f>
        <v>#N/A</v>
      </c>
      <c r="QE20" s="117" t="s">
        <v>87</v>
      </c>
      <c r="QF20" s="104"/>
      <c r="QG20" s="117" t="s">
        <v>89</v>
      </c>
      <c r="QH20" s="127" t="e">
        <f>HLOOKUP(CONCATENATE(QH$4,QH$6),RangeMajorsSec,$O20,FALSE)</f>
        <v>#N/A</v>
      </c>
      <c r="QI20" s="117" t="s">
        <v>87</v>
      </c>
      <c r="QJ20" s="104"/>
    </row>
    <row r="21" spans="1:452" x14ac:dyDescent="0.25">
      <c r="A21" s="351" t="s">
        <v>393</v>
      </c>
      <c r="B21" s="268" t="s">
        <v>337</v>
      </c>
      <c r="C21" s="268" t="s">
        <v>100</v>
      </c>
      <c r="D21" s="269">
        <v>45658</v>
      </c>
      <c r="E21" s="268">
        <v>1</v>
      </c>
      <c r="F21" s="269">
        <v>45658</v>
      </c>
      <c r="G21" s="268" t="s">
        <v>376</v>
      </c>
      <c r="J21" s="141"/>
      <c r="K21" s="146" t="str">
        <f>INDEX(TableStreams[Choose your Specialisation Stream second (drop-down list)],MATCH(L21,TableStreams[UDC],0))</f>
        <v>Broadening Visual Arts Teaching Area Stream (BEd Secondary)</v>
      </c>
      <c r="L21" s="141" t="s">
        <v>358</v>
      </c>
      <c r="O21" s="332">
        <v>6</v>
      </c>
      <c r="P21" s="3">
        <v>19</v>
      </c>
      <c r="Q21" s="117" t="s">
        <v>89</v>
      </c>
      <c r="R21" s="127" t="s">
        <v>383</v>
      </c>
      <c r="S21" s="117" t="s">
        <v>87</v>
      </c>
      <c r="T21" s="104"/>
      <c r="U21" s="117" t="s">
        <v>89</v>
      </c>
      <c r="V21" s="127" t="str">
        <f>HLOOKUP(CONCATENATE(V$4,V$6),RangeMajorsSec,$O21,FALSE)</f>
        <v>MATH2010</v>
      </c>
      <c r="W21" s="117" t="s">
        <v>87</v>
      </c>
      <c r="X21" s="104"/>
      <c r="Y21" s="117" t="s">
        <v>89</v>
      </c>
      <c r="Z21" s="127" t="str">
        <f>HLOOKUP(CONCATENATE(Z$4,Z$6),RangeMajorsSec,$O21,FALSE)</f>
        <v>THTR2003</v>
      </c>
      <c r="AA21" s="117" t="s">
        <v>87</v>
      </c>
      <c r="AB21" s="104"/>
      <c r="AC21" s="117" t="s">
        <v>89</v>
      </c>
      <c r="AD21" s="127" t="str">
        <f>HLOOKUP(CONCATENATE(AD$4,AD$6),RangeMajorsSec,$O21,FALSE)</f>
        <v>THTR2003</v>
      </c>
      <c r="AE21" s="117" t="s">
        <v>87</v>
      </c>
      <c r="AF21" s="104"/>
      <c r="AG21" s="117" t="s">
        <v>89</v>
      </c>
      <c r="AH21" s="127" t="str">
        <f>HLOOKUP(CONCATENATE(AH$4,AH$6),RangeMajorsSec,$O21,FALSE)</f>
        <v>THTR2003</v>
      </c>
      <c r="AI21" s="117" t="s">
        <v>87</v>
      </c>
      <c r="AJ21" s="104"/>
      <c r="AK21" s="117" t="s">
        <v>89</v>
      </c>
      <c r="AL21" s="127" t="str">
        <f>HLOOKUP(CONCATENATE(AL$4,AL$6),RangeMajorsSec,$O21,FALSE)</f>
        <v>THTR2003</v>
      </c>
      <c r="AM21" s="117" t="s">
        <v>87</v>
      </c>
      <c r="AN21" s="104"/>
      <c r="AO21" s="117" t="s">
        <v>89</v>
      </c>
      <c r="AP21" s="127" t="str">
        <f>HLOOKUP(CONCATENATE(AP$4,AP$6),RangeMajorsSec,$O21,FALSE)</f>
        <v>THTR2003</v>
      </c>
      <c r="AQ21" s="117" t="s">
        <v>87</v>
      </c>
      <c r="AR21" s="104"/>
      <c r="AS21" s="117" t="s">
        <v>89</v>
      </c>
      <c r="AT21" s="127" t="str">
        <f>HLOOKUP(CONCATENATE(AT$4,AT$6),RangeMajorsSec,$O21,FALSE)</f>
        <v>THTR2003</v>
      </c>
      <c r="AU21" s="117" t="s">
        <v>87</v>
      </c>
      <c r="AV21" s="104"/>
      <c r="AW21" s="117" t="s">
        <v>89</v>
      </c>
      <c r="AX21" s="127" t="str">
        <f>HLOOKUP(CONCATENATE(AX$4,AX$6),RangeMajorsSec,$O21,FALSE)</f>
        <v>THTR2003</v>
      </c>
      <c r="AY21" s="117" t="s">
        <v>87</v>
      </c>
      <c r="AZ21" s="104"/>
      <c r="BA21" s="117" t="s">
        <v>89</v>
      </c>
      <c r="BB21" s="127" t="str">
        <f>HLOOKUP(CONCATENATE(BB$4,BB$6),RangeMajorsSec,$O21,FALSE)</f>
        <v>COMS1001</v>
      </c>
      <c r="BC21" s="117" t="s">
        <v>87</v>
      </c>
      <c r="BD21" s="104"/>
      <c r="BE21" s="117" t="s">
        <v>89</v>
      </c>
      <c r="BF21" s="127" t="str">
        <f>HLOOKUP(CONCATENATE(BF$4,BF$6),RangeMajorsSec,$O21,FALSE)</f>
        <v>COMS1001</v>
      </c>
      <c r="BG21" s="117" t="s">
        <v>87</v>
      </c>
      <c r="BH21" s="104"/>
      <c r="BI21" s="117" t="s">
        <v>89</v>
      </c>
      <c r="BJ21" s="127" t="str">
        <f>HLOOKUP(CONCATENATE(BJ$4,BJ$6),RangeMajorsSec,$O21,FALSE)</f>
        <v>COMS1001</v>
      </c>
      <c r="BK21" s="117" t="s">
        <v>87</v>
      </c>
      <c r="BL21" s="104"/>
      <c r="BM21" s="117" t="s">
        <v>89</v>
      </c>
      <c r="BN21" s="127" t="str">
        <f>HLOOKUP(CONCATENATE(BN$4,BN$6),RangeMajorsSec,$O21,FALSE)</f>
        <v>COMS1001</v>
      </c>
      <c r="BO21" s="117" t="s">
        <v>87</v>
      </c>
      <c r="BP21" s="104"/>
      <c r="BQ21" s="117" t="s">
        <v>89</v>
      </c>
      <c r="BR21" s="127" t="str">
        <f>HLOOKUP(CONCATENATE(BR$4,BR$6),RangeMajorsSec,$O21,FALSE)</f>
        <v>COMS1001</v>
      </c>
      <c r="BS21" s="117" t="s">
        <v>87</v>
      </c>
      <c r="BT21" s="104"/>
      <c r="BU21" s="117" t="s">
        <v>89</v>
      </c>
      <c r="BV21" s="127" t="str">
        <f>HLOOKUP(CONCATENATE(BV$4,BV$6),RangeMajorsSec,$O21,FALSE)</f>
        <v>COMS1001</v>
      </c>
      <c r="BW21" s="117" t="s">
        <v>87</v>
      </c>
      <c r="BX21" s="104"/>
      <c r="BY21" s="117" t="s">
        <v>89</v>
      </c>
      <c r="BZ21" s="127" t="str">
        <f>HLOOKUP(CONCATENATE(BZ$4,BZ$6),RangeMajorsSec,$O21,FALSE)</f>
        <v>VISA2006</v>
      </c>
      <c r="CA21" s="117" t="s">
        <v>87</v>
      </c>
      <c r="CB21" s="104"/>
      <c r="CC21" s="117" t="s">
        <v>89</v>
      </c>
      <c r="CD21" s="127" t="str">
        <f>HLOOKUP(CONCATENATE(CD$4,CD$6),RangeMajorsSec,$O21,FALSE)</f>
        <v>VISA2006</v>
      </c>
      <c r="CE21" s="117" t="s">
        <v>87</v>
      </c>
      <c r="CF21" s="104"/>
      <c r="CG21" s="117" t="s">
        <v>89</v>
      </c>
      <c r="CH21" s="127" t="str">
        <f>HLOOKUP(CONCATENATE(CH$4,CH$6),RangeMajorsSec,$O21,FALSE)</f>
        <v>VISA2006</v>
      </c>
      <c r="CI21" s="117" t="s">
        <v>87</v>
      </c>
      <c r="CJ21" s="104"/>
      <c r="CK21" s="117" t="s">
        <v>89</v>
      </c>
      <c r="CL21" s="127" t="str">
        <f>HLOOKUP(CONCATENATE(CL$4,CL$6),RangeMajorsSec,$O21,FALSE)</f>
        <v>VISA2006</v>
      </c>
      <c r="CM21" s="117" t="s">
        <v>87</v>
      </c>
      <c r="CN21" s="104"/>
      <c r="CO21" s="117" t="s">
        <v>89</v>
      </c>
      <c r="CP21" s="127" t="str">
        <f>HLOOKUP(CONCATENATE(CP$4,CP$6),RangeMajorsSec,$O21,FALSE)</f>
        <v>VISA2006</v>
      </c>
      <c r="CQ21" s="117" t="s">
        <v>87</v>
      </c>
      <c r="CR21" s="104"/>
      <c r="CS21" s="117" t="s">
        <v>89</v>
      </c>
      <c r="CT21" s="127" t="str">
        <f>HLOOKUP(CONCATENATE(CT$4,CT$6),RangeMajorsSec,$O21,FALSE)</f>
        <v>VISA2006</v>
      </c>
      <c r="CU21" s="117" t="s">
        <v>87</v>
      </c>
      <c r="CV21" s="104"/>
      <c r="CW21" s="117" t="s">
        <v>89</v>
      </c>
      <c r="CX21" s="127" t="str">
        <f>HLOOKUP(CONCATENATE(CX$4,CX$6),RangeMajorsSec,$O21,FALSE)</f>
        <v>VISA2006</v>
      </c>
      <c r="CY21" s="117" t="s">
        <v>87</v>
      </c>
      <c r="CZ21" s="104"/>
      <c r="DA21" s="117" t="s">
        <v>89</v>
      </c>
      <c r="DB21" s="127" t="str">
        <f>HLOOKUP(CONCATENATE(DB$4,DB$6),RangeMajorsSec,$O21,FALSE)</f>
        <v>LCST2007</v>
      </c>
      <c r="DC21" s="117" t="s">
        <v>87</v>
      </c>
      <c r="DD21" s="104"/>
      <c r="DE21" s="117" t="s">
        <v>89</v>
      </c>
      <c r="DF21" s="127" t="str">
        <f>HLOOKUP(CONCATENATE(DF$4,DF$6),RangeMajorsSec,$O21,FALSE)</f>
        <v>LCST2007</v>
      </c>
      <c r="DG21" s="117" t="s">
        <v>87</v>
      </c>
      <c r="DH21" s="104"/>
      <c r="DI21" s="117" t="s">
        <v>89</v>
      </c>
      <c r="DJ21" s="127" t="str">
        <f>HLOOKUP(CONCATENATE(DJ$4,DJ$6),RangeMajorsSec,$O21,FALSE)</f>
        <v>LCST2007</v>
      </c>
      <c r="DK21" s="117" t="s">
        <v>87</v>
      </c>
      <c r="DL21" s="104"/>
      <c r="DM21" s="117" t="s">
        <v>89</v>
      </c>
      <c r="DN21" s="127" t="str">
        <f>HLOOKUP(CONCATENATE(DN$4,DN$6),RangeMajorsSec,$O21,FALSE)</f>
        <v>LCST2007</v>
      </c>
      <c r="DO21" s="117" t="s">
        <v>87</v>
      </c>
      <c r="DP21" s="104"/>
      <c r="DQ21" s="117" t="s">
        <v>89</v>
      </c>
      <c r="DR21" s="127" t="str">
        <f>HLOOKUP(CONCATENATE(DR$4,DR$6),RangeMajorsSec,$O21,FALSE)</f>
        <v>LCST2007</v>
      </c>
      <c r="DS21" s="117" t="s">
        <v>87</v>
      </c>
      <c r="DT21" s="104"/>
      <c r="DU21" s="117" t="s">
        <v>89</v>
      </c>
      <c r="DV21" s="127" t="str">
        <f>HLOOKUP(CONCATENATE(DV$4,DV$6),RangeMajorsSec,$O21,FALSE)</f>
        <v>LCST2007</v>
      </c>
      <c r="DW21" s="117" t="s">
        <v>87</v>
      </c>
      <c r="DX21" s="104"/>
      <c r="DY21" s="117" t="s">
        <v>89</v>
      </c>
      <c r="DZ21" s="127" t="str">
        <f>HLOOKUP(CONCATENATE(DZ$4,DZ$6),RangeMajorsSec,$O21,FALSE)</f>
        <v>LCST2007</v>
      </c>
      <c r="EA21" s="117" t="s">
        <v>87</v>
      </c>
      <c r="EB21" s="104"/>
      <c r="EC21" s="117" t="s">
        <v>89</v>
      </c>
      <c r="ED21" s="127" t="str">
        <f>HLOOKUP(CONCATENATE(ED$4,ED$6),RangeMajorsSec,$O21,FALSE)</f>
        <v>LCST2007</v>
      </c>
      <c r="EE21" s="117" t="s">
        <v>87</v>
      </c>
      <c r="EF21" s="104"/>
      <c r="EG21" s="117" t="s">
        <v>89</v>
      </c>
      <c r="EH21" s="127" t="str">
        <f>HLOOKUP(CONCATENATE(EH$4,EH$6),RangeMajorsSec,$O21,FALSE)</f>
        <v>LCST2007</v>
      </c>
      <c r="EI21" s="117" t="s">
        <v>87</v>
      </c>
      <c r="EJ21" s="104"/>
      <c r="EK21" s="117" t="s">
        <v>89</v>
      </c>
      <c r="EL21" s="127" t="str">
        <f>HLOOKUP(CONCATENATE(EL$4,EL$6),RangeMajorsSec,$O21,FALSE)</f>
        <v>ECON2001</v>
      </c>
      <c r="EM21" s="117" t="s">
        <v>87</v>
      </c>
      <c r="EN21" s="104"/>
      <c r="EO21" s="117" t="s">
        <v>89</v>
      </c>
      <c r="EP21" s="127" t="str">
        <f>HLOOKUP(CONCATENATE(EP$4,EP$6),RangeMajorsSec,$O21,FALSE)</f>
        <v>ECON2001</v>
      </c>
      <c r="EQ21" s="117" t="s">
        <v>87</v>
      </c>
      <c r="ER21" s="104"/>
      <c r="ES21" s="117" t="s">
        <v>89</v>
      </c>
      <c r="ET21" s="127" t="str">
        <f>HLOOKUP(CONCATENATE(ET$4,ET$6),RangeMajorsSec,$O21,FALSE)</f>
        <v>ECON2001</v>
      </c>
      <c r="EU21" s="117" t="s">
        <v>87</v>
      </c>
      <c r="EV21" s="104"/>
      <c r="EW21" s="117" t="s">
        <v>89</v>
      </c>
      <c r="EX21" s="127" t="str">
        <f>HLOOKUP(CONCATENATE(EX$4,EX$6),RangeMajorsSec,$O21,FALSE)</f>
        <v>ECON2001</v>
      </c>
      <c r="EY21" s="117" t="s">
        <v>87</v>
      </c>
      <c r="EZ21" s="104"/>
      <c r="FA21" s="117" t="s">
        <v>89</v>
      </c>
      <c r="FB21" s="127" t="str">
        <f>HLOOKUP(CONCATENATE(FB$4,FB$6),RangeMajorsSec,$O21,FALSE)</f>
        <v>ECON2001</v>
      </c>
      <c r="FC21" s="117" t="s">
        <v>87</v>
      </c>
      <c r="FD21" s="104"/>
      <c r="FE21" s="117" t="s">
        <v>89</v>
      </c>
      <c r="FF21" s="127" t="str">
        <f>HLOOKUP(CONCATENATE(FF$4,FF$6),RangeMajorsSec,$O21,FALSE)</f>
        <v>ECON2001</v>
      </c>
      <c r="FG21" s="117" t="s">
        <v>87</v>
      </c>
      <c r="FH21" s="104"/>
      <c r="FI21" s="117" t="s">
        <v>89</v>
      </c>
      <c r="FJ21" s="127" t="str">
        <f>HLOOKUP(CONCATENATE(FJ$4,FJ$6),RangeMajorsSec,$O21,FALSE)</f>
        <v>ECON2001</v>
      </c>
      <c r="FK21" s="117" t="s">
        <v>87</v>
      </c>
      <c r="FL21" s="104"/>
      <c r="FM21" s="117" t="s">
        <v>89</v>
      </c>
      <c r="FN21" s="127" t="str">
        <f>HLOOKUP(CONCATENATE(FN$4,FN$6),RangeMajorsSec,$O21,FALSE)</f>
        <v>ECON2001</v>
      </c>
      <c r="FO21" s="117" t="s">
        <v>87</v>
      </c>
      <c r="FP21" s="104"/>
      <c r="FQ21" s="117" t="s">
        <v>89</v>
      </c>
      <c r="FR21" s="127" t="str">
        <f>HLOOKUP(CONCATENATE(FR$4,FR$6),RangeMajorsSec,$O21,FALSE)</f>
        <v>AC-HSGE12</v>
      </c>
      <c r="FS21" s="117" t="s">
        <v>87</v>
      </c>
      <c r="FT21" s="104"/>
      <c r="FU21" s="117" t="s">
        <v>89</v>
      </c>
      <c r="FV21" s="127" t="str">
        <f>HLOOKUP(CONCATENATE(FV$4,FV$6),RangeMajorsSec,$O21,FALSE)</f>
        <v>AC-HSGE12</v>
      </c>
      <c r="FW21" s="117" t="s">
        <v>87</v>
      </c>
      <c r="FX21" s="104"/>
      <c r="FY21" s="117" t="s">
        <v>89</v>
      </c>
      <c r="FZ21" s="127" t="str">
        <f>HLOOKUP(CONCATENATE(FZ$4,FZ$6),RangeMajorsSec,$O21,FALSE)</f>
        <v>AC-HSGE12</v>
      </c>
      <c r="GA21" s="117" t="s">
        <v>87</v>
      </c>
      <c r="GB21" s="104"/>
      <c r="GC21" s="117" t="s">
        <v>89</v>
      </c>
      <c r="GD21" s="127" t="str">
        <f>HLOOKUP(CONCATENATE(GD$4,GD$6),RangeMajorsSec,$O21,FALSE)</f>
        <v>AC-HSGE12</v>
      </c>
      <c r="GE21" s="117" t="s">
        <v>87</v>
      </c>
      <c r="GF21" s="104"/>
      <c r="GG21" s="117" t="s">
        <v>89</v>
      </c>
      <c r="GH21" s="127" t="str">
        <f>HLOOKUP(CONCATENATE(GH$4,GH$6),RangeMajorsSec,$O21,FALSE)</f>
        <v>AC-HSGE12</v>
      </c>
      <c r="GI21" s="117" t="s">
        <v>87</v>
      </c>
      <c r="GJ21" s="104"/>
      <c r="GK21" s="117" t="s">
        <v>89</v>
      </c>
      <c r="GL21" s="127" t="str">
        <f>HLOOKUP(CONCATENATE(GL$4,GL$6),RangeMajorsSec,$O21,FALSE)</f>
        <v>AC-HSGE12</v>
      </c>
      <c r="GM21" s="117" t="s">
        <v>87</v>
      </c>
      <c r="GN21" s="104"/>
      <c r="GO21" s="117" t="s">
        <v>89</v>
      </c>
      <c r="GP21" s="127" t="str">
        <f>HLOOKUP(CONCATENATE(GP$4,GP$6),RangeMajorsSec,$O21,FALSE)</f>
        <v>AC-HSGE12</v>
      </c>
      <c r="GQ21" s="117" t="s">
        <v>87</v>
      </c>
      <c r="GR21" s="104"/>
      <c r="GS21" s="117" t="s">
        <v>89</v>
      </c>
      <c r="GT21" s="127" t="str">
        <f>HLOOKUP(CONCATENATE(GT$4,GT$6),RangeMajorsSec,$O21,FALSE)</f>
        <v>AC-HSGE12</v>
      </c>
      <c r="GU21" s="117" t="s">
        <v>87</v>
      </c>
      <c r="GV21" s="104"/>
      <c r="GW21" s="117" t="s">
        <v>89</v>
      </c>
      <c r="GX21" s="127" t="str">
        <f>HLOOKUP(CONCATENATE(GX$4,GX$6),RangeMajorsSec,$O21,FALSE)</f>
        <v>AC-HSHI11</v>
      </c>
      <c r="GY21" s="117" t="s">
        <v>87</v>
      </c>
      <c r="GZ21" s="104"/>
      <c r="HA21" s="117" t="s">
        <v>89</v>
      </c>
      <c r="HB21" s="127" t="str">
        <f>HLOOKUP(CONCATENATE(HB$4,HB$6),RangeMajorsSec,$O21,FALSE)</f>
        <v>AC-HSHI11</v>
      </c>
      <c r="HC21" s="117" t="s">
        <v>87</v>
      </c>
      <c r="HD21" s="104"/>
      <c r="HE21" s="117" t="s">
        <v>89</v>
      </c>
      <c r="HF21" s="127" t="str">
        <f>HLOOKUP(CONCATENATE(HF$4,HF$6),RangeMajorsSec,$O21,FALSE)</f>
        <v>AC-HSHI11</v>
      </c>
      <c r="HG21" s="117" t="s">
        <v>87</v>
      </c>
      <c r="HH21" s="104"/>
      <c r="HI21" s="117" t="s">
        <v>89</v>
      </c>
      <c r="HJ21" s="127" t="str">
        <f>HLOOKUP(CONCATENATE(HJ$4,HJ$6),RangeMajorsSec,$O21,FALSE)</f>
        <v>AC-HSHI11</v>
      </c>
      <c r="HK21" s="117" t="s">
        <v>87</v>
      </c>
      <c r="HL21" s="104"/>
      <c r="HM21" s="117" t="s">
        <v>89</v>
      </c>
      <c r="HN21" s="127" t="str">
        <f>HLOOKUP(CONCATENATE(HN$4,HN$6),RangeMajorsSec,$O21,FALSE)</f>
        <v>AC-HSHI11</v>
      </c>
      <c r="HO21" s="117" t="s">
        <v>87</v>
      </c>
      <c r="HP21" s="104"/>
      <c r="HQ21" s="117" t="s">
        <v>89</v>
      </c>
      <c r="HR21" s="127" t="str">
        <f>HLOOKUP(CONCATENATE(HR$4,HR$6),RangeMajorsSec,$O21,FALSE)</f>
        <v>AC-HSHI11</v>
      </c>
      <c r="HS21" s="117" t="s">
        <v>87</v>
      </c>
      <c r="HT21" s="104"/>
      <c r="HU21" s="117" t="s">
        <v>89</v>
      </c>
      <c r="HV21" s="127" t="str">
        <f>HLOOKUP(CONCATENATE(HV$4,HV$6),RangeMajorsSec,$O21,FALSE)</f>
        <v>AC-HSHI11</v>
      </c>
      <c r="HW21" s="117" t="s">
        <v>87</v>
      </c>
      <c r="HX21" s="104"/>
      <c r="HY21" s="117" t="s">
        <v>89</v>
      </c>
      <c r="HZ21" s="127" t="str">
        <f>HLOOKUP(CONCATENATE(HZ$4,HZ$6),RangeMajorsSec,$O21,FALSE)</f>
        <v>AC-HSHI11</v>
      </c>
      <c r="IA21" s="117" t="s">
        <v>87</v>
      </c>
      <c r="IB21" s="104"/>
      <c r="IC21" s="117" t="s">
        <v>89</v>
      </c>
      <c r="ID21" s="127" t="str">
        <f>HLOOKUP(CONCATENATE(ID$4,ID$6),RangeMajorsSec,$O21,FALSE)</f>
        <v>AC-HSPL11</v>
      </c>
      <c r="IE21" s="117" t="s">
        <v>87</v>
      </c>
      <c r="IF21" s="104"/>
      <c r="IG21" s="117" t="s">
        <v>89</v>
      </c>
      <c r="IH21" s="127" t="str">
        <f>HLOOKUP(CONCATENATE(IH$4,IH$6),RangeMajorsSec,$O21,FALSE)</f>
        <v>AC-HSPL11</v>
      </c>
      <c r="II21" s="117" t="s">
        <v>87</v>
      </c>
      <c r="IJ21" s="104"/>
      <c r="IK21" s="117" t="s">
        <v>89</v>
      </c>
      <c r="IL21" s="127" t="str">
        <f>HLOOKUP(CONCATENATE(IL$4,IL$6),RangeMajorsSec,$O21,FALSE)</f>
        <v>AC-HSPL11</v>
      </c>
      <c r="IM21" s="117" t="s">
        <v>87</v>
      </c>
      <c r="IN21" s="104"/>
      <c r="IO21" s="117" t="s">
        <v>89</v>
      </c>
      <c r="IP21" s="127" t="str">
        <f>HLOOKUP(CONCATENATE(IP$4,IP$6),RangeMajorsSec,$O21,FALSE)</f>
        <v>AC-HSPL11</v>
      </c>
      <c r="IQ21" s="117" t="s">
        <v>87</v>
      </c>
      <c r="IR21" s="104"/>
      <c r="IS21" s="117" t="s">
        <v>89</v>
      </c>
      <c r="IT21" s="127" t="str">
        <f>HLOOKUP(CONCATENATE(IT$4,IT$6),RangeMajorsSec,$O21,FALSE)</f>
        <v>AC-HSPL11</v>
      </c>
      <c r="IU21" s="117" t="s">
        <v>87</v>
      </c>
      <c r="IV21" s="104"/>
      <c r="IW21" s="117" t="s">
        <v>89</v>
      </c>
      <c r="IX21" s="127" t="str">
        <f>HLOOKUP(CONCATENATE(IX$4,IX$6),RangeMajorsSec,$O21,FALSE)</f>
        <v>AC-HSPL11</v>
      </c>
      <c r="IY21" s="117" t="s">
        <v>87</v>
      </c>
      <c r="IZ21" s="104"/>
      <c r="JA21" s="117" t="s">
        <v>89</v>
      </c>
      <c r="JB21" s="127" t="str">
        <f>HLOOKUP(CONCATENATE(JB$4,JB$6),RangeMajorsSec,$O21,FALSE)</f>
        <v>AC-HSPL11</v>
      </c>
      <c r="JC21" s="117" t="s">
        <v>87</v>
      </c>
      <c r="JD21" s="104"/>
      <c r="JE21" s="117" t="s">
        <v>89</v>
      </c>
      <c r="JF21" s="127" t="str">
        <f>HLOOKUP(CONCATENATE(JF$4,JF$6),RangeMajorsSec,$O21,FALSE)</f>
        <v>AC-HSPL11</v>
      </c>
      <c r="JG21" s="117" t="s">
        <v>87</v>
      </c>
      <c r="JH21" s="104"/>
      <c r="JI21" s="117" t="s">
        <v>89</v>
      </c>
      <c r="JJ21" s="127" t="str">
        <f>HLOOKUP(CONCATENATE(JJ$4,JJ$6),RangeMajorsSec,$O21,FALSE)</f>
        <v>AC-HSPL11</v>
      </c>
      <c r="JK21" s="117" t="s">
        <v>87</v>
      </c>
      <c r="JL21" s="104"/>
      <c r="JM21" s="117" t="s">
        <v>89</v>
      </c>
      <c r="JN21" s="127" t="str">
        <f>HLOOKUP(CONCATENATE(JN$4,JN$6),RangeMajorsSec,$O21,FALSE)</f>
        <v>MATH1015</v>
      </c>
      <c r="JO21" s="117" t="s">
        <v>87</v>
      </c>
      <c r="JP21" s="104"/>
      <c r="JQ21" s="117" t="s">
        <v>89</v>
      </c>
      <c r="JR21" s="127" t="str">
        <f>HLOOKUP(CONCATENATE(JR$4,JR$6),RangeMajorsSec,$O21,FALSE)</f>
        <v>MATH1015</v>
      </c>
      <c r="JS21" s="117" t="s">
        <v>87</v>
      </c>
      <c r="JT21" s="104"/>
      <c r="JU21" s="117" t="s">
        <v>89</v>
      </c>
      <c r="JV21" s="127" t="str">
        <f>HLOOKUP(CONCATENATE(JV$4,JV$6),RangeMajorsSec,$O21,FALSE)</f>
        <v>MATH1015</v>
      </c>
      <c r="JW21" s="117" t="s">
        <v>87</v>
      </c>
      <c r="JX21" s="104"/>
      <c r="JY21" s="117" t="s">
        <v>89</v>
      </c>
      <c r="JZ21" s="127" t="str">
        <f>HLOOKUP(CONCATENATE(JZ$4,JZ$6),RangeMajorsSec,$O21,FALSE)</f>
        <v>MATH1015</v>
      </c>
      <c r="KA21" s="117" t="s">
        <v>87</v>
      </c>
      <c r="KB21" s="104"/>
      <c r="KC21" s="117" t="s">
        <v>89</v>
      </c>
      <c r="KD21" s="127" t="str">
        <f>HLOOKUP(CONCATENATE(KD$4,KD$6),RangeMajorsSec,$O21,FALSE)</f>
        <v>MATH1015</v>
      </c>
      <c r="KE21" s="117" t="s">
        <v>87</v>
      </c>
      <c r="KF21" s="104"/>
      <c r="KG21" s="117" t="s">
        <v>89</v>
      </c>
      <c r="KH21" s="127" t="str">
        <f>HLOOKUP(CONCATENATE(KH$4,KH$6),RangeMajorsSec,$O21,FALSE)</f>
        <v>MATH1015</v>
      </c>
      <c r="KI21" s="117" t="s">
        <v>87</v>
      </c>
      <c r="KJ21" s="104"/>
      <c r="KK21" s="117" t="s">
        <v>89</v>
      </c>
      <c r="KL21" s="127" t="str">
        <f>HLOOKUP(CONCATENATE(KL$4,KL$6),RangeMajorsSec,$O21,FALSE)</f>
        <v>MATH1015</v>
      </c>
      <c r="KM21" s="117" t="s">
        <v>87</v>
      </c>
      <c r="KN21" s="104"/>
      <c r="KO21" s="117" t="s">
        <v>89</v>
      </c>
      <c r="KP21" s="127" t="str">
        <f>HLOOKUP(CONCATENATE(KP$4,KP$6),RangeMajorsSec,$O21,FALSE)</f>
        <v>MATH1015</v>
      </c>
      <c r="KQ21" s="117" t="s">
        <v>87</v>
      </c>
      <c r="KR21" s="104"/>
      <c r="KS21" s="117" t="s">
        <v>89</v>
      </c>
      <c r="KT21" s="127" t="str">
        <f>HLOOKUP(CONCATENATE(KT$4,KT$6),RangeMajorsSec,$O21,FALSE)</f>
        <v>MATH1015</v>
      </c>
      <c r="KU21" s="117" t="s">
        <v>87</v>
      </c>
      <c r="KV21" s="104"/>
      <c r="KW21" s="117" t="s">
        <v>89</v>
      </c>
      <c r="KX21" s="127" t="str">
        <f>HLOOKUP(CONCATENATE(KX$4,KX$6),RangeMajorsSec,$O21,FALSE)</f>
        <v>REHT2001</v>
      </c>
      <c r="KY21" s="117" t="s">
        <v>87</v>
      </c>
      <c r="KZ21" s="104"/>
      <c r="LA21" s="117" t="s">
        <v>89</v>
      </c>
      <c r="LB21" s="127" t="str">
        <f>HLOOKUP(CONCATENATE(LB$4,LB$6),RangeMajorsSec,$O21,FALSE)</f>
        <v>REHT2001</v>
      </c>
      <c r="LC21" s="117" t="s">
        <v>87</v>
      </c>
      <c r="LD21" s="104"/>
      <c r="LE21" s="117" t="s">
        <v>89</v>
      </c>
      <c r="LF21" s="127" t="str">
        <f>HLOOKUP(CONCATENATE(LF$4,LF$6),RangeMajorsSec,$O21,FALSE)</f>
        <v>BOTA2000</v>
      </c>
      <c r="LG21" s="117" t="s">
        <v>87</v>
      </c>
      <c r="LH21" s="104"/>
      <c r="LI21" s="117" t="s">
        <v>89</v>
      </c>
      <c r="LJ21" s="127" t="str">
        <f>HLOOKUP(CONCATENATE(LJ$4,LJ$6),RangeMajorsSec,$O21,FALSE)</f>
        <v>BOTA2000</v>
      </c>
      <c r="LK21" s="117" t="s">
        <v>87</v>
      </c>
      <c r="LL21" s="104"/>
      <c r="LM21" s="117" t="s">
        <v>89</v>
      </c>
      <c r="LN21" s="127" t="str">
        <f>HLOOKUP(CONCATENATE(LN$4,LN$6),RangeMajorsSec,$O21,FALSE)</f>
        <v>BOTA2000</v>
      </c>
      <c r="LO21" s="117" t="s">
        <v>87</v>
      </c>
      <c r="LP21" s="104"/>
      <c r="LQ21" s="117" t="s">
        <v>89</v>
      </c>
      <c r="LR21" s="127" t="str">
        <f>HLOOKUP(CONCATENATE(LR$4,LR$6),RangeMajorsSec,$O21,FALSE)</f>
        <v>BOTA2000</v>
      </c>
      <c r="LS21" s="117" t="s">
        <v>87</v>
      </c>
      <c r="LT21" s="104"/>
      <c r="LU21" s="117" t="s">
        <v>89</v>
      </c>
      <c r="LV21" s="127" t="str">
        <f>HLOOKUP(CONCATENATE(LV$4,LV$6),RangeMajorsSec,$O21,FALSE)</f>
        <v>BOTA2000</v>
      </c>
      <c r="LW21" s="117" t="s">
        <v>87</v>
      </c>
      <c r="LX21" s="104"/>
      <c r="LY21" s="117" t="s">
        <v>89</v>
      </c>
      <c r="LZ21" s="127" t="str">
        <f>HLOOKUP(CONCATENATE(LZ$4,LZ$6),RangeMajorsSec,$O21,FALSE)</f>
        <v>BOTA2000</v>
      </c>
      <c r="MA21" s="117" t="s">
        <v>87</v>
      </c>
      <c r="MB21" s="104"/>
      <c r="MC21" s="117" t="s">
        <v>89</v>
      </c>
      <c r="MD21" s="127" t="str">
        <f>HLOOKUP(CONCATENATE(MD$4,MD$6),RangeMajorsSec,$O21,FALSE)</f>
        <v>BOTA2000</v>
      </c>
      <c r="ME21" s="117" t="s">
        <v>87</v>
      </c>
      <c r="MF21" s="104"/>
      <c r="MG21" s="117" t="s">
        <v>89</v>
      </c>
      <c r="MH21" s="127" t="str">
        <f>HLOOKUP(CONCATENATE(MH$4,MH$6),RangeMajorsSec,$O21,FALSE)</f>
        <v>BOTA2000</v>
      </c>
      <c r="MI21" s="117" t="s">
        <v>87</v>
      </c>
      <c r="MJ21" s="104"/>
      <c r="MK21" s="117" t="s">
        <v>89</v>
      </c>
      <c r="ML21" s="127" t="str">
        <f>HLOOKUP(CONCATENATE(ML$4,ML$6),RangeMajorsSec,$O21,FALSE)</f>
        <v>EDSC4023</v>
      </c>
      <c r="MM21" s="117" t="s">
        <v>87</v>
      </c>
      <c r="MN21" s="104"/>
      <c r="MO21" s="117" t="s">
        <v>89</v>
      </c>
      <c r="MP21" s="127" t="str">
        <f>HLOOKUP(CONCATENATE(MP$4,MP$6),RangeMajorsSec,$O21,FALSE)</f>
        <v>EDSC4023</v>
      </c>
      <c r="MQ21" s="117" t="s">
        <v>87</v>
      </c>
      <c r="MR21" s="104"/>
      <c r="MS21" s="117" t="s">
        <v>89</v>
      </c>
      <c r="MT21" s="127" t="str">
        <f>HLOOKUP(CONCATENATE(MT$4,MT$6),RangeMajorsSec,$O21,FALSE)</f>
        <v>EDSC4023</v>
      </c>
      <c r="MU21" s="117" t="s">
        <v>87</v>
      </c>
      <c r="MV21" s="104"/>
      <c r="MW21" s="117" t="s">
        <v>89</v>
      </c>
      <c r="MX21" s="127" t="str">
        <f>HLOOKUP(CONCATENATE(MX$4,MX$6),RangeMajorsSec,$O21,FALSE)</f>
        <v>EDSC4023</v>
      </c>
      <c r="MY21" s="117" t="s">
        <v>87</v>
      </c>
      <c r="MZ21" s="104"/>
      <c r="NA21" s="117" t="s">
        <v>89</v>
      </c>
      <c r="NB21" s="127" t="str">
        <f>HLOOKUP(CONCATENATE(NB$4,NB$6),RangeMajorsSec,$O21,FALSE)</f>
        <v>EDSC4023</v>
      </c>
      <c r="NC21" s="117" t="s">
        <v>87</v>
      </c>
      <c r="ND21" s="104"/>
      <c r="NE21" s="117" t="s">
        <v>89</v>
      </c>
      <c r="NF21" s="127" t="str">
        <f>HLOOKUP(CONCATENATE(NF$4,NF$6),RangeMajorsSec,$O21,FALSE)</f>
        <v>EDSC4023</v>
      </c>
      <c r="NG21" s="117" t="s">
        <v>87</v>
      </c>
      <c r="NH21" s="104"/>
      <c r="NI21" s="117" t="s">
        <v>89</v>
      </c>
      <c r="NJ21" s="127" t="str">
        <f>HLOOKUP(CONCATENATE(NJ$4,NJ$6),RangeMajorsSec,$O21,FALSE)</f>
        <v>EDSC4023</v>
      </c>
      <c r="NK21" s="117" t="s">
        <v>87</v>
      </c>
      <c r="NL21" s="104"/>
      <c r="NM21" s="117" t="s">
        <v>89</v>
      </c>
      <c r="NN21" s="127" t="str">
        <f>HLOOKUP(CONCATENATE(NN$4,NN$6),RangeMajorsSec,$O21,FALSE)</f>
        <v>EDSC4023</v>
      </c>
      <c r="NO21" s="117" t="s">
        <v>87</v>
      </c>
      <c r="NP21" s="104"/>
      <c r="NQ21" s="117" t="s">
        <v>89</v>
      </c>
      <c r="NR21" s="127" t="str">
        <f>HLOOKUP(CONCATENATE(NR$4,NR$6),RangeMajorsSec,$O21,FALSE)</f>
        <v>HUMB2012</v>
      </c>
      <c r="NS21" s="117" t="s">
        <v>87</v>
      </c>
      <c r="NT21" s="104"/>
      <c r="NU21" s="117" t="s">
        <v>89</v>
      </c>
      <c r="NV21" s="127" t="str">
        <f>HLOOKUP(CONCATENATE(NV$4,NV$6),RangeMajorsSec,$O21,FALSE)</f>
        <v>HUMB2012</v>
      </c>
      <c r="NW21" s="117" t="s">
        <v>87</v>
      </c>
      <c r="NX21" s="104"/>
      <c r="NY21" s="117" t="s">
        <v>89</v>
      </c>
      <c r="NZ21" s="127" t="str">
        <f>HLOOKUP(CONCATENATE(NZ$4,NZ$6),RangeMajorsSec,$O21,FALSE)</f>
        <v>HUMB2012</v>
      </c>
      <c r="OA21" s="117" t="s">
        <v>87</v>
      </c>
      <c r="OB21" s="104"/>
      <c r="OC21" s="117" t="s">
        <v>89</v>
      </c>
      <c r="OD21" s="127" t="str">
        <f>HLOOKUP(CONCATENATE(OD$4,OD$6),RangeMajorsSec,$O21,FALSE)</f>
        <v>HUMB2012</v>
      </c>
      <c r="OE21" s="117" t="s">
        <v>87</v>
      </c>
      <c r="OF21" s="104"/>
      <c r="OG21" s="117" t="s">
        <v>89</v>
      </c>
      <c r="OH21" s="127" t="str">
        <f>HLOOKUP(CONCATENATE(OH$4,OH$6),RangeMajorsSec,$O21,FALSE)</f>
        <v>HUMB2012</v>
      </c>
      <c r="OI21" s="117" t="s">
        <v>87</v>
      </c>
      <c r="OJ21" s="104"/>
      <c r="OK21" s="117" t="s">
        <v>89</v>
      </c>
      <c r="OL21" s="127" t="str">
        <f>HLOOKUP(CONCATENATE(OL$4,OL$6),RangeMajorsSec,$O21,FALSE)</f>
        <v>HUMB2012</v>
      </c>
      <c r="OM21" s="117" t="s">
        <v>87</v>
      </c>
      <c r="ON21" s="104"/>
      <c r="OO21" s="117" t="s">
        <v>89</v>
      </c>
      <c r="OP21" s="127" t="str">
        <f>HLOOKUP(CONCATENATE(OP$4,OP$6),RangeMajorsSec,$O21,FALSE)</f>
        <v>HUMB2012</v>
      </c>
      <c r="OQ21" s="117" t="s">
        <v>87</v>
      </c>
      <c r="OR21" s="104"/>
      <c r="OS21" s="117" t="s">
        <v>89</v>
      </c>
      <c r="OT21" s="127" t="str">
        <f>HLOOKUP(CONCATENATE(OT$4,OT$6),RangeMajorsSec,$O21,FALSE)</f>
        <v>HUMB2012</v>
      </c>
      <c r="OU21" s="117" t="s">
        <v>87</v>
      </c>
      <c r="OV21" s="104"/>
      <c r="OW21" s="117" t="s">
        <v>89</v>
      </c>
      <c r="OX21" s="127" t="str">
        <f>HLOOKUP(CONCATENATE(OX$4,OX$6),RangeMajorsSec,$O21,FALSE)</f>
        <v>EDSC4023</v>
      </c>
      <c r="OY21" s="117" t="s">
        <v>87</v>
      </c>
      <c r="OZ21" s="104"/>
      <c r="PA21" s="117" t="s">
        <v>89</v>
      </c>
      <c r="PB21" s="127" t="str">
        <f>HLOOKUP(CONCATENATE(PB$4,PB$6),RangeMajorsSec,$O21,FALSE)</f>
        <v>EDSC4023</v>
      </c>
      <c r="PC21" s="117" t="s">
        <v>87</v>
      </c>
      <c r="PD21" s="104"/>
      <c r="PE21" s="117" t="s">
        <v>89</v>
      </c>
      <c r="PF21" s="127" t="str">
        <f>HLOOKUP(CONCATENATE(PF$4,PF$6),RangeMajorsSec,$O21,FALSE)</f>
        <v>EDSC4023</v>
      </c>
      <c r="PG21" s="117" t="s">
        <v>87</v>
      </c>
      <c r="PH21" s="104"/>
      <c r="PI21" s="117" t="s">
        <v>89</v>
      </c>
      <c r="PJ21" s="127" t="str">
        <f>HLOOKUP(CONCATENATE(PJ$4,PJ$6),RangeMajorsSec,$O21,FALSE)</f>
        <v>EDSC4023</v>
      </c>
      <c r="PK21" s="117" t="s">
        <v>87</v>
      </c>
      <c r="PL21" s="104"/>
      <c r="PM21" s="117" t="s">
        <v>89</v>
      </c>
      <c r="PN21" s="127" t="str">
        <f>HLOOKUP(CONCATENATE(PN$4,PN$6),RangeMajorsSec,$O21,FALSE)</f>
        <v>EDSC4023</v>
      </c>
      <c r="PO21" s="117" t="s">
        <v>87</v>
      </c>
      <c r="PP21" s="104"/>
      <c r="PQ21" s="117" t="s">
        <v>89</v>
      </c>
      <c r="PR21" s="127" t="str">
        <f>HLOOKUP(CONCATENATE(PR$4,PR$6),RangeMajorsSec,$O21,FALSE)</f>
        <v>EDSC4023</v>
      </c>
      <c r="PS21" s="117" t="s">
        <v>87</v>
      </c>
      <c r="PT21" s="104"/>
      <c r="PU21" s="117" t="s">
        <v>89</v>
      </c>
      <c r="PV21" s="127" t="str">
        <f>HLOOKUP(CONCATENATE(PV$4,PV$6),RangeMajorsSec,$O21,FALSE)</f>
        <v>EDSC4023</v>
      </c>
      <c r="PW21" s="117" t="s">
        <v>87</v>
      </c>
      <c r="PX21" s="104"/>
      <c r="PY21" s="117" t="s">
        <v>89</v>
      </c>
      <c r="PZ21" s="127" t="str">
        <f>HLOOKUP(CONCATENATE(PZ$4,PZ$6),RangeMajorsSec,$O21,FALSE)</f>
        <v>EDSC4023</v>
      </c>
      <c r="QA21" s="117" t="s">
        <v>87</v>
      </c>
      <c r="QB21" s="104"/>
      <c r="QC21" s="117" t="s">
        <v>89</v>
      </c>
      <c r="QD21" s="127" t="e">
        <f>HLOOKUP(CONCATENATE(QD$4,QD$6),RangeMajorsSec,$O21,FALSE)</f>
        <v>#N/A</v>
      </c>
      <c r="QE21" s="117" t="s">
        <v>87</v>
      </c>
      <c r="QF21" s="104"/>
      <c r="QG21" s="117" t="s">
        <v>89</v>
      </c>
      <c r="QH21" s="127" t="e">
        <f>HLOOKUP(CONCATENATE(QH$4,QH$6),RangeMajorsSec,$O21,FALSE)</f>
        <v>#N/A</v>
      </c>
      <c r="QI21" s="117" t="s">
        <v>87</v>
      </c>
      <c r="QJ21" s="104"/>
    </row>
    <row r="22" spans="1:452" x14ac:dyDescent="0.25">
      <c r="A22" s="351" t="s">
        <v>394</v>
      </c>
      <c r="B22" s="268" t="s">
        <v>338</v>
      </c>
      <c r="C22" s="268" t="s">
        <v>100</v>
      </c>
      <c r="D22" s="269">
        <v>45658</v>
      </c>
      <c r="E22" s="268">
        <v>1</v>
      </c>
      <c r="F22" s="269">
        <v>45658</v>
      </c>
      <c r="G22" s="268" t="s">
        <v>376</v>
      </c>
      <c r="J22" s="141"/>
      <c r="K22" s="146" t="str">
        <f>INDEX(TableStreams[Choose your Specialisation Stream second (drop-down list)],MATCH(L22,TableStreams[UDC],0))</f>
        <v>English Education Minor Teaching Area Stream (BEd Secondary)</v>
      </c>
      <c r="L22" s="141" t="s">
        <v>353</v>
      </c>
      <c r="O22" s="340">
        <v>4</v>
      </c>
      <c r="P22" s="19">
        <v>20</v>
      </c>
      <c r="Q22" s="118" t="s">
        <v>89</v>
      </c>
      <c r="R22" s="128" t="s">
        <v>384</v>
      </c>
      <c r="S22" s="118" t="s">
        <v>87</v>
      </c>
      <c r="T22" s="103"/>
      <c r="U22" s="118" t="s">
        <v>89</v>
      </c>
      <c r="V22" s="338" t="str">
        <f>HLOOKUP(CONCATENATE(V$5,V$6),RangeStreamsSec,$O22,FALSE)</f>
        <v>PHYS1007</v>
      </c>
      <c r="W22" s="118" t="s">
        <v>87</v>
      </c>
      <c r="X22" s="103"/>
      <c r="Y22" s="118" t="s">
        <v>89</v>
      </c>
      <c r="Z22" s="128" t="str">
        <f>HLOOKUP(CONCATENATE(Z$5,Z$6),RangeStreamsSec,$O22,FALSE)</f>
        <v>AC-BSCIM3</v>
      </c>
      <c r="AA22" s="118" t="s">
        <v>87</v>
      </c>
      <c r="AB22" s="103"/>
      <c r="AC22" s="118" t="s">
        <v>89</v>
      </c>
      <c r="AD22" s="128" t="str">
        <f>HLOOKUP(CONCATENATE(AD$5,AD$6),RangeStreamsSec,$O22,FALSE)</f>
        <v>AC-PARTB3</v>
      </c>
      <c r="AE22" s="118" t="s">
        <v>87</v>
      </c>
      <c r="AF22" s="103"/>
      <c r="AG22" s="118" t="s">
        <v>89</v>
      </c>
      <c r="AH22" s="128" t="str">
        <f>HLOOKUP(CONCATENATE(AH$5,AH$6),RangeStreamsSec,$O22,FALSE)</f>
        <v>LCST2007</v>
      </c>
      <c r="AI22" s="118" t="s">
        <v>87</v>
      </c>
      <c r="AJ22" s="103"/>
      <c r="AK22" s="118" t="s">
        <v>89</v>
      </c>
      <c r="AL22" s="128" t="str">
        <f>HLOOKUP(CONCATENATE(AL$5,AL$6),RangeStreamsSec,$O22,FALSE)</f>
        <v>GEOG2000</v>
      </c>
      <c r="AM22" s="118" t="s">
        <v>87</v>
      </c>
      <c r="AN22" s="103"/>
      <c r="AO22" s="118" t="s">
        <v>89</v>
      </c>
      <c r="AP22" s="128" t="str">
        <f>HLOOKUP(CONCATENATE(AP$5,AP$6),RangeStreamsSec,$O22,FALSE)</f>
        <v>HIST2000</v>
      </c>
      <c r="AQ22" s="118" t="s">
        <v>87</v>
      </c>
      <c r="AR22" s="103"/>
      <c r="AS22" s="118" t="s">
        <v>89</v>
      </c>
      <c r="AT22" s="128" t="str">
        <f>HLOOKUP(CONCATENATE(AT$5,AT$6),RangeStreamsSec,$O22,FALSE)</f>
        <v>AC-MATHM</v>
      </c>
      <c r="AU22" s="118" t="s">
        <v>87</v>
      </c>
      <c r="AV22" s="103"/>
      <c r="AW22" s="118" t="s">
        <v>89</v>
      </c>
      <c r="AX22" s="128" t="str">
        <f>HLOOKUP(CONCATENATE(AX$5,AX$6),RangeStreamsSec,$O22,FALSE)</f>
        <v>PSYC2003</v>
      </c>
      <c r="AY22" s="118" t="s">
        <v>87</v>
      </c>
      <c r="AZ22" s="103"/>
      <c r="BA22" s="118" t="s">
        <v>89</v>
      </c>
      <c r="BB22" s="128" t="str">
        <f>HLOOKUP(CONCATENATE(BB$5,BB$6),RangeStreamsSec,$O22,FALSE)</f>
        <v>AC-BSCIM3</v>
      </c>
      <c r="BC22" s="118" t="s">
        <v>87</v>
      </c>
      <c r="BD22" s="103"/>
      <c r="BE22" s="118" t="s">
        <v>89</v>
      </c>
      <c r="BF22" s="128" t="str">
        <f>HLOOKUP(CONCATENATE(BF$5,BF$6),RangeStreamsSec,$O22,FALSE)</f>
        <v>LCST2007</v>
      </c>
      <c r="BG22" s="118" t="s">
        <v>87</v>
      </c>
      <c r="BH22" s="103"/>
      <c r="BI22" s="118" t="s">
        <v>89</v>
      </c>
      <c r="BJ22" s="128" t="str">
        <f>HLOOKUP(CONCATENATE(BJ$5,BJ$6),RangeStreamsSec,$O22,FALSE)</f>
        <v>GEOG2000</v>
      </c>
      <c r="BK22" s="118" t="s">
        <v>87</v>
      </c>
      <c r="BL22" s="103"/>
      <c r="BM22" s="118" t="s">
        <v>89</v>
      </c>
      <c r="BN22" s="128" t="str">
        <f>HLOOKUP(CONCATENATE(BN$5,BN$6),RangeStreamsSec,$O22,FALSE)</f>
        <v>HIST2000</v>
      </c>
      <c r="BO22" s="118" t="s">
        <v>87</v>
      </c>
      <c r="BP22" s="103"/>
      <c r="BQ22" s="118" t="s">
        <v>89</v>
      </c>
      <c r="BR22" s="128" t="str">
        <f>HLOOKUP(CONCATENATE(BR$5,BR$6),RangeStreamsSec,$O22,FALSE)</f>
        <v>AC-MATHM</v>
      </c>
      <c r="BS22" s="118" t="s">
        <v>87</v>
      </c>
      <c r="BT22" s="103"/>
      <c r="BU22" s="118" t="s">
        <v>89</v>
      </c>
      <c r="BV22" s="128" t="str">
        <f>HLOOKUP(CONCATENATE(BV$5,BV$6),RangeStreamsSec,$O22,FALSE)</f>
        <v>PSYC2003</v>
      </c>
      <c r="BW22" s="118" t="s">
        <v>87</v>
      </c>
      <c r="BX22" s="103"/>
      <c r="BY22" s="118" t="s">
        <v>89</v>
      </c>
      <c r="BZ22" s="128" t="str">
        <f>HLOOKUP(CONCATENATE(BZ$5,BZ$6),RangeStreamsSec,$O22,FALSE)</f>
        <v>AC-BSCIM3</v>
      </c>
      <c r="CA22" s="118" t="s">
        <v>87</v>
      </c>
      <c r="CB22" s="103"/>
      <c r="CC22" s="118" t="s">
        <v>89</v>
      </c>
      <c r="CD22" s="128" t="str">
        <f>HLOOKUP(CONCATENATE(CD$5,CD$6),RangeStreamsSec,$O22,FALSE)</f>
        <v>SCST1000</v>
      </c>
      <c r="CE22" s="118" t="s">
        <v>87</v>
      </c>
      <c r="CF22" s="103"/>
      <c r="CG22" s="118" t="s">
        <v>89</v>
      </c>
      <c r="CH22" s="128" t="str">
        <f>HLOOKUP(CONCATENATE(CH$5,CH$6),RangeStreamsSec,$O22,FALSE)</f>
        <v>LCST2007</v>
      </c>
      <c r="CI22" s="118" t="s">
        <v>87</v>
      </c>
      <c r="CJ22" s="103"/>
      <c r="CK22" s="118" t="s">
        <v>89</v>
      </c>
      <c r="CL22" s="128" t="str">
        <f>HLOOKUP(CONCATENATE(CL$5,CL$6),RangeStreamsSec,$O22,FALSE)</f>
        <v>GEOG2000</v>
      </c>
      <c r="CM22" s="118" t="s">
        <v>87</v>
      </c>
      <c r="CN22" s="103"/>
      <c r="CO22" s="118" t="s">
        <v>89</v>
      </c>
      <c r="CP22" s="128" t="str">
        <f>HLOOKUP(CONCATENATE(CP$5,CP$6),RangeStreamsSec,$O22,FALSE)</f>
        <v>HIST2000</v>
      </c>
      <c r="CQ22" s="118" t="s">
        <v>87</v>
      </c>
      <c r="CR22" s="103"/>
      <c r="CS22" s="118" t="s">
        <v>89</v>
      </c>
      <c r="CT22" s="128" t="str">
        <f>HLOOKUP(CONCATENATE(CT$5,CT$6),RangeStreamsSec,$O22,FALSE)</f>
        <v>AC-MATHM</v>
      </c>
      <c r="CU22" s="118" t="s">
        <v>87</v>
      </c>
      <c r="CV22" s="103"/>
      <c r="CW22" s="118" t="s">
        <v>89</v>
      </c>
      <c r="CX22" s="128" t="str">
        <f>HLOOKUP(CONCATENATE(CX$5,CX$6),RangeStreamsSec,$O22,FALSE)</f>
        <v>PSYC2003</v>
      </c>
      <c r="CY22" s="118" t="s">
        <v>87</v>
      </c>
      <c r="CZ22" s="103"/>
      <c r="DA22" s="118" t="s">
        <v>89</v>
      </c>
      <c r="DB22" s="128" t="str">
        <f>HLOOKUP(CONCATENATE(DB$5,DB$6),RangeStreamsSec,$O22,FALSE)</f>
        <v>AC-BSCIM3</v>
      </c>
      <c r="DC22" s="118" t="s">
        <v>87</v>
      </c>
      <c r="DD22" s="103"/>
      <c r="DE22" s="118" t="s">
        <v>89</v>
      </c>
      <c r="DF22" s="128" t="str">
        <f>HLOOKUP(CONCATENATE(DF$5,DF$6),RangeStreamsSec,$O22,FALSE)</f>
        <v>CWRI2016</v>
      </c>
      <c r="DG22" s="118" t="s">
        <v>87</v>
      </c>
      <c r="DH22" s="103"/>
      <c r="DI22" s="118" t="s">
        <v>89</v>
      </c>
      <c r="DJ22" s="128" t="str">
        <f>HLOOKUP(CONCATENATE(DJ$5,DJ$6),RangeStreamsSec,$O22,FALSE)</f>
        <v>GEOG2000</v>
      </c>
      <c r="DK22" s="118" t="s">
        <v>87</v>
      </c>
      <c r="DL22" s="103"/>
      <c r="DM22" s="118" t="s">
        <v>89</v>
      </c>
      <c r="DN22" s="128" t="str">
        <f>HLOOKUP(CONCATENATE(DN$5,DN$6),RangeStreamsSec,$O22,FALSE)</f>
        <v>HIST2000</v>
      </c>
      <c r="DO22" s="118" t="s">
        <v>87</v>
      </c>
      <c r="DP22" s="103"/>
      <c r="DQ22" s="118" t="s">
        <v>89</v>
      </c>
      <c r="DR22" s="128" t="str">
        <f>HLOOKUP(CONCATENATE(DR$5,DR$6),RangeStreamsSec,$O22,FALSE)</f>
        <v>AC-MATHM</v>
      </c>
      <c r="DS22" s="118" t="s">
        <v>87</v>
      </c>
      <c r="DT22" s="103"/>
      <c r="DU22" s="118" t="s">
        <v>89</v>
      </c>
      <c r="DV22" s="128" t="str">
        <f>HLOOKUP(CONCATENATE(DV$5,DV$6),RangeStreamsSec,$O22,FALSE)</f>
        <v>PSYC2003</v>
      </c>
      <c r="DW22" s="118" t="s">
        <v>87</v>
      </c>
      <c r="DX22" s="103"/>
      <c r="DY22" s="118" t="s">
        <v>89</v>
      </c>
      <c r="DZ22" s="128" t="str">
        <f>HLOOKUP(CONCATENATE(DZ$5,DZ$6),RangeStreamsSec,$O22,FALSE)</f>
        <v>COMS1001</v>
      </c>
      <c r="EA22" s="118" t="s">
        <v>87</v>
      </c>
      <c r="EB22" s="103"/>
      <c r="EC22" s="118" t="s">
        <v>89</v>
      </c>
      <c r="ED22" s="128" t="str">
        <f>HLOOKUP(CONCATENATE(ED$5,ED$6),RangeStreamsSec,$O22,FALSE)</f>
        <v>SPRO2000</v>
      </c>
      <c r="EE22" s="118" t="s">
        <v>87</v>
      </c>
      <c r="EF22" s="103"/>
      <c r="EG22" s="118" t="s">
        <v>89</v>
      </c>
      <c r="EH22" s="128" t="str">
        <f>HLOOKUP(CONCATENATE(EH$5,EH$6),RangeStreamsSec,$O22,FALSE)</f>
        <v>VISA1003</v>
      </c>
      <c r="EI22" s="118" t="s">
        <v>87</v>
      </c>
      <c r="EJ22" s="103"/>
      <c r="EK22" s="118" t="s">
        <v>89</v>
      </c>
      <c r="EL22" s="128" t="str">
        <f>HLOOKUP(CONCATENATE(EL$5,EL$6),RangeStreamsSec,$O22,FALSE)</f>
        <v>AC-BSCIM3</v>
      </c>
      <c r="EM22" s="118" t="s">
        <v>87</v>
      </c>
      <c r="EN22" s="103"/>
      <c r="EO22" s="118" t="s">
        <v>89</v>
      </c>
      <c r="EP22" s="128" t="str">
        <f>HLOOKUP(CONCATENATE(EP$5,EP$6),RangeStreamsSec,$O22,FALSE)</f>
        <v>HIST2000</v>
      </c>
      <c r="EQ22" s="118" t="s">
        <v>87</v>
      </c>
      <c r="ER22" s="103"/>
      <c r="ES22" s="118" t="s">
        <v>89</v>
      </c>
      <c r="ET22" s="128" t="str">
        <f>HLOOKUP(CONCATENATE(ET$5,ET$6),RangeStreamsSec,$O22,FALSE)</f>
        <v>LCST2007</v>
      </c>
      <c r="EU22" s="118" t="s">
        <v>87</v>
      </c>
      <c r="EV22" s="103"/>
      <c r="EW22" s="118" t="s">
        <v>89</v>
      </c>
      <c r="EX22" s="128" t="str">
        <f>HLOOKUP(CONCATENATE(EX$5,EX$6),RangeStreamsSec,$O22,FALSE)</f>
        <v>AC-MATHM</v>
      </c>
      <c r="EY22" s="118" t="s">
        <v>87</v>
      </c>
      <c r="EZ22" s="103"/>
      <c r="FA22" s="118" t="s">
        <v>89</v>
      </c>
      <c r="FB22" s="128" t="str">
        <f>HLOOKUP(CONCATENATE(FB$5,FB$6),RangeStreamsSec,$O22,FALSE)</f>
        <v>PSYC2003</v>
      </c>
      <c r="FC22" s="118" t="s">
        <v>87</v>
      </c>
      <c r="FD22" s="103"/>
      <c r="FE22" s="118" t="s">
        <v>89</v>
      </c>
      <c r="FF22" s="128" t="str">
        <f>HLOOKUP(CONCATENATE(FF$5,FF$6),RangeStreamsSec,$O22,FALSE)</f>
        <v>COMS1001</v>
      </c>
      <c r="FG22" s="118" t="s">
        <v>87</v>
      </c>
      <c r="FH22" s="103"/>
      <c r="FI22" s="118" t="s">
        <v>89</v>
      </c>
      <c r="FJ22" s="128" t="str">
        <f>HLOOKUP(CONCATENATE(FJ$5,FJ$6),RangeStreamsSec,$O22,FALSE)</f>
        <v>SPRO2000</v>
      </c>
      <c r="FK22" s="118" t="s">
        <v>87</v>
      </c>
      <c r="FL22" s="103"/>
      <c r="FM22" s="118" t="s">
        <v>89</v>
      </c>
      <c r="FN22" s="128" t="str">
        <f>HLOOKUP(CONCATENATE(FN$5,FN$6),RangeStreamsSec,$O22,FALSE)</f>
        <v>VISA1003</v>
      </c>
      <c r="FO22" s="118" t="s">
        <v>87</v>
      </c>
      <c r="FP22" s="103"/>
      <c r="FQ22" s="118" t="s">
        <v>89</v>
      </c>
      <c r="FR22" s="128" t="str">
        <f>HLOOKUP(CONCATENATE(FR$5,FR$6),RangeStreamsSec,$O22,FALSE)</f>
        <v>AC-BSCIM3</v>
      </c>
      <c r="FS22" s="118" t="s">
        <v>87</v>
      </c>
      <c r="FT22" s="103"/>
      <c r="FU22" s="118" t="s">
        <v>89</v>
      </c>
      <c r="FV22" s="128" t="str">
        <f>HLOOKUP(CONCATENATE(FV$5,FV$6),RangeStreamsSec,$O22,FALSE)</f>
        <v>HIST2000</v>
      </c>
      <c r="FW22" s="118" t="s">
        <v>87</v>
      </c>
      <c r="FX22" s="103"/>
      <c r="FY22" s="118" t="s">
        <v>89</v>
      </c>
      <c r="FZ22" s="128" t="str">
        <f>HLOOKUP(CONCATENATE(FZ$5,FZ$6),RangeStreamsSec,$O22,FALSE)</f>
        <v>LCST2007</v>
      </c>
      <c r="GA22" s="118" t="s">
        <v>87</v>
      </c>
      <c r="GB22" s="103"/>
      <c r="GC22" s="118" t="s">
        <v>89</v>
      </c>
      <c r="GD22" s="128" t="str">
        <f>HLOOKUP(CONCATENATE(GD$5,GD$6),RangeStreamsSec,$O22,FALSE)</f>
        <v>AC-MATHM</v>
      </c>
      <c r="GE22" s="118" t="s">
        <v>87</v>
      </c>
      <c r="GF22" s="103"/>
      <c r="GG22" s="118" t="s">
        <v>89</v>
      </c>
      <c r="GH22" s="128" t="str">
        <f>HLOOKUP(CONCATENATE(GH$5,GH$6),RangeStreamsSec,$O22,FALSE)</f>
        <v>PSYC2003</v>
      </c>
      <c r="GI22" s="118" t="s">
        <v>87</v>
      </c>
      <c r="GJ22" s="103"/>
      <c r="GK22" s="118" t="s">
        <v>89</v>
      </c>
      <c r="GL22" s="128" t="str">
        <f>HLOOKUP(CONCATENATE(GL$5,GL$6),RangeStreamsSec,$O22,FALSE)</f>
        <v>COMS1001</v>
      </c>
      <c r="GM22" s="118" t="s">
        <v>87</v>
      </c>
      <c r="GN22" s="103"/>
      <c r="GO22" s="118" t="s">
        <v>89</v>
      </c>
      <c r="GP22" s="128" t="str">
        <f>HLOOKUP(CONCATENATE(GP$5,GP$6),RangeStreamsSec,$O22,FALSE)</f>
        <v>SPRO2000</v>
      </c>
      <c r="GQ22" s="118" t="s">
        <v>87</v>
      </c>
      <c r="GR22" s="103"/>
      <c r="GS22" s="118" t="s">
        <v>89</v>
      </c>
      <c r="GT22" s="128" t="str">
        <f>HLOOKUP(CONCATENATE(GT$5,GT$6),RangeStreamsSec,$O22,FALSE)</f>
        <v>VISA1003</v>
      </c>
      <c r="GU22" s="118" t="s">
        <v>87</v>
      </c>
      <c r="GV22" s="103"/>
      <c r="GW22" s="118" t="s">
        <v>89</v>
      </c>
      <c r="GX22" s="128" t="str">
        <f>HLOOKUP(CONCATENATE(GX$5,GX$6),RangeStreamsSec,$O22,FALSE)</f>
        <v>AC-BSCIM3</v>
      </c>
      <c r="GY22" s="118" t="s">
        <v>87</v>
      </c>
      <c r="GZ22" s="103"/>
      <c r="HA22" s="118" t="s">
        <v>89</v>
      </c>
      <c r="HB22" s="128" t="str">
        <f>HLOOKUP(CONCATENATE(HB$5,HB$6),RangeStreamsSec,$O22,FALSE)</f>
        <v>ANTH2002</v>
      </c>
      <c r="HC22" s="118" t="s">
        <v>87</v>
      </c>
      <c r="HD22" s="103"/>
      <c r="HE22" s="118" t="s">
        <v>89</v>
      </c>
      <c r="HF22" s="128" t="str">
        <f>HLOOKUP(CONCATENATE(HF$5,HF$6),RangeStreamsSec,$O22,FALSE)</f>
        <v>LCST2007</v>
      </c>
      <c r="HG22" s="118" t="s">
        <v>87</v>
      </c>
      <c r="HH22" s="103"/>
      <c r="HI22" s="118" t="s">
        <v>89</v>
      </c>
      <c r="HJ22" s="128" t="str">
        <f>HLOOKUP(CONCATENATE(HJ$5,HJ$6),RangeStreamsSec,$O22,FALSE)</f>
        <v>AC-MATHM</v>
      </c>
      <c r="HK22" s="118" t="s">
        <v>87</v>
      </c>
      <c r="HL22" s="103"/>
      <c r="HM22" s="118" t="s">
        <v>89</v>
      </c>
      <c r="HN22" s="128" t="str">
        <f>HLOOKUP(CONCATENATE(HN$5,HN$6),RangeStreamsSec,$O22,FALSE)</f>
        <v>PSYC2003</v>
      </c>
      <c r="HO22" s="118" t="s">
        <v>87</v>
      </c>
      <c r="HP22" s="103"/>
      <c r="HQ22" s="118" t="s">
        <v>89</v>
      </c>
      <c r="HR22" s="128" t="str">
        <f>HLOOKUP(CONCATENATE(HR$5,HR$6),RangeStreamsSec,$O22,FALSE)</f>
        <v>COMS1001</v>
      </c>
      <c r="HS22" s="118" t="s">
        <v>87</v>
      </c>
      <c r="HT22" s="103"/>
      <c r="HU22" s="118" t="s">
        <v>89</v>
      </c>
      <c r="HV22" s="128" t="str">
        <f>HLOOKUP(CONCATENATE(HV$5,HV$6),RangeStreamsSec,$O22,FALSE)</f>
        <v>SPRO2000</v>
      </c>
      <c r="HW22" s="118" t="s">
        <v>87</v>
      </c>
      <c r="HX22" s="103"/>
      <c r="HY22" s="118" t="s">
        <v>89</v>
      </c>
      <c r="HZ22" s="128" t="str">
        <f>HLOOKUP(CONCATENATE(HZ$5,HZ$6),RangeStreamsSec,$O22,FALSE)</f>
        <v>VISA1003</v>
      </c>
      <c r="IA22" s="118" t="s">
        <v>87</v>
      </c>
      <c r="IB22" s="103"/>
      <c r="IC22" s="118" t="s">
        <v>89</v>
      </c>
      <c r="ID22" s="128" t="str">
        <f>HLOOKUP(CONCATENATE(ID$5,ID$6),RangeStreamsSec,$O22,FALSE)</f>
        <v>AC-BSCIM3</v>
      </c>
      <c r="IE22" s="118" t="s">
        <v>87</v>
      </c>
      <c r="IF22" s="103"/>
      <c r="IG22" s="118" t="s">
        <v>89</v>
      </c>
      <c r="IH22" s="128" t="str">
        <f>HLOOKUP(CONCATENATE(IH$5,IH$6),RangeStreamsSec,$O22,FALSE)</f>
        <v>HIST2000</v>
      </c>
      <c r="II22" s="118" t="s">
        <v>87</v>
      </c>
      <c r="IJ22" s="103"/>
      <c r="IK22" s="118" t="s">
        <v>89</v>
      </c>
      <c r="IL22" s="128" t="str">
        <f>HLOOKUP(CONCATENATE(IL$5,IL$6),RangeStreamsSec,$O22,FALSE)</f>
        <v>LCST2007</v>
      </c>
      <c r="IM22" s="118" t="s">
        <v>87</v>
      </c>
      <c r="IN22" s="103"/>
      <c r="IO22" s="118" t="s">
        <v>89</v>
      </c>
      <c r="IP22" s="128" t="str">
        <f>HLOOKUP(CONCATENATE(IP$5,IP$6),RangeStreamsSec,$O22,FALSE)</f>
        <v>AC-MATHM</v>
      </c>
      <c r="IQ22" s="118" t="s">
        <v>87</v>
      </c>
      <c r="IR22" s="103"/>
      <c r="IS22" s="118" t="s">
        <v>89</v>
      </c>
      <c r="IT22" s="128" t="str">
        <f>HLOOKUP(CONCATENATE(IT$5,IT$6),RangeStreamsSec,$O22,FALSE)</f>
        <v>PSYC2003</v>
      </c>
      <c r="IU22" s="118" t="s">
        <v>87</v>
      </c>
      <c r="IV22" s="103"/>
      <c r="IW22" s="118" t="s">
        <v>89</v>
      </c>
      <c r="IX22" s="128" t="str">
        <f>HLOOKUP(CONCATENATE(IX$5,IX$6),RangeStreamsSec,$O22,FALSE)</f>
        <v>COMS1001</v>
      </c>
      <c r="IY22" s="118" t="s">
        <v>87</v>
      </c>
      <c r="IZ22" s="103"/>
      <c r="JA22" s="118" t="s">
        <v>89</v>
      </c>
      <c r="JB22" s="128" t="str">
        <f>HLOOKUP(CONCATENATE(JB$5,JB$6),RangeStreamsSec,$O22,FALSE)</f>
        <v>SPRO2000</v>
      </c>
      <c r="JC22" s="118" t="s">
        <v>87</v>
      </c>
      <c r="JD22" s="103"/>
      <c r="JE22" s="118" t="s">
        <v>89</v>
      </c>
      <c r="JF22" s="128" t="str">
        <f>HLOOKUP(CONCATENATE(JF$5,JF$6),RangeStreamsSec,$O22,FALSE)</f>
        <v>VISA1003</v>
      </c>
      <c r="JG22" s="118" t="s">
        <v>87</v>
      </c>
      <c r="JH22" s="103"/>
      <c r="JI22" s="118" t="s">
        <v>89</v>
      </c>
      <c r="JJ22" s="128" t="e">
        <f>HLOOKUP(CONCATENATE(JJ$5,JJ$6),RangeStreamsSec,$O22,FALSE)</f>
        <v>#N/A</v>
      </c>
      <c r="JK22" s="118" t="s">
        <v>87</v>
      </c>
      <c r="JL22" s="103"/>
      <c r="JM22" s="118" t="s">
        <v>89</v>
      </c>
      <c r="JN22" s="128" t="str">
        <f>HLOOKUP(CONCATENATE(JN$5,JN$6),RangeStreamsSec,$O22,FALSE)</f>
        <v>AC-BSCIM3</v>
      </c>
      <c r="JO22" s="118" t="s">
        <v>87</v>
      </c>
      <c r="JP22" s="103"/>
      <c r="JQ22" s="118" t="s">
        <v>89</v>
      </c>
      <c r="JR22" s="128" t="str">
        <f>HLOOKUP(CONCATENATE(JR$5,JR$6),RangeStreamsSec,$O22,FALSE)</f>
        <v>EDPR2004</v>
      </c>
      <c r="JS22" s="118" t="s">
        <v>87</v>
      </c>
      <c r="JT22" s="103"/>
      <c r="JU22" s="118" t="s">
        <v>89</v>
      </c>
      <c r="JV22" s="128" t="str">
        <f>HLOOKUP(CONCATENATE(JV$5,JV$6),RangeStreamsSec,$O22,FALSE)</f>
        <v>LCST2007</v>
      </c>
      <c r="JW22" s="118" t="s">
        <v>87</v>
      </c>
      <c r="JX22" s="103"/>
      <c r="JY22" s="118" t="s">
        <v>89</v>
      </c>
      <c r="JZ22" s="128" t="str">
        <f>HLOOKUP(CONCATENATE(JZ$5,JZ$6),RangeStreamsSec,$O22,FALSE)</f>
        <v>GEOG2000</v>
      </c>
      <c r="KA22" s="118" t="s">
        <v>87</v>
      </c>
      <c r="KB22" s="103"/>
      <c r="KC22" s="118" t="s">
        <v>89</v>
      </c>
      <c r="KD22" s="128" t="str">
        <f>HLOOKUP(CONCATENATE(KD$5,KD$6),RangeStreamsSec,$O22,FALSE)</f>
        <v>HIST2000</v>
      </c>
      <c r="KE22" s="118" t="s">
        <v>87</v>
      </c>
      <c r="KF22" s="103"/>
      <c r="KG22" s="118" t="s">
        <v>89</v>
      </c>
      <c r="KH22" s="128" t="str">
        <f>HLOOKUP(CONCATENATE(KH$5,KH$6),RangeStreamsSec,$O22,FALSE)</f>
        <v>PSYC2003</v>
      </c>
      <c r="KI22" s="118" t="s">
        <v>87</v>
      </c>
      <c r="KJ22" s="103"/>
      <c r="KK22" s="118" t="s">
        <v>89</v>
      </c>
      <c r="KL22" s="128" t="str">
        <f>HLOOKUP(CONCATENATE(KL$5,KL$6),RangeStreamsSec,$O22,FALSE)</f>
        <v>COMS1001</v>
      </c>
      <c r="KM22" s="118" t="s">
        <v>87</v>
      </c>
      <c r="KN22" s="103"/>
      <c r="KO22" s="118" t="s">
        <v>89</v>
      </c>
      <c r="KP22" s="128" t="str">
        <f>HLOOKUP(CONCATENATE(KP$5,KP$6),RangeStreamsSec,$O22,FALSE)</f>
        <v>SPRO2000</v>
      </c>
      <c r="KQ22" s="118" t="s">
        <v>87</v>
      </c>
      <c r="KR22" s="103"/>
      <c r="KS22" s="118" t="s">
        <v>89</v>
      </c>
      <c r="KT22" s="128" t="str">
        <f>HLOOKUP(CONCATENATE(KT$5,KT$6),RangeStreamsSec,$O22,FALSE)</f>
        <v>VISA1003</v>
      </c>
      <c r="KU22" s="118" t="s">
        <v>87</v>
      </c>
      <c r="KV22" s="103"/>
      <c r="KW22" s="118" t="s">
        <v>89</v>
      </c>
      <c r="KX22" s="128" t="str">
        <f>HLOOKUP(CONCATENATE(KX$5,KX$6),RangeStreamsSec,$O22,FALSE)</f>
        <v>AC-BSCIM3</v>
      </c>
      <c r="KY22" s="118" t="s">
        <v>87</v>
      </c>
      <c r="KZ22" s="103"/>
      <c r="LA22" s="118" t="s">
        <v>89</v>
      </c>
      <c r="LB22" s="128" t="str">
        <f>HLOOKUP(CONCATENATE(LB$5,LB$6),RangeStreamsSec,$O22,FALSE)</f>
        <v>PUBH1000</v>
      </c>
      <c r="LC22" s="118" t="s">
        <v>87</v>
      </c>
      <c r="LD22" s="103"/>
      <c r="LE22" s="118" t="s">
        <v>89</v>
      </c>
      <c r="LF22" s="128" t="str">
        <f>HLOOKUP(CONCATENATE(LF$5,LF$6),RangeStreamsSec,$O22,FALSE)</f>
        <v>HUMB1000</v>
      </c>
      <c r="LG22" s="118" t="s">
        <v>87</v>
      </c>
      <c r="LH22" s="103"/>
      <c r="LI22" s="118" t="s">
        <v>89</v>
      </c>
      <c r="LJ22" s="128" t="str">
        <f>HLOOKUP(CONCATENATE(LJ$5,LJ$6),RangeStreamsSec,$O22,FALSE)</f>
        <v>LCST2007</v>
      </c>
      <c r="LK22" s="118" t="s">
        <v>87</v>
      </c>
      <c r="LL22" s="103"/>
      <c r="LM22" s="118" t="s">
        <v>89</v>
      </c>
      <c r="LN22" s="128" t="str">
        <f>HLOOKUP(CONCATENATE(LN$5,LN$6),RangeStreamsSec,$O22,FALSE)</f>
        <v>GEOG2000</v>
      </c>
      <c r="LO22" s="118" t="s">
        <v>87</v>
      </c>
      <c r="LP22" s="103"/>
      <c r="LQ22" s="118" t="s">
        <v>89</v>
      </c>
      <c r="LR22" s="128" t="str">
        <f>HLOOKUP(CONCATENATE(LR$5,LR$6),RangeStreamsSec,$O22,FALSE)</f>
        <v>HIST2000</v>
      </c>
      <c r="LS22" s="118" t="s">
        <v>87</v>
      </c>
      <c r="LT22" s="103"/>
      <c r="LU22" s="118" t="s">
        <v>89</v>
      </c>
      <c r="LV22" s="128" t="str">
        <f>HLOOKUP(CONCATENATE(LV$5,LV$6),RangeStreamsSec,$O22,FALSE)</f>
        <v>AC-MATHM</v>
      </c>
      <c r="LW22" s="118" t="s">
        <v>87</v>
      </c>
      <c r="LX22" s="103"/>
      <c r="LY22" s="118" t="s">
        <v>89</v>
      </c>
      <c r="LZ22" s="128" t="str">
        <f>HLOOKUP(CONCATENATE(LZ$5,LZ$6),RangeStreamsSec,$O22,FALSE)</f>
        <v>COMS1001</v>
      </c>
      <c r="MA22" s="118" t="s">
        <v>87</v>
      </c>
      <c r="MB22" s="103"/>
      <c r="MC22" s="118" t="s">
        <v>89</v>
      </c>
      <c r="MD22" s="128" t="str">
        <f>HLOOKUP(CONCATENATE(MD$5,MD$6),RangeStreamsSec,$O22,FALSE)</f>
        <v>SPRO2000</v>
      </c>
      <c r="ME22" s="118" t="s">
        <v>87</v>
      </c>
      <c r="MF22" s="103"/>
      <c r="MG22" s="118" t="s">
        <v>89</v>
      </c>
      <c r="MH22" s="128" t="str">
        <f>HLOOKUP(CONCATENATE(MH$5,MH$6),RangeStreamsSec,$O22,FALSE)</f>
        <v>VISA1003</v>
      </c>
      <c r="MI22" s="118" t="s">
        <v>87</v>
      </c>
      <c r="MJ22" s="103"/>
      <c r="MK22" s="118" t="s">
        <v>89</v>
      </c>
      <c r="ML22" s="128" t="str">
        <f>HLOOKUP(CONCATENATE(ML$5,ML$6),RangeStreamsSec,$O22,FALSE)</f>
        <v>HUMB1000</v>
      </c>
      <c r="MM22" s="118" t="s">
        <v>87</v>
      </c>
      <c r="MN22" s="103"/>
      <c r="MO22" s="118" t="s">
        <v>89</v>
      </c>
      <c r="MP22" s="128" t="str">
        <f>HLOOKUP(CONCATENATE(MP$5,MP$6),RangeStreamsSec,$O22,FALSE)</f>
        <v>LCST2007</v>
      </c>
      <c r="MQ22" s="118" t="s">
        <v>87</v>
      </c>
      <c r="MR22" s="103"/>
      <c r="MS22" s="118" t="s">
        <v>89</v>
      </c>
      <c r="MT22" s="128" t="str">
        <f>HLOOKUP(CONCATENATE(MT$5,MT$6),RangeStreamsSec,$O22,FALSE)</f>
        <v>GEOG2000</v>
      </c>
      <c r="MU22" s="118" t="s">
        <v>87</v>
      </c>
      <c r="MV22" s="103"/>
      <c r="MW22" s="118" t="s">
        <v>89</v>
      </c>
      <c r="MX22" s="128" t="str">
        <f>HLOOKUP(CONCATENATE(MX$5,MX$6),RangeStreamsSec,$O22,FALSE)</f>
        <v>HIST2000</v>
      </c>
      <c r="MY22" s="118" t="s">
        <v>87</v>
      </c>
      <c r="MZ22" s="103"/>
      <c r="NA22" s="118" t="s">
        <v>89</v>
      </c>
      <c r="NB22" s="128" t="str">
        <f>HLOOKUP(CONCATENATE(NB$5,NB$6),RangeStreamsSec,$O22,FALSE)</f>
        <v>AC-MATHM</v>
      </c>
      <c r="NC22" s="118" t="s">
        <v>87</v>
      </c>
      <c r="ND22" s="103"/>
      <c r="NE22" s="118" t="s">
        <v>89</v>
      </c>
      <c r="NF22" s="128" t="str">
        <f>HLOOKUP(CONCATENATE(NF$5,NF$6),RangeStreamsSec,$O22,FALSE)</f>
        <v>COMS1001</v>
      </c>
      <c r="NG22" s="118" t="s">
        <v>87</v>
      </c>
      <c r="NH22" s="103"/>
      <c r="NI22" s="118" t="s">
        <v>89</v>
      </c>
      <c r="NJ22" s="128" t="str">
        <f>HLOOKUP(CONCATENATE(NJ$5,NJ$6),RangeStreamsSec,$O22,FALSE)</f>
        <v>SPRO2000</v>
      </c>
      <c r="NK22" s="118" t="s">
        <v>87</v>
      </c>
      <c r="NL22" s="103"/>
      <c r="NM22" s="118" t="s">
        <v>89</v>
      </c>
      <c r="NN22" s="128" t="str">
        <f>HLOOKUP(CONCATENATE(NN$5,NN$6),RangeStreamsSec,$O22,FALSE)</f>
        <v>VISA1003</v>
      </c>
      <c r="NO22" s="118" t="s">
        <v>87</v>
      </c>
      <c r="NP22" s="103"/>
      <c r="NQ22" s="118" t="s">
        <v>89</v>
      </c>
      <c r="NR22" s="128" t="str">
        <f>HLOOKUP(CONCATENATE(NR$5,NR$6),RangeStreamsSec,$O22,FALSE)</f>
        <v>AC-HUMBB2</v>
      </c>
      <c r="NS22" s="118" t="s">
        <v>87</v>
      </c>
      <c r="NT22" s="103"/>
      <c r="NU22" s="118" t="s">
        <v>89</v>
      </c>
      <c r="NV22" s="128" t="str">
        <f>HLOOKUP(CONCATENATE(NV$5,NV$6),RangeStreamsSec,$O22,FALSE)</f>
        <v>LCST2007</v>
      </c>
      <c r="NW22" s="118" t="s">
        <v>87</v>
      </c>
      <c r="NX22" s="103"/>
      <c r="NY22" s="118" t="s">
        <v>89</v>
      </c>
      <c r="NZ22" s="128" t="str">
        <f>HLOOKUP(CONCATENATE(NZ$5,NZ$6),RangeStreamsSec,$O22,FALSE)</f>
        <v>GEOG2000</v>
      </c>
      <c r="OA22" s="118" t="s">
        <v>87</v>
      </c>
      <c r="OB22" s="103"/>
      <c r="OC22" s="118" t="s">
        <v>89</v>
      </c>
      <c r="OD22" s="128" t="str">
        <f>HLOOKUP(CONCATENATE(OD$5,OD$6),RangeStreamsSec,$O22,FALSE)</f>
        <v>HIST2000</v>
      </c>
      <c r="OE22" s="118" t="s">
        <v>87</v>
      </c>
      <c r="OF22" s="103"/>
      <c r="OG22" s="118" t="s">
        <v>89</v>
      </c>
      <c r="OH22" s="128" t="str">
        <f>HLOOKUP(CONCATENATE(OH$5,OH$6),RangeStreamsSec,$O22,FALSE)</f>
        <v>AC-MATHM</v>
      </c>
      <c r="OI22" s="118" t="s">
        <v>87</v>
      </c>
      <c r="OJ22" s="103"/>
      <c r="OK22" s="118" t="s">
        <v>89</v>
      </c>
      <c r="OL22" s="128" t="str">
        <f>HLOOKUP(CONCATENATE(OL$5,OL$6),RangeStreamsSec,$O22,FALSE)</f>
        <v>COMS1001</v>
      </c>
      <c r="OM22" s="118" t="s">
        <v>87</v>
      </c>
      <c r="ON22" s="103"/>
      <c r="OO22" s="118" t="s">
        <v>89</v>
      </c>
      <c r="OP22" s="128" t="str">
        <f>HLOOKUP(CONCATENATE(OP$5,OP$6),RangeStreamsSec,$O22,FALSE)</f>
        <v>SPRO2000</v>
      </c>
      <c r="OQ22" s="118" t="s">
        <v>87</v>
      </c>
      <c r="OR22" s="103"/>
      <c r="OS22" s="118" t="s">
        <v>89</v>
      </c>
      <c r="OT22" s="128" t="str">
        <f>HLOOKUP(CONCATENATE(OT$5,OT$6),RangeStreamsSec,$O22,FALSE)</f>
        <v>VISA1003</v>
      </c>
      <c r="OU22" s="118" t="s">
        <v>87</v>
      </c>
      <c r="OV22" s="103"/>
      <c r="OW22" s="118" t="s">
        <v>89</v>
      </c>
      <c r="OX22" s="128" t="str">
        <f>HLOOKUP(CONCATENATE(OX$5,OX$6),RangeStreamsSec,$O22,FALSE)</f>
        <v>AC-PSYCB2</v>
      </c>
      <c r="OY22" s="118" t="s">
        <v>87</v>
      </c>
      <c r="OZ22" s="103"/>
      <c r="PA22" s="118" t="s">
        <v>89</v>
      </c>
      <c r="PB22" s="128" t="str">
        <f>HLOOKUP(CONCATENATE(PB$5,PB$6),RangeStreamsSec,$O22,FALSE)</f>
        <v>LCST2007</v>
      </c>
      <c r="PC22" s="118" t="s">
        <v>87</v>
      </c>
      <c r="PD22" s="103"/>
      <c r="PE22" s="118" t="s">
        <v>89</v>
      </c>
      <c r="PF22" s="128" t="str">
        <f>HLOOKUP(CONCATENATE(PF$5,PF$6),RangeStreamsSec,$O22,FALSE)</f>
        <v>GEOG2000</v>
      </c>
      <c r="PG22" s="118" t="s">
        <v>87</v>
      </c>
      <c r="PH22" s="103"/>
      <c r="PI22" s="118" t="s">
        <v>89</v>
      </c>
      <c r="PJ22" s="128" t="str">
        <f>HLOOKUP(CONCATENATE(PJ$5,PJ$6),RangeStreamsSec,$O22,FALSE)</f>
        <v>HIST2000</v>
      </c>
      <c r="PK22" s="118" t="s">
        <v>87</v>
      </c>
      <c r="PL22" s="103"/>
      <c r="PM22" s="118" t="s">
        <v>89</v>
      </c>
      <c r="PN22" s="128" t="str">
        <f>HLOOKUP(CONCATENATE(PN$5,PN$6),RangeStreamsSec,$O22,FALSE)</f>
        <v>AC-MATHM</v>
      </c>
      <c r="PO22" s="118" t="s">
        <v>87</v>
      </c>
      <c r="PP22" s="103"/>
      <c r="PQ22" s="118" t="s">
        <v>89</v>
      </c>
      <c r="PR22" s="128" t="str">
        <f>HLOOKUP(CONCATENATE(PR$5,PR$6),RangeStreamsSec,$O22,FALSE)</f>
        <v>COMS1001</v>
      </c>
      <c r="PS22" s="118" t="s">
        <v>87</v>
      </c>
      <c r="PT22" s="103"/>
      <c r="PU22" s="118" t="s">
        <v>89</v>
      </c>
      <c r="PV22" s="128" t="str">
        <f>HLOOKUP(CONCATENATE(PV$5,PV$6),RangeStreamsSec,$O22,FALSE)</f>
        <v>SPRO2000</v>
      </c>
      <c r="PW22" s="118" t="s">
        <v>87</v>
      </c>
      <c r="PX22" s="103"/>
      <c r="PY22" s="118" t="s">
        <v>89</v>
      </c>
      <c r="PZ22" s="128" t="str">
        <f>HLOOKUP(CONCATENATE(PZ$5,PZ$6),RangeStreamsSec,$O22,FALSE)</f>
        <v>VISA1003</v>
      </c>
      <c r="QA22" s="118" t="s">
        <v>87</v>
      </c>
      <c r="QB22" s="103"/>
      <c r="QC22" s="118" t="s">
        <v>89</v>
      </c>
      <c r="QD22" s="128" t="e">
        <f>HLOOKUP(CONCATENATE(QD$5,QD$6),RangeStreamsSec,$O22,FALSE)</f>
        <v>#N/A</v>
      </c>
      <c r="QE22" s="118" t="s">
        <v>87</v>
      </c>
      <c r="QF22" s="103"/>
      <c r="QG22" s="118" t="s">
        <v>89</v>
      </c>
      <c r="QH22" s="128" t="e">
        <f>HLOOKUP(CONCATENATE(QH$5,QH$6),RangeStreamsSec,$O22,FALSE)</f>
        <v>#N/A</v>
      </c>
      <c r="QI22" s="118" t="s">
        <v>87</v>
      </c>
      <c r="QJ22" s="103"/>
    </row>
    <row r="23" spans="1:452" x14ac:dyDescent="0.25">
      <c r="A23" s="14"/>
      <c r="B23" s="6"/>
      <c r="C23" s="6"/>
      <c r="D23" s="6"/>
      <c r="E23" s="6"/>
      <c r="F23" s="6"/>
      <c r="G23" s="6"/>
      <c r="J23" s="141"/>
      <c r="K23" s="146" t="str">
        <f>INDEX(TableStreams[Choose your Specialisation Stream second (drop-down list)],MATCH(L23,TableStreams[UDC],0))</f>
        <v>Geography Education Minor Teaching Area Stream (BEd Secondary)</v>
      </c>
      <c r="L23" s="141" t="s">
        <v>354</v>
      </c>
      <c r="O23" s="19"/>
      <c r="P23" s="3">
        <v>21</v>
      </c>
      <c r="Q23" s="116" t="s">
        <v>121</v>
      </c>
      <c r="R23" s="104" t="s">
        <v>395</v>
      </c>
      <c r="S23" s="116" t="s">
        <v>123</v>
      </c>
      <c r="T23" s="115"/>
      <c r="U23" s="116" t="s">
        <v>121</v>
      </c>
      <c r="V23" s="298" t="str">
        <f>$R23</f>
        <v>EDSC3012</v>
      </c>
      <c r="W23" s="116" t="s">
        <v>123</v>
      </c>
      <c r="X23" s="115"/>
      <c r="Y23" s="116" t="s">
        <v>121</v>
      </c>
      <c r="Z23" s="298" t="str">
        <f>$R23</f>
        <v>EDSC3012</v>
      </c>
      <c r="AA23" s="116" t="s">
        <v>123</v>
      </c>
      <c r="AB23" s="115"/>
      <c r="AC23" s="116" t="s">
        <v>121</v>
      </c>
      <c r="AD23" s="298" t="str">
        <f>$R23</f>
        <v>EDSC3012</v>
      </c>
      <c r="AE23" s="116" t="s">
        <v>123</v>
      </c>
      <c r="AF23" s="115"/>
      <c r="AG23" s="116" t="s">
        <v>121</v>
      </c>
      <c r="AH23" s="298" t="str">
        <f>$R23</f>
        <v>EDSC3012</v>
      </c>
      <c r="AI23" s="116" t="s">
        <v>123</v>
      </c>
      <c r="AJ23" s="115"/>
      <c r="AK23" s="116" t="s">
        <v>121</v>
      </c>
      <c r="AL23" s="298" t="str">
        <f>$R23</f>
        <v>EDSC3012</v>
      </c>
      <c r="AM23" s="116" t="s">
        <v>123</v>
      </c>
      <c r="AN23" s="115"/>
      <c r="AO23" s="116" t="s">
        <v>121</v>
      </c>
      <c r="AP23" s="298" t="str">
        <f>$R23</f>
        <v>EDSC3012</v>
      </c>
      <c r="AQ23" s="116" t="s">
        <v>123</v>
      </c>
      <c r="AR23" s="115"/>
      <c r="AS23" s="116" t="s">
        <v>121</v>
      </c>
      <c r="AT23" s="298" t="str">
        <f>$R23</f>
        <v>EDSC3012</v>
      </c>
      <c r="AU23" s="116" t="s">
        <v>123</v>
      </c>
      <c r="AV23" s="115"/>
      <c r="AW23" s="116" t="s">
        <v>121</v>
      </c>
      <c r="AX23" s="298" t="str">
        <f>$R23</f>
        <v>EDSC3012</v>
      </c>
      <c r="AY23" s="116" t="s">
        <v>123</v>
      </c>
      <c r="AZ23" s="115"/>
      <c r="BA23" s="116" t="s">
        <v>121</v>
      </c>
      <c r="BB23" s="298" t="str">
        <f>$R23</f>
        <v>EDSC3012</v>
      </c>
      <c r="BC23" s="116" t="s">
        <v>123</v>
      </c>
      <c r="BD23" s="115"/>
      <c r="BE23" s="116" t="s">
        <v>121</v>
      </c>
      <c r="BF23" s="298" t="str">
        <f>$R23</f>
        <v>EDSC3012</v>
      </c>
      <c r="BG23" s="116" t="s">
        <v>123</v>
      </c>
      <c r="BH23" s="115"/>
      <c r="BI23" s="116" t="s">
        <v>121</v>
      </c>
      <c r="BJ23" s="298" t="str">
        <f>$R23</f>
        <v>EDSC3012</v>
      </c>
      <c r="BK23" s="116" t="s">
        <v>123</v>
      </c>
      <c r="BL23" s="115"/>
      <c r="BM23" s="116" t="s">
        <v>121</v>
      </c>
      <c r="BN23" s="298" t="str">
        <f>$R23</f>
        <v>EDSC3012</v>
      </c>
      <c r="BO23" s="116" t="s">
        <v>123</v>
      </c>
      <c r="BP23" s="115"/>
      <c r="BQ23" s="116" t="s">
        <v>121</v>
      </c>
      <c r="BR23" s="298" t="str">
        <f>$R23</f>
        <v>EDSC3012</v>
      </c>
      <c r="BS23" s="116" t="s">
        <v>123</v>
      </c>
      <c r="BT23" s="115"/>
      <c r="BU23" s="116" t="s">
        <v>121</v>
      </c>
      <c r="BV23" s="298" t="str">
        <f>$R23</f>
        <v>EDSC3012</v>
      </c>
      <c r="BW23" s="116" t="s">
        <v>123</v>
      </c>
      <c r="BX23" s="115"/>
      <c r="BY23" s="116" t="s">
        <v>121</v>
      </c>
      <c r="BZ23" s="298" t="str">
        <f>$R23</f>
        <v>EDSC3012</v>
      </c>
      <c r="CA23" s="116" t="s">
        <v>123</v>
      </c>
      <c r="CB23" s="115"/>
      <c r="CC23" s="116" t="s">
        <v>121</v>
      </c>
      <c r="CD23" s="298" t="str">
        <f>$R23</f>
        <v>EDSC3012</v>
      </c>
      <c r="CE23" s="116" t="s">
        <v>123</v>
      </c>
      <c r="CF23" s="115"/>
      <c r="CG23" s="116" t="s">
        <v>121</v>
      </c>
      <c r="CH23" s="298" t="str">
        <f>$R23</f>
        <v>EDSC3012</v>
      </c>
      <c r="CI23" s="116" t="s">
        <v>123</v>
      </c>
      <c r="CJ23" s="115"/>
      <c r="CK23" s="116" t="s">
        <v>121</v>
      </c>
      <c r="CL23" s="298" t="str">
        <f>$R23</f>
        <v>EDSC3012</v>
      </c>
      <c r="CM23" s="116" t="s">
        <v>123</v>
      </c>
      <c r="CN23" s="115"/>
      <c r="CO23" s="116" t="s">
        <v>121</v>
      </c>
      <c r="CP23" s="298" t="str">
        <f>$R23</f>
        <v>EDSC3012</v>
      </c>
      <c r="CQ23" s="116" t="s">
        <v>123</v>
      </c>
      <c r="CR23" s="115"/>
      <c r="CS23" s="116" t="s">
        <v>121</v>
      </c>
      <c r="CT23" s="298" t="str">
        <f>$R23</f>
        <v>EDSC3012</v>
      </c>
      <c r="CU23" s="116" t="s">
        <v>123</v>
      </c>
      <c r="CV23" s="115"/>
      <c r="CW23" s="116" t="s">
        <v>121</v>
      </c>
      <c r="CX23" s="298" t="str">
        <f>$R23</f>
        <v>EDSC3012</v>
      </c>
      <c r="CY23" s="116" t="s">
        <v>123</v>
      </c>
      <c r="CZ23" s="115"/>
      <c r="DA23" s="116" t="s">
        <v>121</v>
      </c>
      <c r="DB23" s="298" t="str">
        <f>$R23</f>
        <v>EDSC3012</v>
      </c>
      <c r="DC23" s="116" t="s">
        <v>123</v>
      </c>
      <c r="DD23" s="115"/>
      <c r="DE23" s="116" t="s">
        <v>121</v>
      </c>
      <c r="DF23" s="298" t="str">
        <f>$R23</f>
        <v>EDSC3012</v>
      </c>
      <c r="DG23" s="116" t="s">
        <v>123</v>
      </c>
      <c r="DH23" s="115"/>
      <c r="DI23" s="116" t="s">
        <v>121</v>
      </c>
      <c r="DJ23" s="298" t="str">
        <f>$R23</f>
        <v>EDSC3012</v>
      </c>
      <c r="DK23" s="116" t="s">
        <v>123</v>
      </c>
      <c r="DL23" s="115"/>
      <c r="DM23" s="116" t="s">
        <v>121</v>
      </c>
      <c r="DN23" s="298" t="str">
        <f>$R23</f>
        <v>EDSC3012</v>
      </c>
      <c r="DO23" s="116" t="s">
        <v>123</v>
      </c>
      <c r="DP23" s="115"/>
      <c r="DQ23" s="116" t="s">
        <v>121</v>
      </c>
      <c r="DR23" s="298" t="str">
        <f>$R23</f>
        <v>EDSC3012</v>
      </c>
      <c r="DS23" s="116" t="s">
        <v>123</v>
      </c>
      <c r="DT23" s="115"/>
      <c r="DU23" s="116" t="s">
        <v>121</v>
      </c>
      <c r="DV23" s="298" t="str">
        <f>$R23</f>
        <v>EDSC3012</v>
      </c>
      <c r="DW23" s="116" t="s">
        <v>123</v>
      </c>
      <c r="DX23" s="115"/>
      <c r="DY23" s="116" t="s">
        <v>121</v>
      </c>
      <c r="DZ23" s="298" t="str">
        <f>$R23</f>
        <v>EDSC3012</v>
      </c>
      <c r="EA23" s="116" t="s">
        <v>123</v>
      </c>
      <c r="EB23" s="115"/>
      <c r="EC23" s="116" t="s">
        <v>121</v>
      </c>
      <c r="ED23" s="298" t="str">
        <f>$R23</f>
        <v>EDSC3012</v>
      </c>
      <c r="EE23" s="116" t="s">
        <v>123</v>
      </c>
      <c r="EF23" s="115"/>
      <c r="EG23" s="116" t="s">
        <v>121</v>
      </c>
      <c r="EH23" s="298" t="str">
        <f>$R23</f>
        <v>EDSC3012</v>
      </c>
      <c r="EI23" s="116" t="s">
        <v>123</v>
      </c>
      <c r="EJ23" s="115"/>
      <c r="EK23" s="116" t="s">
        <v>121</v>
      </c>
      <c r="EL23" s="298" t="str">
        <f>$R23</f>
        <v>EDSC3012</v>
      </c>
      <c r="EM23" s="116" t="s">
        <v>123</v>
      </c>
      <c r="EN23" s="115"/>
      <c r="EO23" s="116" t="s">
        <v>121</v>
      </c>
      <c r="EP23" s="298" t="str">
        <f>$R23</f>
        <v>EDSC3012</v>
      </c>
      <c r="EQ23" s="116" t="s">
        <v>123</v>
      </c>
      <c r="ER23" s="115"/>
      <c r="ES23" s="116" t="s">
        <v>121</v>
      </c>
      <c r="ET23" s="298" t="str">
        <f>$R23</f>
        <v>EDSC3012</v>
      </c>
      <c r="EU23" s="116" t="s">
        <v>123</v>
      </c>
      <c r="EV23" s="115"/>
      <c r="EW23" s="116" t="s">
        <v>121</v>
      </c>
      <c r="EX23" s="298" t="str">
        <f>$R23</f>
        <v>EDSC3012</v>
      </c>
      <c r="EY23" s="116" t="s">
        <v>123</v>
      </c>
      <c r="EZ23" s="115"/>
      <c r="FA23" s="116" t="s">
        <v>121</v>
      </c>
      <c r="FB23" s="298" t="str">
        <f>$R23</f>
        <v>EDSC3012</v>
      </c>
      <c r="FC23" s="116" t="s">
        <v>123</v>
      </c>
      <c r="FD23" s="115"/>
      <c r="FE23" s="116" t="s">
        <v>121</v>
      </c>
      <c r="FF23" s="298" t="str">
        <f>$R23</f>
        <v>EDSC3012</v>
      </c>
      <c r="FG23" s="116" t="s">
        <v>123</v>
      </c>
      <c r="FH23" s="115"/>
      <c r="FI23" s="116" t="s">
        <v>121</v>
      </c>
      <c r="FJ23" s="298" t="str">
        <f>$R23</f>
        <v>EDSC3012</v>
      </c>
      <c r="FK23" s="116" t="s">
        <v>123</v>
      </c>
      <c r="FL23" s="115"/>
      <c r="FM23" s="116" t="s">
        <v>121</v>
      </c>
      <c r="FN23" s="298" t="str">
        <f>$R23</f>
        <v>EDSC3012</v>
      </c>
      <c r="FO23" s="116" t="s">
        <v>123</v>
      </c>
      <c r="FP23" s="115"/>
      <c r="FQ23" s="116" t="s">
        <v>121</v>
      </c>
      <c r="FR23" s="298" t="str">
        <f>$R23</f>
        <v>EDSC3012</v>
      </c>
      <c r="FS23" s="116" t="s">
        <v>123</v>
      </c>
      <c r="FT23" s="115"/>
      <c r="FU23" s="116" t="s">
        <v>121</v>
      </c>
      <c r="FV23" s="298" t="str">
        <f>$R23</f>
        <v>EDSC3012</v>
      </c>
      <c r="FW23" s="116" t="s">
        <v>123</v>
      </c>
      <c r="FX23" s="115"/>
      <c r="FY23" s="116" t="s">
        <v>121</v>
      </c>
      <c r="FZ23" s="298" t="str">
        <f>$R23</f>
        <v>EDSC3012</v>
      </c>
      <c r="GA23" s="116" t="s">
        <v>123</v>
      </c>
      <c r="GB23" s="115"/>
      <c r="GC23" s="116" t="s">
        <v>121</v>
      </c>
      <c r="GD23" s="298" t="str">
        <f>$R23</f>
        <v>EDSC3012</v>
      </c>
      <c r="GE23" s="116" t="s">
        <v>123</v>
      </c>
      <c r="GF23" s="115"/>
      <c r="GG23" s="116" t="s">
        <v>121</v>
      </c>
      <c r="GH23" s="298" t="str">
        <f>$R23</f>
        <v>EDSC3012</v>
      </c>
      <c r="GI23" s="116" t="s">
        <v>123</v>
      </c>
      <c r="GJ23" s="115"/>
      <c r="GK23" s="116" t="s">
        <v>121</v>
      </c>
      <c r="GL23" s="298" t="str">
        <f>$R23</f>
        <v>EDSC3012</v>
      </c>
      <c r="GM23" s="116" t="s">
        <v>123</v>
      </c>
      <c r="GN23" s="115"/>
      <c r="GO23" s="116" t="s">
        <v>121</v>
      </c>
      <c r="GP23" s="298" t="str">
        <f>$R23</f>
        <v>EDSC3012</v>
      </c>
      <c r="GQ23" s="116" t="s">
        <v>123</v>
      </c>
      <c r="GR23" s="115"/>
      <c r="GS23" s="116" t="s">
        <v>121</v>
      </c>
      <c r="GT23" s="298" t="str">
        <f>$R23</f>
        <v>EDSC3012</v>
      </c>
      <c r="GU23" s="116" t="s">
        <v>123</v>
      </c>
      <c r="GV23" s="115"/>
      <c r="GW23" s="116" t="s">
        <v>121</v>
      </c>
      <c r="GX23" s="298" t="str">
        <f>$R23</f>
        <v>EDSC3012</v>
      </c>
      <c r="GY23" s="116" t="s">
        <v>123</v>
      </c>
      <c r="GZ23" s="115"/>
      <c r="HA23" s="116" t="s">
        <v>121</v>
      </c>
      <c r="HB23" s="298" t="str">
        <f>$R23</f>
        <v>EDSC3012</v>
      </c>
      <c r="HC23" s="116" t="s">
        <v>123</v>
      </c>
      <c r="HD23" s="115"/>
      <c r="HE23" s="116" t="s">
        <v>121</v>
      </c>
      <c r="HF23" s="298" t="str">
        <f>$R23</f>
        <v>EDSC3012</v>
      </c>
      <c r="HG23" s="116" t="s">
        <v>123</v>
      </c>
      <c r="HH23" s="115"/>
      <c r="HI23" s="116" t="s">
        <v>121</v>
      </c>
      <c r="HJ23" s="298" t="str">
        <f>$R23</f>
        <v>EDSC3012</v>
      </c>
      <c r="HK23" s="116" t="s">
        <v>123</v>
      </c>
      <c r="HL23" s="115"/>
      <c r="HM23" s="116" t="s">
        <v>121</v>
      </c>
      <c r="HN23" s="298" t="str">
        <f>$R23</f>
        <v>EDSC3012</v>
      </c>
      <c r="HO23" s="116" t="s">
        <v>123</v>
      </c>
      <c r="HP23" s="115"/>
      <c r="HQ23" s="116" t="s">
        <v>121</v>
      </c>
      <c r="HR23" s="298" t="str">
        <f>$R23</f>
        <v>EDSC3012</v>
      </c>
      <c r="HS23" s="116" t="s">
        <v>123</v>
      </c>
      <c r="HT23" s="115"/>
      <c r="HU23" s="116" t="s">
        <v>121</v>
      </c>
      <c r="HV23" s="298" t="str">
        <f>$R23</f>
        <v>EDSC3012</v>
      </c>
      <c r="HW23" s="116" t="s">
        <v>123</v>
      </c>
      <c r="HX23" s="115"/>
      <c r="HY23" s="116" t="s">
        <v>121</v>
      </c>
      <c r="HZ23" s="298" t="str">
        <f>$R23</f>
        <v>EDSC3012</v>
      </c>
      <c r="IA23" s="116" t="s">
        <v>123</v>
      </c>
      <c r="IB23" s="115"/>
      <c r="IC23" s="116" t="s">
        <v>121</v>
      </c>
      <c r="ID23" s="298" t="str">
        <f>$R23</f>
        <v>EDSC3012</v>
      </c>
      <c r="IE23" s="116" t="s">
        <v>123</v>
      </c>
      <c r="IF23" s="115"/>
      <c r="IG23" s="116" t="s">
        <v>121</v>
      </c>
      <c r="IH23" s="298" t="str">
        <f>$R23</f>
        <v>EDSC3012</v>
      </c>
      <c r="II23" s="116" t="s">
        <v>123</v>
      </c>
      <c r="IJ23" s="115"/>
      <c r="IK23" s="116" t="s">
        <v>121</v>
      </c>
      <c r="IL23" s="298" t="str">
        <f>$R23</f>
        <v>EDSC3012</v>
      </c>
      <c r="IM23" s="116" t="s">
        <v>123</v>
      </c>
      <c r="IN23" s="115"/>
      <c r="IO23" s="116" t="s">
        <v>121</v>
      </c>
      <c r="IP23" s="298" t="str">
        <f>$R23</f>
        <v>EDSC3012</v>
      </c>
      <c r="IQ23" s="116" t="s">
        <v>123</v>
      </c>
      <c r="IR23" s="115"/>
      <c r="IS23" s="116" t="s">
        <v>121</v>
      </c>
      <c r="IT23" s="298" t="str">
        <f>$R23</f>
        <v>EDSC3012</v>
      </c>
      <c r="IU23" s="116" t="s">
        <v>123</v>
      </c>
      <c r="IV23" s="115"/>
      <c r="IW23" s="116" t="s">
        <v>121</v>
      </c>
      <c r="IX23" s="298" t="str">
        <f>$R23</f>
        <v>EDSC3012</v>
      </c>
      <c r="IY23" s="116" t="s">
        <v>123</v>
      </c>
      <c r="IZ23" s="115"/>
      <c r="JA23" s="116" t="s">
        <v>121</v>
      </c>
      <c r="JB23" s="298" t="str">
        <f>$R23</f>
        <v>EDSC3012</v>
      </c>
      <c r="JC23" s="116" t="s">
        <v>123</v>
      </c>
      <c r="JD23" s="115"/>
      <c r="JE23" s="116" t="s">
        <v>121</v>
      </c>
      <c r="JF23" s="298" t="str">
        <f>$R23</f>
        <v>EDSC3012</v>
      </c>
      <c r="JG23" s="116" t="s">
        <v>123</v>
      </c>
      <c r="JH23" s="115"/>
      <c r="JI23" s="116" t="s">
        <v>121</v>
      </c>
      <c r="JJ23" s="298" t="str">
        <f>$R23</f>
        <v>EDSC3012</v>
      </c>
      <c r="JK23" s="116" t="s">
        <v>123</v>
      </c>
      <c r="JL23" s="115"/>
      <c r="JM23" s="116" t="s">
        <v>121</v>
      </c>
      <c r="JN23" s="298" t="str">
        <f>$R23</f>
        <v>EDSC3012</v>
      </c>
      <c r="JO23" s="116" t="s">
        <v>123</v>
      </c>
      <c r="JP23" s="115"/>
      <c r="JQ23" s="116" t="s">
        <v>121</v>
      </c>
      <c r="JR23" s="298" t="str">
        <f>$R23</f>
        <v>EDSC3012</v>
      </c>
      <c r="JS23" s="116" t="s">
        <v>123</v>
      </c>
      <c r="JT23" s="115"/>
      <c r="JU23" s="116" t="s">
        <v>121</v>
      </c>
      <c r="JV23" s="298" t="str">
        <f>$R23</f>
        <v>EDSC3012</v>
      </c>
      <c r="JW23" s="116" t="s">
        <v>123</v>
      </c>
      <c r="JX23" s="115"/>
      <c r="JY23" s="116" t="s">
        <v>121</v>
      </c>
      <c r="JZ23" s="298" t="str">
        <f>$R23</f>
        <v>EDSC3012</v>
      </c>
      <c r="KA23" s="116" t="s">
        <v>123</v>
      </c>
      <c r="KB23" s="115"/>
      <c r="KC23" s="116" t="s">
        <v>121</v>
      </c>
      <c r="KD23" s="298" t="str">
        <f>$R23</f>
        <v>EDSC3012</v>
      </c>
      <c r="KE23" s="116" t="s">
        <v>123</v>
      </c>
      <c r="KF23" s="115"/>
      <c r="KG23" s="116" t="s">
        <v>121</v>
      </c>
      <c r="KH23" s="298" t="str">
        <f>$R23</f>
        <v>EDSC3012</v>
      </c>
      <c r="KI23" s="116" t="s">
        <v>123</v>
      </c>
      <c r="KJ23" s="115"/>
      <c r="KK23" s="116" t="s">
        <v>121</v>
      </c>
      <c r="KL23" s="298" t="str">
        <f>$R23</f>
        <v>EDSC3012</v>
      </c>
      <c r="KM23" s="116" t="s">
        <v>123</v>
      </c>
      <c r="KN23" s="115"/>
      <c r="KO23" s="116" t="s">
        <v>121</v>
      </c>
      <c r="KP23" s="298" t="str">
        <f>$R23</f>
        <v>EDSC3012</v>
      </c>
      <c r="KQ23" s="116" t="s">
        <v>123</v>
      </c>
      <c r="KR23" s="115"/>
      <c r="KS23" s="116" t="s">
        <v>121</v>
      </c>
      <c r="KT23" s="298" t="str">
        <f>$R23</f>
        <v>EDSC3012</v>
      </c>
      <c r="KU23" s="116" t="s">
        <v>123</v>
      </c>
      <c r="KV23" s="115"/>
      <c r="KW23" s="116" t="s">
        <v>121</v>
      </c>
      <c r="KX23" s="298" t="str">
        <f>$R23</f>
        <v>EDSC3012</v>
      </c>
      <c r="KY23" s="116" t="s">
        <v>123</v>
      </c>
      <c r="KZ23" s="115"/>
      <c r="LA23" s="116" t="s">
        <v>121</v>
      </c>
      <c r="LB23" s="298" t="str">
        <f>$R23</f>
        <v>EDSC3012</v>
      </c>
      <c r="LC23" s="116" t="s">
        <v>123</v>
      </c>
      <c r="LD23" s="115"/>
      <c r="LE23" s="116" t="s">
        <v>121</v>
      </c>
      <c r="LF23" s="298" t="str">
        <f>$R23</f>
        <v>EDSC3012</v>
      </c>
      <c r="LG23" s="116" t="s">
        <v>123</v>
      </c>
      <c r="LH23" s="115"/>
      <c r="LI23" s="116" t="s">
        <v>121</v>
      </c>
      <c r="LJ23" s="298" t="str">
        <f>$R23</f>
        <v>EDSC3012</v>
      </c>
      <c r="LK23" s="116" t="s">
        <v>123</v>
      </c>
      <c r="LL23" s="115"/>
      <c r="LM23" s="116" t="s">
        <v>121</v>
      </c>
      <c r="LN23" s="298" t="str">
        <f>$R23</f>
        <v>EDSC3012</v>
      </c>
      <c r="LO23" s="116" t="s">
        <v>123</v>
      </c>
      <c r="LP23" s="115"/>
      <c r="LQ23" s="116" t="s">
        <v>121</v>
      </c>
      <c r="LR23" s="298" t="str">
        <f>$R23</f>
        <v>EDSC3012</v>
      </c>
      <c r="LS23" s="116" t="s">
        <v>123</v>
      </c>
      <c r="LT23" s="115"/>
      <c r="LU23" s="116" t="s">
        <v>121</v>
      </c>
      <c r="LV23" s="298" t="str">
        <f>$R23</f>
        <v>EDSC3012</v>
      </c>
      <c r="LW23" s="116" t="s">
        <v>123</v>
      </c>
      <c r="LX23" s="115"/>
      <c r="LY23" s="116" t="s">
        <v>121</v>
      </c>
      <c r="LZ23" s="298" t="str">
        <f>$R23</f>
        <v>EDSC3012</v>
      </c>
      <c r="MA23" s="116" t="s">
        <v>123</v>
      </c>
      <c r="MB23" s="115"/>
      <c r="MC23" s="116" t="s">
        <v>121</v>
      </c>
      <c r="MD23" s="298" t="str">
        <f>$R23</f>
        <v>EDSC3012</v>
      </c>
      <c r="ME23" s="116" t="s">
        <v>123</v>
      </c>
      <c r="MF23" s="115"/>
      <c r="MG23" s="116" t="s">
        <v>121</v>
      </c>
      <c r="MH23" s="298" t="str">
        <f>$R23</f>
        <v>EDSC3012</v>
      </c>
      <c r="MI23" s="116" t="s">
        <v>123</v>
      </c>
      <c r="MJ23" s="115"/>
      <c r="MK23" s="116" t="s">
        <v>121</v>
      </c>
      <c r="ML23" s="298" t="str">
        <f>$R23</f>
        <v>EDSC3012</v>
      </c>
      <c r="MM23" s="116" t="s">
        <v>123</v>
      </c>
      <c r="MN23" s="115"/>
      <c r="MO23" s="116" t="s">
        <v>121</v>
      </c>
      <c r="MP23" s="298" t="str">
        <f>$R23</f>
        <v>EDSC3012</v>
      </c>
      <c r="MQ23" s="116" t="s">
        <v>123</v>
      </c>
      <c r="MR23" s="115"/>
      <c r="MS23" s="116" t="s">
        <v>121</v>
      </c>
      <c r="MT23" s="298" t="str">
        <f>$R23</f>
        <v>EDSC3012</v>
      </c>
      <c r="MU23" s="116" t="s">
        <v>123</v>
      </c>
      <c r="MV23" s="115"/>
      <c r="MW23" s="116" t="s">
        <v>121</v>
      </c>
      <c r="MX23" s="298" t="str">
        <f>$R23</f>
        <v>EDSC3012</v>
      </c>
      <c r="MY23" s="116" t="s">
        <v>123</v>
      </c>
      <c r="MZ23" s="115"/>
      <c r="NA23" s="116" t="s">
        <v>121</v>
      </c>
      <c r="NB23" s="298" t="str">
        <f>$R23</f>
        <v>EDSC3012</v>
      </c>
      <c r="NC23" s="116" t="s">
        <v>123</v>
      </c>
      <c r="ND23" s="115"/>
      <c r="NE23" s="116" t="s">
        <v>121</v>
      </c>
      <c r="NF23" s="298" t="str">
        <f>$R23</f>
        <v>EDSC3012</v>
      </c>
      <c r="NG23" s="116" t="s">
        <v>123</v>
      </c>
      <c r="NH23" s="115"/>
      <c r="NI23" s="116" t="s">
        <v>121</v>
      </c>
      <c r="NJ23" s="298" t="str">
        <f>$R23</f>
        <v>EDSC3012</v>
      </c>
      <c r="NK23" s="116" t="s">
        <v>123</v>
      </c>
      <c r="NL23" s="115"/>
      <c r="NM23" s="116" t="s">
        <v>121</v>
      </c>
      <c r="NN23" s="298" t="str">
        <f>$R23</f>
        <v>EDSC3012</v>
      </c>
      <c r="NO23" s="116" t="s">
        <v>123</v>
      </c>
      <c r="NP23" s="115"/>
      <c r="NQ23" s="116" t="s">
        <v>121</v>
      </c>
      <c r="NR23" s="298" t="str">
        <f>$R23</f>
        <v>EDSC3012</v>
      </c>
      <c r="NS23" s="116" t="s">
        <v>123</v>
      </c>
      <c r="NT23" s="115"/>
      <c r="NU23" s="116" t="s">
        <v>121</v>
      </c>
      <c r="NV23" s="298" t="str">
        <f>$R23</f>
        <v>EDSC3012</v>
      </c>
      <c r="NW23" s="116" t="s">
        <v>123</v>
      </c>
      <c r="NX23" s="115"/>
      <c r="NY23" s="116" t="s">
        <v>121</v>
      </c>
      <c r="NZ23" s="298" t="str">
        <f>$R23</f>
        <v>EDSC3012</v>
      </c>
      <c r="OA23" s="116" t="s">
        <v>123</v>
      </c>
      <c r="OB23" s="115"/>
      <c r="OC23" s="116" t="s">
        <v>121</v>
      </c>
      <c r="OD23" s="298" t="str">
        <f>$R23</f>
        <v>EDSC3012</v>
      </c>
      <c r="OE23" s="116" t="s">
        <v>123</v>
      </c>
      <c r="OF23" s="115"/>
      <c r="OG23" s="116" t="s">
        <v>121</v>
      </c>
      <c r="OH23" s="298" t="str">
        <f>$R23</f>
        <v>EDSC3012</v>
      </c>
      <c r="OI23" s="116" t="s">
        <v>123</v>
      </c>
      <c r="OJ23" s="115"/>
      <c r="OK23" s="116" t="s">
        <v>121</v>
      </c>
      <c r="OL23" s="298" t="str">
        <f>$R23</f>
        <v>EDSC3012</v>
      </c>
      <c r="OM23" s="116" t="s">
        <v>123</v>
      </c>
      <c r="ON23" s="115"/>
      <c r="OO23" s="116" t="s">
        <v>121</v>
      </c>
      <c r="OP23" s="298" t="str">
        <f>$R23</f>
        <v>EDSC3012</v>
      </c>
      <c r="OQ23" s="116" t="s">
        <v>123</v>
      </c>
      <c r="OR23" s="115"/>
      <c r="OS23" s="116" t="s">
        <v>121</v>
      </c>
      <c r="OT23" s="298" t="str">
        <f>$R23</f>
        <v>EDSC3012</v>
      </c>
      <c r="OU23" s="116" t="s">
        <v>123</v>
      </c>
      <c r="OV23" s="115"/>
      <c r="OW23" s="116" t="s">
        <v>121</v>
      </c>
      <c r="OX23" s="298" t="str">
        <f>$R23</f>
        <v>EDSC3012</v>
      </c>
      <c r="OY23" s="116" t="s">
        <v>123</v>
      </c>
      <c r="OZ23" s="115"/>
      <c r="PA23" s="116" t="s">
        <v>121</v>
      </c>
      <c r="PB23" s="298" t="str">
        <f>$R23</f>
        <v>EDSC3012</v>
      </c>
      <c r="PC23" s="116" t="s">
        <v>123</v>
      </c>
      <c r="PD23" s="115"/>
      <c r="PE23" s="116" t="s">
        <v>121</v>
      </c>
      <c r="PF23" s="298" t="str">
        <f>$R23</f>
        <v>EDSC3012</v>
      </c>
      <c r="PG23" s="116" t="s">
        <v>123</v>
      </c>
      <c r="PH23" s="115"/>
      <c r="PI23" s="116" t="s">
        <v>121</v>
      </c>
      <c r="PJ23" s="298" t="str">
        <f>$R23</f>
        <v>EDSC3012</v>
      </c>
      <c r="PK23" s="116" t="s">
        <v>123</v>
      </c>
      <c r="PL23" s="115"/>
      <c r="PM23" s="116" t="s">
        <v>121</v>
      </c>
      <c r="PN23" s="298" t="str">
        <f>$R23</f>
        <v>EDSC3012</v>
      </c>
      <c r="PO23" s="116" t="s">
        <v>123</v>
      </c>
      <c r="PP23" s="115"/>
      <c r="PQ23" s="116" t="s">
        <v>121</v>
      </c>
      <c r="PR23" s="298" t="str">
        <f>$R23</f>
        <v>EDSC3012</v>
      </c>
      <c r="PS23" s="116" t="s">
        <v>123</v>
      </c>
      <c r="PT23" s="115"/>
      <c r="PU23" s="116" t="s">
        <v>121</v>
      </c>
      <c r="PV23" s="298" t="str">
        <f>$R23</f>
        <v>EDSC3012</v>
      </c>
      <c r="PW23" s="116" t="s">
        <v>123</v>
      </c>
      <c r="PX23" s="115"/>
      <c r="PY23" s="116" t="s">
        <v>121</v>
      </c>
      <c r="PZ23" s="298" t="str">
        <f>$R23</f>
        <v>EDSC3012</v>
      </c>
      <c r="QA23" s="116" t="s">
        <v>123</v>
      </c>
      <c r="QB23" s="115"/>
      <c r="QC23" s="116" t="s">
        <v>121</v>
      </c>
      <c r="QD23" s="298" t="str">
        <f>$R23</f>
        <v>EDSC3012</v>
      </c>
      <c r="QE23" s="116" t="s">
        <v>123</v>
      </c>
      <c r="QF23" s="115"/>
      <c r="QG23" s="116" t="s">
        <v>121</v>
      </c>
      <c r="QH23" s="298" t="str">
        <f>$R23</f>
        <v>EDSC3012</v>
      </c>
      <c r="QI23" s="116" t="s">
        <v>123</v>
      </c>
      <c r="QJ23" s="115"/>
    </row>
    <row r="24" spans="1:452" x14ac:dyDescent="0.25">
      <c r="A24" s="123" t="s">
        <v>396</v>
      </c>
      <c r="D24" s="6"/>
      <c r="E24" s="6"/>
      <c r="F24" s="18"/>
      <c r="G24" s="18"/>
      <c r="J24" s="141"/>
      <c r="K24" s="146" t="str">
        <f>INDEX(TableStreams[Choose your Specialisation Stream second (drop-down list)],MATCH(L24,TableStreams[UDC],0))</f>
        <v>History Education Minor Teaching Area Stream (BEd Secondary)</v>
      </c>
      <c r="L24" s="141" t="s">
        <v>355</v>
      </c>
      <c r="O24" s="332">
        <v>7</v>
      </c>
      <c r="P24" s="19">
        <v>22</v>
      </c>
      <c r="Q24" s="117" t="s">
        <v>121</v>
      </c>
      <c r="R24" s="127" t="s">
        <v>383</v>
      </c>
      <c r="S24" s="117" t="s">
        <v>123</v>
      </c>
      <c r="T24" s="104"/>
      <c r="U24" s="117" t="s">
        <v>121</v>
      </c>
      <c r="V24" s="127" t="str">
        <f>HLOOKUP(CONCATENATE(V$4,V$6),RangeMajorsSec,$O24,FALSE)</f>
        <v>EDSC4020</v>
      </c>
      <c r="W24" s="117" t="s">
        <v>123</v>
      </c>
      <c r="X24" s="104"/>
      <c r="Y24" s="117" t="s">
        <v>121</v>
      </c>
      <c r="Z24" s="127" t="str">
        <f>HLOOKUP(CONCATENATE(Z$4,Z$6),RangeMajorsSec,$O24,FALSE)</f>
        <v>THTR2002</v>
      </c>
      <c r="AA24" s="117" t="s">
        <v>123</v>
      </c>
      <c r="AB24" s="104"/>
      <c r="AC24" s="117" t="s">
        <v>121</v>
      </c>
      <c r="AD24" s="127" t="str">
        <f>HLOOKUP(CONCATENATE(AD$4,AD$6),RangeMajorsSec,$O24,FALSE)</f>
        <v>THTR2002</v>
      </c>
      <c r="AE24" s="117" t="s">
        <v>123</v>
      </c>
      <c r="AF24" s="104"/>
      <c r="AG24" s="117" t="s">
        <v>121</v>
      </c>
      <c r="AH24" s="127" t="str">
        <f>HLOOKUP(CONCATENATE(AH$4,AH$6),RangeMajorsSec,$O24,FALSE)</f>
        <v>THTR2002</v>
      </c>
      <c r="AI24" s="117" t="s">
        <v>123</v>
      </c>
      <c r="AJ24" s="104"/>
      <c r="AK24" s="117" t="s">
        <v>121</v>
      </c>
      <c r="AL24" s="127" t="str">
        <f>HLOOKUP(CONCATENATE(AL$4,AL$6),RangeMajorsSec,$O24,FALSE)</f>
        <v>THTR2002</v>
      </c>
      <c r="AM24" s="117" t="s">
        <v>123</v>
      </c>
      <c r="AN24" s="104"/>
      <c r="AO24" s="117" t="s">
        <v>121</v>
      </c>
      <c r="AP24" s="127" t="str">
        <f>HLOOKUP(CONCATENATE(AP$4,AP$6),RangeMajorsSec,$O24,FALSE)</f>
        <v>THTR2002</v>
      </c>
      <c r="AQ24" s="117" t="s">
        <v>123</v>
      </c>
      <c r="AR24" s="104"/>
      <c r="AS24" s="117" t="s">
        <v>121</v>
      </c>
      <c r="AT24" s="127" t="str">
        <f>HLOOKUP(CONCATENATE(AT$4,AT$6),RangeMajorsSec,$O24,FALSE)</f>
        <v>THTR2002</v>
      </c>
      <c r="AU24" s="117" t="s">
        <v>123</v>
      </c>
      <c r="AV24" s="104"/>
      <c r="AW24" s="117" t="s">
        <v>121</v>
      </c>
      <c r="AX24" s="127" t="str">
        <f>HLOOKUP(CONCATENATE(AX$4,AX$6),RangeMajorsSec,$O24,FALSE)</f>
        <v>THTR2002</v>
      </c>
      <c r="AY24" s="117" t="s">
        <v>123</v>
      </c>
      <c r="AZ24" s="104"/>
      <c r="BA24" s="117" t="s">
        <v>121</v>
      </c>
      <c r="BB24" s="127" t="str">
        <f>HLOOKUP(CONCATENATE(BB$4,BB$6),RangeMajorsSec,$O24,FALSE)</f>
        <v>NETS3010</v>
      </c>
      <c r="BC24" s="117" t="s">
        <v>123</v>
      </c>
      <c r="BD24" s="104"/>
      <c r="BE24" s="117" t="s">
        <v>121</v>
      </c>
      <c r="BF24" s="127" t="str">
        <f>HLOOKUP(CONCATENATE(BF$4,BF$6),RangeMajorsSec,$O24,FALSE)</f>
        <v>NETS3010</v>
      </c>
      <c r="BG24" s="117" t="s">
        <v>123</v>
      </c>
      <c r="BH24" s="104"/>
      <c r="BI24" s="117" t="s">
        <v>121</v>
      </c>
      <c r="BJ24" s="127" t="str">
        <f>HLOOKUP(CONCATENATE(BJ$4,BJ$6),RangeMajorsSec,$O24,FALSE)</f>
        <v>NETS3010</v>
      </c>
      <c r="BK24" s="117" t="s">
        <v>123</v>
      </c>
      <c r="BL24" s="104"/>
      <c r="BM24" s="117" t="s">
        <v>121</v>
      </c>
      <c r="BN24" s="127" t="str">
        <f>HLOOKUP(CONCATENATE(BN$4,BN$6),RangeMajorsSec,$O24,FALSE)</f>
        <v>NETS3010</v>
      </c>
      <c r="BO24" s="117" t="s">
        <v>123</v>
      </c>
      <c r="BP24" s="104"/>
      <c r="BQ24" s="117" t="s">
        <v>121</v>
      </c>
      <c r="BR24" s="127" t="str">
        <f>HLOOKUP(CONCATENATE(BR$4,BR$6),RangeMajorsSec,$O24,FALSE)</f>
        <v>NETS3010</v>
      </c>
      <c r="BS24" s="117" t="s">
        <v>123</v>
      </c>
      <c r="BT24" s="104"/>
      <c r="BU24" s="117" t="s">
        <v>121</v>
      </c>
      <c r="BV24" s="127" t="str">
        <f>HLOOKUP(CONCATENATE(BV$4,BV$6),RangeMajorsSec,$O24,FALSE)</f>
        <v>NETS3010</v>
      </c>
      <c r="BW24" s="117" t="s">
        <v>123</v>
      </c>
      <c r="BX24" s="104"/>
      <c r="BY24" s="117" t="s">
        <v>121</v>
      </c>
      <c r="BZ24" s="127" t="str">
        <f>HLOOKUP(CONCATENATE(BZ$4,BZ$6),RangeMajorsSec,$O24,FALSE)</f>
        <v>VISA2023</v>
      </c>
      <c r="CA24" s="117" t="s">
        <v>123</v>
      </c>
      <c r="CB24" s="104"/>
      <c r="CC24" s="117" t="s">
        <v>121</v>
      </c>
      <c r="CD24" s="127" t="str">
        <f>HLOOKUP(CONCATENATE(CD$4,CD$6),RangeMajorsSec,$O24,FALSE)</f>
        <v>VISA2023</v>
      </c>
      <c r="CE24" s="117" t="s">
        <v>123</v>
      </c>
      <c r="CF24" s="104"/>
      <c r="CG24" s="117" t="s">
        <v>121</v>
      </c>
      <c r="CH24" s="127" t="str">
        <f>HLOOKUP(CONCATENATE(CH$4,CH$6),RangeMajorsSec,$O24,FALSE)</f>
        <v>VISA2023</v>
      </c>
      <c r="CI24" s="117" t="s">
        <v>123</v>
      </c>
      <c r="CJ24" s="104"/>
      <c r="CK24" s="117" t="s">
        <v>121</v>
      </c>
      <c r="CL24" s="127" t="str">
        <f>HLOOKUP(CONCATENATE(CL$4,CL$6),RangeMajorsSec,$O24,FALSE)</f>
        <v>VISA2023</v>
      </c>
      <c r="CM24" s="117" t="s">
        <v>123</v>
      </c>
      <c r="CN24" s="104"/>
      <c r="CO24" s="117" t="s">
        <v>121</v>
      </c>
      <c r="CP24" s="127" t="str">
        <f>HLOOKUP(CONCATENATE(CP$4,CP$6),RangeMajorsSec,$O24,FALSE)</f>
        <v>VISA2023</v>
      </c>
      <c r="CQ24" s="117" t="s">
        <v>123</v>
      </c>
      <c r="CR24" s="104"/>
      <c r="CS24" s="117" t="s">
        <v>121</v>
      </c>
      <c r="CT24" s="127" t="str">
        <f>HLOOKUP(CONCATENATE(CT$4,CT$6),RangeMajorsSec,$O24,FALSE)</f>
        <v>VISA2023</v>
      </c>
      <c r="CU24" s="117" t="s">
        <v>123</v>
      </c>
      <c r="CV24" s="104"/>
      <c r="CW24" s="117" t="s">
        <v>121</v>
      </c>
      <c r="CX24" s="127" t="str">
        <f>HLOOKUP(CONCATENATE(CX$4,CX$6),RangeMajorsSec,$O24,FALSE)</f>
        <v>VISA2023</v>
      </c>
      <c r="CY24" s="117" t="s">
        <v>123</v>
      </c>
      <c r="CZ24" s="104"/>
      <c r="DA24" s="117" t="s">
        <v>121</v>
      </c>
      <c r="DB24" s="127" t="str">
        <f>HLOOKUP(CONCATENATE(DB$4,DB$6),RangeMajorsSec,$O24,FALSE)</f>
        <v>LCST2006</v>
      </c>
      <c r="DC24" s="117" t="s">
        <v>123</v>
      </c>
      <c r="DD24" s="104"/>
      <c r="DE24" s="117" t="s">
        <v>121</v>
      </c>
      <c r="DF24" s="127" t="str">
        <f>HLOOKUP(CONCATENATE(DF$4,DF$6),RangeMajorsSec,$O24,FALSE)</f>
        <v>LCST2006</v>
      </c>
      <c r="DG24" s="117" t="s">
        <v>123</v>
      </c>
      <c r="DH24" s="104"/>
      <c r="DI24" s="117" t="s">
        <v>121</v>
      </c>
      <c r="DJ24" s="127" t="str">
        <f>HLOOKUP(CONCATENATE(DJ$4,DJ$6),RangeMajorsSec,$O24,FALSE)</f>
        <v>LCST2006</v>
      </c>
      <c r="DK24" s="117" t="s">
        <v>123</v>
      </c>
      <c r="DL24" s="104"/>
      <c r="DM24" s="117" t="s">
        <v>121</v>
      </c>
      <c r="DN24" s="127" t="str">
        <f>HLOOKUP(CONCATENATE(DN$4,DN$6),RangeMajorsSec,$O24,FALSE)</f>
        <v>LCST2006</v>
      </c>
      <c r="DO24" s="117" t="s">
        <v>123</v>
      </c>
      <c r="DP24" s="104"/>
      <c r="DQ24" s="117" t="s">
        <v>121</v>
      </c>
      <c r="DR24" s="127" t="str">
        <f>HLOOKUP(CONCATENATE(DR$4,DR$6),RangeMajorsSec,$O24,FALSE)</f>
        <v>LCST2006</v>
      </c>
      <c r="DS24" s="117" t="s">
        <v>123</v>
      </c>
      <c r="DT24" s="104"/>
      <c r="DU24" s="117" t="s">
        <v>121</v>
      </c>
      <c r="DV24" s="127" t="str">
        <f>HLOOKUP(CONCATENATE(DV$4,DV$6),RangeMajorsSec,$O24,FALSE)</f>
        <v>LCST2006</v>
      </c>
      <c r="DW24" s="117" t="s">
        <v>123</v>
      </c>
      <c r="DX24" s="104"/>
      <c r="DY24" s="117" t="s">
        <v>121</v>
      </c>
      <c r="DZ24" s="127" t="str">
        <f>HLOOKUP(CONCATENATE(DZ$4,DZ$6),RangeMajorsSec,$O24,FALSE)</f>
        <v>LCST2006</v>
      </c>
      <c r="EA24" s="117" t="s">
        <v>123</v>
      </c>
      <c r="EB24" s="104"/>
      <c r="EC24" s="117" t="s">
        <v>121</v>
      </c>
      <c r="ED24" s="127" t="str">
        <f>HLOOKUP(CONCATENATE(ED$4,ED$6),RangeMajorsSec,$O24,FALSE)</f>
        <v>LCST2006</v>
      </c>
      <c r="EE24" s="117" t="s">
        <v>123</v>
      </c>
      <c r="EF24" s="104"/>
      <c r="EG24" s="117" t="s">
        <v>121</v>
      </c>
      <c r="EH24" s="127" t="str">
        <f>HLOOKUP(CONCATENATE(EH$4,EH$6),RangeMajorsSec,$O24,FALSE)</f>
        <v>LCST2006</v>
      </c>
      <c r="EI24" s="117" t="s">
        <v>123</v>
      </c>
      <c r="EJ24" s="104"/>
      <c r="EK24" s="117" t="s">
        <v>121</v>
      </c>
      <c r="EL24" s="127" t="str">
        <f>HLOOKUP(CONCATENATE(EL$4,EL$6),RangeMajorsSec,$O24,FALSE)</f>
        <v>AC-HSEC12</v>
      </c>
      <c r="EM24" s="117" t="s">
        <v>123</v>
      </c>
      <c r="EN24" s="104"/>
      <c r="EO24" s="117" t="s">
        <v>121</v>
      </c>
      <c r="EP24" s="127" t="str">
        <f>HLOOKUP(CONCATENATE(EP$4,EP$6),RangeMajorsSec,$O24,FALSE)</f>
        <v>AC-HSEC12</v>
      </c>
      <c r="EQ24" s="117" t="s">
        <v>123</v>
      </c>
      <c r="ER24" s="104"/>
      <c r="ES24" s="117" t="s">
        <v>121</v>
      </c>
      <c r="ET24" s="127" t="str">
        <f>HLOOKUP(CONCATENATE(ET$4,ET$6),RangeMajorsSec,$O24,FALSE)</f>
        <v>AC-HSEC12</v>
      </c>
      <c r="EU24" s="117" t="s">
        <v>123</v>
      </c>
      <c r="EV24" s="104"/>
      <c r="EW24" s="117" t="s">
        <v>121</v>
      </c>
      <c r="EX24" s="127" t="str">
        <f>HLOOKUP(CONCATENATE(EX$4,EX$6),RangeMajorsSec,$O24,FALSE)</f>
        <v>AC-HSEC12</v>
      </c>
      <c r="EY24" s="117" t="s">
        <v>123</v>
      </c>
      <c r="EZ24" s="104"/>
      <c r="FA24" s="117" t="s">
        <v>121</v>
      </c>
      <c r="FB24" s="127" t="str">
        <f>HLOOKUP(CONCATENATE(FB$4,FB$6),RangeMajorsSec,$O24,FALSE)</f>
        <v>AC-HSEC12</v>
      </c>
      <c r="FC24" s="117" t="s">
        <v>123</v>
      </c>
      <c r="FD24" s="104"/>
      <c r="FE24" s="117" t="s">
        <v>121</v>
      </c>
      <c r="FF24" s="127" t="str">
        <f>HLOOKUP(CONCATENATE(FF$4,FF$6),RangeMajorsSec,$O24,FALSE)</f>
        <v>AC-HSEC12</v>
      </c>
      <c r="FG24" s="117" t="s">
        <v>123</v>
      </c>
      <c r="FH24" s="104"/>
      <c r="FI24" s="117" t="s">
        <v>121</v>
      </c>
      <c r="FJ24" s="127" t="str">
        <f>HLOOKUP(CONCATENATE(FJ$4,FJ$6),RangeMajorsSec,$O24,FALSE)</f>
        <v>AC-HSEC12</v>
      </c>
      <c r="FK24" s="117" t="s">
        <v>123</v>
      </c>
      <c r="FL24" s="104"/>
      <c r="FM24" s="117" t="s">
        <v>121</v>
      </c>
      <c r="FN24" s="127" t="str">
        <f>HLOOKUP(CONCATENATE(FN$4,FN$6),RangeMajorsSec,$O24,FALSE)</f>
        <v>AC-HSEC12</v>
      </c>
      <c r="FO24" s="117" t="s">
        <v>123</v>
      </c>
      <c r="FP24" s="104"/>
      <c r="FQ24" s="117" t="s">
        <v>121</v>
      </c>
      <c r="FR24" s="127" t="str">
        <f>HLOOKUP(CONCATENATE(FR$4,FR$6),RangeMajorsSec,$O24,FALSE)</f>
        <v>AC-HSGE13</v>
      </c>
      <c r="FS24" s="117" t="s">
        <v>123</v>
      </c>
      <c r="FT24" s="104"/>
      <c r="FU24" s="117" t="s">
        <v>121</v>
      </c>
      <c r="FV24" s="127" t="str">
        <f>HLOOKUP(CONCATENATE(FV$4,FV$6),RangeMajorsSec,$O24,FALSE)</f>
        <v>AC-HSGE13</v>
      </c>
      <c r="FW24" s="117" t="s">
        <v>123</v>
      </c>
      <c r="FX24" s="104"/>
      <c r="FY24" s="117" t="s">
        <v>121</v>
      </c>
      <c r="FZ24" s="127" t="str">
        <f>HLOOKUP(CONCATENATE(FZ$4,FZ$6),RangeMajorsSec,$O24,FALSE)</f>
        <v>AC-HSGE13</v>
      </c>
      <c r="GA24" s="117" t="s">
        <v>123</v>
      </c>
      <c r="GB24" s="104"/>
      <c r="GC24" s="117" t="s">
        <v>121</v>
      </c>
      <c r="GD24" s="127" t="str">
        <f>HLOOKUP(CONCATENATE(GD$4,GD$6),RangeMajorsSec,$O24,FALSE)</f>
        <v>AC-HSGE13</v>
      </c>
      <c r="GE24" s="117" t="s">
        <v>123</v>
      </c>
      <c r="GF24" s="104"/>
      <c r="GG24" s="117" t="s">
        <v>121</v>
      </c>
      <c r="GH24" s="127" t="str">
        <f>HLOOKUP(CONCATENATE(GH$4,GH$6),RangeMajorsSec,$O24,FALSE)</f>
        <v>AC-HSGE13</v>
      </c>
      <c r="GI24" s="117" t="s">
        <v>123</v>
      </c>
      <c r="GJ24" s="104"/>
      <c r="GK24" s="117" t="s">
        <v>121</v>
      </c>
      <c r="GL24" s="127" t="str">
        <f>HLOOKUP(CONCATENATE(GL$4,GL$6),RangeMajorsSec,$O24,FALSE)</f>
        <v>AC-HSGE13</v>
      </c>
      <c r="GM24" s="117" t="s">
        <v>123</v>
      </c>
      <c r="GN24" s="104"/>
      <c r="GO24" s="117" t="s">
        <v>121</v>
      </c>
      <c r="GP24" s="127" t="str">
        <f>HLOOKUP(CONCATENATE(GP$4,GP$6),RangeMajorsSec,$O24,FALSE)</f>
        <v>AC-HSGE13</v>
      </c>
      <c r="GQ24" s="117" t="s">
        <v>123</v>
      </c>
      <c r="GR24" s="104"/>
      <c r="GS24" s="117" t="s">
        <v>121</v>
      </c>
      <c r="GT24" s="127" t="str">
        <f>HLOOKUP(CONCATENATE(GT$4,GT$6),RangeMajorsSec,$O24,FALSE)</f>
        <v>AC-HSGE13</v>
      </c>
      <c r="GU24" s="117" t="s">
        <v>123</v>
      </c>
      <c r="GV24" s="104"/>
      <c r="GW24" s="117" t="s">
        <v>121</v>
      </c>
      <c r="GX24" s="127" t="str">
        <f>HLOOKUP(CONCATENATE(GX$4,GX$6),RangeMajorsSec,$O24,FALSE)</f>
        <v>AC-HSHI12</v>
      </c>
      <c r="GY24" s="117" t="s">
        <v>123</v>
      </c>
      <c r="GZ24" s="104"/>
      <c r="HA24" s="117" t="s">
        <v>121</v>
      </c>
      <c r="HB24" s="127" t="str">
        <f>HLOOKUP(CONCATENATE(HB$4,HB$6),RangeMajorsSec,$O24,FALSE)</f>
        <v>AC-HSHI12</v>
      </c>
      <c r="HC24" s="117" t="s">
        <v>123</v>
      </c>
      <c r="HD24" s="104"/>
      <c r="HE24" s="117" t="s">
        <v>121</v>
      </c>
      <c r="HF24" s="127" t="str">
        <f>HLOOKUP(CONCATENATE(HF$4,HF$6),RangeMajorsSec,$O24,FALSE)</f>
        <v>AC-HSHI12</v>
      </c>
      <c r="HG24" s="117" t="s">
        <v>123</v>
      </c>
      <c r="HH24" s="104"/>
      <c r="HI24" s="117" t="s">
        <v>121</v>
      </c>
      <c r="HJ24" s="127" t="str">
        <f>HLOOKUP(CONCATENATE(HJ$4,HJ$6),RangeMajorsSec,$O24,FALSE)</f>
        <v>AC-HSHI12</v>
      </c>
      <c r="HK24" s="117" t="s">
        <v>123</v>
      </c>
      <c r="HL24" s="104"/>
      <c r="HM24" s="117" t="s">
        <v>121</v>
      </c>
      <c r="HN24" s="127" t="str">
        <f>HLOOKUP(CONCATENATE(HN$4,HN$6),RangeMajorsSec,$O24,FALSE)</f>
        <v>AC-HSHI12</v>
      </c>
      <c r="HO24" s="117" t="s">
        <v>123</v>
      </c>
      <c r="HP24" s="104"/>
      <c r="HQ24" s="117" t="s">
        <v>121</v>
      </c>
      <c r="HR24" s="127" t="str">
        <f>HLOOKUP(CONCATENATE(HR$4,HR$6),RangeMajorsSec,$O24,FALSE)</f>
        <v>AC-HSHI12</v>
      </c>
      <c r="HS24" s="117" t="s">
        <v>123</v>
      </c>
      <c r="HT24" s="104"/>
      <c r="HU24" s="117" t="s">
        <v>121</v>
      </c>
      <c r="HV24" s="127" t="str">
        <f>HLOOKUP(CONCATENATE(HV$4,HV$6),RangeMajorsSec,$O24,FALSE)</f>
        <v>AC-HSHI12</v>
      </c>
      <c r="HW24" s="117" t="s">
        <v>123</v>
      </c>
      <c r="HX24" s="104"/>
      <c r="HY24" s="117" t="s">
        <v>121</v>
      </c>
      <c r="HZ24" s="127" t="str">
        <f>HLOOKUP(CONCATENATE(HZ$4,HZ$6),RangeMajorsSec,$O24,FALSE)</f>
        <v>AC-HSHI12</v>
      </c>
      <c r="IA24" s="117" t="s">
        <v>123</v>
      </c>
      <c r="IB24" s="104"/>
      <c r="IC24" s="117" t="s">
        <v>121</v>
      </c>
      <c r="ID24" s="127" t="str">
        <f>HLOOKUP(CONCATENATE(ID$4,ID$6),RangeMajorsSec,$O24,FALSE)</f>
        <v>AC-HSPL12</v>
      </c>
      <c r="IE24" s="117" t="s">
        <v>123</v>
      </c>
      <c r="IF24" s="104"/>
      <c r="IG24" s="117" t="s">
        <v>121</v>
      </c>
      <c r="IH24" s="127" t="str">
        <f>HLOOKUP(CONCATENATE(IH$4,IH$6),RangeMajorsSec,$O24,FALSE)</f>
        <v>AC-HSPL12</v>
      </c>
      <c r="II24" s="117" t="s">
        <v>123</v>
      </c>
      <c r="IJ24" s="104"/>
      <c r="IK24" s="117" t="s">
        <v>121</v>
      </c>
      <c r="IL24" s="127" t="str">
        <f>HLOOKUP(CONCATENATE(IL$4,IL$6),RangeMajorsSec,$O24,FALSE)</f>
        <v>AC-HSPL12</v>
      </c>
      <c r="IM24" s="117" t="s">
        <v>123</v>
      </c>
      <c r="IN24" s="104"/>
      <c r="IO24" s="117" t="s">
        <v>121</v>
      </c>
      <c r="IP24" s="127" t="str">
        <f>HLOOKUP(CONCATENATE(IP$4,IP$6),RangeMajorsSec,$O24,FALSE)</f>
        <v>AC-HSPL12</v>
      </c>
      <c r="IQ24" s="117" t="s">
        <v>123</v>
      </c>
      <c r="IR24" s="104"/>
      <c r="IS24" s="117" t="s">
        <v>121</v>
      </c>
      <c r="IT24" s="127" t="str">
        <f>HLOOKUP(CONCATENATE(IT$4,IT$6),RangeMajorsSec,$O24,FALSE)</f>
        <v>AC-HSPL12</v>
      </c>
      <c r="IU24" s="117" t="s">
        <v>123</v>
      </c>
      <c r="IV24" s="104"/>
      <c r="IW24" s="117" t="s">
        <v>121</v>
      </c>
      <c r="IX24" s="127" t="str">
        <f>HLOOKUP(CONCATENATE(IX$4,IX$6),RangeMajorsSec,$O24,FALSE)</f>
        <v>AC-HSPL12</v>
      </c>
      <c r="IY24" s="117" t="s">
        <v>123</v>
      </c>
      <c r="IZ24" s="104"/>
      <c r="JA24" s="117" t="s">
        <v>121</v>
      </c>
      <c r="JB24" s="127" t="str">
        <f>HLOOKUP(CONCATENATE(JB$4,JB$6),RangeMajorsSec,$O24,FALSE)</f>
        <v>AC-HSPL12</v>
      </c>
      <c r="JC24" s="117" t="s">
        <v>123</v>
      </c>
      <c r="JD24" s="104"/>
      <c r="JE24" s="117" t="s">
        <v>121</v>
      </c>
      <c r="JF24" s="127" t="str">
        <f>HLOOKUP(CONCATENATE(JF$4,JF$6),RangeMajorsSec,$O24,FALSE)</f>
        <v>AC-HSPL12</v>
      </c>
      <c r="JG24" s="117" t="s">
        <v>123</v>
      </c>
      <c r="JH24" s="104"/>
      <c r="JI24" s="117" t="s">
        <v>121</v>
      </c>
      <c r="JJ24" s="127" t="str">
        <f>HLOOKUP(CONCATENATE(JJ$4,JJ$6),RangeMajorsSec,$O24,FALSE)</f>
        <v>AC-HSPL12</v>
      </c>
      <c r="JK24" s="117" t="s">
        <v>123</v>
      </c>
      <c r="JL24" s="104"/>
      <c r="JM24" s="117" t="s">
        <v>121</v>
      </c>
      <c r="JN24" s="127" t="str">
        <f>HLOOKUP(CONCATENATE(JN$4,JN$6),RangeMajorsSec,$O24,FALSE)</f>
        <v>AC-MATH1</v>
      </c>
      <c r="JO24" s="117" t="s">
        <v>123</v>
      </c>
      <c r="JP24" s="104"/>
      <c r="JQ24" s="117" t="s">
        <v>121</v>
      </c>
      <c r="JR24" s="127" t="str">
        <f>HLOOKUP(CONCATENATE(JR$4,JR$6),RangeMajorsSec,$O24,FALSE)</f>
        <v>AC-MATH1</v>
      </c>
      <c r="JS24" s="117" t="s">
        <v>123</v>
      </c>
      <c r="JT24" s="104"/>
      <c r="JU24" s="117" t="s">
        <v>121</v>
      </c>
      <c r="JV24" s="127" t="str">
        <f>HLOOKUP(CONCATENATE(JV$4,JV$6),RangeMajorsSec,$O24,FALSE)</f>
        <v>AC-MATH1</v>
      </c>
      <c r="JW24" s="117" t="s">
        <v>123</v>
      </c>
      <c r="JX24" s="104"/>
      <c r="JY24" s="117" t="s">
        <v>121</v>
      </c>
      <c r="JZ24" s="127" t="str">
        <f>HLOOKUP(CONCATENATE(JZ$4,JZ$6),RangeMajorsSec,$O24,FALSE)</f>
        <v>AC-MATH1</v>
      </c>
      <c r="KA24" s="117" t="s">
        <v>123</v>
      </c>
      <c r="KB24" s="104"/>
      <c r="KC24" s="117" t="s">
        <v>121</v>
      </c>
      <c r="KD24" s="127" t="str">
        <f>HLOOKUP(CONCATENATE(KD$4,KD$6),RangeMajorsSec,$O24,FALSE)</f>
        <v>AC-MATH1</v>
      </c>
      <c r="KE24" s="117" t="s">
        <v>123</v>
      </c>
      <c r="KF24" s="104"/>
      <c r="KG24" s="117" t="s">
        <v>121</v>
      </c>
      <c r="KH24" s="127" t="str">
        <f>HLOOKUP(CONCATENATE(KH$4,KH$6),RangeMajorsSec,$O24,FALSE)</f>
        <v>AC-MATH1</v>
      </c>
      <c r="KI24" s="117" t="s">
        <v>123</v>
      </c>
      <c r="KJ24" s="104"/>
      <c r="KK24" s="117" t="s">
        <v>121</v>
      </c>
      <c r="KL24" s="127" t="str">
        <f>HLOOKUP(CONCATENATE(KL$4,KL$6),RangeMajorsSec,$O24,FALSE)</f>
        <v>AC-MATH1</v>
      </c>
      <c r="KM24" s="117" t="s">
        <v>123</v>
      </c>
      <c r="KN24" s="104"/>
      <c r="KO24" s="117" t="s">
        <v>121</v>
      </c>
      <c r="KP24" s="127" t="str">
        <f>HLOOKUP(CONCATENATE(KP$4,KP$6),RangeMajorsSec,$O24,FALSE)</f>
        <v>AC-MATH1</v>
      </c>
      <c r="KQ24" s="117" t="s">
        <v>123</v>
      </c>
      <c r="KR24" s="104"/>
      <c r="KS24" s="117" t="s">
        <v>121</v>
      </c>
      <c r="KT24" s="127" t="str">
        <f>HLOOKUP(CONCATENATE(KT$4,KT$6),RangeMajorsSec,$O24,FALSE)</f>
        <v>AC-MATH1</v>
      </c>
      <c r="KU24" s="117" t="s">
        <v>123</v>
      </c>
      <c r="KV24" s="104"/>
      <c r="KW24" s="117" t="s">
        <v>121</v>
      </c>
      <c r="KX24" s="127" t="str">
        <f>HLOOKUP(CONCATENATE(KX$4,KX$6),RangeMajorsSec,$O24,FALSE)</f>
        <v>HUMV2000</v>
      </c>
      <c r="KY24" s="117" t="s">
        <v>123</v>
      </c>
      <c r="KZ24" s="104"/>
      <c r="LA24" s="117" t="s">
        <v>121</v>
      </c>
      <c r="LB24" s="127" t="str">
        <f>HLOOKUP(CONCATENATE(LB$4,LB$6),RangeMajorsSec,$O24,FALSE)</f>
        <v>HUMV2000</v>
      </c>
      <c r="LC24" s="117" t="s">
        <v>123</v>
      </c>
      <c r="LD24" s="104"/>
      <c r="LE24" s="117" t="s">
        <v>121</v>
      </c>
      <c r="LF24" s="127" t="str">
        <f>HLOOKUP(CONCATENATE(LF$4,LF$6),RangeMajorsSec,$O24,FALSE)</f>
        <v>ZOOL2000</v>
      </c>
      <c r="LG24" s="117" t="s">
        <v>123</v>
      </c>
      <c r="LH24" s="104"/>
      <c r="LI24" s="117" t="s">
        <v>121</v>
      </c>
      <c r="LJ24" s="127" t="str">
        <f>HLOOKUP(CONCATENATE(LJ$4,LJ$6),RangeMajorsSec,$O24,FALSE)</f>
        <v>ZOOL2000</v>
      </c>
      <c r="LK24" s="117" t="s">
        <v>123</v>
      </c>
      <c r="LL24" s="104"/>
      <c r="LM24" s="117" t="s">
        <v>121</v>
      </c>
      <c r="LN24" s="127" t="str">
        <f>HLOOKUP(CONCATENATE(LN$4,LN$6),RangeMajorsSec,$O24,FALSE)</f>
        <v>ZOOL2000</v>
      </c>
      <c r="LO24" s="117" t="s">
        <v>123</v>
      </c>
      <c r="LP24" s="104"/>
      <c r="LQ24" s="117" t="s">
        <v>121</v>
      </c>
      <c r="LR24" s="127" t="str">
        <f>HLOOKUP(CONCATENATE(LR$4,LR$6),RangeMajorsSec,$O24,FALSE)</f>
        <v>ZOOL2000</v>
      </c>
      <c r="LS24" s="117" t="s">
        <v>123</v>
      </c>
      <c r="LT24" s="104"/>
      <c r="LU24" s="117" t="s">
        <v>121</v>
      </c>
      <c r="LV24" s="127" t="str">
        <f>HLOOKUP(CONCATENATE(LV$4,LV$6),RangeMajorsSec,$O24,FALSE)</f>
        <v>ZOOL2000</v>
      </c>
      <c r="LW24" s="117" t="s">
        <v>123</v>
      </c>
      <c r="LX24" s="104"/>
      <c r="LY24" s="117" t="s">
        <v>121</v>
      </c>
      <c r="LZ24" s="127" t="str">
        <f>HLOOKUP(CONCATENATE(LZ$4,LZ$6),RangeMajorsSec,$O24,FALSE)</f>
        <v>ZOOL2000</v>
      </c>
      <c r="MA24" s="117" t="s">
        <v>123</v>
      </c>
      <c r="MB24" s="104"/>
      <c r="MC24" s="117" t="s">
        <v>121</v>
      </c>
      <c r="MD24" s="127" t="str">
        <f>HLOOKUP(CONCATENATE(MD$4,MD$6),RangeMajorsSec,$O24,FALSE)</f>
        <v>ZOOL2000</v>
      </c>
      <c r="ME24" s="117" t="s">
        <v>123</v>
      </c>
      <c r="MF24" s="104"/>
      <c r="MG24" s="117" t="s">
        <v>121</v>
      </c>
      <c r="MH24" s="127" t="str">
        <f>HLOOKUP(CONCATENATE(MH$4,MH$6),RangeMajorsSec,$O24,FALSE)</f>
        <v>ZOOL2000</v>
      </c>
      <c r="MI24" s="117" t="s">
        <v>123</v>
      </c>
      <c r="MJ24" s="104"/>
      <c r="MK24" s="117" t="s">
        <v>121</v>
      </c>
      <c r="ML24" s="127" t="str">
        <f>HLOOKUP(CONCATENATE(ML$4,ML$6),RangeMajorsSec,$O24,FALSE)</f>
        <v>CHEM2004</v>
      </c>
      <c r="MM24" s="117" t="s">
        <v>123</v>
      </c>
      <c r="MN24" s="104"/>
      <c r="MO24" s="117" t="s">
        <v>121</v>
      </c>
      <c r="MP24" s="127" t="str">
        <f>HLOOKUP(CONCATENATE(MP$4,MP$6),RangeMajorsSec,$O24,FALSE)</f>
        <v>CHEM2004</v>
      </c>
      <c r="MQ24" s="117" t="s">
        <v>123</v>
      </c>
      <c r="MR24" s="104"/>
      <c r="MS24" s="117" t="s">
        <v>121</v>
      </c>
      <c r="MT24" s="127" t="str">
        <f>HLOOKUP(CONCATENATE(MT$4,MT$6),RangeMajorsSec,$O24,FALSE)</f>
        <v>CHEM2004</v>
      </c>
      <c r="MU24" s="117" t="s">
        <v>123</v>
      </c>
      <c r="MV24" s="104"/>
      <c r="MW24" s="117" t="s">
        <v>121</v>
      </c>
      <c r="MX24" s="127" t="str">
        <f>HLOOKUP(CONCATENATE(MX$4,MX$6),RangeMajorsSec,$O24,FALSE)</f>
        <v>CHEM2004</v>
      </c>
      <c r="MY24" s="117" t="s">
        <v>123</v>
      </c>
      <c r="MZ24" s="104"/>
      <c r="NA24" s="117" t="s">
        <v>121</v>
      </c>
      <c r="NB24" s="127" t="str">
        <f>HLOOKUP(CONCATENATE(NB$4,NB$6),RangeMajorsSec,$O24,FALSE)</f>
        <v>CHEM2004</v>
      </c>
      <c r="NC24" s="117" t="s">
        <v>123</v>
      </c>
      <c r="ND24" s="104"/>
      <c r="NE24" s="117" t="s">
        <v>121</v>
      </c>
      <c r="NF24" s="127" t="str">
        <f>HLOOKUP(CONCATENATE(NF$4,NF$6),RangeMajorsSec,$O24,FALSE)</f>
        <v>CHEM2004</v>
      </c>
      <c r="NG24" s="117" t="s">
        <v>123</v>
      </c>
      <c r="NH24" s="104"/>
      <c r="NI24" s="117" t="s">
        <v>121</v>
      </c>
      <c r="NJ24" s="127" t="str">
        <f>HLOOKUP(CONCATENATE(NJ$4,NJ$6),RangeMajorsSec,$O24,FALSE)</f>
        <v>CHEM2004</v>
      </c>
      <c r="NK24" s="117" t="s">
        <v>123</v>
      </c>
      <c r="NL24" s="104"/>
      <c r="NM24" s="117" t="s">
        <v>121</v>
      </c>
      <c r="NN24" s="127" t="str">
        <f>HLOOKUP(CONCATENATE(NN$4,NN$6),RangeMajorsSec,$O24,FALSE)</f>
        <v>CHEM2004</v>
      </c>
      <c r="NO24" s="117" t="s">
        <v>123</v>
      </c>
      <c r="NP24" s="104"/>
      <c r="NQ24" s="117" t="s">
        <v>121</v>
      </c>
      <c r="NR24" s="127" t="str">
        <f>HLOOKUP(CONCATENATE(NR$4,NR$6),RangeMajorsSec,$O24,FALSE)</f>
        <v>HUMB2013</v>
      </c>
      <c r="NS24" s="117" t="s">
        <v>123</v>
      </c>
      <c r="NT24" s="104"/>
      <c r="NU24" s="117" t="s">
        <v>121</v>
      </c>
      <c r="NV24" s="127" t="str">
        <f>HLOOKUP(CONCATENATE(NV$4,NV$6),RangeMajorsSec,$O24,FALSE)</f>
        <v>HUMB2013</v>
      </c>
      <c r="NW24" s="117" t="s">
        <v>123</v>
      </c>
      <c r="NX24" s="104"/>
      <c r="NY24" s="117" t="s">
        <v>121</v>
      </c>
      <c r="NZ24" s="127" t="str">
        <f>HLOOKUP(CONCATENATE(NZ$4,NZ$6),RangeMajorsSec,$O24,FALSE)</f>
        <v>HUMB2013</v>
      </c>
      <c r="OA24" s="117" t="s">
        <v>123</v>
      </c>
      <c r="OB24" s="104"/>
      <c r="OC24" s="117" t="s">
        <v>121</v>
      </c>
      <c r="OD24" s="127" t="str">
        <f>HLOOKUP(CONCATENATE(OD$4,OD$6),RangeMajorsSec,$O24,FALSE)</f>
        <v>HUMB2013</v>
      </c>
      <c r="OE24" s="117" t="s">
        <v>123</v>
      </c>
      <c r="OF24" s="104"/>
      <c r="OG24" s="117" t="s">
        <v>121</v>
      </c>
      <c r="OH24" s="127" t="str">
        <f>HLOOKUP(CONCATENATE(OH$4,OH$6),RangeMajorsSec,$O24,FALSE)</f>
        <v>HUMB2013</v>
      </c>
      <c r="OI24" s="117" t="s">
        <v>123</v>
      </c>
      <c r="OJ24" s="104"/>
      <c r="OK24" s="117" t="s">
        <v>121</v>
      </c>
      <c r="OL24" s="127" t="str">
        <f>HLOOKUP(CONCATENATE(OL$4,OL$6),RangeMajorsSec,$O24,FALSE)</f>
        <v>HUMB2013</v>
      </c>
      <c r="OM24" s="117" t="s">
        <v>123</v>
      </c>
      <c r="ON24" s="104"/>
      <c r="OO24" s="117" t="s">
        <v>121</v>
      </c>
      <c r="OP24" s="127" t="str">
        <f>HLOOKUP(CONCATENATE(OP$4,OP$6),RangeMajorsSec,$O24,FALSE)</f>
        <v>HUMB2013</v>
      </c>
      <c r="OQ24" s="117" t="s">
        <v>123</v>
      </c>
      <c r="OR24" s="104"/>
      <c r="OS24" s="117" t="s">
        <v>121</v>
      </c>
      <c r="OT24" s="127" t="str">
        <f>HLOOKUP(CONCATENATE(OT$4,OT$6),RangeMajorsSec,$O24,FALSE)</f>
        <v>HUMB2013</v>
      </c>
      <c r="OU24" s="117" t="s">
        <v>123</v>
      </c>
      <c r="OV24" s="104"/>
      <c r="OW24" s="117" t="s">
        <v>121</v>
      </c>
      <c r="OX24" s="127" t="str">
        <f>HLOOKUP(CONCATENATE(OX$4,OX$6),RangeMajorsSec,$O24,FALSE)</f>
        <v>PSYC2001</v>
      </c>
      <c r="OY24" s="117" t="s">
        <v>123</v>
      </c>
      <c r="OZ24" s="104"/>
      <c r="PA24" s="117" t="s">
        <v>121</v>
      </c>
      <c r="PB24" s="127" t="str">
        <f>HLOOKUP(CONCATENATE(PB$4,PB$6),RangeMajorsSec,$O24,FALSE)</f>
        <v>PSYC2001</v>
      </c>
      <c r="PC24" s="117" t="s">
        <v>123</v>
      </c>
      <c r="PD24" s="104"/>
      <c r="PE24" s="117" t="s">
        <v>121</v>
      </c>
      <c r="PF24" s="127" t="str">
        <f>HLOOKUP(CONCATENATE(PF$4,PF$6),RangeMajorsSec,$O24,FALSE)</f>
        <v>PSYC2001</v>
      </c>
      <c r="PG24" s="117" t="s">
        <v>123</v>
      </c>
      <c r="PH24" s="104"/>
      <c r="PI24" s="117" t="s">
        <v>121</v>
      </c>
      <c r="PJ24" s="127" t="str">
        <f>HLOOKUP(CONCATENATE(PJ$4,PJ$6),RangeMajorsSec,$O24,FALSE)</f>
        <v>PSYC2001</v>
      </c>
      <c r="PK24" s="117" t="s">
        <v>123</v>
      </c>
      <c r="PL24" s="104"/>
      <c r="PM24" s="117" t="s">
        <v>121</v>
      </c>
      <c r="PN24" s="127" t="str">
        <f>HLOOKUP(CONCATENATE(PN$4,PN$6),RangeMajorsSec,$O24,FALSE)</f>
        <v>PSYC2001</v>
      </c>
      <c r="PO24" s="117" t="s">
        <v>123</v>
      </c>
      <c r="PP24" s="104"/>
      <c r="PQ24" s="117" t="s">
        <v>121</v>
      </c>
      <c r="PR24" s="127" t="str">
        <f>HLOOKUP(CONCATENATE(PR$4,PR$6),RangeMajorsSec,$O24,FALSE)</f>
        <v>PSYC2001</v>
      </c>
      <c r="PS24" s="117" t="s">
        <v>123</v>
      </c>
      <c r="PT24" s="104"/>
      <c r="PU24" s="117" t="s">
        <v>121</v>
      </c>
      <c r="PV24" s="127" t="str">
        <f>HLOOKUP(CONCATENATE(PV$4,PV$6),RangeMajorsSec,$O24,FALSE)</f>
        <v>PSYC2001</v>
      </c>
      <c r="PW24" s="117" t="s">
        <v>123</v>
      </c>
      <c r="PX24" s="104"/>
      <c r="PY24" s="117" t="s">
        <v>121</v>
      </c>
      <c r="PZ24" s="127" t="str">
        <f>HLOOKUP(CONCATENATE(PZ$4,PZ$6),RangeMajorsSec,$O24,FALSE)</f>
        <v>PSYC2001</v>
      </c>
      <c r="QA24" s="117" t="s">
        <v>123</v>
      </c>
      <c r="QB24" s="104"/>
      <c r="QC24" s="117" t="s">
        <v>121</v>
      </c>
      <c r="QD24" s="127" t="e">
        <f>HLOOKUP(CONCATENATE(QD$4,QD$6),RangeMajorsSec,$O24,FALSE)</f>
        <v>#N/A</v>
      </c>
      <c r="QE24" s="117" t="s">
        <v>123</v>
      </c>
      <c r="QF24" s="104"/>
      <c r="QG24" s="117" t="s">
        <v>121</v>
      </c>
      <c r="QH24" s="127" t="e">
        <f>HLOOKUP(CONCATENATE(QH$4,QH$6),RangeMajorsSec,$O24,FALSE)</f>
        <v>#N/A</v>
      </c>
      <c r="QI24" s="117" t="s">
        <v>123</v>
      </c>
      <c r="QJ24" s="104"/>
    </row>
    <row r="25" spans="1:452" x14ac:dyDescent="0.25">
      <c r="A25" s="6" t="s">
        <v>397</v>
      </c>
      <c r="B25" s="14" t="s">
        <v>0</v>
      </c>
      <c r="C25" s="6" t="s">
        <v>65</v>
      </c>
      <c r="D25" s="6" t="s">
        <v>66</v>
      </c>
      <c r="E25" s="6" t="s">
        <v>67</v>
      </c>
      <c r="F25" s="6" t="s">
        <v>68</v>
      </c>
      <c r="G25" s="6" t="s">
        <v>69</v>
      </c>
      <c r="J25" s="141"/>
      <c r="K25" s="146" t="str">
        <f>INDEX(TableStreams[Choose your Specialisation Stream second (drop-down list)],MATCH(L25,TableStreams[UDC],0))</f>
        <v>Mathematics Education Minor Teaching Area Stream (BEd Secondary)</v>
      </c>
      <c r="L25" s="141" t="s">
        <v>356</v>
      </c>
      <c r="O25" s="340">
        <v>5</v>
      </c>
      <c r="P25" s="3">
        <v>23</v>
      </c>
      <c r="Q25" s="117" t="s">
        <v>121</v>
      </c>
      <c r="R25" s="130" t="s">
        <v>384</v>
      </c>
      <c r="S25" s="117" t="s">
        <v>123</v>
      </c>
      <c r="T25" s="104"/>
      <c r="U25" s="117" t="s">
        <v>121</v>
      </c>
      <c r="V25" s="339" t="str">
        <f>HLOOKUP(CONCATENATE(V$5,V$6),RangeStreamsSec,$O25,FALSE)</f>
        <v>PHYS2006</v>
      </c>
      <c r="W25" s="117" t="s">
        <v>123</v>
      </c>
      <c r="X25" s="104"/>
      <c r="Y25" s="117" t="s">
        <v>121</v>
      </c>
      <c r="Z25" s="130" t="str">
        <f>HLOOKUP(CONCATENATE(Z$5,Z$6),RangeStreamsSec,$O25,FALSE)</f>
        <v>EDSC4022</v>
      </c>
      <c r="AA25" s="117" t="s">
        <v>123</v>
      </c>
      <c r="AB25" s="104"/>
      <c r="AC25" s="117" t="s">
        <v>121</v>
      </c>
      <c r="AD25" s="130" t="str">
        <f>HLOOKUP(CONCATENATE(AD$5,AD$6),RangeStreamsSec,$O25,FALSE)</f>
        <v>EDPR3014</v>
      </c>
      <c r="AE25" s="117" t="s">
        <v>123</v>
      </c>
      <c r="AF25" s="104"/>
      <c r="AG25" s="117" t="s">
        <v>121</v>
      </c>
      <c r="AH25" s="130" t="str">
        <f>HLOOKUP(CONCATENATE(AH$5,AH$6),RangeStreamsSec,$O25,FALSE)</f>
        <v>EDSC4030</v>
      </c>
      <c r="AI25" s="117" t="s">
        <v>123</v>
      </c>
      <c r="AJ25" s="104"/>
      <c r="AK25" s="117" t="s">
        <v>121</v>
      </c>
      <c r="AL25" s="130" t="str">
        <f>HLOOKUP(CONCATENATE(AL$5,AL$6),RangeStreamsSec,$O25,FALSE)</f>
        <v>EDSC4024</v>
      </c>
      <c r="AM25" s="117" t="s">
        <v>123</v>
      </c>
      <c r="AN25" s="104"/>
      <c r="AO25" s="117" t="s">
        <v>121</v>
      </c>
      <c r="AP25" s="130" t="str">
        <f>HLOOKUP(CONCATENATE(AP$5,AP$6),RangeStreamsSec,$O25,FALSE)</f>
        <v>EDSC4024</v>
      </c>
      <c r="AQ25" s="117" t="s">
        <v>123</v>
      </c>
      <c r="AR25" s="104"/>
      <c r="AS25" s="117" t="s">
        <v>121</v>
      </c>
      <c r="AT25" s="130" t="str">
        <f>HLOOKUP(CONCATENATE(AT$5,AT$6),RangeStreamsSec,$O25,FALSE)</f>
        <v>EDSC4020</v>
      </c>
      <c r="AU25" s="117" t="s">
        <v>123</v>
      </c>
      <c r="AV25" s="104"/>
      <c r="AW25" s="117" t="s">
        <v>121</v>
      </c>
      <c r="AX25" s="130" t="str">
        <f>HLOOKUP(CONCATENATE(AX$5,AX$6),RangeStreamsSec,$O25,FALSE)</f>
        <v>EDSC4022</v>
      </c>
      <c r="AY25" s="117" t="s">
        <v>123</v>
      </c>
      <c r="AZ25" s="104"/>
      <c r="BA25" s="117" t="s">
        <v>121</v>
      </c>
      <c r="BB25" s="130" t="str">
        <f>HLOOKUP(CONCATENATE(BB$5,BB$6),RangeStreamsSec,$O25,FALSE)</f>
        <v>EDSC4022</v>
      </c>
      <c r="BC25" s="117" t="s">
        <v>123</v>
      </c>
      <c r="BD25" s="104"/>
      <c r="BE25" s="117" t="s">
        <v>121</v>
      </c>
      <c r="BF25" s="130" t="str">
        <f>HLOOKUP(CONCATENATE(BF$5,BF$6),RangeStreamsSec,$O25,FALSE)</f>
        <v>EDSC4030</v>
      </c>
      <c r="BG25" s="117" t="s">
        <v>123</v>
      </c>
      <c r="BH25" s="104"/>
      <c r="BI25" s="117" t="s">
        <v>121</v>
      </c>
      <c r="BJ25" s="130" t="str">
        <f>HLOOKUP(CONCATENATE(BJ$5,BJ$6),RangeStreamsSec,$O25,FALSE)</f>
        <v>EDSC4024</v>
      </c>
      <c r="BK25" s="117" t="s">
        <v>123</v>
      </c>
      <c r="BL25" s="104"/>
      <c r="BM25" s="117" t="s">
        <v>121</v>
      </c>
      <c r="BN25" s="130" t="str">
        <f>HLOOKUP(CONCATENATE(BN$5,BN$6),RangeStreamsSec,$O25,FALSE)</f>
        <v>EDSC4024</v>
      </c>
      <c r="BO25" s="117" t="s">
        <v>123</v>
      </c>
      <c r="BP25" s="104"/>
      <c r="BQ25" s="117" t="s">
        <v>121</v>
      </c>
      <c r="BR25" s="130" t="str">
        <f>HLOOKUP(CONCATENATE(BR$5,BR$6),RangeStreamsSec,$O25,FALSE)</f>
        <v>EDSC4020</v>
      </c>
      <c r="BS25" s="117" t="s">
        <v>123</v>
      </c>
      <c r="BT25" s="104"/>
      <c r="BU25" s="117" t="s">
        <v>121</v>
      </c>
      <c r="BV25" s="130" t="str">
        <f>HLOOKUP(CONCATENATE(BV$5,BV$6),RangeStreamsSec,$O25,FALSE)</f>
        <v>EDSC4022</v>
      </c>
      <c r="BW25" s="117" t="s">
        <v>123</v>
      </c>
      <c r="BX25" s="104"/>
      <c r="BY25" s="117" t="s">
        <v>121</v>
      </c>
      <c r="BZ25" s="130" t="str">
        <f>HLOOKUP(CONCATENATE(BZ$5,BZ$6),RangeStreamsSec,$O25,FALSE)</f>
        <v>EDSC4022</v>
      </c>
      <c r="CA25" s="117" t="s">
        <v>123</v>
      </c>
      <c r="CB25" s="104"/>
      <c r="CC25" s="117" t="s">
        <v>121</v>
      </c>
      <c r="CD25" s="130" t="str">
        <f>HLOOKUP(CONCATENATE(CD$5,CD$6),RangeStreamsSec,$O25,FALSE)</f>
        <v>EDPR3014</v>
      </c>
      <c r="CE25" s="117" t="s">
        <v>123</v>
      </c>
      <c r="CF25" s="104"/>
      <c r="CG25" s="117" t="s">
        <v>121</v>
      </c>
      <c r="CH25" s="130" t="str">
        <f>HLOOKUP(CONCATENATE(CH$5,CH$6),RangeStreamsSec,$O25,FALSE)</f>
        <v>EDSC4030</v>
      </c>
      <c r="CI25" s="117" t="s">
        <v>123</v>
      </c>
      <c r="CJ25" s="104"/>
      <c r="CK25" s="117" t="s">
        <v>121</v>
      </c>
      <c r="CL25" s="130" t="str">
        <f>HLOOKUP(CONCATENATE(CL$5,CL$6),RangeStreamsSec,$O25,FALSE)</f>
        <v>EDSC4024</v>
      </c>
      <c r="CM25" s="117" t="s">
        <v>123</v>
      </c>
      <c r="CN25" s="104"/>
      <c r="CO25" s="117" t="s">
        <v>121</v>
      </c>
      <c r="CP25" s="130" t="str">
        <f>HLOOKUP(CONCATENATE(CP$5,CP$6),RangeStreamsSec,$O25,FALSE)</f>
        <v>EDSC4024</v>
      </c>
      <c r="CQ25" s="117" t="s">
        <v>123</v>
      </c>
      <c r="CR25" s="104"/>
      <c r="CS25" s="117" t="s">
        <v>121</v>
      </c>
      <c r="CT25" s="130" t="str">
        <f>HLOOKUP(CONCATENATE(CT$5,CT$6),RangeStreamsSec,$O25,FALSE)</f>
        <v>EDSC4020</v>
      </c>
      <c r="CU25" s="117" t="s">
        <v>123</v>
      </c>
      <c r="CV25" s="104"/>
      <c r="CW25" s="117" t="s">
        <v>121</v>
      </c>
      <c r="CX25" s="130" t="str">
        <f>HLOOKUP(CONCATENATE(CX$5,CX$6),RangeStreamsSec,$O25,FALSE)</f>
        <v>EDSC4022</v>
      </c>
      <c r="CY25" s="117" t="s">
        <v>123</v>
      </c>
      <c r="CZ25" s="104"/>
      <c r="DA25" s="117" t="s">
        <v>121</v>
      </c>
      <c r="DB25" s="130" t="str">
        <f>HLOOKUP(CONCATENATE(DB$5,DB$6),RangeStreamsSec,$O25,FALSE)</f>
        <v>EDSC4022</v>
      </c>
      <c r="DC25" s="117" t="s">
        <v>123</v>
      </c>
      <c r="DD25" s="104"/>
      <c r="DE25" s="117" t="s">
        <v>121</v>
      </c>
      <c r="DF25" s="366" t="str">
        <f>HLOOKUP(CONCATENATE(DF$5,DF$6),RangeStreamsSec,$O25,FALSE)</f>
        <v>PWRP3010</v>
      </c>
      <c r="DG25" s="117" t="s">
        <v>123</v>
      </c>
      <c r="DH25" s="104"/>
      <c r="DI25" s="117" t="s">
        <v>121</v>
      </c>
      <c r="DJ25" s="130" t="str">
        <f>HLOOKUP(CONCATENATE(DJ$5,DJ$6),RangeStreamsSec,$O25,FALSE)</f>
        <v>EDSC4024</v>
      </c>
      <c r="DK25" s="117" t="s">
        <v>123</v>
      </c>
      <c r="DL25" s="104"/>
      <c r="DM25" s="117" t="s">
        <v>121</v>
      </c>
      <c r="DN25" s="130" t="str">
        <f>HLOOKUP(CONCATENATE(DN$5,DN$6),RangeStreamsSec,$O25,FALSE)</f>
        <v>EDSC4024</v>
      </c>
      <c r="DO25" s="117" t="s">
        <v>123</v>
      </c>
      <c r="DP25" s="104"/>
      <c r="DQ25" s="117" t="s">
        <v>121</v>
      </c>
      <c r="DR25" s="130" t="str">
        <f>HLOOKUP(CONCATENATE(DR$5,DR$6),RangeStreamsSec,$O25,FALSE)</f>
        <v>EDSC4020</v>
      </c>
      <c r="DS25" s="117" t="s">
        <v>123</v>
      </c>
      <c r="DT25" s="104"/>
      <c r="DU25" s="117" t="s">
        <v>121</v>
      </c>
      <c r="DV25" s="130" t="str">
        <f>HLOOKUP(CONCATENATE(DV$5,DV$6),RangeStreamsSec,$O25,FALSE)</f>
        <v>EDSC4022</v>
      </c>
      <c r="DW25" s="117" t="s">
        <v>123</v>
      </c>
      <c r="DX25" s="104"/>
      <c r="DY25" s="117" t="s">
        <v>121</v>
      </c>
      <c r="DZ25" s="130" t="str">
        <f>HLOOKUP(CONCATENATE(DZ$5,DZ$6),RangeStreamsSec,$O25,FALSE)</f>
        <v>EDSC4032</v>
      </c>
      <c r="EA25" s="117" t="s">
        <v>123</v>
      </c>
      <c r="EB25" s="104"/>
      <c r="EC25" s="117" t="s">
        <v>121</v>
      </c>
      <c r="ED25" s="130" t="str">
        <f>HLOOKUP(CONCATENATE(ED$5,ED$6),RangeStreamsSec,$O25,FALSE)</f>
        <v>EDSC4032</v>
      </c>
      <c r="EE25" s="117" t="s">
        <v>123</v>
      </c>
      <c r="EF25" s="104"/>
      <c r="EG25" s="117" t="s">
        <v>121</v>
      </c>
      <c r="EH25" s="130" t="str">
        <f>HLOOKUP(CONCATENATE(EH$5,EH$6),RangeStreamsSec,$O25,FALSE)</f>
        <v>EDSC4032</v>
      </c>
      <c r="EI25" s="117" t="s">
        <v>123</v>
      </c>
      <c r="EJ25" s="104"/>
      <c r="EK25" s="117" t="s">
        <v>121</v>
      </c>
      <c r="EL25" s="130" t="str">
        <f>HLOOKUP(CONCATENATE(EL$5,EL$6),RangeStreamsSec,$O25,FALSE)</f>
        <v>EDSC4022</v>
      </c>
      <c r="EM25" s="117" t="s">
        <v>123</v>
      </c>
      <c r="EN25" s="104"/>
      <c r="EO25" s="117" t="s">
        <v>121</v>
      </c>
      <c r="EP25" s="130" t="str">
        <f>HLOOKUP(CONCATENATE(EP$5,EP$6),RangeStreamsSec,$O25,FALSE)</f>
        <v>HIST2001</v>
      </c>
      <c r="EQ25" s="117" t="s">
        <v>123</v>
      </c>
      <c r="ER25" s="104"/>
      <c r="ES25" s="117" t="s">
        <v>121</v>
      </c>
      <c r="ET25" s="130" t="str">
        <f>HLOOKUP(CONCATENATE(ET$5,ET$6),RangeStreamsSec,$O25,FALSE)</f>
        <v>EDSC4030</v>
      </c>
      <c r="EU25" s="117" t="s">
        <v>123</v>
      </c>
      <c r="EV25" s="104"/>
      <c r="EW25" s="117" t="s">
        <v>121</v>
      </c>
      <c r="EX25" s="130" t="str">
        <f>HLOOKUP(CONCATENATE(EX$5,EX$6),RangeStreamsSec,$O25,FALSE)</f>
        <v>EDSC4020</v>
      </c>
      <c r="EY25" s="117" t="s">
        <v>123</v>
      </c>
      <c r="EZ25" s="104"/>
      <c r="FA25" s="117" t="s">
        <v>121</v>
      </c>
      <c r="FB25" s="130" t="str">
        <f>HLOOKUP(CONCATENATE(FB$5,FB$6),RangeStreamsSec,$O25,FALSE)</f>
        <v>EDSC4022</v>
      </c>
      <c r="FC25" s="117" t="s">
        <v>123</v>
      </c>
      <c r="FD25" s="104"/>
      <c r="FE25" s="117" t="s">
        <v>121</v>
      </c>
      <c r="FF25" s="130" t="str">
        <f>HLOOKUP(CONCATENATE(FF$5,FF$6),RangeStreamsSec,$O25,FALSE)</f>
        <v>EDSC4032</v>
      </c>
      <c r="FG25" s="117" t="s">
        <v>123</v>
      </c>
      <c r="FH25" s="104"/>
      <c r="FI25" s="117" t="s">
        <v>121</v>
      </c>
      <c r="FJ25" s="130" t="str">
        <f>HLOOKUP(CONCATENATE(FJ$5,FJ$6),RangeStreamsSec,$O25,FALSE)</f>
        <v>EDSC4032</v>
      </c>
      <c r="FK25" s="117" t="s">
        <v>123</v>
      </c>
      <c r="FL25" s="104"/>
      <c r="FM25" s="117" t="s">
        <v>121</v>
      </c>
      <c r="FN25" s="130" t="str">
        <f>HLOOKUP(CONCATENATE(FN$5,FN$6),RangeStreamsSec,$O25,FALSE)</f>
        <v>EDSC4032</v>
      </c>
      <c r="FO25" s="117" t="s">
        <v>123</v>
      </c>
      <c r="FP25" s="104"/>
      <c r="FQ25" s="117" t="s">
        <v>121</v>
      </c>
      <c r="FR25" s="130" t="str">
        <f>HLOOKUP(CONCATENATE(FR$5,FR$6),RangeStreamsSec,$O25,FALSE)</f>
        <v>EDSC4022</v>
      </c>
      <c r="FS25" s="117" t="s">
        <v>123</v>
      </c>
      <c r="FT25" s="104"/>
      <c r="FU25" s="117" t="s">
        <v>121</v>
      </c>
      <c r="FV25" s="130" t="str">
        <f>HLOOKUP(CONCATENATE(FV$5,FV$6),RangeStreamsSec,$O25,FALSE)</f>
        <v>HIST2001</v>
      </c>
      <c r="FW25" s="117" t="s">
        <v>123</v>
      </c>
      <c r="FX25" s="104"/>
      <c r="FY25" s="117" t="s">
        <v>121</v>
      </c>
      <c r="FZ25" s="130" t="str">
        <f>HLOOKUP(CONCATENATE(FZ$5,FZ$6),RangeStreamsSec,$O25,FALSE)</f>
        <v>EDSC4030</v>
      </c>
      <c r="GA25" s="117" t="s">
        <v>123</v>
      </c>
      <c r="GB25" s="104"/>
      <c r="GC25" s="117" t="s">
        <v>121</v>
      </c>
      <c r="GD25" s="130" t="str">
        <f>HLOOKUP(CONCATENATE(GD$5,GD$6),RangeStreamsSec,$O25,FALSE)</f>
        <v>EDSC4020</v>
      </c>
      <c r="GE25" s="117" t="s">
        <v>123</v>
      </c>
      <c r="GF25" s="104"/>
      <c r="GG25" s="117" t="s">
        <v>121</v>
      </c>
      <c r="GH25" s="130" t="str">
        <f>HLOOKUP(CONCATENATE(GH$5,GH$6),RangeStreamsSec,$O25,FALSE)</f>
        <v>EDSC4022</v>
      </c>
      <c r="GI25" s="117" t="s">
        <v>123</v>
      </c>
      <c r="GJ25" s="104"/>
      <c r="GK25" s="117" t="s">
        <v>121</v>
      </c>
      <c r="GL25" s="130" t="str">
        <f>HLOOKUP(CONCATENATE(GL$5,GL$6),RangeStreamsSec,$O25,FALSE)</f>
        <v>EDSC4032</v>
      </c>
      <c r="GM25" s="117" t="s">
        <v>123</v>
      </c>
      <c r="GN25" s="104"/>
      <c r="GO25" s="117" t="s">
        <v>121</v>
      </c>
      <c r="GP25" s="130" t="str">
        <f>HLOOKUP(CONCATENATE(GP$5,GP$6),RangeStreamsSec,$O25,FALSE)</f>
        <v>EDSC4032</v>
      </c>
      <c r="GQ25" s="117" t="s">
        <v>123</v>
      </c>
      <c r="GR25" s="104"/>
      <c r="GS25" s="117" t="s">
        <v>121</v>
      </c>
      <c r="GT25" s="130" t="str">
        <f>HLOOKUP(CONCATENATE(GT$5,GT$6),RangeStreamsSec,$O25,FALSE)</f>
        <v>EDSC4032</v>
      </c>
      <c r="GU25" s="117" t="s">
        <v>123</v>
      </c>
      <c r="GV25" s="104"/>
      <c r="GW25" s="117" t="s">
        <v>121</v>
      </c>
      <c r="GX25" s="130" t="str">
        <f>HLOOKUP(CONCATENATE(GX$5,GX$6),RangeStreamsSec,$O25,FALSE)</f>
        <v>EDSC4022</v>
      </c>
      <c r="GY25" s="117" t="s">
        <v>123</v>
      </c>
      <c r="GZ25" s="104"/>
      <c r="HA25" s="117" t="s">
        <v>121</v>
      </c>
      <c r="HB25" s="130" t="str">
        <f>HLOOKUP(CONCATENATE(HB$5,HB$6),RangeStreamsSec,$O25,FALSE)</f>
        <v>INDS2001</v>
      </c>
      <c r="HC25" s="117" t="s">
        <v>123</v>
      </c>
      <c r="HD25" s="104"/>
      <c r="HE25" s="117" t="s">
        <v>121</v>
      </c>
      <c r="HF25" s="130" t="str">
        <f>HLOOKUP(CONCATENATE(HF$5,HF$6),RangeStreamsSec,$O25,FALSE)</f>
        <v>EDSC4030</v>
      </c>
      <c r="HG25" s="117" t="s">
        <v>123</v>
      </c>
      <c r="HH25" s="104"/>
      <c r="HI25" s="117" t="s">
        <v>121</v>
      </c>
      <c r="HJ25" s="130" t="str">
        <f>HLOOKUP(CONCATENATE(HJ$5,HJ$6),RangeStreamsSec,$O25,FALSE)</f>
        <v>EDSC4020</v>
      </c>
      <c r="HK25" s="117" t="s">
        <v>123</v>
      </c>
      <c r="HL25" s="104"/>
      <c r="HM25" s="117" t="s">
        <v>121</v>
      </c>
      <c r="HN25" s="130" t="str">
        <f>HLOOKUP(CONCATENATE(HN$5,HN$6),RangeStreamsSec,$O25,FALSE)</f>
        <v>EDSC4022</v>
      </c>
      <c r="HO25" s="117" t="s">
        <v>123</v>
      </c>
      <c r="HP25" s="104"/>
      <c r="HQ25" s="117" t="s">
        <v>121</v>
      </c>
      <c r="HR25" s="130" t="str">
        <f>HLOOKUP(CONCATENATE(HR$5,HR$6),RangeStreamsSec,$O25,FALSE)</f>
        <v>EDSC4032</v>
      </c>
      <c r="HS25" s="117" t="s">
        <v>123</v>
      </c>
      <c r="HT25" s="104"/>
      <c r="HU25" s="117" t="s">
        <v>121</v>
      </c>
      <c r="HV25" s="130" t="str">
        <f>HLOOKUP(CONCATENATE(HV$5,HV$6),RangeStreamsSec,$O25,FALSE)</f>
        <v>EDSC4032</v>
      </c>
      <c r="HW25" s="117" t="s">
        <v>123</v>
      </c>
      <c r="HX25" s="104"/>
      <c r="HY25" s="117" t="s">
        <v>121</v>
      </c>
      <c r="HZ25" s="130" t="str">
        <f>HLOOKUP(CONCATENATE(HZ$5,HZ$6),RangeStreamsSec,$O25,FALSE)</f>
        <v>EDSC4032</v>
      </c>
      <c r="IA25" s="117" t="s">
        <v>123</v>
      </c>
      <c r="IB25" s="104"/>
      <c r="IC25" s="117" t="s">
        <v>121</v>
      </c>
      <c r="ID25" s="130" t="str">
        <f>HLOOKUP(CONCATENATE(ID$5,ID$6),RangeStreamsSec,$O25,FALSE)</f>
        <v>EDSC4022</v>
      </c>
      <c r="IE25" s="117" t="s">
        <v>123</v>
      </c>
      <c r="IF25" s="104"/>
      <c r="IG25" s="117" t="s">
        <v>121</v>
      </c>
      <c r="IH25" s="130" t="str">
        <f>HLOOKUP(CONCATENATE(IH$5,IH$6),RangeStreamsSec,$O25,FALSE)</f>
        <v>INDS2004</v>
      </c>
      <c r="II25" s="117" t="s">
        <v>123</v>
      </c>
      <c r="IJ25" s="104"/>
      <c r="IK25" s="117" t="s">
        <v>121</v>
      </c>
      <c r="IL25" s="130" t="str">
        <f>HLOOKUP(CONCATENATE(IL$5,IL$6),RangeStreamsSec,$O25,FALSE)</f>
        <v>EDSC4030</v>
      </c>
      <c r="IM25" s="117" t="s">
        <v>123</v>
      </c>
      <c r="IN25" s="104"/>
      <c r="IO25" s="117" t="s">
        <v>121</v>
      </c>
      <c r="IP25" s="130" t="str">
        <f>HLOOKUP(CONCATENATE(IP$5,IP$6),RangeStreamsSec,$O25,FALSE)</f>
        <v>EDSC4020</v>
      </c>
      <c r="IQ25" s="117" t="s">
        <v>123</v>
      </c>
      <c r="IR25" s="104"/>
      <c r="IS25" s="117" t="s">
        <v>121</v>
      </c>
      <c r="IT25" s="130" t="str">
        <f>HLOOKUP(CONCATENATE(IT$5,IT$6),RangeStreamsSec,$O25,FALSE)</f>
        <v>EDSC4022</v>
      </c>
      <c r="IU25" s="117" t="s">
        <v>123</v>
      </c>
      <c r="IV25" s="104"/>
      <c r="IW25" s="117" t="s">
        <v>121</v>
      </c>
      <c r="IX25" s="130" t="str">
        <f>HLOOKUP(CONCATENATE(IX$5,IX$6),RangeStreamsSec,$O25,FALSE)</f>
        <v>EDSC4032</v>
      </c>
      <c r="IY25" s="117" t="s">
        <v>123</v>
      </c>
      <c r="IZ25" s="104"/>
      <c r="JA25" s="117" t="s">
        <v>121</v>
      </c>
      <c r="JB25" s="130" t="str">
        <f>HLOOKUP(CONCATENATE(JB$5,JB$6),RangeStreamsSec,$O25,FALSE)</f>
        <v>EDSC4032</v>
      </c>
      <c r="JC25" s="117" t="s">
        <v>123</v>
      </c>
      <c r="JD25" s="104"/>
      <c r="JE25" s="117" t="s">
        <v>121</v>
      </c>
      <c r="JF25" s="130" t="str">
        <f>HLOOKUP(CONCATENATE(JF$5,JF$6),RangeStreamsSec,$O25,FALSE)</f>
        <v>EDSC4032</v>
      </c>
      <c r="JG25" s="117" t="s">
        <v>123</v>
      </c>
      <c r="JH25" s="104"/>
      <c r="JI25" s="117" t="s">
        <v>121</v>
      </c>
      <c r="JJ25" s="130" t="e">
        <f>HLOOKUP(CONCATENATE(JJ$5,JJ$6),RangeStreamsSec,$O25,FALSE)</f>
        <v>#N/A</v>
      </c>
      <c r="JK25" s="117" t="s">
        <v>123</v>
      </c>
      <c r="JL25" s="104"/>
      <c r="JM25" s="117" t="s">
        <v>121</v>
      </c>
      <c r="JN25" s="130" t="str">
        <f>HLOOKUP(CONCATENATE(JN$5,JN$6),RangeStreamsSec,$O25,FALSE)</f>
        <v>EDSC4022</v>
      </c>
      <c r="JO25" s="117" t="s">
        <v>123</v>
      </c>
      <c r="JP25" s="104"/>
      <c r="JQ25" s="117" t="s">
        <v>121</v>
      </c>
      <c r="JR25" s="130" t="str">
        <f>HLOOKUP(CONCATENATE(JR$5,JR$6),RangeStreamsSec,$O25,FALSE)</f>
        <v>STAT2001</v>
      </c>
      <c r="JS25" s="117" t="s">
        <v>123</v>
      </c>
      <c r="JT25" s="104"/>
      <c r="JU25" s="117" t="s">
        <v>121</v>
      </c>
      <c r="JV25" s="130" t="str">
        <f>HLOOKUP(CONCATENATE(JV$5,JV$6),RangeStreamsSec,$O25,FALSE)</f>
        <v>EDSC4030</v>
      </c>
      <c r="JW25" s="117" t="s">
        <v>123</v>
      </c>
      <c r="JX25" s="104"/>
      <c r="JY25" s="117" t="s">
        <v>121</v>
      </c>
      <c r="JZ25" s="130" t="str">
        <f>HLOOKUP(CONCATENATE(JZ$5,JZ$6),RangeStreamsSec,$O25,FALSE)</f>
        <v>EDSC4024</v>
      </c>
      <c r="KA25" s="117" t="s">
        <v>123</v>
      </c>
      <c r="KB25" s="104"/>
      <c r="KC25" s="117" t="s">
        <v>121</v>
      </c>
      <c r="KD25" s="130" t="str">
        <f>HLOOKUP(CONCATENATE(KD$5,KD$6),RangeStreamsSec,$O25,FALSE)</f>
        <v>EDSC4024</v>
      </c>
      <c r="KE25" s="117" t="s">
        <v>123</v>
      </c>
      <c r="KF25" s="104"/>
      <c r="KG25" s="117" t="s">
        <v>121</v>
      </c>
      <c r="KH25" s="130" t="str">
        <f>HLOOKUP(CONCATENATE(KH$5,KH$6),RangeStreamsSec,$O25,FALSE)</f>
        <v>EDSC4022</v>
      </c>
      <c r="KI25" s="117" t="s">
        <v>123</v>
      </c>
      <c r="KJ25" s="104"/>
      <c r="KK25" s="117" t="s">
        <v>121</v>
      </c>
      <c r="KL25" s="130" t="str">
        <f>HLOOKUP(CONCATENATE(KL$5,KL$6),RangeStreamsSec,$O25,FALSE)</f>
        <v>EDSC4032</v>
      </c>
      <c r="KM25" s="117" t="s">
        <v>123</v>
      </c>
      <c r="KN25" s="104"/>
      <c r="KO25" s="117" t="s">
        <v>121</v>
      </c>
      <c r="KP25" s="130" t="str">
        <f>HLOOKUP(CONCATENATE(KP$5,KP$6),RangeStreamsSec,$O25,FALSE)</f>
        <v>EDSC4032</v>
      </c>
      <c r="KQ25" s="117" t="s">
        <v>123</v>
      </c>
      <c r="KR25" s="104"/>
      <c r="KS25" s="117" t="s">
        <v>121</v>
      </c>
      <c r="KT25" s="130" t="str">
        <f>HLOOKUP(CONCATENATE(KT$5,KT$6),RangeStreamsSec,$O25,FALSE)</f>
        <v>EDSC4032</v>
      </c>
      <c r="KU25" s="117" t="s">
        <v>123</v>
      </c>
      <c r="KV25" s="104"/>
      <c r="KW25" s="117" t="s">
        <v>121</v>
      </c>
      <c r="KX25" s="130" t="str">
        <f>HLOOKUP(CONCATENATE(KX$5,KX$6),RangeStreamsSec,$O25,FALSE)</f>
        <v>EDSC4022</v>
      </c>
      <c r="KY25" s="117" t="s">
        <v>123</v>
      </c>
      <c r="KZ25" s="104"/>
      <c r="LA25" s="117" t="s">
        <v>121</v>
      </c>
      <c r="LB25" s="130" t="str">
        <f>HLOOKUP(CONCATENATE(LB$5,LB$6),RangeStreamsSec,$O25,FALSE)</f>
        <v>EDUC4012</v>
      </c>
      <c r="LC25" s="117" t="s">
        <v>123</v>
      </c>
      <c r="LD25" s="104"/>
      <c r="LE25" s="117" t="s">
        <v>121</v>
      </c>
      <c r="LF25" s="130" t="str">
        <f>HLOOKUP(CONCATENATE(LF$5,LF$6),RangeStreamsSec,$O25,FALSE)</f>
        <v>ATOC2000</v>
      </c>
      <c r="LG25" s="117" t="s">
        <v>123</v>
      </c>
      <c r="LH25" s="104"/>
      <c r="LI25" s="117" t="s">
        <v>121</v>
      </c>
      <c r="LJ25" s="130" t="str">
        <f>HLOOKUP(CONCATENATE(LJ$5,LJ$6),RangeStreamsSec,$O25,FALSE)</f>
        <v>EDSC4030</v>
      </c>
      <c r="LK25" s="117" t="s">
        <v>123</v>
      </c>
      <c r="LL25" s="104"/>
      <c r="LM25" s="117" t="s">
        <v>121</v>
      </c>
      <c r="LN25" s="130" t="str">
        <f>HLOOKUP(CONCATENATE(LN$5,LN$6),RangeStreamsSec,$O25,FALSE)</f>
        <v>EDSC4024</v>
      </c>
      <c r="LO25" s="117" t="s">
        <v>123</v>
      </c>
      <c r="LP25" s="104"/>
      <c r="LQ25" s="117" t="s">
        <v>121</v>
      </c>
      <c r="LR25" s="130" t="str">
        <f>HLOOKUP(CONCATENATE(LR$5,LR$6),RangeStreamsSec,$O25,FALSE)</f>
        <v>EDSC4024</v>
      </c>
      <c r="LS25" s="117" t="s">
        <v>123</v>
      </c>
      <c r="LT25" s="104"/>
      <c r="LU25" s="117" t="s">
        <v>121</v>
      </c>
      <c r="LV25" s="130" t="str">
        <f>HLOOKUP(CONCATENATE(LV$5,LV$6),RangeStreamsSec,$O25,FALSE)</f>
        <v>EDSC4020</v>
      </c>
      <c r="LW25" s="117" t="s">
        <v>123</v>
      </c>
      <c r="LX25" s="104"/>
      <c r="LY25" s="117" t="s">
        <v>121</v>
      </c>
      <c r="LZ25" s="130" t="str">
        <f>HLOOKUP(CONCATENATE(LZ$5,LZ$6),RangeStreamsSec,$O25,FALSE)</f>
        <v>EDSC4032</v>
      </c>
      <c r="MA25" s="117" t="s">
        <v>123</v>
      </c>
      <c r="MB25" s="104"/>
      <c r="MC25" s="117" t="s">
        <v>121</v>
      </c>
      <c r="MD25" s="130" t="str">
        <f>HLOOKUP(CONCATENATE(MD$5,MD$6),RangeStreamsSec,$O25,FALSE)</f>
        <v>EDSC4032</v>
      </c>
      <c r="ME25" s="117" t="s">
        <v>123</v>
      </c>
      <c r="MF25" s="104"/>
      <c r="MG25" s="117" t="s">
        <v>121</v>
      </c>
      <c r="MH25" s="130" t="str">
        <f>HLOOKUP(CONCATENATE(MH$5,MH$6),RangeStreamsSec,$O25,FALSE)</f>
        <v>EDSC4032</v>
      </c>
      <c r="MI25" s="117" t="s">
        <v>123</v>
      </c>
      <c r="MJ25" s="104"/>
      <c r="MK25" s="117" t="s">
        <v>121</v>
      </c>
      <c r="ML25" s="130" t="str">
        <f>HLOOKUP(CONCATENATE(ML$5,ML$6),RangeStreamsSec,$O25,FALSE)</f>
        <v>AC-CHEMB3</v>
      </c>
      <c r="MM25" s="117" t="s">
        <v>123</v>
      </c>
      <c r="MN25" s="104"/>
      <c r="MO25" s="117" t="s">
        <v>121</v>
      </c>
      <c r="MP25" s="130" t="str">
        <f>HLOOKUP(CONCATENATE(MP$5,MP$6),RangeStreamsSec,$O25,FALSE)</f>
        <v>EDSC4030</v>
      </c>
      <c r="MQ25" s="117" t="s">
        <v>123</v>
      </c>
      <c r="MR25" s="104"/>
      <c r="MS25" s="117" t="s">
        <v>121</v>
      </c>
      <c r="MT25" s="130" t="str">
        <f>HLOOKUP(CONCATENATE(MT$5,MT$6),RangeStreamsSec,$O25,FALSE)</f>
        <v>EDSC4024</v>
      </c>
      <c r="MU25" s="117" t="s">
        <v>123</v>
      </c>
      <c r="MV25" s="104"/>
      <c r="MW25" s="117" t="s">
        <v>121</v>
      </c>
      <c r="MX25" s="130" t="str">
        <f>HLOOKUP(CONCATENATE(MX$5,MX$6),RangeStreamsSec,$O25,FALSE)</f>
        <v>EDSC4024</v>
      </c>
      <c r="MY25" s="117" t="s">
        <v>123</v>
      </c>
      <c r="MZ25" s="104"/>
      <c r="NA25" s="117" t="s">
        <v>121</v>
      </c>
      <c r="NB25" s="130" t="str">
        <f>HLOOKUP(CONCATENATE(NB$5,NB$6),RangeStreamsSec,$O25,FALSE)</f>
        <v>EDSC4020</v>
      </c>
      <c r="NC25" s="117" t="s">
        <v>123</v>
      </c>
      <c r="ND25" s="104"/>
      <c r="NE25" s="117" t="s">
        <v>121</v>
      </c>
      <c r="NF25" s="130" t="str">
        <f>HLOOKUP(CONCATENATE(NF$5,NF$6),RangeStreamsSec,$O25,FALSE)</f>
        <v>EDSC4032</v>
      </c>
      <c r="NG25" s="117" t="s">
        <v>123</v>
      </c>
      <c r="NH25" s="104"/>
      <c r="NI25" s="117" t="s">
        <v>121</v>
      </c>
      <c r="NJ25" s="130" t="str">
        <f>HLOOKUP(CONCATENATE(NJ$5,NJ$6),RangeStreamsSec,$O25,FALSE)</f>
        <v>EDSC4032</v>
      </c>
      <c r="NK25" s="117" t="s">
        <v>123</v>
      </c>
      <c r="NL25" s="104"/>
      <c r="NM25" s="117" t="s">
        <v>121</v>
      </c>
      <c r="NN25" s="130" t="str">
        <f>HLOOKUP(CONCATENATE(NN$5,NN$6),RangeStreamsSec,$O25,FALSE)</f>
        <v>EDSC4032</v>
      </c>
      <c r="NO25" s="117" t="s">
        <v>123</v>
      </c>
      <c r="NP25" s="104"/>
      <c r="NQ25" s="117" t="s">
        <v>121</v>
      </c>
      <c r="NR25" s="130" t="str">
        <f>HLOOKUP(CONCATENATE(NR$5,NR$6),RangeStreamsSec,$O25,FALSE)</f>
        <v>AC-HUMBB3</v>
      </c>
      <c r="NS25" s="117" t="s">
        <v>123</v>
      </c>
      <c r="NT25" s="104"/>
      <c r="NU25" s="117" t="s">
        <v>121</v>
      </c>
      <c r="NV25" s="130" t="str">
        <f>HLOOKUP(CONCATENATE(NV$5,NV$6),RangeStreamsSec,$O25,FALSE)</f>
        <v>EDSC4030</v>
      </c>
      <c r="NW25" s="117" t="s">
        <v>123</v>
      </c>
      <c r="NX25" s="104"/>
      <c r="NY25" s="117" t="s">
        <v>121</v>
      </c>
      <c r="NZ25" s="130" t="str">
        <f>HLOOKUP(CONCATENATE(NZ$5,NZ$6),RangeStreamsSec,$O25,FALSE)</f>
        <v>EDSC4024</v>
      </c>
      <c r="OA25" s="117" t="s">
        <v>123</v>
      </c>
      <c r="OB25" s="104"/>
      <c r="OC25" s="117" t="s">
        <v>121</v>
      </c>
      <c r="OD25" s="130" t="str">
        <f>HLOOKUP(CONCATENATE(OD$5,OD$6),RangeStreamsSec,$O25,FALSE)</f>
        <v>EDSC4024</v>
      </c>
      <c r="OE25" s="117" t="s">
        <v>123</v>
      </c>
      <c r="OF25" s="104"/>
      <c r="OG25" s="117" t="s">
        <v>121</v>
      </c>
      <c r="OH25" s="130" t="str">
        <f>HLOOKUP(CONCATENATE(OH$5,OH$6),RangeStreamsSec,$O25,FALSE)</f>
        <v>EDSC4020</v>
      </c>
      <c r="OI25" s="117" t="s">
        <v>123</v>
      </c>
      <c r="OJ25" s="104"/>
      <c r="OK25" s="117" t="s">
        <v>121</v>
      </c>
      <c r="OL25" s="130" t="str">
        <f>HLOOKUP(CONCATENATE(OL$5,OL$6),RangeStreamsSec,$O25,FALSE)</f>
        <v>EDSC4032</v>
      </c>
      <c r="OM25" s="117" t="s">
        <v>123</v>
      </c>
      <c r="ON25" s="104"/>
      <c r="OO25" s="117" t="s">
        <v>121</v>
      </c>
      <c r="OP25" s="130" t="str">
        <f>HLOOKUP(CONCATENATE(OP$5,OP$6),RangeStreamsSec,$O25,FALSE)</f>
        <v>EDSC4032</v>
      </c>
      <c r="OQ25" s="117" t="s">
        <v>123</v>
      </c>
      <c r="OR25" s="104"/>
      <c r="OS25" s="117" t="s">
        <v>121</v>
      </c>
      <c r="OT25" s="130" t="str">
        <f>HLOOKUP(CONCATENATE(OT$5,OT$6),RangeStreamsSec,$O25,FALSE)</f>
        <v>EDSC4032</v>
      </c>
      <c r="OU25" s="117" t="s">
        <v>123</v>
      </c>
      <c r="OV25" s="104"/>
      <c r="OW25" s="117" t="s">
        <v>121</v>
      </c>
      <c r="OX25" s="130" t="str">
        <f>HLOOKUP(CONCATENATE(OX$5,OX$6),RangeStreamsSec,$O25,FALSE)</f>
        <v>AC-PSYCB3</v>
      </c>
      <c r="OY25" s="117" t="s">
        <v>123</v>
      </c>
      <c r="OZ25" s="104"/>
      <c r="PA25" s="117" t="s">
        <v>121</v>
      </c>
      <c r="PB25" s="130" t="str">
        <f>HLOOKUP(CONCATENATE(PB$5,PB$6),RangeStreamsSec,$O25,FALSE)</f>
        <v>EDSC4030</v>
      </c>
      <c r="PC25" s="117" t="s">
        <v>123</v>
      </c>
      <c r="PD25" s="104"/>
      <c r="PE25" s="117" t="s">
        <v>121</v>
      </c>
      <c r="PF25" s="130" t="str">
        <f>HLOOKUP(CONCATENATE(PF$5,PF$6),RangeStreamsSec,$O25,FALSE)</f>
        <v>EDSC4024</v>
      </c>
      <c r="PG25" s="117" t="s">
        <v>123</v>
      </c>
      <c r="PH25" s="104"/>
      <c r="PI25" s="117" t="s">
        <v>121</v>
      </c>
      <c r="PJ25" s="130" t="str">
        <f>HLOOKUP(CONCATENATE(PJ$5,PJ$6),RangeStreamsSec,$O25,FALSE)</f>
        <v>EDSC4024</v>
      </c>
      <c r="PK25" s="117" t="s">
        <v>123</v>
      </c>
      <c r="PL25" s="104"/>
      <c r="PM25" s="117" t="s">
        <v>121</v>
      </c>
      <c r="PN25" s="130" t="str">
        <f>HLOOKUP(CONCATENATE(PN$5,PN$6),RangeStreamsSec,$O25,FALSE)</f>
        <v>EDSC4020</v>
      </c>
      <c r="PO25" s="117" t="s">
        <v>123</v>
      </c>
      <c r="PP25" s="104"/>
      <c r="PQ25" s="117" t="s">
        <v>121</v>
      </c>
      <c r="PR25" s="130" t="str">
        <f>HLOOKUP(CONCATENATE(PR$5,PR$6),RangeStreamsSec,$O25,FALSE)</f>
        <v>EDSC4032</v>
      </c>
      <c r="PS25" s="117" t="s">
        <v>123</v>
      </c>
      <c r="PT25" s="104"/>
      <c r="PU25" s="117" t="s">
        <v>121</v>
      </c>
      <c r="PV25" s="130" t="str">
        <f>HLOOKUP(CONCATENATE(PV$5,PV$6),RangeStreamsSec,$O25,FALSE)</f>
        <v>EDSC4032</v>
      </c>
      <c r="PW25" s="117" t="s">
        <v>123</v>
      </c>
      <c r="PX25" s="104"/>
      <c r="PY25" s="117" t="s">
        <v>121</v>
      </c>
      <c r="PZ25" s="130" t="str">
        <f>HLOOKUP(CONCATENATE(PZ$5,PZ$6),RangeStreamsSec,$O25,FALSE)</f>
        <v>EDSC4032</v>
      </c>
      <c r="QA25" s="117" t="s">
        <v>123</v>
      </c>
      <c r="QB25" s="104"/>
      <c r="QC25" s="117" t="s">
        <v>121</v>
      </c>
      <c r="QD25" s="130" t="e">
        <f>HLOOKUP(CONCATENATE(QD$5,QD$6),RangeStreamsSec,$O25,FALSE)</f>
        <v>#N/A</v>
      </c>
      <c r="QE25" s="117" t="s">
        <v>123</v>
      </c>
      <c r="QF25" s="104"/>
      <c r="QG25" s="117" t="s">
        <v>121</v>
      </c>
      <c r="QH25" s="130" t="e">
        <f>HLOOKUP(CONCATENATE(QH$5,QH$6),RangeStreamsSec,$O25,FALSE)</f>
        <v>#N/A</v>
      </c>
      <c r="QI25" s="117" t="s">
        <v>123</v>
      </c>
      <c r="QJ25" s="104"/>
    </row>
    <row r="26" spans="1:452" x14ac:dyDescent="0.25">
      <c r="A26" s="353" t="s">
        <v>205</v>
      </c>
      <c r="B26" s="7" t="s">
        <v>350</v>
      </c>
      <c r="C26" s="268" t="s">
        <v>77</v>
      </c>
      <c r="D26" s="269">
        <v>45658</v>
      </c>
      <c r="E26" s="268">
        <v>5</v>
      </c>
      <c r="F26" s="269">
        <v>45658</v>
      </c>
      <c r="G26" s="7" t="s">
        <v>398</v>
      </c>
      <c r="J26" s="142"/>
      <c r="K26" s="147" t="str">
        <f>INDEX(TableStreams[Choose your Specialisation Stream second (drop-down list)],MATCH(L26,TableStreams[UDC],0))</f>
        <v>Psychology Education Minor Teaching Area Stream (BEd Secondary)</v>
      </c>
      <c r="L26" s="142" t="s">
        <v>357</v>
      </c>
      <c r="O26" s="340">
        <v>6</v>
      </c>
      <c r="P26" s="19">
        <v>24</v>
      </c>
      <c r="Q26" s="117" t="s">
        <v>121</v>
      </c>
      <c r="R26" s="128" t="s">
        <v>384</v>
      </c>
      <c r="S26" s="117" t="s">
        <v>123</v>
      </c>
      <c r="T26" s="103"/>
      <c r="U26" s="117" t="s">
        <v>121</v>
      </c>
      <c r="V26" s="338" t="str">
        <f>HLOOKUP(CONCATENATE(V$5,V$6),RangeStreamsSec,$O26,FALSE)</f>
        <v>MATH3011</v>
      </c>
      <c r="W26" s="117" t="s">
        <v>123</v>
      </c>
      <c r="X26" s="103"/>
      <c r="Y26" s="117" t="s">
        <v>121</v>
      </c>
      <c r="Z26" s="128" t="str">
        <f>HLOOKUP(CONCATENATE(Z$5,Z$6),RangeStreamsSec,$O26,FALSE)</f>
        <v>AC-BSCIM4</v>
      </c>
      <c r="AA26" s="117" t="s">
        <v>123</v>
      </c>
      <c r="AB26" s="103"/>
      <c r="AC26" s="117" t="s">
        <v>121</v>
      </c>
      <c r="AD26" s="128" t="str">
        <f>HLOOKUP(CONCATENATE(AD$5,AD$6),RangeStreamsSec,$O26,FALSE)</f>
        <v>Opt-PARTB</v>
      </c>
      <c r="AE26" s="117" t="s">
        <v>123</v>
      </c>
      <c r="AF26" s="103"/>
      <c r="AG26" s="117" t="s">
        <v>121</v>
      </c>
      <c r="AH26" s="128" t="str">
        <f>HLOOKUP(CONCATENATE(AH$5,AH$6),RangeStreamsSec,$O26,FALSE)</f>
        <v>LCST2006</v>
      </c>
      <c r="AI26" s="117" t="s">
        <v>123</v>
      </c>
      <c r="AJ26" s="103"/>
      <c r="AK26" s="117" t="s">
        <v>121</v>
      </c>
      <c r="AL26" s="128" t="str">
        <f>HLOOKUP(CONCATENATE(AL$5,AL$6),RangeStreamsSec,$O26,FALSE)</f>
        <v>GEOG2001</v>
      </c>
      <c r="AM26" s="117" t="s">
        <v>123</v>
      </c>
      <c r="AN26" s="103"/>
      <c r="AO26" s="117" t="s">
        <v>121</v>
      </c>
      <c r="AP26" s="128" t="str">
        <f>HLOOKUP(CONCATENATE(AP$5,AP$6),RangeStreamsSec,$O26,FALSE)</f>
        <v>HIST2001</v>
      </c>
      <c r="AQ26" s="117" t="s">
        <v>123</v>
      </c>
      <c r="AR26" s="103"/>
      <c r="AS26" s="117" t="s">
        <v>121</v>
      </c>
      <c r="AT26" s="128" t="str">
        <f>HLOOKUP(CONCATENATE(AT$5,AT$6),RangeStreamsSec,$O26,FALSE)</f>
        <v>MATH3011</v>
      </c>
      <c r="AU26" s="117" t="s">
        <v>123</v>
      </c>
      <c r="AV26" s="103"/>
      <c r="AW26" s="117" t="s">
        <v>121</v>
      </c>
      <c r="AX26" s="128" t="str">
        <f>HLOOKUP(CONCATENATE(AX$5,AX$6),RangeStreamsSec,$O26,FALSE)</f>
        <v>PSYC2001</v>
      </c>
      <c r="AY26" s="117" t="s">
        <v>123</v>
      </c>
      <c r="AZ26" s="103"/>
      <c r="BA26" s="117" t="s">
        <v>121</v>
      </c>
      <c r="BB26" s="128" t="str">
        <f>HLOOKUP(CONCATENATE(BB$5,BB$6),RangeStreamsSec,$O26,FALSE)</f>
        <v>AC-BSCIM4</v>
      </c>
      <c r="BC26" s="117" t="s">
        <v>123</v>
      </c>
      <c r="BD26" s="103"/>
      <c r="BE26" s="117" t="s">
        <v>121</v>
      </c>
      <c r="BF26" s="128" t="str">
        <f>HLOOKUP(CONCATENATE(BF$5,BF$6),RangeStreamsSec,$O26,FALSE)</f>
        <v>LCST2006</v>
      </c>
      <c r="BG26" s="117" t="s">
        <v>123</v>
      </c>
      <c r="BH26" s="103"/>
      <c r="BI26" s="117" t="s">
        <v>121</v>
      </c>
      <c r="BJ26" s="128" t="str">
        <f>HLOOKUP(CONCATENATE(BJ$5,BJ$6),RangeStreamsSec,$O26,FALSE)</f>
        <v>GEOG2001</v>
      </c>
      <c r="BK26" s="117" t="s">
        <v>123</v>
      </c>
      <c r="BL26" s="103"/>
      <c r="BM26" s="117" t="s">
        <v>121</v>
      </c>
      <c r="BN26" s="128" t="str">
        <f>HLOOKUP(CONCATENATE(BN$5,BN$6),RangeStreamsSec,$O26,FALSE)</f>
        <v>HIST2001</v>
      </c>
      <c r="BO26" s="117" t="s">
        <v>123</v>
      </c>
      <c r="BP26" s="103"/>
      <c r="BQ26" s="117" t="s">
        <v>121</v>
      </c>
      <c r="BR26" s="128" t="str">
        <f>HLOOKUP(CONCATENATE(BR$5,BR$6),RangeStreamsSec,$O26,FALSE)</f>
        <v>MATH3011</v>
      </c>
      <c r="BS26" s="117" t="s">
        <v>123</v>
      </c>
      <c r="BT26" s="103"/>
      <c r="BU26" s="117" t="s">
        <v>121</v>
      </c>
      <c r="BV26" s="128" t="str">
        <f>HLOOKUP(CONCATENATE(BV$5,BV$6),RangeStreamsSec,$O26,FALSE)</f>
        <v>PSYC2001</v>
      </c>
      <c r="BW26" s="117" t="s">
        <v>123</v>
      </c>
      <c r="BX26" s="103"/>
      <c r="BY26" s="117" t="s">
        <v>121</v>
      </c>
      <c r="BZ26" s="128" t="str">
        <f>HLOOKUP(CONCATENATE(BZ$5,BZ$6),RangeStreamsSec,$O26,FALSE)</f>
        <v>AC-BSCIM4</v>
      </c>
      <c r="CA26" s="117" t="s">
        <v>123</v>
      </c>
      <c r="CB26" s="103"/>
      <c r="CC26" s="117" t="s">
        <v>121</v>
      </c>
      <c r="CD26" s="128" t="str">
        <f>HLOOKUP(CONCATENATE(CD$5,CD$6),RangeStreamsSec,$O26,FALSE)</f>
        <v>Opt-VARTB</v>
      </c>
      <c r="CE26" s="117" t="s">
        <v>123</v>
      </c>
      <c r="CF26" s="103"/>
      <c r="CG26" s="117" t="s">
        <v>121</v>
      </c>
      <c r="CH26" s="128" t="str">
        <f>HLOOKUP(CONCATENATE(CH$5,CH$6),RangeStreamsSec,$O26,FALSE)</f>
        <v>LCST2006</v>
      </c>
      <c r="CI26" s="117" t="s">
        <v>123</v>
      </c>
      <c r="CJ26" s="103"/>
      <c r="CK26" s="117" t="s">
        <v>121</v>
      </c>
      <c r="CL26" s="128" t="str">
        <f>HLOOKUP(CONCATENATE(CL$5,CL$6),RangeStreamsSec,$O26,FALSE)</f>
        <v>GEOG2001</v>
      </c>
      <c r="CM26" s="117" t="s">
        <v>123</v>
      </c>
      <c r="CN26" s="103"/>
      <c r="CO26" s="117" t="s">
        <v>121</v>
      </c>
      <c r="CP26" s="128" t="str">
        <f>HLOOKUP(CONCATENATE(CP$5,CP$6),RangeStreamsSec,$O26,FALSE)</f>
        <v>HIST2001</v>
      </c>
      <c r="CQ26" s="117" t="s">
        <v>123</v>
      </c>
      <c r="CR26" s="103"/>
      <c r="CS26" s="117" t="s">
        <v>121</v>
      </c>
      <c r="CT26" s="128" t="str">
        <f>HLOOKUP(CONCATENATE(CT$5,CT$6),RangeStreamsSec,$O26,FALSE)</f>
        <v>MATH3011</v>
      </c>
      <c r="CU26" s="117" t="s">
        <v>123</v>
      </c>
      <c r="CV26" s="103"/>
      <c r="CW26" s="117" t="s">
        <v>121</v>
      </c>
      <c r="CX26" s="128" t="str">
        <f>HLOOKUP(CONCATENATE(CX$5,CX$6),RangeStreamsSec,$O26,FALSE)</f>
        <v>PSYC2001</v>
      </c>
      <c r="CY26" s="117" t="s">
        <v>123</v>
      </c>
      <c r="CZ26" s="103"/>
      <c r="DA26" s="117" t="s">
        <v>121</v>
      </c>
      <c r="DB26" s="128" t="str">
        <f>HLOOKUP(CONCATENATE(DB$5,DB$6),RangeStreamsSec,$O26,FALSE)</f>
        <v>AC-BSCIM4</v>
      </c>
      <c r="DC26" s="117" t="s">
        <v>123</v>
      </c>
      <c r="DD26" s="103"/>
      <c r="DE26" s="117" t="s">
        <v>121</v>
      </c>
      <c r="DF26" s="128" t="str">
        <f>HLOOKUP(CONCATENATE(DF$5,DF$6),RangeStreamsSec,$O26,FALSE)</f>
        <v>Opt-ENGLB</v>
      </c>
      <c r="DG26" s="117" t="s">
        <v>123</v>
      </c>
      <c r="DH26" s="103"/>
      <c r="DI26" s="117" t="s">
        <v>121</v>
      </c>
      <c r="DJ26" s="128" t="str">
        <f>HLOOKUP(CONCATENATE(DJ$5,DJ$6),RangeStreamsSec,$O26,FALSE)</f>
        <v>GEOG2001</v>
      </c>
      <c r="DK26" s="117" t="s">
        <v>123</v>
      </c>
      <c r="DL26" s="103"/>
      <c r="DM26" s="117" t="s">
        <v>121</v>
      </c>
      <c r="DN26" s="128" t="str">
        <f>HLOOKUP(CONCATENATE(DN$5,DN$6),RangeStreamsSec,$O26,FALSE)</f>
        <v>HIST2001</v>
      </c>
      <c r="DO26" s="117" t="s">
        <v>123</v>
      </c>
      <c r="DP26" s="103"/>
      <c r="DQ26" s="117" t="s">
        <v>121</v>
      </c>
      <c r="DR26" s="128" t="str">
        <f>HLOOKUP(CONCATENATE(DR$5,DR$6),RangeStreamsSec,$O26,FALSE)</f>
        <v>MATH3011</v>
      </c>
      <c r="DS26" s="117" t="s">
        <v>123</v>
      </c>
      <c r="DT26" s="103"/>
      <c r="DU26" s="117" t="s">
        <v>121</v>
      </c>
      <c r="DV26" s="128" t="str">
        <f>HLOOKUP(CONCATENATE(DV$5,DV$6),RangeStreamsSec,$O26,FALSE)</f>
        <v>PSYC2001</v>
      </c>
      <c r="DW26" s="117" t="s">
        <v>123</v>
      </c>
      <c r="DX26" s="103"/>
      <c r="DY26" s="117" t="s">
        <v>121</v>
      </c>
      <c r="DZ26" s="128" t="str">
        <f>HLOOKUP(CONCATENATE(DZ$5,DZ$6),RangeStreamsSec,$O26,FALSE)</f>
        <v>SPRO2000</v>
      </c>
      <c r="EA26" s="117" t="s">
        <v>123</v>
      </c>
      <c r="EB26" s="103"/>
      <c r="EC26" s="117" t="s">
        <v>121</v>
      </c>
      <c r="ED26" s="128" t="str">
        <f>HLOOKUP(CONCATENATE(ED$5,ED$6),RangeStreamsSec,$O26,FALSE)</f>
        <v>THTR2004</v>
      </c>
      <c r="EE26" s="117" t="s">
        <v>123</v>
      </c>
      <c r="EF26" s="103"/>
      <c r="EG26" s="117" t="s">
        <v>121</v>
      </c>
      <c r="EH26" s="128" t="str">
        <f>HLOOKUP(CONCATENATE(EH$5,EH$6),RangeStreamsSec,$O26,FALSE)</f>
        <v>VISA2004</v>
      </c>
      <c r="EI26" s="117" t="s">
        <v>123</v>
      </c>
      <c r="EJ26" s="103"/>
      <c r="EK26" s="117" t="s">
        <v>121</v>
      </c>
      <c r="EL26" s="128" t="str">
        <f>HLOOKUP(CONCATENATE(EL$5,EL$6),RangeStreamsSec,$O26,FALSE)</f>
        <v>AC-BSCIM4</v>
      </c>
      <c r="EM26" s="117" t="s">
        <v>123</v>
      </c>
      <c r="EN26" s="103"/>
      <c r="EO26" s="117" t="s">
        <v>121</v>
      </c>
      <c r="EP26" s="128" t="str">
        <f>HLOOKUP(CONCATENATE(EP$5,EP$6),RangeStreamsSec,$O26,FALSE)</f>
        <v>Opt-ECOB1</v>
      </c>
      <c r="EQ26" s="117" t="s">
        <v>123</v>
      </c>
      <c r="ER26" s="103"/>
      <c r="ES26" s="117" t="s">
        <v>121</v>
      </c>
      <c r="ET26" s="128" t="str">
        <f>HLOOKUP(CONCATENATE(ET$5,ET$6),RangeStreamsSec,$O26,FALSE)</f>
        <v>LCST2006</v>
      </c>
      <c r="EU26" s="117" t="s">
        <v>123</v>
      </c>
      <c r="EV26" s="103"/>
      <c r="EW26" s="117" t="s">
        <v>121</v>
      </c>
      <c r="EX26" s="128" t="str">
        <f>HLOOKUP(CONCATENATE(EX$5,EX$6),RangeStreamsSec,$O26,FALSE)</f>
        <v>MATH3011</v>
      </c>
      <c r="EY26" s="117" t="s">
        <v>123</v>
      </c>
      <c r="EZ26" s="103"/>
      <c r="FA26" s="117" t="s">
        <v>121</v>
      </c>
      <c r="FB26" s="128" t="str">
        <f>HLOOKUP(CONCATENATE(FB$5,FB$6),RangeStreamsSec,$O26,FALSE)</f>
        <v>PSYC2001</v>
      </c>
      <c r="FC26" s="117" t="s">
        <v>123</v>
      </c>
      <c r="FD26" s="103"/>
      <c r="FE26" s="117" t="s">
        <v>121</v>
      </c>
      <c r="FF26" s="128" t="str">
        <f>HLOOKUP(CONCATENATE(FF$5,FF$6),RangeStreamsSec,$O26,FALSE)</f>
        <v>SPRO2000</v>
      </c>
      <c r="FG26" s="117" t="s">
        <v>123</v>
      </c>
      <c r="FH26" s="103"/>
      <c r="FI26" s="117" t="s">
        <v>121</v>
      </c>
      <c r="FJ26" s="128" t="str">
        <f>HLOOKUP(CONCATENATE(FJ$5,FJ$6),RangeStreamsSec,$O26,FALSE)</f>
        <v>THTR2004</v>
      </c>
      <c r="FK26" s="117" t="s">
        <v>123</v>
      </c>
      <c r="FL26" s="103"/>
      <c r="FM26" s="117" t="s">
        <v>121</v>
      </c>
      <c r="FN26" s="128" t="str">
        <f>HLOOKUP(CONCATENATE(FN$5,FN$6),RangeStreamsSec,$O26,FALSE)</f>
        <v>VISA2004</v>
      </c>
      <c r="FO26" s="117" t="s">
        <v>123</v>
      </c>
      <c r="FP26" s="103"/>
      <c r="FQ26" s="117" t="s">
        <v>121</v>
      </c>
      <c r="FR26" s="128" t="str">
        <f>HLOOKUP(CONCATENATE(FR$5,FR$6),RangeStreamsSec,$O26,FALSE)</f>
        <v>AC-BSCIM4</v>
      </c>
      <c r="FS26" s="117" t="s">
        <v>123</v>
      </c>
      <c r="FT26" s="103"/>
      <c r="FU26" s="117" t="s">
        <v>121</v>
      </c>
      <c r="FV26" s="128" t="str">
        <f>HLOOKUP(CONCATENATE(FV$5,FV$6),RangeStreamsSec,$O26,FALSE)</f>
        <v>Opt-GEOB1</v>
      </c>
      <c r="FW26" s="117" t="s">
        <v>123</v>
      </c>
      <c r="FX26" s="103"/>
      <c r="FY26" s="117" t="s">
        <v>121</v>
      </c>
      <c r="FZ26" s="128" t="str">
        <f>HLOOKUP(CONCATENATE(FZ$5,FZ$6),RangeStreamsSec,$O26,FALSE)</f>
        <v>LCST2006</v>
      </c>
      <c r="GA26" s="117" t="s">
        <v>123</v>
      </c>
      <c r="GB26" s="103"/>
      <c r="GC26" s="117" t="s">
        <v>121</v>
      </c>
      <c r="GD26" s="128" t="str">
        <f>HLOOKUP(CONCATENATE(GD$5,GD$6),RangeStreamsSec,$O26,FALSE)</f>
        <v>MATH3011</v>
      </c>
      <c r="GE26" s="117" t="s">
        <v>123</v>
      </c>
      <c r="GF26" s="103"/>
      <c r="GG26" s="117" t="s">
        <v>121</v>
      </c>
      <c r="GH26" s="128" t="str">
        <f>HLOOKUP(CONCATENATE(GH$5,GH$6),RangeStreamsSec,$O26,FALSE)</f>
        <v>PSYC2001</v>
      </c>
      <c r="GI26" s="117" t="s">
        <v>123</v>
      </c>
      <c r="GJ26" s="103"/>
      <c r="GK26" s="117" t="s">
        <v>121</v>
      </c>
      <c r="GL26" s="128" t="str">
        <f>HLOOKUP(CONCATENATE(GL$5,GL$6),RangeStreamsSec,$O26,FALSE)</f>
        <v>SPRO2000</v>
      </c>
      <c r="GM26" s="117" t="s">
        <v>123</v>
      </c>
      <c r="GN26" s="103"/>
      <c r="GO26" s="117" t="s">
        <v>121</v>
      </c>
      <c r="GP26" s="128" t="str">
        <f>HLOOKUP(CONCATENATE(GP$5,GP$6),RangeStreamsSec,$O26,FALSE)</f>
        <v>THTR2004</v>
      </c>
      <c r="GQ26" s="117" t="s">
        <v>123</v>
      </c>
      <c r="GR26" s="103"/>
      <c r="GS26" s="117" t="s">
        <v>121</v>
      </c>
      <c r="GT26" s="128" t="str">
        <f>HLOOKUP(CONCATENATE(GT$5,GT$6),RangeStreamsSec,$O26,FALSE)</f>
        <v>VISA2004</v>
      </c>
      <c r="GU26" s="117" t="s">
        <v>123</v>
      </c>
      <c r="GV26" s="103"/>
      <c r="GW26" s="117" t="s">
        <v>121</v>
      </c>
      <c r="GX26" s="128" t="str">
        <f>HLOOKUP(CONCATENATE(GX$5,GX$6),RangeStreamsSec,$O26,FALSE)</f>
        <v>AC-BSCIM4</v>
      </c>
      <c r="GY26" s="117" t="s">
        <v>123</v>
      </c>
      <c r="GZ26" s="103"/>
      <c r="HA26" s="117" t="s">
        <v>121</v>
      </c>
      <c r="HB26" s="128" t="str">
        <f>HLOOKUP(CONCATENATE(HB$5,HB$6),RangeStreamsSec,$O26,FALSE)</f>
        <v>Opt-HISB1</v>
      </c>
      <c r="HC26" s="117" t="s">
        <v>123</v>
      </c>
      <c r="HD26" s="103"/>
      <c r="HE26" s="117" t="s">
        <v>121</v>
      </c>
      <c r="HF26" s="128" t="str">
        <f>HLOOKUP(CONCATENATE(HF$5,HF$6),RangeStreamsSec,$O26,FALSE)</f>
        <v>LCST2006</v>
      </c>
      <c r="HG26" s="117" t="s">
        <v>123</v>
      </c>
      <c r="HH26" s="103"/>
      <c r="HI26" s="117" t="s">
        <v>121</v>
      </c>
      <c r="HJ26" s="128" t="str">
        <f>HLOOKUP(CONCATENATE(HJ$5,HJ$6),RangeStreamsSec,$O26,FALSE)</f>
        <v>MATH3011</v>
      </c>
      <c r="HK26" s="117" t="s">
        <v>123</v>
      </c>
      <c r="HL26" s="103"/>
      <c r="HM26" s="117" t="s">
        <v>121</v>
      </c>
      <c r="HN26" s="128" t="str">
        <f>HLOOKUP(CONCATENATE(HN$5,HN$6),RangeStreamsSec,$O26,FALSE)</f>
        <v>PSYC2001</v>
      </c>
      <c r="HO26" s="117" t="s">
        <v>123</v>
      </c>
      <c r="HP26" s="103"/>
      <c r="HQ26" s="117" t="s">
        <v>121</v>
      </c>
      <c r="HR26" s="128" t="str">
        <f>HLOOKUP(CONCATENATE(HR$5,HR$6),RangeStreamsSec,$O26,FALSE)</f>
        <v>SPRO2000</v>
      </c>
      <c r="HS26" s="117" t="s">
        <v>123</v>
      </c>
      <c r="HT26" s="103"/>
      <c r="HU26" s="117" t="s">
        <v>121</v>
      </c>
      <c r="HV26" s="128" t="str">
        <f>HLOOKUP(CONCATENATE(HV$5,HV$6),RangeStreamsSec,$O26,FALSE)</f>
        <v>THTR2004</v>
      </c>
      <c r="HW26" s="117" t="s">
        <v>123</v>
      </c>
      <c r="HX26" s="103"/>
      <c r="HY26" s="117" t="s">
        <v>121</v>
      </c>
      <c r="HZ26" s="128" t="str">
        <f>HLOOKUP(CONCATENATE(HZ$5,HZ$6),RangeStreamsSec,$O26,FALSE)</f>
        <v>VISA2004</v>
      </c>
      <c r="IA26" s="117" t="s">
        <v>123</v>
      </c>
      <c r="IB26" s="103"/>
      <c r="IC26" s="117" t="s">
        <v>121</v>
      </c>
      <c r="ID26" s="128" t="str">
        <f>HLOOKUP(CONCATENATE(ID$5,ID$6),RangeStreamsSec,$O26,FALSE)</f>
        <v>AC-BSCIM4</v>
      </c>
      <c r="IE26" s="117" t="s">
        <v>123</v>
      </c>
      <c r="IF26" s="103"/>
      <c r="IG26" s="117" t="s">
        <v>121</v>
      </c>
      <c r="IH26" s="128" t="str">
        <f>HLOOKUP(CONCATENATE(IH$5,IH$6),RangeStreamsSec,$O26,FALSE)</f>
        <v>Opt-POLB1</v>
      </c>
      <c r="II26" s="117" t="s">
        <v>123</v>
      </c>
      <c r="IJ26" s="103"/>
      <c r="IK26" s="117" t="s">
        <v>121</v>
      </c>
      <c r="IL26" s="128" t="str">
        <f>HLOOKUP(CONCATENATE(IL$5,IL$6),RangeStreamsSec,$O26,FALSE)</f>
        <v>LCST2006</v>
      </c>
      <c r="IM26" s="117" t="s">
        <v>123</v>
      </c>
      <c r="IN26" s="103"/>
      <c r="IO26" s="117" t="s">
        <v>121</v>
      </c>
      <c r="IP26" s="128" t="str">
        <f>HLOOKUP(CONCATENATE(IP$5,IP$6),RangeStreamsSec,$O26,FALSE)</f>
        <v>MATH3011</v>
      </c>
      <c r="IQ26" s="117" t="s">
        <v>123</v>
      </c>
      <c r="IR26" s="103"/>
      <c r="IS26" s="117" t="s">
        <v>121</v>
      </c>
      <c r="IT26" s="128" t="str">
        <f>HLOOKUP(CONCATENATE(IT$5,IT$6),RangeStreamsSec,$O26,FALSE)</f>
        <v>PSYC2001</v>
      </c>
      <c r="IU26" s="117" t="s">
        <v>123</v>
      </c>
      <c r="IV26" s="103"/>
      <c r="IW26" s="117" t="s">
        <v>121</v>
      </c>
      <c r="IX26" s="128" t="str">
        <f>HLOOKUP(CONCATENATE(IX$5,IX$6),RangeStreamsSec,$O26,FALSE)</f>
        <v>SPRO2000</v>
      </c>
      <c r="IY26" s="117" t="s">
        <v>123</v>
      </c>
      <c r="IZ26" s="103"/>
      <c r="JA26" s="117" t="s">
        <v>121</v>
      </c>
      <c r="JB26" s="128" t="str">
        <f>HLOOKUP(CONCATENATE(JB$5,JB$6),RangeStreamsSec,$O26,FALSE)</f>
        <v>THTR2004</v>
      </c>
      <c r="JC26" s="117" t="s">
        <v>123</v>
      </c>
      <c r="JD26" s="103"/>
      <c r="JE26" s="117" t="s">
        <v>121</v>
      </c>
      <c r="JF26" s="128" t="str">
        <f>HLOOKUP(CONCATENATE(JF$5,JF$6),RangeStreamsSec,$O26,FALSE)</f>
        <v>VISA2004</v>
      </c>
      <c r="JG26" s="117" t="s">
        <v>123</v>
      </c>
      <c r="JH26" s="103"/>
      <c r="JI26" s="117" t="s">
        <v>121</v>
      </c>
      <c r="JJ26" s="128" t="e">
        <f>HLOOKUP(CONCATENATE(JJ$5,JJ$6),RangeStreamsSec,$O26,FALSE)</f>
        <v>#N/A</v>
      </c>
      <c r="JK26" s="117" t="s">
        <v>123</v>
      </c>
      <c r="JL26" s="103"/>
      <c r="JM26" s="117" t="s">
        <v>121</v>
      </c>
      <c r="JN26" s="128" t="str">
        <f>HLOOKUP(CONCATENATE(JN$5,JN$6),RangeStreamsSec,$O26,FALSE)</f>
        <v>AC-BSCIM4</v>
      </c>
      <c r="JO26" s="117" t="s">
        <v>123</v>
      </c>
      <c r="JP26" s="103"/>
      <c r="JQ26" s="117" t="s">
        <v>121</v>
      </c>
      <c r="JR26" s="128" t="str">
        <f>HLOOKUP(CONCATENATE(JR$5,JR$6),RangeStreamsSec,$O26,FALSE)</f>
        <v>EDPR3000</v>
      </c>
      <c r="JS26" s="117" t="s">
        <v>123</v>
      </c>
      <c r="JT26" s="103"/>
      <c r="JU26" s="117" t="s">
        <v>121</v>
      </c>
      <c r="JV26" s="128" t="str">
        <f>HLOOKUP(CONCATENATE(JV$5,JV$6),RangeStreamsSec,$O26,FALSE)</f>
        <v>LCST2006</v>
      </c>
      <c r="JW26" s="117" t="s">
        <v>123</v>
      </c>
      <c r="JX26" s="103"/>
      <c r="JY26" s="117" t="s">
        <v>121</v>
      </c>
      <c r="JZ26" s="128" t="str">
        <f>HLOOKUP(CONCATENATE(JZ$5,JZ$6),RangeStreamsSec,$O26,FALSE)</f>
        <v>GEOG2001</v>
      </c>
      <c r="KA26" s="117" t="s">
        <v>123</v>
      </c>
      <c r="KB26" s="103"/>
      <c r="KC26" s="117" t="s">
        <v>121</v>
      </c>
      <c r="KD26" s="128" t="str">
        <f>HLOOKUP(CONCATENATE(KD$5,KD$6),RangeStreamsSec,$O26,FALSE)</f>
        <v>HIST2001</v>
      </c>
      <c r="KE26" s="117" t="s">
        <v>123</v>
      </c>
      <c r="KF26" s="103"/>
      <c r="KG26" s="117" t="s">
        <v>121</v>
      </c>
      <c r="KH26" s="128" t="str">
        <f>HLOOKUP(CONCATENATE(KH$5,KH$6),RangeStreamsSec,$O26,FALSE)</f>
        <v>PSYC2001</v>
      </c>
      <c r="KI26" s="117" t="s">
        <v>123</v>
      </c>
      <c r="KJ26" s="103"/>
      <c r="KK26" s="117" t="s">
        <v>121</v>
      </c>
      <c r="KL26" s="128" t="str">
        <f>HLOOKUP(CONCATENATE(KL$5,KL$6),RangeStreamsSec,$O26,FALSE)</f>
        <v>SPRO2000</v>
      </c>
      <c r="KM26" s="117" t="s">
        <v>123</v>
      </c>
      <c r="KN26" s="103"/>
      <c r="KO26" s="117" t="s">
        <v>121</v>
      </c>
      <c r="KP26" s="128" t="str">
        <f>HLOOKUP(CONCATENATE(KP$5,KP$6),RangeStreamsSec,$O26,FALSE)</f>
        <v>THTR2004</v>
      </c>
      <c r="KQ26" s="117" t="s">
        <v>123</v>
      </c>
      <c r="KR26" s="103"/>
      <c r="KS26" s="117" t="s">
        <v>121</v>
      </c>
      <c r="KT26" s="128" t="str">
        <f>HLOOKUP(CONCATENATE(KT$5,KT$6),RangeStreamsSec,$O26,FALSE)</f>
        <v>VISA2004</v>
      </c>
      <c r="KU26" s="117" t="s">
        <v>123</v>
      </c>
      <c r="KV26" s="103"/>
      <c r="KW26" s="117" t="s">
        <v>121</v>
      </c>
      <c r="KX26" s="363" t="s">
        <v>559</v>
      </c>
      <c r="KY26" s="117" t="s">
        <v>123</v>
      </c>
      <c r="KZ26" s="103"/>
      <c r="LA26" s="117" t="s">
        <v>121</v>
      </c>
      <c r="LB26" s="363" t="s">
        <v>559</v>
      </c>
      <c r="LC26" s="117" t="s">
        <v>123</v>
      </c>
      <c r="LD26" s="103"/>
      <c r="LE26" s="117" t="s">
        <v>121</v>
      </c>
      <c r="LF26" s="128" t="str">
        <f>HLOOKUP(CONCATENATE(LF$5,LF$6),RangeStreamsSec,$O26,FALSE)</f>
        <v>Opt-BIOLB</v>
      </c>
      <c r="LG26" s="117" t="s">
        <v>123</v>
      </c>
      <c r="LH26" s="103"/>
      <c r="LI26" s="117" t="s">
        <v>121</v>
      </c>
      <c r="LJ26" s="128" t="str">
        <f>HLOOKUP(CONCATENATE(LJ$5,LJ$6),RangeStreamsSec,$O26,FALSE)</f>
        <v>LCST2006</v>
      </c>
      <c r="LK26" s="117" t="s">
        <v>123</v>
      </c>
      <c r="LL26" s="103"/>
      <c r="LM26" s="117" t="s">
        <v>121</v>
      </c>
      <c r="LN26" s="128" t="str">
        <f>HLOOKUP(CONCATENATE(LN$5,LN$6),RangeStreamsSec,$O26,FALSE)</f>
        <v>GEOG2001</v>
      </c>
      <c r="LO26" s="117" t="s">
        <v>123</v>
      </c>
      <c r="LP26" s="103"/>
      <c r="LQ26" s="117" t="s">
        <v>121</v>
      </c>
      <c r="LR26" s="128" t="str">
        <f>HLOOKUP(CONCATENATE(LR$5,LR$6),RangeStreamsSec,$O26,FALSE)</f>
        <v>HIST2001</v>
      </c>
      <c r="LS26" s="117" t="s">
        <v>123</v>
      </c>
      <c r="LT26" s="103"/>
      <c r="LU26" s="117" t="s">
        <v>121</v>
      </c>
      <c r="LV26" s="128" t="str">
        <f>HLOOKUP(CONCATENATE(LV$5,LV$6),RangeStreamsSec,$O26,FALSE)</f>
        <v>MATH3011</v>
      </c>
      <c r="LW26" s="117" t="s">
        <v>123</v>
      </c>
      <c r="LX26" s="103"/>
      <c r="LY26" s="117" t="s">
        <v>121</v>
      </c>
      <c r="LZ26" s="128" t="str">
        <f>HLOOKUP(CONCATENATE(LZ$5,LZ$6),RangeStreamsSec,$O26,FALSE)</f>
        <v>SPRO2000</v>
      </c>
      <c r="MA26" s="117" t="s">
        <v>123</v>
      </c>
      <c r="MB26" s="103"/>
      <c r="MC26" s="117" t="s">
        <v>121</v>
      </c>
      <c r="MD26" s="128" t="str">
        <f>HLOOKUP(CONCATENATE(MD$5,MD$6),RangeStreamsSec,$O26,FALSE)</f>
        <v>THTR2004</v>
      </c>
      <c r="ME26" s="117" t="s">
        <v>123</v>
      </c>
      <c r="MF26" s="103"/>
      <c r="MG26" s="117" t="s">
        <v>121</v>
      </c>
      <c r="MH26" s="128" t="str">
        <f>HLOOKUP(CONCATENATE(MH$5,MH$6),RangeStreamsSec,$O26,FALSE)</f>
        <v>VISA2004</v>
      </c>
      <c r="MI26" s="117" t="s">
        <v>123</v>
      </c>
      <c r="MJ26" s="103"/>
      <c r="MK26" s="117" t="s">
        <v>121</v>
      </c>
      <c r="ML26" s="128" t="str">
        <f>HLOOKUP(CONCATENATE(ML$5,ML$6),RangeStreamsSec,$O26,FALSE)</f>
        <v>Opt-CHEMB</v>
      </c>
      <c r="MM26" s="117" t="s">
        <v>123</v>
      </c>
      <c r="MN26" s="103"/>
      <c r="MO26" s="117" t="s">
        <v>121</v>
      </c>
      <c r="MP26" s="128" t="str">
        <f>HLOOKUP(CONCATENATE(MP$5,MP$6),RangeStreamsSec,$O26,FALSE)</f>
        <v>LCST2006</v>
      </c>
      <c r="MQ26" s="117" t="s">
        <v>123</v>
      </c>
      <c r="MR26" s="103"/>
      <c r="MS26" s="117" t="s">
        <v>121</v>
      </c>
      <c r="MT26" s="128" t="str">
        <f>HLOOKUP(CONCATENATE(MT$5,MT$6),RangeStreamsSec,$O26,FALSE)</f>
        <v>GEOG2001</v>
      </c>
      <c r="MU26" s="117" t="s">
        <v>123</v>
      </c>
      <c r="MV26" s="103"/>
      <c r="MW26" s="117" t="s">
        <v>121</v>
      </c>
      <c r="MX26" s="128" t="str">
        <f>HLOOKUP(CONCATENATE(MX$5,MX$6),RangeStreamsSec,$O26,FALSE)</f>
        <v>HIST2001</v>
      </c>
      <c r="MY26" s="117" t="s">
        <v>123</v>
      </c>
      <c r="MZ26" s="103"/>
      <c r="NA26" s="117" t="s">
        <v>121</v>
      </c>
      <c r="NB26" s="128" t="str">
        <f>HLOOKUP(CONCATENATE(NB$5,NB$6),RangeStreamsSec,$O26,FALSE)</f>
        <v>MATH3011</v>
      </c>
      <c r="NC26" s="117" t="s">
        <v>123</v>
      </c>
      <c r="ND26" s="103"/>
      <c r="NE26" s="117" t="s">
        <v>121</v>
      </c>
      <c r="NF26" s="128" t="str">
        <f>HLOOKUP(CONCATENATE(NF$5,NF$6),RangeStreamsSec,$O26,FALSE)</f>
        <v>SPRO2000</v>
      </c>
      <c r="NG26" s="117" t="s">
        <v>123</v>
      </c>
      <c r="NH26" s="103"/>
      <c r="NI26" s="117" t="s">
        <v>121</v>
      </c>
      <c r="NJ26" s="128" t="str">
        <f>HLOOKUP(CONCATENATE(NJ$5,NJ$6),RangeStreamsSec,$O26,FALSE)</f>
        <v>THTR2004</v>
      </c>
      <c r="NK26" s="117" t="s">
        <v>123</v>
      </c>
      <c r="NL26" s="103"/>
      <c r="NM26" s="117" t="s">
        <v>121</v>
      </c>
      <c r="NN26" s="128" t="str">
        <f>HLOOKUP(CONCATENATE(NN$5,NN$6),RangeStreamsSec,$O26,FALSE)</f>
        <v>VISA2004</v>
      </c>
      <c r="NO26" s="117" t="s">
        <v>123</v>
      </c>
      <c r="NP26" s="103"/>
      <c r="NQ26" s="117" t="s">
        <v>121</v>
      </c>
      <c r="NR26" s="128" t="str">
        <f>HLOOKUP(CONCATENATE(NR$5,NR$6),RangeStreamsSec,$O26,FALSE)</f>
        <v>Opt-HUMBB</v>
      </c>
      <c r="NS26" s="117" t="s">
        <v>123</v>
      </c>
      <c r="NT26" s="103"/>
      <c r="NU26" s="117" t="s">
        <v>121</v>
      </c>
      <c r="NV26" s="128" t="str">
        <f>HLOOKUP(CONCATENATE(NV$5,NV$6),RangeStreamsSec,$O26,FALSE)</f>
        <v>LCST2006</v>
      </c>
      <c r="NW26" s="117" t="s">
        <v>123</v>
      </c>
      <c r="NX26" s="103"/>
      <c r="NY26" s="117" t="s">
        <v>121</v>
      </c>
      <c r="NZ26" s="128" t="str">
        <f>HLOOKUP(CONCATENATE(NZ$5,NZ$6),RangeStreamsSec,$O26,FALSE)</f>
        <v>GEOG2001</v>
      </c>
      <c r="OA26" s="117" t="s">
        <v>123</v>
      </c>
      <c r="OB26" s="103"/>
      <c r="OC26" s="117" t="s">
        <v>121</v>
      </c>
      <c r="OD26" s="128" t="str">
        <f>HLOOKUP(CONCATENATE(OD$5,OD$6),RangeStreamsSec,$O26,FALSE)</f>
        <v>HIST2001</v>
      </c>
      <c r="OE26" s="117" t="s">
        <v>123</v>
      </c>
      <c r="OF26" s="103"/>
      <c r="OG26" s="117" t="s">
        <v>121</v>
      </c>
      <c r="OH26" s="128" t="str">
        <f>HLOOKUP(CONCATENATE(OH$5,OH$6),RangeStreamsSec,$O26,FALSE)</f>
        <v>MATH3011</v>
      </c>
      <c r="OI26" s="117" t="s">
        <v>123</v>
      </c>
      <c r="OJ26" s="103"/>
      <c r="OK26" s="117" t="s">
        <v>121</v>
      </c>
      <c r="OL26" s="128" t="str">
        <f>HLOOKUP(CONCATENATE(OL$5,OL$6),RangeStreamsSec,$O26,FALSE)</f>
        <v>SPRO2000</v>
      </c>
      <c r="OM26" s="117" t="s">
        <v>123</v>
      </c>
      <c r="ON26" s="103"/>
      <c r="OO26" s="117" t="s">
        <v>121</v>
      </c>
      <c r="OP26" s="128" t="str">
        <f>HLOOKUP(CONCATENATE(OP$5,OP$6),RangeStreamsSec,$O26,FALSE)</f>
        <v>THTR2004</v>
      </c>
      <c r="OQ26" s="117" t="s">
        <v>123</v>
      </c>
      <c r="OR26" s="103"/>
      <c r="OS26" s="117" t="s">
        <v>121</v>
      </c>
      <c r="OT26" s="128" t="str">
        <f>HLOOKUP(CONCATENATE(OT$5,OT$6),RangeStreamsSec,$O26,FALSE)</f>
        <v>VISA2004</v>
      </c>
      <c r="OU26" s="117" t="s">
        <v>123</v>
      </c>
      <c r="OV26" s="103"/>
      <c r="OW26" s="117" t="s">
        <v>121</v>
      </c>
      <c r="OX26" s="128" t="str">
        <f>HLOOKUP(CONCATENATE(OX$5,OX$6),RangeStreamsSec,$O26,FALSE)</f>
        <v>Opt-PSYCB</v>
      </c>
      <c r="OY26" s="117" t="s">
        <v>123</v>
      </c>
      <c r="OZ26" s="103"/>
      <c r="PA26" s="117" t="s">
        <v>121</v>
      </c>
      <c r="PB26" s="128" t="str">
        <f>HLOOKUP(CONCATENATE(PB$5,PB$6),RangeStreamsSec,$O26,FALSE)</f>
        <v>LCST2006</v>
      </c>
      <c r="PC26" s="117" t="s">
        <v>123</v>
      </c>
      <c r="PD26" s="103"/>
      <c r="PE26" s="117" t="s">
        <v>121</v>
      </c>
      <c r="PF26" s="128" t="str">
        <f>HLOOKUP(CONCATENATE(PF$5,PF$6),RangeStreamsSec,$O26,FALSE)</f>
        <v>GEOG2001</v>
      </c>
      <c r="PG26" s="117" t="s">
        <v>123</v>
      </c>
      <c r="PH26" s="103"/>
      <c r="PI26" s="117" t="s">
        <v>121</v>
      </c>
      <c r="PJ26" s="128" t="str">
        <f>HLOOKUP(CONCATENATE(PJ$5,PJ$6),RangeStreamsSec,$O26,FALSE)</f>
        <v>HIST2001</v>
      </c>
      <c r="PK26" s="117" t="s">
        <v>123</v>
      </c>
      <c r="PL26" s="103"/>
      <c r="PM26" s="117" t="s">
        <v>121</v>
      </c>
      <c r="PN26" s="128" t="str">
        <f>HLOOKUP(CONCATENATE(PN$5,PN$6),RangeStreamsSec,$O26,FALSE)</f>
        <v>MATH3011</v>
      </c>
      <c r="PO26" s="117" t="s">
        <v>123</v>
      </c>
      <c r="PP26" s="103"/>
      <c r="PQ26" s="117" t="s">
        <v>121</v>
      </c>
      <c r="PR26" s="128" t="str">
        <f>HLOOKUP(CONCATENATE(PR$5,PR$6),RangeStreamsSec,$O26,FALSE)</f>
        <v>SPRO2000</v>
      </c>
      <c r="PS26" s="117" t="s">
        <v>123</v>
      </c>
      <c r="PT26" s="103"/>
      <c r="PU26" s="117" t="s">
        <v>121</v>
      </c>
      <c r="PV26" s="128" t="str">
        <f>HLOOKUP(CONCATENATE(PV$5,PV$6),RangeStreamsSec,$O26,FALSE)</f>
        <v>THTR2004</v>
      </c>
      <c r="PW26" s="117" t="s">
        <v>123</v>
      </c>
      <c r="PX26" s="103"/>
      <c r="PY26" s="117" t="s">
        <v>121</v>
      </c>
      <c r="PZ26" s="128" t="str">
        <f>HLOOKUP(CONCATENATE(PZ$5,PZ$6),RangeStreamsSec,$O26,FALSE)</f>
        <v>VISA2004</v>
      </c>
      <c r="QA26" s="117" t="s">
        <v>123</v>
      </c>
      <c r="QB26" s="103"/>
      <c r="QC26" s="117" t="s">
        <v>121</v>
      </c>
      <c r="QD26" s="128" t="e">
        <f>HLOOKUP(CONCATENATE(QD$5,QD$6),RangeStreamsSec,$O26,FALSE)</f>
        <v>#N/A</v>
      </c>
      <c r="QE26" s="117" t="s">
        <v>123</v>
      </c>
      <c r="QF26" s="103"/>
      <c r="QG26" s="117" t="s">
        <v>121</v>
      </c>
      <c r="QH26" s="128" t="e">
        <f>HLOOKUP(CONCATENATE(QH$5,QH$6),RangeStreamsSec,$O26,FALSE)</f>
        <v>#N/A</v>
      </c>
      <c r="QI26" s="117" t="s">
        <v>123</v>
      </c>
      <c r="QJ26" s="103"/>
    </row>
    <row r="27" spans="1:452" x14ac:dyDescent="0.25">
      <c r="A27" s="353" t="s">
        <v>399</v>
      </c>
      <c r="B27" s="7" t="s">
        <v>368</v>
      </c>
      <c r="C27" s="268" t="s">
        <v>72</v>
      </c>
      <c r="D27" s="269">
        <v>45658</v>
      </c>
      <c r="E27" s="268">
        <v>7</v>
      </c>
      <c r="F27" s="269">
        <v>45658</v>
      </c>
      <c r="G27" s="7" t="s">
        <v>398</v>
      </c>
      <c r="J27" s="140" t="s">
        <v>339</v>
      </c>
      <c r="K27" s="145" t="s">
        <v>221</v>
      </c>
      <c r="L27" s="140"/>
      <c r="O27" s="19"/>
      <c r="P27" s="3">
        <v>25</v>
      </c>
      <c r="Q27" s="116" t="s">
        <v>123</v>
      </c>
      <c r="R27" s="115" t="s">
        <v>400</v>
      </c>
      <c r="S27" s="116" t="s">
        <v>121</v>
      </c>
      <c r="T27" s="115"/>
      <c r="U27" s="116" t="s">
        <v>123</v>
      </c>
      <c r="V27" s="297" t="str">
        <f t="shared" ref="V27:V28" si="108">$R27</f>
        <v>EDSC3013</v>
      </c>
      <c r="W27" s="116" t="s">
        <v>121</v>
      </c>
      <c r="X27" s="115"/>
      <c r="Y27" s="116" t="s">
        <v>123</v>
      </c>
      <c r="Z27" s="297" t="str">
        <f t="shared" ref="Z27:Z28" si="109">$R27</f>
        <v>EDSC3013</v>
      </c>
      <c r="AA27" s="116" t="s">
        <v>121</v>
      </c>
      <c r="AB27" s="115"/>
      <c r="AC27" s="116" t="s">
        <v>123</v>
      </c>
      <c r="AD27" s="297" t="str">
        <f t="shared" ref="AD27:AD28" si="110">$R27</f>
        <v>EDSC3013</v>
      </c>
      <c r="AE27" s="116" t="s">
        <v>121</v>
      </c>
      <c r="AF27" s="115"/>
      <c r="AG27" s="116" t="s">
        <v>123</v>
      </c>
      <c r="AH27" s="297" t="str">
        <f t="shared" ref="AH27:AH28" si="111">$R27</f>
        <v>EDSC3013</v>
      </c>
      <c r="AI27" s="116" t="s">
        <v>121</v>
      </c>
      <c r="AJ27" s="115"/>
      <c r="AK27" s="116" t="s">
        <v>123</v>
      </c>
      <c r="AL27" s="297" t="str">
        <f t="shared" ref="AL27:AL28" si="112">$R27</f>
        <v>EDSC3013</v>
      </c>
      <c r="AM27" s="116" t="s">
        <v>121</v>
      </c>
      <c r="AN27" s="115"/>
      <c r="AO27" s="116" t="s">
        <v>123</v>
      </c>
      <c r="AP27" s="297" t="str">
        <f t="shared" ref="AP27:AP28" si="113">$R27</f>
        <v>EDSC3013</v>
      </c>
      <c r="AQ27" s="116" t="s">
        <v>121</v>
      </c>
      <c r="AR27" s="115"/>
      <c r="AS27" s="116" t="s">
        <v>123</v>
      </c>
      <c r="AT27" s="297" t="str">
        <f t="shared" ref="AT27:AT28" si="114">$R27</f>
        <v>EDSC3013</v>
      </c>
      <c r="AU27" s="116" t="s">
        <v>121</v>
      </c>
      <c r="AV27" s="115"/>
      <c r="AW27" s="116" t="s">
        <v>123</v>
      </c>
      <c r="AX27" s="297" t="str">
        <f t="shared" ref="AX27:AX28" si="115">$R27</f>
        <v>EDSC3013</v>
      </c>
      <c r="AY27" s="116" t="s">
        <v>121</v>
      </c>
      <c r="AZ27" s="115"/>
      <c r="BA27" s="116" t="s">
        <v>123</v>
      </c>
      <c r="BB27" s="297" t="str">
        <f t="shared" ref="BB27:BB28" si="116">$R27</f>
        <v>EDSC3013</v>
      </c>
      <c r="BC27" s="116" t="s">
        <v>121</v>
      </c>
      <c r="BD27" s="115"/>
      <c r="BE27" s="116" t="s">
        <v>123</v>
      </c>
      <c r="BF27" s="297" t="str">
        <f t="shared" ref="BF27:BF28" si="117">$R27</f>
        <v>EDSC3013</v>
      </c>
      <c r="BG27" s="116" t="s">
        <v>121</v>
      </c>
      <c r="BH27" s="115"/>
      <c r="BI27" s="116" t="s">
        <v>123</v>
      </c>
      <c r="BJ27" s="297" t="str">
        <f t="shared" ref="BJ27:BJ28" si="118">$R27</f>
        <v>EDSC3013</v>
      </c>
      <c r="BK27" s="116" t="s">
        <v>121</v>
      </c>
      <c r="BL27" s="115"/>
      <c r="BM27" s="116" t="s">
        <v>123</v>
      </c>
      <c r="BN27" s="297" t="str">
        <f t="shared" ref="BN27:BN28" si="119">$R27</f>
        <v>EDSC3013</v>
      </c>
      <c r="BO27" s="116" t="s">
        <v>121</v>
      </c>
      <c r="BP27" s="115"/>
      <c r="BQ27" s="116" t="s">
        <v>123</v>
      </c>
      <c r="BR27" s="297" t="str">
        <f t="shared" ref="BR27:BR28" si="120">$R27</f>
        <v>EDSC3013</v>
      </c>
      <c r="BS27" s="116" t="s">
        <v>121</v>
      </c>
      <c r="BT27" s="115"/>
      <c r="BU27" s="116" t="s">
        <v>123</v>
      </c>
      <c r="BV27" s="297" t="str">
        <f t="shared" ref="BV27:BV28" si="121">$R27</f>
        <v>EDSC3013</v>
      </c>
      <c r="BW27" s="116" t="s">
        <v>121</v>
      </c>
      <c r="BX27" s="115"/>
      <c r="BY27" s="116" t="s">
        <v>123</v>
      </c>
      <c r="BZ27" s="297" t="str">
        <f t="shared" ref="BZ27:BZ28" si="122">$R27</f>
        <v>EDSC3013</v>
      </c>
      <c r="CA27" s="116" t="s">
        <v>121</v>
      </c>
      <c r="CB27" s="115"/>
      <c r="CC27" s="116" t="s">
        <v>123</v>
      </c>
      <c r="CD27" s="297" t="str">
        <f t="shared" ref="CD27:CD28" si="123">$R27</f>
        <v>EDSC3013</v>
      </c>
      <c r="CE27" s="116" t="s">
        <v>121</v>
      </c>
      <c r="CF27" s="115"/>
      <c r="CG27" s="116" t="s">
        <v>123</v>
      </c>
      <c r="CH27" s="297" t="str">
        <f t="shared" ref="CH27:CH28" si="124">$R27</f>
        <v>EDSC3013</v>
      </c>
      <c r="CI27" s="116" t="s">
        <v>121</v>
      </c>
      <c r="CJ27" s="115"/>
      <c r="CK27" s="116" t="s">
        <v>123</v>
      </c>
      <c r="CL27" s="297" t="str">
        <f t="shared" ref="CL27:CL28" si="125">$R27</f>
        <v>EDSC3013</v>
      </c>
      <c r="CM27" s="116" t="s">
        <v>121</v>
      </c>
      <c r="CN27" s="115"/>
      <c r="CO27" s="116" t="s">
        <v>123</v>
      </c>
      <c r="CP27" s="297" t="str">
        <f t="shared" ref="CP27:CP28" si="126">$R27</f>
        <v>EDSC3013</v>
      </c>
      <c r="CQ27" s="116" t="s">
        <v>121</v>
      </c>
      <c r="CR27" s="115"/>
      <c r="CS27" s="116" t="s">
        <v>123</v>
      </c>
      <c r="CT27" s="297" t="str">
        <f t="shared" ref="CT27:CT28" si="127">$R27</f>
        <v>EDSC3013</v>
      </c>
      <c r="CU27" s="116" t="s">
        <v>121</v>
      </c>
      <c r="CV27" s="115"/>
      <c r="CW27" s="116" t="s">
        <v>123</v>
      </c>
      <c r="CX27" s="297" t="str">
        <f t="shared" ref="CX27:CX28" si="128">$R27</f>
        <v>EDSC3013</v>
      </c>
      <c r="CY27" s="116" t="s">
        <v>121</v>
      </c>
      <c r="CZ27" s="115"/>
      <c r="DA27" s="116" t="s">
        <v>123</v>
      </c>
      <c r="DB27" s="297" t="str">
        <f t="shared" ref="DB27:DB28" si="129">$R27</f>
        <v>EDSC3013</v>
      </c>
      <c r="DC27" s="116" t="s">
        <v>121</v>
      </c>
      <c r="DD27" s="115"/>
      <c r="DE27" s="116" t="s">
        <v>123</v>
      </c>
      <c r="DF27" s="297" t="str">
        <f t="shared" ref="DF27:DF28" si="130">$R27</f>
        <v>EDSC3013</v>
      </c>
      <c r="DG27" s="116" t="s">
        <v>121</v>
      </c>
      <c r="DH27" s="115"/>
      <c r="DI27" s="116" t="s">
        <v>123</v>
      </c>
      <c r="DJ27" s="297" t="str">
        <f t="shared" ref="DJ27:DJ28" si="131">$R27</f>
        <v>EDSC3013</v>
      </c>
      <c r="DK27" s="116" t="s">
        <v>121</v>
      </c>
      <c r="DL27" s="115"/>
      <c r="DM27" s="116" t="s">
        <v>123</v>
      </c>
      <c r="DN27" s="297" t="str">
        <f t="shared" ref="DN27:DN28" si="132">$R27</f>
        <v>EDSC3013</v>
      </c>
      <c r="DO27" s="116" t="s">
        <v>121</v>
      </c>
      <c r="DP27" s="115"/>
      <c r="DQ27" s="116" t="s">
        <v>123</v>
      </c>
      <c r="DR27" s="297" t="str">
        <f t="shared" ref="DR27:DR28" si="133">$R27</f>
        <v>EDSC3013</v>
      </c>
      <c r="DS27" s="116" t="s">
        <v>121</v>
      </c>
      <c r="DT27" s="115"/>
      <c r="DU27" s="116" t="s">
        <v>123</v>
      </c>
      <c r="DV27" s="297" t="str">
        <f t="shared" ref="DV27:DV28" si="134">$R27</f>
        <v>EDSC3013</v>
      </c>
      <c r="DW27" s="116" t="s">
        <v>121</v>
      </c>
      <c r="DX27" s="115"/>
      <c r="DY27" s="116" t="s">
        <v>123</v>
      </c>
      <c r="DZ27" s="297" t="str">
        <f t="shared" ref="DZ27:DZ28" si="135">$R27</f>
        <v>EDSC3013</v>
      </c>
      <c r="EA27" s="116" t="s">
        <v>121</v>
      </c>
      <c r="EB27" s="115"/>
      <c r="EC27" s="116" t="s">
        <v>123</v>
      </c>
      <c r="ED27" s="297" t="str">
        <f t="shared" ref="ED27:ED28" si="136">$R27</f>
        <v>EDSC3013</v>
      </c>
      <c r="EE27" s="116" t="s">
        <v>121</v>
      </c>
      <c r="EF27" s="115"/>
      <c r="EG27" s="116" t="s">
        <v>123</v>
      </c>
      <c r="EH27" s="297" t="str">
        <f t="shared" ref="EH27:EH28" si="137">$R27</f>
        <v>EDSC3013</v>
      </c>
      <c r="EI27" s="116" t="s">
        <v>121</v>
      </c>
      <c r="EJ27" s="115"/>
      <c r="EK27" s="116" t="s">
        <v>123</v>
      </c>
      <c r="EL27" s="297" t="str">
        <f t="shared" ref="EL27:EL28" si="138">$R27</f>
        <v>EDSC3013</v>
      </c>
      <c r="EM27" s="116" t="s">
        <v>121</v>
      </c>
      <c r="EN27" s="115"/>
      <c r="EO27" s="116" t="s">
        <v>123</v>
      </c>
      <c r="EP27" s="297" t="str">
        <f t="shared" ref="EP27:EP28" si="139">$R27</f>
        <v>EDSC3013</v>
      </c>
      <c r="EQ27" s="116" t="s">
        <v>121</v>
      </c>
      <c r="ER27" s="115"/>
      <c r="ES27" s="116" t="s">
        <v>123</v>
      </c>
      <c r="ET27" s="297" t="str">
        <f t="shared" ref="ET27:ET28" si="140">$R27</f>
        <v>EDSC3013</v>
      </c>
      <c r="EU27" s="116" t="s">
        <v>121</v>
      </c>
      <c r="EV27" s="115"/>
      <c r="EW27" s="116" t="s">
        <v>123</v>
      </c>
      <c r="EX27" s="297" t="str">
        <f t="shared" ref="EX27:EX28" si="141">$R27</f>
        <v>EDSC3013</v>
      </c>
      <c r="EY27" s="116" t="s">
        <v>121</v>
      </c>
      <c r="EZ27" s="115"/>
      <c r="FA27" s="116" t="s">
        <v>123</v>
      </c>
      <c r="FB27" s="297" t="str">
        <f t="shared" ref="FB27:FB28" si="142">$R27</f>
        <v>EDSC3013</v>
      </c>
      <c r="FC27" s="116" t="s">
        <v>121</v>
      </c>
      <c r="FD27" s="115"/>
      <c r="FE27" s="116" t="s">
        <v>123</v>
      </c>
      <c r="FF27" s="297" t="str">
        <f t="shared" ref="FF27:FF28" si="143">$R27</f>
        <v>EDSC3013</v>
      </c>
      <c r="FG27" s="116" t="s">
        <v>121</v>
      </c>
      <c r="FH27" s="115"/>
      <c r="FI27" s="116" t="s">
        <v>123</v>
      </c>
      <c r="FJ27" s="297" t="str">
        <f t="shared" ref="FJ27:FJ28" si="144">$R27</f>
        <v>EDSC3013</v>
      </c>
      <c r="FK27" s="116" t="s">
        <v>121</v>
      </c>
      <c r="FL27" s="115"/>
      <c r="FM27" s="116" t="s">
        <v>123</v>
      </c>
      <c r="FN27" s="297" t="str">
        <f t="shared" ref="FN27:FN28" si="145">$R27</f>
        <v>EDSC3013</v>
      </c>
      <c r="FO27" s="116" t="s">
        <v>121</v>
      </c>
      <c r="FP27" s="115"/>
      <c r="FQ27" s="116" t="s">
        <v>123</v>
      </c>
      <c r="FR27" s="297" t="str">
        <f t="shared" ref="FR27:FR28" si="146">$R27</f>
        <v>EDSC3013</v>
      </c>
      <c r="FS27" s="116" t="s">
        <v>121</v>
      </c>
      <c r="FT27" s="115"/>
      <c r="FU27" s="116" t="s">
        <v>123</v>
      </c>
      <c r="FV27" s="297" t="str">
        <f t="shared" ref="FV27:FV28" si="147">$R27</f>
        <v>EDSC3013</v>
      </c>
      <c r="FW27" s="116" t="s">
        <v>121</v>
      </c>
      <c r="FX27" s="115"/>
      <c r="FY27" s="116" t="s">
        <v>123</v>
      </c>
      <c r="FZ27" s="297" t="str">
        <f t="shared" ref="FZ27:FZ28" si="148">$R27</f>
        <v>EDSC3013</v>
      </c>
      <c r="GA27" s="116" t="s">
        <v>121</v>
      </c>
      <c r="GB27" s="115"/>
      <c r="GC27" s="116" t="s">
        <v>123</v>
      </c>
      <c r="GD27" s="297" t="str">
        <f t="shared" ref="GD27:GD28" si="149">$R27</f>
        <v>EDSC3013</v>
      </c>
      <c r="GE27" s="116" t="s">
        <v>121</v>
      </c>
      <c r="GF27" s="115"/>
      <c r="GG27" s="116" t="s">
        <v>123</v>
      </c>
      <c r="GH27" s="297" t="str">
        <f t="shared" ref="GH27:GH28" si="150">$R27</f>
        <v>EDSC3013</v>
      </c>
      <c r="GI27" s="116" t="s">
        <v>121</v>
      </c>
      <c r="GJ27" s="115"/>
      <c r="GK27" s="116" t="s">
        <v>123</v>
      </c>
      <c r="GL27" s="297" t="str">
        <f t="shared" ref="GL27:GL28" si="151">$R27</f>
        <v>EDSC3013</v>
      </c>
      <c r="GM27" s="116" t="s">
        <v>121</v>
      </c>
      <c r="GN27" s="115"/>
      <c r="GO27" s="116" t="s">
        <v>123</v>
      </c>
      <c r="GP27" s="297" t="str">
        <f t="shared" ref="GP27:GP28" si="152">$R27</f>
        <v>EDSC3013</v>
      </c>
      <c r="GQ27" s="116" t="s">
        <v>121</v>
      </c>
      <c r="GR27" s="115"/>
      <c r="GS27" s="116" t="s">
        <v>123</v>
      </c>
      <c r="GT27" s="297" t="str">
        <f t="shared" ref="GT27:GT28" si="153">$R27</f>
        <v>EDSC3013</v>
      </c>
      <c r="GU27" s="116" t="s">
        <v>121</v>
      </c>
      <c r="GV27" s="115"/>
      <c r="GW27" s="116" t="s">
        <v>123</v>
      </c>
      <c r="GX27" s="297" t="str">
        <f t="shared" ref="GX27:GX28" si="154">$R27</f>
        <v>EDSC3013</v>
      </c>
      <c r="GY27" s="116" t="s">
        <v>121</v>
      </c>
      <c r="GZ27" s="115"/>
      <c r="HA27" s="116" t="s">
        <v>123</v>
      </c>
      <c r="HB27" s="297" t="str">
        <f t="shared" ref="HB27:HB28" si="155">$R27</f>
        <v>EDSC3013</v>
      </c>
      <c r="HC27" s="116" t="s">
        <v>121</v>
      </c>
      <c r="HD27" s="115"/>
      <c r="HE27" s="116" t="s">
        <v>123</v>
      </c>
      <c r="HF27" s="297" t="str">
        <f t="shared" ref="HF27:HF28" si="156">$R27</f>
        <v>EDSC3013</v>
      </c>
      <c r="HG27" s="116" t="s">
        <v>121</v>
      </c>
      <c r="HH27" s="115"/>
      <c r="HI27" s="116" t="s">
        <v>123</v>
      </c>
      <c r="HJ27" s="297" t="str">
        <f t="shared" ref="HJ27:HJ28" si="157">$R27</f>
        <v>EDSC3013</v>
      </c>
      <c r="HK27" s="116" t="s">
        <v>121</v>
      </c>
      <c r="HL27" s="115"/>
      <c r="HM27" s="116" t="s">
        <v>123</v>
      </c>
      <c r="HN27" s="297" t="str">
        <f t="shared" ref="HN27:HN28" si="158">$R27</f>
        <v>EDSC3013</v>
      </c>
      <c r="HO27" s="116" t="s">
        <v>121</v>
      </c>
      <c r="HP27" s="115"/>
      <c r="HQ27" s="116" t="s">
        <v>123</v>
      </c>
      <c r="HR27" s="297" t="str">
        <f t="shared" ref="HR27:HR28" si="159">$R27</f>
        <v>EDSC3013</v>
      </c>
      <c r="HS27" s="116" t="s">
        <v>121</v>
      </c>
      <c r="HT27" s="115"/>
      <c r="HU27" s="116" t="s">
        <v>123</v>
      </c>
      <c r="HV27" s="297" t="str">
        <f t="shared" ref="HV27:HV28" si="160">$R27</f>
        <v>EDSC3013</v>
      </c>
      <c r="HW27" s="116" t="s">
        <v>121</v>
      </c>
      <c r="HX27" s="115"/>
      <c r="HY27" s="116" t="s">
        <v>123</v>
      </c>
      <c r="HZ27" s="297" t="str">
        <f t="shared" ref="HZ27:HZ28" si="161">$R27</f>
        <v>EDSC3013</v>
      </c>
      <c r="IA27" s="116" t="s">
        <v>121</v>
      </c>
      <c r="IB27" s="115"/>
      <c r="IC27" s="116" t="s">
        <v>123</v>
      </c>
      <c r="ID27" s="297" t="str">
        <f t="shared" ref="ID27:ID28" si="162">$R27</f>
        <v>EDSC3013</v>
      </c>
      <c r="IE27" s="116" t="s">
        <v>121</v>
      </c>
      <c r="IF27" s="115"/>
      <c r="IG27" s="116" t="s">
        <v>123</v>
      </c>
      <c r="IH27" s="297" t="str">
        <f t="shared" ref="IH27:IH28" si="163">$R27</f>
        <v>EDSC3013</v>
      </c>
      <c r="II27" s="116" t="s">
        <v>121</v>
      </c>
      <c r="IJ27" s="115"/>
      <c r="IK27" s="116" t="s">
        <v>123</v>
      </c>
      <c r="IL27" s="297" t="str">
        <f t="shared" ref="IL27:IL28" si="164">$R27</f>
        <v>EDSC3013</v>
      </c>
      <c r="IM27" s="116" t="s">
        <v>121</v>
      </c>
      <c r="IN27" s="115"/>
      <c r="IO27" s="116" t="s">
        <v>123</v>
      </c>
      <c r="IP27" s="297" t="str">
        <f t="shared" ref="IP27:IP28" si="165">$R27</f>
        <v>EDSC3013</v>
      </c>
      <c r="IQ27" s="116" t="s">
        <v>121</v>
      </c>
      <c r="IR27" s="115"/>
      <c r="IS27" s="116" t="s">
        <v>123</v>
      </c>
      <c r="IT27" s="297" t="str">
        <f t="shared" ref="IT27:IT28" si="166">$R27</f>
        <v>EDSC3013</v>
      </c>
      <c r="IU27" s="116" t="s">
        <v>121</v>
      </c>
      <c r="IV27" s="115"/>
      <c r="IW27" s="116" t="s">
        <v>123</v>
      </c>
      <c r="IX27" s="297" t="str">
        <f t="shared" ref="IX27:IX28" si="167">$R27</f>
        <v>EDSC3013</v>
      </c>
      <c r="IY27" s="116" t="s">
        <v>121</v>
      </c>
      <c r="IZ27" s="115"/>
      <c r="JA27" s="116" t="s">
        <v>123</v>
      </c>
      <c r="JB27" s="297" t="str">
        <f t="shared" ref="JB27:JB28" si="168">$R27</f>
        <v>EDSC3013</v>
      </c>
      <c r="JC27" s="116" t="s">
        <v>121</v>
      </c>
      <c r="JD27" s="115"/>
      <c r="JE27" s="116" t="s">
        <v>123</v>
      </c>
      <c r="JF27" s="297" t="str">
        <f t="shared" ref="JF27:JF28" si="169">$R27</f>
        <v>EDSC3013</v>
      </c>
      <c r="JG27" s="116" t="s">
        <v>121</v>
      </c>
      <c r="JH27" s="115"/>
      <c r="JI27" s="116" t="s">
        <v>123</v>
      </c>
      <c r="JJ27" s="297" t="str">
        <f t="shared" ref="JJ27:JJ28" si="170">$R27</f>
        <v>EDSC3013</v>
      </c>
      <c r="JK27" s="116" t="s">
        <v>121</v>
      </c>
      <c r="JL27" s="115"/>
      <c r="JM27" s="116" t="s">
        <v>123</v>
      </c>
      <c r="JN27" s="297" t="str">
        <f t="shared" ref="JN27:JN28" si="171">$R27</f>
        <v>EDSC3013</v>
      </c>
      <c r="JO27" s="116" t="s">
        <v>121</v>
      </c>
      <c r="JP27" s="115"/>
      <c r="JQ27" s="116" t="s">
        <v>123</v>
      </c>
      <c r="JR27" s="297" t="str">
        <f t="shared" ref="JR27:JR28" si="172">$R27</f>
        <v>EDSC3013</v>
      </c>
      <c r="JS27" s="116" t="s">
        <v>121</v>
      </c>
      <c r="JT27" s="115"/>
      <c r="JU27" s="116" t="s">
        <v>123</v>
      </c>
      <c r="JV27" s="297" t="str">
        <f t="shared" ref="JV27:JV28" si="173">$R27</f>
        <v>EDSC3013</v>
      </c>
      <c r="JW27" s="116" t="s">
        <v>121</v>
      </c>
      <c r="JX27" s="115"/>
      <c r="JY27" s="116" t="s">
        <v>123</v>
      </c>
      <c r="JZ27" s="297" t="str">
        <f t="shared" ref="JZ27:JZ28" si="174">$R27</f>
        <v>EDSC3013</v>
      </c>
      <c r="KA27" s="116" t="s">
        <v>121</v>
      </c>
      <c r="KB27" s="115"/>
      <c r="KC27" s="116" t="s">
        <v>123</v>
      </c>
      <c r="KD27" s="297" t="str">
        <f t="shared" ref="KD27:KD28" si="175">$R27</f>
        <v>EDSC3013</v>
      </c>
      <c r="KE27" s="116" t="s">
        <v>121</v>
      </c>
      <c r="KF27" s="115"/>
      <c r="KG27" s="116" t="s">
        <v>123</v>
      </c>
      <c r="KH27" s="297" t="str">
        <f t="shared" ref="KH27:KH28" si="176">$R27</f>
        <v>EDSC3013</v>
      </c>
      <c r="KI27" s="116" t="s">
        <v>121</v>
      </c>
      <c r="KJ27" s="115"/>
      <c r="KK27" s="116" t="s">
        <v>123</v>
      </c>
      <c r="KL27" s="297" t="str">
        <f t="shared" ref="KL27:KL28" si="177">$R27</f>
        <v>EDSC3013</v>
      </c>
      <c r="KM27" s="116" t="s">
        <v>121</v>
      </c>
      <c r="KN27" s="115"/>
      <c r="KO27" s="116" t="s">
        <v>123</v>
      </c>
      <c r="KP27" s="297" t="str">
        <f t="shared" ref="KP27:KP28" si="178">$R27</f>
        <v>EDSC3013</v>
      </c>
      <c r="KQ27" s="116" t="s">
        <v>121</v>
      </c>
      <c r="KR27" s="115"/>
      <c r="KS27" s="116" t="s">
        <v>123</v>
      </c>
      <c r="KT27" s="297" t="str">
        <f t="shared" ref="KT27:KT28" si="179">$R27</f>
        <v>EDSC3013</v>
      </c>
      <c r="KU27" s="116" t="s">
        <v>121</v>
      </c>
      <c r="KV27" s="115"/>
      <c r="KW27" s="116" t="s">
        <v>123</v>
      </c>
      <c r="KX27" s="297" t="str">
        <f t="shared" ref="KX27:KX28" si="180">$R27</f>
        <v>EDSC3013</v>
      </c>
      <c r="KY27" s="116" t="s">
        <v>121</v>
      </c>
      <c r="KZ27" s="115"/>
      <c r="LA27" s="116" t="s">
        <v>123</v>
      </c>
      <c r="LB27" s="297" t="str">
        <f t="shared" ref="LB27:LB28" si="181">$R27</f>
        <v>EDSC3013</v>
      </c>
      <c r="LC27" s="116" t="s">
        <v>121</v>
      </c>
      <c r="LD27" s="115"/>
      <c r="LE27" s="116" t="s">
        <v>123</v>
      </c>
      <c r="LF27" s="297" t="str">
        <f t="shared" ref="LF27:LF28" si="182">$R27</f>
        <v>EDSC3013</v>
      </c>
      <c r="LG27" s="116" t="s">
        <v>121</v>
      </c>
      <c r="LH27" s="115"/>
      <c r="LI27" s="116" t="s">
        <v>123</v>
      </c>
      <c r="LJ27" s="297" t="str">
        <f t="shared" ref="LJ27:LJ28" si="183">$R27</f>
        <v>EDSC3013</v>
      </c>
      <c r="LK27" s="116" t="s">
        <v>121</v>
      </c>
      <c r="LL27" s="115"/>
      <c r="LM27" s="116" t="s">
        <v>123</v>
      </c>
      <c r="LN27" s="297" t="str">
        <f t="shared" ref="LN27:LN28" si="184">$R27</f>
        <v>EDSC3013</v>
      </c>
      <c r="LO27" s="116" t="s">
        <v>121</v>
      </c>
      <c r="LP27" s="115"/>
      <c r="LQ27" s="116" t="s">
        <v>123</v>
      </c>
      <c r="LR27" s="297" t="str">
        <f t="shared" ref="LR27:LR28" si="185">$R27</f>
        <v>EDSC3013</v>
      </c>
      <c r="LS27" s="116" t="s">
        <v>121</v>
      </c>
      <c r="LT27" s="115"/>
      <c r="LU27" s="116" t="s">
        <v>123</v>
      </c>
      <c r="LV27" s="297" t="str">
        <f t="shared" ref="LV27:LV28" si="186">$R27</f>
        <v>EDSC3013</v>
      </c>
      <c r="LW27" s="116" t="s">
        <v>121</v>
      </c>
      <c r="LX27" s="115"/>
      <c r="LY27" s="116" t="s">
        <v>123</v>
      </c>
      <c r="LZ27" s="297" t="str">
        <f t="shared" ref="LZ27:LZ28" si="187">$R27</f>
        <v>EDSC3013</v>
      </c>
      <c r="MA27" s="116" t="s">
        <v>121</v>
      </c>
      <c r="MB27" s="115"/>
      <c r="MC27" s="116" t="s">
        <v>123</v>
      </c>
      <c r="MD27" s="297" t="str">
        <f t="shared" ref="MD27:MD28" si="188">$R27</f>
        <v>EDSC3013</v>
      </c>
      <c r="ME27" s="116" t="s">
        <v>121</v>
      </c>
      <c r="MF27" s="115"/>
      <c r="MG27" s="116" t="s">
        <v>123</v>
      </c>
      <c r="MH27" s="297" t="str">
        <f t="shared" ref="MH27:MH28" si="189">$R27</f>
        <v>EDSC3013</v>
      </c>
      <c r="MI27" s="116" t="s">
        <v>121</v>
      </c>
      <c r="MJ27" s="115"/>
      <c r="MK27" s="116" t="s">
        <v>123</v>
      </c>
      <c r="ML27" s="297" t="str">
        <f t="shared" ref="ML27:ML28" si="190">$R27</f>
        <v>EDSC3013</v>
      </c>
      <c r="MM27" s="116" t="s">
        <v>121</v>
      </c>
      <c r="MN27" s="115"/>
      <c r="MO27" s="116" t="s">
        <v>123</v>
      </c>
      <c r="MP27" s="297" t="str">
        <f t="shared" ref="MP27:MP28" si="191">$R27</f>
        <v>EDSC3013</v>
      </c>
      <c r="MQ27" s="116" t="s">
        <v>121</v>
      </c>
      <c r="MR27" s="115"/>
      <c r="MS27" s="116" t="s">
        <v>123</v>
      </c>
      <c r="MT27" s="297" t="str">
        <f t="shared" ref="MT27:MT28" si="192">$R27</f>
        <v>EDSC3013</v>
      </c>
      <c r="MU27" s="116" t="s">
        <v>121</v>
      </c>
      <c r="MV27" s="115"/>
      <c r="MW27" s="116" t="s">
        <v>123</v>
      </c>
      <c r="MX27" s="297" t="str">
        <f t="shared" ref="MX27:MX28" si="193">$R27</f>
        <v>EDSC3013</v>
      </c>
      <c r="MY27" s="116" t="s">
        <v>121</v>
      </c>
      <c r="MZ27" s="115"/>
      <c r="NA27" s="116" t="s">
        <v>123</v>
      </c>
      <c r="NB27" s="297" t="str">
        <f t="shared" ref="NB27:NB28" si="194">$R27</f>
        <v>EDSC3013</v>
      </c>
      <c r="NC27" s="116" t="s">
        <v>121</v>
      </c>
      <c r="ND27" s="115"/>
      <c r="NE27" s="116" t="s">
        <v>123</v>
      </c>
      <c r="NF27" s="297" t="str">
        <f t="shared" ref="NF27:NF28" si="195">$R27</f>
        <v>EDSC3013</v>
      </c>
      <c r="NG27" s="116" t="s">
        <v>121</v>
      </c>
      <c r="NH27" s="115"/>
      <c r="NI27" s="116" t="s">
        <v>123</v>
      </c>
      <c r="NJ27" s="297" t="str">
        <f t="shared" ref="NJ27:NJ28" si="196">$R27</f>
        <v>EDSC3013</v>
      </c>
      <c r="NK27" s="116" t="s">
        <v>121</v>
      </c>
      <c r="NL27" s="115"/>
      <c r="NM27" s="116" t="s">
        <v>123</v>
      </c>
      <c r="NN27" s="297" t="str">
        <f t="shared" ref="NN27:NN28" si="197">$R27</f>
        <v>EDSC3013</v>
      </c>
      <c r="NO27" s="116" t="s">
        <v>121</v>
      </c>
      <c r="NP27" s="115"/>
      <c r="NQ27" s="116" t="s">
        <v>123</v>
      </c>
      <c r="NR27" s="297" t="str">
        <f t="shared" ref="NR27:NR28" si="198">$R27</f>
        <v>EDSC3013</v>
      </c>
      <c r="NS27" s="116" t="s">
        <v>121</v>
      </c>
      <c r="NT27" s="115"/>
      <c r="NU27" s="116" t="s">
        <v>123</v>
      </c>
      <c r="NV27" s="297" t="str">
        <f t="shared" ref="NV27:NV28" si="199">$R27</f>
        <v>EDSC3013</v>
      </c>
      <c r="NW27" s="116" t="s">
        <v>121</v>
      </c>
      <c r="NX27" s="115"/>
      <c r="NY27" s="116" t="s">
        <v>123</v>
      </c>
      <c r="NZ27" s="297" t="str">
        <f t="shared" ref="NZ27:NZ28" si="200">$R27</f>
        <v>EDSC3013</v>
      </c>
      <c r="OA27" s="116" t="s">
        <v>121</v>
      </c>
      <c r="OB27" s="115"/>
      <c r="OC27" s="116" t="s">
        <v>123</v>
      </c>
      <c r="OD27" s="297" t="str">
        <f t="shared" ref="OD27:OD28" si="201">$R27</f>
        <v>EDSC3013</v>
      </c>
      <c r="OE27" s="116" t="s">
        <v>121</v>
      </c>
      <c r="OF27" s="115"/>
      <c r="OG27" s="116" t="s">
        <v>123</v>
      </c>
      <c r="OH27" s="297" t="str">
        <f t="shared" ref="OH27:OH28" si="202">$R27</f>
        <v>EDSC3013</v>
      </c>
      <c r="OI27" s="116" t="s">
        <v>121</v>
      </c>
      <c r="OJ27" s="115"/>
      <c r="OK27" s="116" t="s">
        <v>123</v>
      </c>
      <c r="OL27" s="297" t="str">
        <f t="shared" ref="OL27:OL28" si="203">$R27</f>
        <v>EDSC3013</v>
      </c>
      <c r="OM27" s="116" t="s">
        <v>121</v>
      </c>
      <c r="ON27" s="115"/>
      <c r="OO27" s="116" t="s">
        <v>123</v>
      </c>
      <c r="OP27" s="297" t="str">
        <f t="shared" ref="OP27:OP28" si="204">$R27</f>
        <v>EDSC3013</v>
      </c>
      <c r="OQ27" s="116" t="s">
        <v>121</v>
      </c>
      <c r="OR27" s="115"/>
      <c r="OS27" s="116" t="s">
        <v>123</v>
      </c>
      <c r="OT27" s="297" t="str">
        <f t="shared" ref="OT27:OT28" si="205">$R27</f>
        <v>EDSC3013</v>
      </c>
      <c r="OU27" s="116" t="s">
        <v>121</v>
      </c>
      <c r="OV27" s="115"/>
      <c r="OW27" s="116" t="s">
        <v>123</v>
      </c>
      <c r="OX27" s="297" t="str">
        <f t="shared" ref="OX27:OX28" si="206">$R27</f>
        <v>EDSC3013</v>
      </c>
      <c r="OY27" s="116" t="s">
        <v>121</v>
      </c>
      <c r="OZ27" s="115"/>
      <c r="PA27" s="116" t="s">
        <v>123</v>
      </c>
      <c r="PB27" s="297" t="str">
        <f t="shared" ref="PB27:PB28" si="207">$R27</f>
        <v>EDSC3013</v>
      </c>
      <c r="PC27" s="116" t="s">
        <v>121</v>
      </c>
      <c r="PD27" s="115"/>
      <c r="PE27" s="116" t="s">
        <v>123</v>
      </c>
      <c r="PF27" s="297" t="str">
        <f t="shared" ref="PF27:PF28" si="208">$R27</f>
        <v>EDSC3013</v>
      </c>
      <c r="PG27" s="116" t="s">
        <v>121</v>
      </c>
      <c r="PH27" s="115"/>
      <c r="PI27" s="116" t="s">
        <v>123</v>
      </c>
      <c r="PJ27" s="297" t="str">
        <f t="shared" ref="PJ27:PJ28" si="209">$R27</f>
        <v>EDSC3013</v>
      </c>
      <c r="PK27" s="116" t="s">
        <v>121</v>
      </c>
      <c r="PL27" s="115"/>
      <c r="PM27" s="116" t="s">
        <v>123</v>
      </c>
      <c r="PN27" s="297" t="str">
        <f t="shared" ref="PN27:PN28" si="210">$R27</f>
        <v>EDSC3013</v>
      </c>
      <c r="PO27" s="116" t="s">
        <v>121</v>
      </c>
      <c r="PP27" s="115"/>
      <c r="PQ27" s="116" t="s">
        <v>123</v>
      </c>
      <c r="PR27" s="297" t="str">
        <f t="shared" ref="PR27:PR28" si="211">$R27</f>
        <v>EDSC3013</v>
      </c>
      <c r="PS27" s="116" t="s">
        <v>121</v>
      </c>
      <c r="PT27" s="115"/>
      <c r="PU27" s="116" t="s">
        <v>123</v>
      </c>
      <c r="PV27" s="297" t="str">
        <f t="shared" ref="PV27:PV28" si="212">$R27</f>
        <v>EDSC3013</v>
      </c>
      <c r="PW27" s="116" t="s">
        <v>121</v>
      </c>
      <c r="PX27" s="115"/>
      <c r="PY27" s="116" t="s">
        <v>123</v>
      </c>
      <c r="PZ27" s="297" t="str">
        <f t="shared" ref="PZ27:PZ28" si="213">$R27</f>
        <v>EDSC3013</v>
      </c>
      <c r="QA27" s="116" t="s">
        <v>121</v>
      </c>
      <c r="QB27" s="115"/>
      <c r="QC27" s="116" t="s">
        <v>123</v>
      </c>
      <c r="QD27" s="297" t="str">
        <f t="shared" ref="QD27:QD28" si="214">$R27</f>
        <v>EDSC3013</v>
      </c>
      <c r="QE27" s="116" t="s">
        <v>121</v>
      </c>
      <c r="QF27" s="115"/>
      <c r="QG27" s="116" t="s">
        <v>123</v>
      </c>
      <c r="QH27" s="297" t="str">
        <f t="shared" ref="QH27:QH28" si="215">$R27</f>
        <v>EDSC3013</v>
      </c>
      <c r="QI27" s="116" t="s">
        <v>121</v>
      </c>
      <c r="QJ27" s="115"/>
    </row>
    <row r="28" spans="1:452" x14ac:dyDescent="0.25">
      <c r="A28" s="353" t="s">
        <v>401</v>
      </c>
      <c r="B28" s="7" t="s">
        <v>369</v>
      </c>
      <c r="C28" s="268" t="s">
        <v>77</v>
      </c>
      <c r="D28" s="269">
        <v>45658</v>
      </c>
      <c r="E28" s="275">
        <v>7</v>
      </c>
      <c r="F28" s="269">
        <v>45658</v>
      </c>
      <c r="G28" s="7" t="s">
        <v>398</v>
      </c>
      <c r="J28" s="141"/>
      <c r="K28" s="146" t="str">
        <f>INDEX(TableStreams[Choose your Specialisation Stream second (drop-down list)],MATCH(L28,TableStreams[UDC],0))</f>
        <v>Biological Sciences Education Minor Teaching Area Stream (BEd Secondary)</v>
      </c>
      <c r="L28" s="141" t="s">
        <v>350</v>
      </c>
      <c r="O28" s="19"/>
      <c r="P28" s="19">
        <v>26</v>
      </c>
      <c r="Q28" s="117" t="s">
        <v>123</v>
      </c>
      <c r="R28" s="104" t="s">
        <v>122</v>
      </c>
      <c r="S28" s="117" t="s">
        <v>121</v>
      </c>
      <c r="T28" s="104"/>
      <c r="U28" s="117" t="s">
        <v>123</v>
      </c>
      <c r="V28" s="298" t="str">
        <f t="shared" si="108"/>
        <v>INED3001</v>
      </c>
      <c r="W28" s="117" t="s">
        <v>121</v>
      </c>
      <c r="X28" s="104"/>
      <c r="Y28" s="117" t="s">
        <v>123</v>
      </c>
      <c r="Z28" s="298" t="str">
        <f t="shared" si="109"/>
        <v>INED3001</v>
      </c>
      <c r="AA28" s="117" t="s">
        <v>121</v>
      </c>
      <c r="AB28" s="104"/>
      <c r="AC28" s="117" t="s">
        <v>123</v>
      </c>
      <c r="AD28" s="298" t="str">
        <f t="shared" si="110"/>
        <v>INED3001</v>
      </c>
      <c r="AE28" s="117" t="s">
        <v>121</v>
      </c>
      <c r="AF28" s="104"/>
      <c r="AG28" s="117" t="s">
        <v>123</v>
      </c>
      <c r="AH28" s="298" t="str">
        <f t="shared" si="111"/>
        <v>INED3001</v>
      </c>
      <c r="AI28" s="117" t="s">
        <v>121</v>
      </c>
      <c r="AJ28" s="104"/>
      <c r="AK28" s="117" t="s">
        <v>123</v>
      </c>
      <c r="AL28" s="298" t="str">
        <f t="shared" si="112"/>
        <v>INED3001</v>
      </c>
      <c r="AM28" s="117" t="s">
        <v>121</v>
      </c>
      <c r="AN28" s="104"/>
      <c r="AO28" s="117" t="s">
        <v>123</v>
      </c>
      <c r="AP28" s="298" t="str">
        <f t="shared" si="113"/>
        <v>INED3001</v>
      </c>
      <c r="AQ28" s="117" t="s">
        <v>121</v>
      </c>
      <c r="AR28" s="104"/>
      <c r="AS28" s="117" t="s">
        <v>123</v>
      </c>
      <c r="AT28" s="298" t="str">
        <f t="shared" si="114"/>
        <v>INED3001</v>
      </c>
      <c r="AU28" s="117" t="s">
        <v>121</v>
      </c>
      <c r="AV28" s="104"/>
      <c r="AW28" s="117" t="s">
        <v>123</v>
      </c>
      <c r="AX28" s="298" t="str">
        <f t="shared" si="115"/>
        <v>INED3001</v>
      </c>
      <c r="AY28" s="117" t="s">
        <v>121</v>
      </c>
      <c r="AZ28" s="104"/>
      <c r="BA28" s="117" t="s">
        <v>123</v>
      </c>
      <c r="BB28" s="298" t="str">
        <f t="shared" si="116"/>
        <v>INED3001</v>
      </c>
      <c r="BC28" s="117" t="s">
        <v>121</v>
      </c>
      <c r="BD28" s="104"/>
      <c r="BE28" s="117" t="s">
        <v>123</v>
      </c>
      <c r="BF28" s="298" t="str">
        <f t="shared" si="117"/>
        <v>INED3001</v>
      </c>
      <c r="BG28" s="117" t="s">
        <v>121</v>
      </c>
      <c r="BH28" s="104"/>
      <c r="BI28" s="117" t="s">
        <v>123</v>
      </c>
      <c r="BJ28" s="298" t="str">
        <f t="shared" si="118"/>
        <v>INED3001</v>
      </c>
      <c r="BK28" s="117" t="s">
        <v>121</v>
      </c>
      <c r="BL28" s="104"/>
      <c r="BM28" s="117" t="s">
        <v>123</v>
      </c>
      <c r="BN28" s="298" t="str">
        <f t="shared" si="119"/>
        <v>INED3001</v>
      </c>
      <c r="BO28" s="117" t="s">
        <v>121</v>
      </c>
      <c r="BP28" s="104"/>
      <c r="BQ28" s="117" t="s">
        <v>123</v>
      </c>
      <c r="BR28" s="298" t="str">
        <f t="shared" si="120"/>
        <v>INED3001</v>
      </c>
      <c r="BS28" s="117" t="s">
        <v>121</v>
      </c>
      <c r="BT28" s="104"/>
      <c r="BU28" s="117" t="s">
        <v>123</v>
      </c>
      <c r="BV28" s="298" t="str">
        <f t="shared" si="121"/>
        <v>INED3001</v>
      </c>
      <c r="BW28" s="117" t="s">
        <v>121</v>
      </c>
      <c r="BX28" s="104"/>
      <c r="BY28" s="117" t="s">
        <v>123</v>
      </c>
      <c r="BZ28" s="298" t="str">
        <f t="shared" si="122"/>
        <v>INED3001</v>
      </c>
      <c r="CA28" s="117" t="s">
        <v>121</v>
      </c>
      <c r="CB28" s="104"/>
      <c r="CC28" s="117" t="s">
        <v>123</v>
      </c>
      <c r="CD28" s="298" t="str">
        <f t="shared" si="123"/>
        <v>INED3001</v>
      </c>
      <c r="CE28" s="117" t="s">
        <v>121</v>
      </c>
      <c r="CF28" s="104"/>
      <c r="CG28" s="117" t="s">
        <v>123</v>
      </c>
      <c r="CH28" s="298" t="str">
        <f t="shared" si="124"/>
        <v>INED3001</v>
      </c>
      <c r="CI28" s="117" t="s">
        <v>121</v>
      </c>
      <c r="CJ28" s="104"/>
      <c r="CK28" s="117" t="s">
        <v>123</v>
      </c>
      <c r="CL28" s="298" t="str">
        <f t="shared" si="125"/>
        <v>INED3001</v>
      </c>
      <c r="CM28" s="117" t="s">
        <v>121</v>
      </c>
      <c r="CN28" s="104"/>
      <c r="CO28" s="117" t="s">
        <v>123</v>
      </c>
      <c r="CP28" s="298" t="str">
        <f t="shared" si="126"/>
        <v>INED3001</v>
      </c>
      <c r="CQ28" s="117" t="s">
        <v>121</v>
      </c>
      <c r="CR28" s="104"/>
      <c r="CS28" s="117" t="s">
        <v>123</v>
      </c>
      <c r="CT28" s="298" t="str">
        <f t="shared" si="127"/>
        <v>INED3001</v>
      </c>
      <c r="CU28" s="117" t="s">
        <v>121</v>
      </c>
      <c r="CV28" s="104"/>
      <c r="CW28" s="117" t="s">
        <v>123</v>
      </c>
      <c r="CX28" s="298" t="str">
        <f t="shared" si="128"/>
        <v>INED3001</v>
      </c>
      <c r="CY28" s="117" t="s">
        <v>121</v>
      </c>
      <c r="CZ28" s="104"/>
      <c r="DA28" s="117" t="s">
        <v>123</v>
      </c>
      <c r="DB28" s="298" t="str">
        <f t="shared" si="129"/>
        <v>INED3001</v>
      </c>
      <c r="DC28" s="117" t="s">
        <v>121</v>
      </c>
      <c r="DD28" s="104"/>
      <c r="DE28" s="117" t="s">
        <v>123</v>
      </c>
      <c r="DF28" s="367" t="str">
        <f t="shared" si="130"/>
        <v>INED3001</v>
      </c>
      <c r="DG28" s="117" t="s">
        <v>121</v>
      </c>
      <c r="DH28" s="104"/>
      <c r="DI28" s="117" t="s">
        <v>123</v>
      </c>
      <c r="DJ28" s="298" t="str">
        <f t="shared" si="131"/>
        <v>INED3001</v>
      </c>
      <c r="DK28" s="117" t="s">
        <v>121</v>
      </c>
      <c r="DL28" s="104"/>
      <c r="DM28" s="117" t="s">
        <v>123</v>
      </c>
      <c r="DN28" s="298" t="str">
        <f t="shared" si="132"/>
        <v>INED3001</v>
      </c>
      <c r="DO28" s="117" t="s">
        <v>121</v>
      </c>
      <c r="DP28" s="104"/>
      <c r="DQ28" s="117" t="s">
        <v>123</v>
      </c>
      <c r="DR28" s="298" t="str">
        <f t="shared" si="133"/>
        <v>INED3001</v>
      </c>
      <c r="DS28" s="117" t="s">
        <v>121</v>
      </c>
      <c r="DT28" s="104"/>
      <c r="DU28" s="117" t="s">
        <v>123</v>
      </c>
      <c r="DV28" s="298" t="str">
        <f t="shared" si="134"/>
        <v>INED3001</v>
      </c>
      <c r="DW28" s="117" t="s">
        <v>121</v>
      </c>
      <c r="DX28" s="104"/>
      <c r="DY28" s="117" t="s">
        <v>123</v>
      </c>
      <c r="DZ28" s="298" t="str">
        <f t="shared" si="135"/>
        <v>INED3001</v>
      </c>
      <c r="EA28" s="117" t="s">
        <v>121</v>
      </c>
      <c r="EB28" s="104"/>
      <c r="EC28" s="117" t="s">
        <v>123</v>
      </c>
      <c r="ED28" s="298" t="str">
        <f t="shared" si="136"/>
        <v>INED3001</v>
      </c>
      <c r="EE28" s="117" t="s">
        <v>121</v>
      </c>
      <c r="EF28" s="104"/>
      <c r="EG28" s="117" t="s">
        <v>123</v>
      </c>
      <c r="EH28" s="298" t="str">
        <f t="shared" si="137"/>
        <v>INED3001</v>
      </c>
      <c r="EI28" s="117" t="s">
        <v>121</v>
      </c>
      <c r="EJ28" s="104"/>
      <c r="EK28" s="117" t="s">
        <v>123</v>
      </c>
      <c r="EL28" s="298" t="str">
        <f t="shared" si="138"/>
        <v>INED3001</v>
      </c>
      <c r="EM28" s="117" t="s">
        <v>121</v>
      </c>
      <c r="EN28" s="104"/>
      <c r="EO28" s="117" t="s">
        <v>123</v>
      </c>
      <c r="EP28" s="298" t="str">
        <f t="shared" si="139"/>
        <v>INED3001</v>
      </c>
      <c r="EQ28" s="117" t="s">
        <v>121</v>
      </c>
      <c r="ER28" s="104"/>
      <c r="ES28" s="117" t="s">
        <v>123</v>
      </c>
      <c r="ET28" s="298" t="str">
        <f t="shared" si="140"/>
        <v>INED3001</v>
      </c>
      <c r="EU28" s="117" t="s">
        <v>121</v>
      </c>
      <c r="EV28" s="104"/>
      <c r="EW28" s="117" t="s">
        <v>123</v>
      </c>
      <c r="EX28" s="298" t="str">
        <f t="shared" si="141"/>
        <v>INED3001</v>
      </c>
      <c r="EY28" s="117" t="s">
        <v>121</v>
      </c>
      <c r="EZ28" s="104"/>
      <c r="FA28" s="117" t="s">
        <v>123</v>
      </c>
      <c r="FB28" s="298" t="str">
        <f t="shared" si="142"/>
        <v>INED3001</v>
      </c>
      <c r="FC28" s="117" t="s">
        <v>121</v>
      </c>
      <c r="FD28" s="104"/>
      <c r="FE28" s="117" t="s">
        <v>123</v>
      </c>
      <c r="FF28" s="298" t="str">
        <f t="shared" si="143"/>
        <v>INED3001</v>
      </c>
      <c r="FG28" s="117" t="s">
        <v>121</v>
      </c>
      <c r="FH28" s="104"/>
      <c r="FI28" s="117" t="s">
        <v>123</v>
      </c>
      <c r="FJ28" s="298" t="str">
        <f t="shared" si="144"/>
        <v>INED3001</v>
      </c>
      <c r="FK28" s="117" t="s">
        <v>121</v>
      </c>
      <c r="FL28" s="104"/>
      <c r="FM28" s="117" t="s">
        <v>123</v>
      </c>
      <c r="FN28" s="298" t="str">
        <f t="shared" si="145"/>
        <v>INED3001</v>
      </c>
      <c r="FO28" s="117" t="s">
        <v>121</v>
      </c>
      <c r="FP28" s="104"/>
      <c r="FQ28" s="117" t="s">
        <v>123</v>
      </c>
      <c r="FR28" s="298" t="str">
        <f t="shared" si="146"/>
        <v>INED3001</v>
      </c>
      <c r="FS28" s="117" t="s">
        <v>121</v>
      </c>
      <c r="FT28" s="104"/>
      <c r="FU28" s="117" t="s">
        <v>123</v>
      </c>
      <c r="FV28" s="298" t="str">
        <f t="shared" si="147"/>
        <v>INED3001</v>
      </c>
      <c r="FW28" s="117" t="s">
        <v>121</v>
      </c>
      <c r="FX28" s="104"/>
      <c r="FY28" s="117" t="s">
        <v>123</v>
      </c>
      <c r="FZ28" s="298" t="str">
        <f t="shared" si="148"/>
        <v>INED3001</v>
      </c>
      <c r="GA28" s="117" t="s">
        <v>121</v>
      </c>
      <c r="GB28" s="104"/>
      <c r="GC28" s="117" t="s">
        <v>123</v>
      </c>
      <c r="GD28" s="298" t="str">
        <f t="shared" si="149"/>
        <v>INED3001</v>
      </c>
      <c r="GE28" s="117" t="s">
        <v>121</v>
      </c>
      <c r="GF28" s="104"/>
      <c r="GG28" s="117" t="s">
        <v>123</v>
      </c>
      <c r="GH28" s="298" t="str">
        <f t="shared" si="150"/>
        <v>INED3001</v>
      </c>
      <c r="GI28" s="117" t="s">
        <v>121</v>
      </c>
      <c r="GJ28" s="104"/>
      <c r="GK28" s="117" t="s">
        <v>123</v>
      </c>
      <c r="GL28" s="298" t="str">
        <f t="shared" si="151"/>
        <v>INED3001</v>
      </c>
      <c r="GM28" s="117" t="s">
        <v>121</v>
      </c>
      <c r="GN28" s="104"/>
      <c r="GO28" s="117" t="s">
        <v>123</v>
      </c>
      <c r="GP28" s="298" t="str">
        <f t="shared" si="152"/>
        <v>INED3001</v>
      </c>
      <c r="GQ28" s="117" t="s">
        <v>121</v>
      </c>
      <c r="GR28" s="104"/>
      <c r="GS28" s="117" t="s">
        <v>123</v>
      </c>
      <c r="GT28" s="298" t="str">
        <f t="shared" si="153"/>
        <v>INED3001</v>
      </c>
      <c r="GU28" s="117" t="s">
        <v>121</v>
      </c>
      <c r="GV28" s="104"/>
      <c r="GW28" s="117" t="s">
        <v>123</v>
      </c>
      <c r="GX28" s="298" t="str">
        <f t="shared" si="154"/>
        <v>INED3001</v>
      </c>
      <c r="GY28" s="117" t="s">
        <v>121</v>
      </c>
      <c r="GZ28" s="104"/>
      <c r="HA28" s="117" t="s">
        <v>123</v>
      </c>
      <c r="HB28" s="298" t="str">
        <f t="shared" si="155"/>
        <v>INED3001</v>
      </c>
      <c r="HC28" s="117" t="s">
        <v>121</v>
      </c>
      <c r="HD28" s="104"/>
      <c r="HE28" s="117" t="s">
        <v>123</v>
      </c>
      <c r="HF28" s="298" t="str">
        <f t="shared" si="156"/>
        <v>INED3001</v>
      </c>
      <c r="HG28" s="117" t="s">
        <v>121</v>
      </c>
      <c r="HH28" s="104"/>
      <c r="HI28" s="117" t="s">
        <v>123</v>
      </c>
      <c r="HJ28" s="298" t="str">
        <f t="shared" si="157"/>
        <v>INED3001</v>
      </c>
      <c r="HK28" s="117" t="s">
        <v>121</v>
      </c>
      <c r="HL28" s="104"/>
      <c r="HM28" s="117" t="s">
        <v>123</v>
      </c>
      <c r="HN28" s="298" t="str">
        <f t="shared" si="158"/>
        <v>INED3001</v>
      </c>
      <c r="HO28" s="117" t="s">
        <v>121</v>
      </c>
      <c r="HP28" s="104"/>
      <c r="HQ28" s="117" t="s">
        <v>123</v>
      </c>
      <c r="HR28" s="298" t="str">
        <f t="shared" si="159"/>
        <v>INED3001</v>
      </c>
      <c r="HS28" s="117" t="s">
        <v>121</v>
      </c>
      <c r="HT28" s="104"/>
      <c r="HU28" s="117" t="s">
        <v>123</v>
      </c>
      <c r="HV28" s="298" t="str">
        <f t="shared" si="160"/>
        <v>INED3001</v>
      </c>
      <c r="HW28" s="117" t="s">
        <v>121</v>
      </c>
      <c r="HX28" s="104"/>
      <c r="HY28" s="117" t="s">
        <v>123</v>
      </c>
      <c r="HZ28" s="298" t="str">
        <f t="shared" si="161"/>
        <v>INED3001</v>
      </c>
      <c r="IA28" s="117" t="s">
        <v>121</v>
      </c>
      <c r="IB28" s="104"/>
      <c r="IC28" s="117" t="s">
        <v>123</v>
      </c>
      <c r="ID28" s="298" t="str">
        <f t="shared" si="162"/>
        <v>INED3001</v>
      </c>
      <c r="IE28" s="117" t="s">
        <v>121</v>
      </c>
      <c r="IF28" s="104"/>
      <c r="IG28" s="117" t="s">
        <v>123</v>
      </c>
      <c r="IH28" s="298" t="str">
        <f t="shared" si="163"/>
        <v>INED3001</v>
      </c>
      <c r="II28" s="117" t="s">
        <v>121</v>
      </c>
      <c r="IJ28" s="104"/>
      <c r="IK28" s="117" t="s">
        <v>123</v>
      </c>
      <c r="IL28" s="298" t="str">
        <f t="shared" si="164"/>
        <v>INED3001</v>
      </c>
      <c r="IM28" s="117" t="s">
        <v>121</v>
      </c>
      <c r="IN28" s="104"/>
      <c r="IO28" s="117" t="s">
        <v>123</v>
      </c>
      <c r="IP28" s="298" t="str">
        <f t="shared" si="165"/>
        <v>INED3001</v>
      </c>
      <c r="IQ28" s="117" t="s">
        <v>121</v>
      </c>
      <c r="IR28" s="104"/>
      <c r="IS28" s="117" t="s">
        <v>123</v>
      </c>
      <c r="IT28" s="298" t="str">
        <f t="shared" si="166"/>
        <v>INED3001</v>
      </c>
      <c r="IU28" s="117" t="s">
        <v>121</v>
      </c>
      <c r="IV28" s="104"/>
      <c r="IW28" s="117" t="s">
        <v>123</v>
      </c>
      <c r="IX28" s="298" t="str">
        <f t="shared" si="167"/>
        <v>INED3001</v>
      </c>
      <c r="IY28" s="117" t="s">
        <v>121</v>
      </c>
      <c r="IZ28" s="104"/>
      <c r="JA28" s="117" t="s">
        <v>123</v>
      </c>
      <c r="JB28" s="298" t="str">
        <f t="shared" si="168"/>
        <v>INED3001</v>
      </c>
      <c r="JC28" s="117" t="s">
        <v>121</v>
      </c>
      <c r="JD28" s="104"/>
      <c r="JE28" s="117" t="s">
        <v>123</v>
      </c>
      <c r="JF28" s="298" t="str">
        <f t="shared" si="169"/>
        <v>INED3001</v>
      </c>
      <c r="JG28" s="117" t="s">
        <v>121</v>
      </c>
      <c r="JH28" s="104"/>
      <c r="JI28" s="117" t="s">
        <v>123</v>
      </c>
      <c r="JJ28" s="298" t="str">
        <f t="shared" si="170"/>
        <v>INED3001</v>
      </c>
      <c r="JK28" s="117" t="s">
        <v>121</v>
      </c>
      <c r="JL28" s="104"/>
      <c r="JM28" s="117" t="s">
        <v>123</v>
      </c>
      <c r="JN28" s="298" t="str">
        <f t="shared" si="171"/>
        <v>INED3001</v>
      </c>
      <c r="JO28" s="117" t="s">
        <v>121</v>
      </c>
      <c r="JP28" s="104"/>
      <c r="JQ28" s="117" t="s">
        <v>123</v>
      </c>
      <c r="JR28" s="298" t="str">
        <f t="shared" si="172"/>
        <v>INED3001</v>
      </c>
      <c r="JS28" s="117" t="s">
        <v>121</v>
      </c>
      <c r="JT28" s="104"/>
      <c r="JU28" s="117" t="s">
        <v>123</v>
      </c>
      <c r="JV28" s="298" t="str">
        <f t="shared" si="173"/>
        <v>INED3001</v>
      </c>
      <c r="JW28" s="117" t="s">
        <v>121</v>
      </c>
      <c r="JX28" s="104"/>
      <c r="JY28" s="117" t="s">
        <v>123</v>
      </c>
      <c r="JZ28" s="298" t="str">
        <f t="shared" si="174"/>
        <v>INED3001</v>
      </c>
      <c r="KA28" s="117" t="s">
        <v>121</v>
      </c>
      <c r="KB28" s="104"/>
      <c r="KC28" s="117" t="s">
        <v>123</v>
      </c>
      <c r="KD28" s="298" t="str">
        <f t="shared" si="175"/>
        <v>INED3001</v>
      </c>
      <c r="KE28" s="117" t="s">
        <v>121</v>
      </c>
      <c r="KF28" s="104"/>
      <c r="KG28" s="117" t="s">
        <v>123</v>
      </c>
      <c r="KH28" s="298" t="str">
        <f t="shared" si="176"/>
        <v>INED3001</v>
      </c>
      <c r="KI28" s="117" t="s">
        <v>121</v>
      </c>
      <c r="KJ28" s="104"/>
      <c r="KK28" s="117" t="s">
        <v>123</v>
      </c>
      <c r="KL28" s="298" t="str">
        <f t="shared" si="177"/>
        <v>INED3001</v>
      </c>
      <c r="KM28" s="117" t="s">
        <v>121</v>
      </c>
      <c r="KN28" s="104"/>
      <c r="KO28" s="117" t="s">
        <v>123</v>
      </c>
      <c r="KP28" s="298" t="str">
        <f t="shared" si="178"/>
        <v>INED3001</v>
      </c>
      <c r="KQ28" s="117" t="s">
        <v>121</v>
      </c>
      <c r="KR28" s="104"/>
      <c r="KS28" s="117" t="s">
        <v>123</v>
      </c>
      <c r="KT28" s="298" t="str">
        <f t="shared" si="179"/>
        <v>INED3001</v>
      </c>
      <c r="KU28" s="117" t="s">
        <v>121</v>
      </c>
      <c r="KV28" s="104"/>
      <c r="KW28" s="117" t="s">
        <v>123</v>
      </c>
      <c r="KX28" s="298" t="str">
        <f t="shared" si="180"/>
        <v>INED3001</v>
      </c>
      <c r="KY28" s="117" t="s">
        <v>121</v>
      </c>
      <c r="KZ28" s="104"/>
      <c r="LA28" s="117" t="s">
        <v>123</v>
      </c>
      <c r="LB28" s="298" t="str">
        <f t="shared" si="181"/>
        <v>INED3001</v>
      </c>
      <c r="LC28" s="117" t="s">
        <v>121</v>
      </c>
      <c r="LD28" s="104"/>
      <c r="LE28" s="117" t="s">
        <v>123</v>
      </c>
      <c r="LF28" s="298" t="str">
        <f t="shared" si="182"/>
        <v>INED3001</v>
      </c>
      <c r="LG28" s="117" t="s">
        <v>121</v>
      </c>
      <c r="LH28" s="104"/>
      <c r="LI28" s="117" t="s">
        <v>123</v>
      </c>
      <c r="LJ28" s="298" t="str">
        <f t="shared" si="183"/>
        <v>INED3001</v>
      </c>
      <c r="LK28" s="117" t="s">
        <v>121</v>
      </c>
      <c r="LL28" s="104"/>
      <c r="LM28" s="117" t="s">
        <v>123</v>
      </c>
      <c r="LN28" s="298" t="str">
        <f t="shared" si="184"/>
        <v>INED3001</v>
      </c>
      <c r="LO28" s="117" t="s">
        <v>121</v>
      </c>
      <c r="LP28" s="104"/>
      <c r="LQ28" s="117" t="s">
        <v>123</v>
      </c>
      <c r="LR28" s="298" t="str">
        <f t="shared" si="185"/>
        <v>INED3001</v>
      </c>
      <c r="LS28" s="117" t="s">
        <v>121</v>
      </c>
      <c r="LT28" s="104"/>
      <c r="LU28" s="117" t="s">
        <v>123</v>
      </c>
      <c r="LV28" s="298" t="str">
        <f t="shared" si="186"/>
        <v>INED3001</v>
      </c>
      <c r="LW28" s="117" t="s">
        <v>121</v>
      </c>
      <c r="LX28" s="104"/>
      <c r="LY28" s="117" t="s">
        <v>123</v>
      </c>
      <c r="LZ28" s="298" t="str">
        <f t="shared" si="187"/>
        <v>INED3001</v>
      </c>
      <c r="MA28" s="117" t="s">
        <v>121</v>
      </c>
      <c r="MB28" s="104"/>
      <c r="MC28" s="117" t="s">
        <v>123</v>
      </c>
      <c r="MD28" s="298" t="str">
        <f t="shared" si="188"/>
        <v>INED3001</v>
      </c>
      <c r="ME28" s="117" t="s">
        <v>121</v>
      </c>
      <c r="MF28" s="104"/>
      <c r="MG28" s="117" t="s">
        <v>123</v>
      </c>
      <c r="MH28" s="298" t="str">
        <f t="shared" si="189"/>
        <v>INED3001</v>
      </c>
      <c r="MI28" s="117" t="s">
        <v>121</v>
      </c>
      <c r="MJ28" s="104"/>
      <c r="MK28" s="117" t="s">
        <v>123</v>
      </c>
      <c r="ML28" s="298" t="str">
        <f t="shared" si="190"/>
        <v>INED3001</v>
      </c>
      <c r="MM28" s="117" t="s">
        <v>121</v>
      </c>
      <c r="MN28" s="104"/>
      <c r="MO28" s="117" t="s">
        <v>123</v>
      </c>
      <c r="MP28" s="298" t="str">
        <f t="shared" si="191"/>
        <v>INED3001</v>
      </c>
      <c r="MQ28" s="117" t="s">
        <v>121</v>
      </c>
      <c r="MR28" s="104"/>
      <c r="MS28" s="117" t="s">
        <v>123</v>
      </c>
      <c r="MT28" s="298" t="str">
        <f t="shared" si="192"/>
        <v>INED3001</v>
      </c>
      <c r="MU28" s="117" t="s">
        <v>121</v>
      </c>
      <c r="MV28" s="104"/>
      <c r="MW28" s="117" t="s">
        <v>123</v>
      </c>
      <c r="MX28" s="298" t="str">
        <f t="shared" si="193"/>
        <v>INED3001</v>
      </c>
      <c r="MY28" s="117" t="s">
        <v>121</v>
      </c>
      <c r="MZ28" s="104"/>
      <c r="NA28" s="117" t="s">
        <v>123</v>
      </c>
      <c r="NB28" s="298" t="str">
        <f t="shared" si="194"/>
        <v>INED3001</v>
      </c>
      <c r="NC28" s="117" t="s">
        <v>121</v>
      </c>
      <c r="ND28" s="104"/>
      <c r="NE28" s="117" t="s">
        <v>123</v>
      </c>
      <c r="NF28" s="298" t="str">
        <f t="shared" si="195"/>
        <v>INED3001</v>
      </c>
      <c r="NG28" s="117" t="s">
        <v>121</v>
      </c>
      <c r="NH28" s="104"/>
      <c r="NI28" s="117" t="s">
        <v>123</v>
      </c>
      <c r="NJ28" s="298" t="str">
        <f t="shared" si="196"/>
        <v>INED3001</v>
      </c>
      <c r="NK28" s="117" t="s">
        <v>121</v>
      </c>
      <c r="NL28" s="104"/>
      <c r="NM28" s="117" t="s">
        <v>123</v>
      </c>
      <c r="NN28" s="298" t="str">
        <f t="shared" si="197"/>
        <v>INED3001</v>
      </c>
      <c r="NO28" s="117" t="s">
        <v>121</v>
      </c>
      <c r="NP28" s="104"/>
      <c r="NQ28" s="117" t="s">
        <v>123</v>
      </c>
      <c r="NR28" s="298" t="str">
        <f t="shared" si="198"/>
        <v>INED3001</v>
      </c>
      <c r="NS28" s="117" t="s">
        <v>121</v>
      </c>
      <c r="NT28" s="104"/>
      <c r="NU28" s="117" t="s">
        <v>123</v>
      </c>
      <c r="NV28" s="298" t="str">
        <f t="shared" si="199"/>
        <v>INED3001</v>
      </c>
      <c r="NW28" s="117" t="s">
        <v>121</v>
      </c>
      <c r="NX28" s="104"/>
      <c r="NY28" s="117" t="s">
        <v>123</v>
      </c>
      <c r="NZ28" s="298" t="str">
        <f t="shared" si="200"/>
        <v>INED3001</v>
      </c>
      <c r="OA28" s="117" t="s">
        <v>121</v>
      </c>
      <c r="OB28" s="104"/>
      <c r="OC28" s="117" t="s">
        <v>123</v>
      </c>
      <c r="OD28" s="298" t="str">
        <f t="shared" si="201"/>
        <v>INED3001</v>
      </c>
      <c r="OE28" s="117" t="s">
        <v>121</v>
      </c>
      <c r="OF28" s="104"/>
      <c r="OG28" s="117" t="s">
        <v>123</v>
      </c>
      <c r="OH28" s="298" t="str">
        <f t="shared" si="202"/>
        <v>INED3001</v>
      </c>
      <c r="OI28" s="117" t="s">
        <v>121</v>
      </c>
      <c r="OJ28" s="104"/>
      <c r="OK28" s="117" t="s">
        <v>123</v>
      </c>
      <c r="OL28" s="298" t="str">
        <f t="shared" si="203"/>
        <v>INED3001</v>
      </c>
      <c r="OM28" s="117" t="s">
        <v>121</v>
      </c>
      <c r="ON28" s="104"/>
      <c r="OO28" s="117" t="s">
        <v>123</v>
      </c>
      <c r="OP28" s="298" t="str">
        <f t="shared" si="204"/>
        <v>INED3001</v>
      </c>
      <c r="OQ28" s="117" t="s">
        <v>121</v>
      </c>
      <c r="OR28" s="104"/>
      <c r="OS28" s="117" t="s">
        <v>123</v>
      </c>
      <c r="OT28" s="298" t="str">
        <f t="shared" si="205"/>
        <v>INED3001</v>
      </c>
      <c r="OU28" s="117" t="s">
        <v>121</v>
      </c>
      <c r="OV28" s="104"/>
      <c r="OW28" s="117" t="s">
        <v>123</v>
      </c>
      <c r="OX28" s="298" t="str">
        <f t="shared" si="206"/>
        <v>INED3001</v>
      </c>
      <c r="OY28" s="117" t="s">
        <v>121</v>
      </c>
      <c r="OZ28" s="104"/>
      <c r="PA28" s="117" t="s">
        <v>123</v>
      </c>
      <c r="PB28" s="298" t="str">
        <f t="shared" si="207"/>
        <v>INED3001</v>
      </c>
      <c r="PC28" s="117" t="s">
        <v>121</v>
      </c>
      <c r="PD28" s="104"/>
      <c r="PE28" s="117" t="s">
        <v>123</v>
      </c>
      <c r="PF28" s="298" t="str">
        <f t="shared" si="208"/>
        <v>INED3001</v>
      </c>
      <c r="PG28" s="117" t="s">
        <v>121</v>
      </c>
      <c r="PH28" s="104"/>
      <c r="PI28" s="117" t="s">
        <v>123</v>
      </c>
      <c r="PJ28" s="298" t="str">
        <f t="shared" si="209"/>
        <v>INED3001</v>
      </c>
      <c r="PK28" s="117" t="s">
        <v>121</v>
      </c>
      <c r="PL28" s="104"/>
      <c r="PM28" s="117" t="s">
        <v>123</v>
      </c>
      <c r="PN28" s="298" t="str">
        <f t="shared" si="210"/>
        <v>INED3001</v>
      </c>
      <c r="PO28" s="117" t="s">
        <v>121</v>
      </c>
      <c r="PP28" s="104"/>
      <c r="PQ28" s="117" t="s">
        <v>123</v>
      </c>
      <c r="PR28" s="298" t="str">
        <f t="shared" si="211"/>
        <v>INED3001</v>
      </c>
      <c r="PS28" s="117" t="s">
        <v>121</v>
      </c>
      <c r="PT28" s="104"/>
      <c r="PU28" s="117" t="s">
        <v>123</v>
      </c>
      <c r="PV28" s="298" t="str">
        <f t="shared" si="212"/>
        <v>INED3001</v>
      </c>
      <c r="PW28" s="117" t="s">
        <v>121</v>
      </c>
      <c r="PX28" s="104"/>
      <c r="PY28" s="117" t="s">
        <v>123</v>
      </c>
      <c r="PZ28" s="298" t="str">
        <f t="shared" si="213"/>
        <v>INED3001</v>
      </c>
      <c r="QA28" s="117" t="s">
        <v>121</v>
      </c>
      <c r="QB28" s="104"/>
      <c r="QC28" s="117" t="s">
        <v>123</v>
      </c>
      <c r="QD28" s="298" t="str">
        <f t="shared" si="214"/>
        <v>INED3001</v>
      </c>
      <c r="QE28" s="117" t="s">
        <v>121</v>
      </c>
      <c r="QF28" s="104"/>
      <c r="QG28" s="117" t="s">
        <v>123</v>
      </c>
      <c r="QH28" s="298" t="str">
        <f t="shared" si="215"/>
        <v>INED3001</v>
      </c>
      <c r="QI28" s="117" t="s">
        <v>121</v>
      </c>
      <c r="QJ28" s="104"/>
    </row>
    <row r="29" spans="1:452" x14ac:dyDescent="0.25">
      <c r="A29" s="353" t="s">
        <v>402</v>
      </c>
      <c r="B29" s="7" t="s">
        <v>359</v>
      </c>
      <c r="C29" s="268" t="s">
        <v>72</v>
      </c>
      <c r="D29" s="269">
        <v>45658</v>
      </c>
      <c r="E29" s="268">
        <v>7</v>
      </c>
      <c r="F29" s="269">
        <v>45658</v>
      </c>
      <c r="G29" s="7" t="s">
        <v>398</v>
      </c>
      <c r="J29" s="141"/>
      <c r="K29" s="146" t="str">
        <f>INDEX(TableStreams[Choose your Specialisation Stream second (drop-down list)],MATCH(L29,TableStreams[UDC],0))</f>
        <v>Broadening English Teaching Area Stream (BEd Secondary)</v>
      </c>
      <c r="L29" s="141" t="s">
        <v>359</v>
      </c>
      <c r="O29" s="332">
        <v>8</v>
      </c>
      <c r="P29" s="3">
        <v>27</v>
      </c>
      <c r="Q29" s="117" t="s">
        <v>123</v>
      </c>
      <c r="R29" s="127" t="s">
        <v>383</v>
      </c>
      <c r="S29" s="117" t="s">
        <v>121</v>
      </c>
      <c r="T29" s="104"/>
      <c r="U29" s="117" t="s">
        <v>123</v>
      </c>
      <c r="V29" s="127" t="str">
        <f>HLOOKUP(CONCATENATE(V$4,V$6),RangeMajorsSec,$O29,FALSE)</f>
        <v>EDSC4021</v>
      </c>
      <c r="W29" s="117" t="s">
        <v>121</v>
      </c>
      <c r="X29" s="104"/>
      <c r="Y29" s="117" t="s">
        <v>123</v>
      </c>
      <c r="Z29" s="127" t="str">
        <f>HLOOKUP(CONCATENATE(Z$4,Z$6),RangeMajorsSec,$O29,FALSE)</f>
        <v>THTR3004</v>
      </c>
      <c r="AA29" s="117" t="s">
        <v>121</v>
      </c>
      <c r="AB29" s="104"/>
      <c r="AC29" s="117" t="s">
        <v>123</v>
      </c>
      <c r="AD29" s="127" t="str">
        <f>HLOOKUP(CONCATENATE(AD$4,AD$6),RangeMajorsSec,$O29,FALSE)</f>
        <v>THTR3004</v>
      </c>
      <c r="AE29" s="117" t="s">
        <v>121</v>
      </c>
      <c r="AF29" s="104"/>
      <c r="AG29" s="117" t="s">
        <v>123</v>
      </c>
      <c r="AH29" s="127" t="str">
        <f>HLOOKUP(CONCATENATE(AH$4,AH$6),RangeMajorsSec,$O29,FALSE)</f>
        <v>THTR3004</v>
      </c>
      <c r="AI29" s="117" t="s">
        <v>121</v>
      </c>
      <c r="AJ29" s="104"/>
      <c r="AK29" s="117" t="s">
        <v>123</v>
      </c>
      <c r="AL29" s="127" t="str">
        <f>HLOOKUP(CONCATENATE(AL$4,AL$6),RangeMajorsSec,$O29,FALSE)</f>
        <v>THTR3004</v>
      </c>
      <c r="AM29" s="117" t="s">
        <v>121</v>
      </c>
      <c r="AN29" s="104"/>
      <c r="AO29" s="117" t="s">
        <v>123</v>
      </c>
      <c r="AP29" s="127" t="str">
        <f>HLOOKUP(CONCATENATE(AP$4,AP$6),RangeMajorsSec,$O29,FALSE)</f>
        <v>THTR3004</v>
      </c>
      <c r="AQ29" s="117" t="s">
        <v>121</v>
      </c>
      <c r="AR29" s="104"/>
      <c r="AS29" s="117" t="s">
        <v>123</v>
      </c>
      <c r="AT29" s="127" t="str">
        <f>HLOOKUP(CONCATENATE(AT$4,AT$6),RangeMajorsSec,$O29,FALSE)</f>
        <v>THTR3004</v>
      </c>
      <c r="AU29" s="117" t="s">
        <v>121</v>
      </c>
      <c r="AV29" s="104"/>
      <c r="AW29" s="117" t="s">
        <v>123</v>
      </c>
      <c r="AX29" s="127" t="str">
        <f>HLOOKUP(CONCATENATE(AX$4,AX$6),RangeMajorsSec,$O29,FALSE)</f>
        <v>THTR3004</v>
      </c>
      <c r="AY29" s="117" t="s">
        <v>121</v>
      </c>
      <c r="AZ29" s="104"/>
      <c r="BA29" s="117" t="s">
        <v>123</v>
      </c>
      <c r="BB29" s="127" t="str">
        <f>HLOOKUP(CONCATENATE(BB$4,BB$6),RangeMajorsSec,$O29,FALSE)</f>
        <v>SPRO2000</v>
      </c>
      <c r="BC29" s="117" t="s">
        <v>121</v>
      </c>
      <c r="BD29" s="104"/>
      <c r="BE29" s="117" t="s">
        <v>123</v>
      </c>
      <c r="BF29" s="127" t="str">
        <f>HLOOKUP(CONCATENATE(BF$4,BF$6),RangeMajorsSec,$O29,FALSE)</f>
        <v>SPRO2000</v>
      </c>
      <c r="BG29" s="117" t="s">
        <v>121</v>
      </c>
      <c r="BH29" s="104"/>
      <c r="BI29" s="117" t="s">
        <v>123</v>
      </c>
      <c r="BJ29" s="127" t="str">
        <f>HLOOKUP(CONCATENATE(BJ$4,BJ$6),RangeMajorsSec,$O29,FALSE)</f>
        <v>SPRO2000</v>
      </c>
      <c r="BK29" s="117" t="s">
        <v>121</v>
      </c>
      <c r="BL29" s="104"/>
      <c r="BM29" s="117" t="s">
        <v>123</v>
      </c>
      <c r="BN29" s="127" t="str">
        <f>HLOOKUP(CONCATENATE(BN$4,BN$6),RangeMajorsSec,$O29,FALSE)</f>
        <v>SPRO2000</v>
      </c>
      <c r="BO29" s="117" t="s">
        <v>121</v>
      </c>
      <c r="BP29" s="104"/>
      <c r="BQ29" s="117" t="s">
        <v>123</v>
      </c>
      <c r="BR29" s="127" t="str">
        <f>HLOOKUP(CONCATENATE(BR$4,BR$6),RangeMajorsSec,$O29,FALSE)</f>
        <v>SPRO2000</v>
      </c>
      <c r="BS29" s="117" t="s">
        <v>121</v>
      </c>
      <c r="BT29" s="104"/>
      <c r="BU29" s="117" t="s">
        <v>123</v>
      </c>
      <c r="BV29" s="127" t="str">
        <f>HLOOKUP(CONCATENATE(BV$4,BV$6),RangeMajorsSec,$O29,FALSE)</f>
        <v>SPRO2000</v>
      </c>
      <c r="BW29" s="117" t="s">
        <v>121</v>
      </c>
      <c r="BX29" s="104"/>
      <c r="BY29" s="117" t="s">
        <v>123</v>
      </c>
      <c r="BZ29" s="127" t="str">
        <f>HLOOKUP(CONCATENATE(BZ$4,BZ$6),RangeMajorsSec,$O29,FALSE)</f>
        <v>Opt-ARVA1</v>
      </c>
      <c r="CA29" s="117" t="s">
        <v>121</v>
      </c>
      <c r="CB29" s="104"/>
      <c r="CC29" s="117" t="s">
        <v>123</v>
      </c>
      <c r="CD29" s="127" t="str">
        <f>HLOOKUP(CONCATENATE(CD$4,CD$6),RangeMajorsSec,$O29,FALSE)</f>
        <v>Opt-ARVA1</v>
      </c>
      <c r="CE29" s="117" t="s">
        <v>121</v>
      </c>
      <c r="CF29" s="104"/>
      <c r="CG29" s="117" t="s">
        <v>123</v>
      </c>
      <c r="CH29" s="127" t="str">
        <f>HLOOKUP(CONCATENATE(CH$4,CH$6),RangeMajorsSec,$O29,FALSE)</f>
        <v>Opt-ARVA1</v>
      </c>
      <c r="CI29" s="117" t="s">
        <v>121</v>
      </c>
      <c r="CJ29" s="104"/>
      <c r="CK29" s="117" t="s">
        <v>123</v>
      </c>
      <c r="CL29" s="127" t="str">
        <f>HLOOKUP(CONCATENATE(CL$4,CL$6),RangeMajorsSec,$O29,FALSE)</f>
        <v>Opt-ARVA1</v>
      </c>
      <c r="CM29" s="117" t="s">
        <v>121</v>
      </c>
      <c r="CN29" s="104"/>
      <c r="CO29" s="117" t="s">
        <v>123</v>
      </c>
      <c r="CP29" s="127" t="str">
        <f>HLOOKUP(CONCATENATE(CP$4,CP$6),RangeMajorsSec,$O29,FALSE)</f>
        <v>Opt-ARVA1</v>
      </c>
      <c r="CQ29" s="117" t="s">
        <v>121</v>
      </c>
      <c r="CR29" s="104"/>
      <c r="CS29" s="117" t="s">
        <v>123</v>
      </c>
      <c r="CT29" s="127" t="str">
        <f>HLOOKUP(CONCATENATE(CT$4,CT$6),RangeMajorsSec,$O29,FALSE)</f>
        <v>Opt-ARVA1</v>
      </c>
      <c r="CU29" s="117" t="s">
        <v>121</v>
      </c>
      <c r="CV29" s="104"/>
      <c r="CW29" s="117" t="s">
        <v>123</v>
      </c>
      <c r="CX29" s="127" t="str">
        <f>HLOOKUP(CONCATENATE(CX$4,CX$6),RangeMajorsSec,$O29,FALSE)</f>
        <v>Opt-ARVA1</v>
      </c>
      <c r="CY29" s="117" t="s">
        <v>121</v>
      </c>
      <c r="CZ29" s="104"/>
      <c r="DA29" s="117" t="s">
        <v>123</v>
      </c>
      <c r="DB29" s="127" t="str">
        <f>HLOOKUP(CONCATENATE(DB$4,DB$6),RangeMajorsSec,$O29,FALSE)</f>
        <v>LCST3007</v>
      </c>
      <c r="DC29" s="117" t="s">
        <v>121</v>
      </c>
      <c r="DD29" s="104"/>
      <c r="DE29" s="117" t="s">
        <v>123</v>
      </c>
      <c r="DF29" s="127" t="str">
        <f>HLOOKUP(CONCATENATE(DF$4,DF$6),RangeMajorsSec,$O29,FALSE)</f>
        <v>LCST3007</v>
      </c>
      <c r="DG29" s="117" t="s">
        <v>121</v>
      </c>
      <c r="DH29" s="104"/>
      <c r="DI29" s="117" t="s">
        <v>123</v>
      </c>
      <c r="DJ29" s="127" t="str">
        <f>HLOOKUP(CONCATENATE(DJ$4,DJ$6),RangeMajorsSec,$O29,FALSE)</f>
        <v>LCST3007</v>
      </c>
      <c r="DK29" s="117" t="s">
        <v>121</v>
      </c>
      <c r="DL29" s="104"/>
      <c r="DM29" s="117" t="s">
        <v>123</v>
      </c>
      <c r="DN29" s="127" t="str">
        <f>HLOOKUP(CONCATENATE(DN$4,DN$6),RangeMajorsSec,$O29,FALSE)</f>
        <v>LCST3007</v>
      </c>
      <c r="DO29" s="117" t="s">
        <v>121</v>
      </c>
      <c r="DP29" s="104"/>
      <c r="DQ29" s="117" t="s">
        <v>123</v>
      </c>
      <c r="DR29" s="127" t="str">
        <f>HLOOKUP(CONCATENATE(DR$4,DR$6),RangeMajorsSec,$O29,FALSE)</f>
        <v>LCST3007</v>
      </c>
      <c r="DS29" s="117" t="s">
        <v>121</v>
      </c>
      <c r="DT29" s="104"/>
      <c r="DU29" s="117" t="s">
        <v>123</v>
      </c>
      <c r="DV29" s="127" t="str">
        <f>HLOOKUP(CONCATENATE(DV$4,DV$6),RangeMajorsSec,$O29,FALSE)</f>
        <v>LCST3007</v>
      </c>
      <c r="DW29" s="117" t="s">
        <v>121</v>
      </c>
      <c r="DX29" s="104"/>
      <c r="DY29" s="117" t="s">
        <v>123</v>
      </c>
      <c r="DZ29" s="127" t="str">
        <f>HLOOKUP(CONCATENATE(DZ$4,DZ$6),RangeMajorsSec,$O29,FALSE)</f>
        <v>LCST3007</v>
      </c>
      <c r="EA29" s="117" t="s">
        <v>121</v>
      </c>
      <c r="EB29" s="104"/>
      <c r="EC29" s="117" t="s">
        <v>123</v>
      </c>
      <c r="ED29" s="127" t="str">
        <f>HLOOKUP(CONCATENATE(ED$4,ED$6),RangeMajorsSec,$O29,FALSE)</f>
        <v>LCST3007</v>
      </c>
      <c r="EE29" s="117" t="s">
        <v>121</v>
      </c>
      <c r="EF29" s="104"/>
      <c r="EG29" s="117" t="s">
        <v>123</v>
      </c>
      <c r="EH29" s="127" t="str">
        <f>HLOOKUP(CONCATENATE(EH$4,EH$6),RangeMajorsSec,$O29,FALSE)</f>
        <v>LCST3007</v>
      </c>
      <c r="EI29" s="117" t="s">
        <v>121</v>
      </c>
      <c r="EJ29" s="104"/>
      <c r="EK29" s="117" t="s">
        <v>123</v>
      </c>
      <c r="EL29" s="127" t="str">
        <f>HLOOKUP(CONCATENATE(EL$4,EL$6),RangeMajorsSec,$O29,FALSE)</f>
        <v>AC-HSEC13</v>
      </c>
      <c r="EM29" s="117" t="s">
        <v>121</v>
      </c>
      <c r="EN29" s="104"/>
      <c r="EO29" s="117" t="s">
        <v>123</v>
      </c>
      <c r="EP29" s="127" t="str">
        <f>HLOOKUP(CONCATENATE(EP$4,EP$6),RangeMajorsSec,$O29,FALSE)</f>
        <v>AC-HSEC13</v>
      </c>
      <c r="EQ29" s="117" t="s">
        <v>121</v>
      </c>
      <c r="ER29" s="104"/>
      <c r="ES29" s="117" t="s">
        <v>123</v>
      </c>
      <c r="ET29" s="127" t="str">
        <f>HLOOKUP(CONCATENATE(ET$4,ET$6),RangeMajorsSec,$O29,FALSE)</f>
        <v>AC-HSEC13</v>
      </c>
      <c r="EU29" s="117" t="s">
        <v>121</v>
      </c>
      <c r="EV29" s="104"/>
      <c r="EW29" s="117" t="s">
        <v>123</v>
      </c>
      <c r="EX29" s="127" t="str">
        <f>HLOOKUP(CONCATENATE(EX$4,EX$6),RangeMajorsSec,$O29,FALSE)</f>
        <v>AC-HSEC13</v>
      </c>
      <c r="EY29" s="117" t="s">
        <v>121</v>
      </c>
      <c r="EZ29" s="104"/>
      <c r="FA29" s="117" t="s">
        <v>123</v>
      </c>
      <c r="FB29" s="127" t="str">
        <f>HLOOKUP(CONCATENATE(FB$4,FB$6),RangeMajorsSec,$O29,FALSE)</f>
        <v>AC-HSEC13</v>
      </c>
      <c r="FC29" s="117" t="s">
        <v>121</v>
      </c>
      <c r="FD29" s="104"/>
      <c r="FE29" s="117" t="s">
        <v>123</v>
      </c>
      <c r="FF29" s="127" t="str">
        <f>HLOOKUP(CONCATENATE(FF$4,FF$6),RangeMajorsSec,$O29,FALSE)</f>
        <v>AC-HSEC13</v>
      </c>
      <c r="FG29" s="117" t="s">
        <v>121</v>
      </c>
      <c r="FH29" s="104"/>
      <c r="FI29" s="117" t="s">
        <v>123</v>
      </c>
      <c r="FJ29" s="127" t="str">
        <f>HLOOKUP(CONCATENATE(FJ$4,FJ$6),RangeMajorsSec,$O29,FALSE)</f>
        <v>AC-HSEC13</v>
      </c>
      <c r="FK29" s="117" t="s">
        <v>121</v>
      </c>
      <c r="FL29" s="104"/>
      <c r="FM29" s="117" t="s">
        <v>123</v>
      </c>
      <c r="FN29" s="127" t="str">
        <f>HLOOKUP(CONCATENATE(FN$4,FN$6),RangeMajorsSec,$O29,FALSE)</f>
        <v>AC-HSEC13</v>
      </c>
      <c r="FO29" s="117" t="s">
        <v>121</v>
      </c>
      <c r="FP29" s="104"/>
      <c r="FQ29" s="117" t="s">
        <v>123</v>
      </c>
      <c r="FR29" s="127" t="str">
        <f>HLOOKUP(CONCATENATE(FR$4,FR$6),RangeMajorsSec,$O29,FALSE)</f>
        <v>AC-HSGE14</v>
      </c>
      <c r="FS29" s="117" t="s">
        <v>121</v>
      </c>
      <c r="FT29" s="104"/>
      <c r="FU29" s="117" t="s">
        <v>123</v>
      </c>
      <c r="FV29" s="127" t="str">
        <f>HLOOKUP(CONCATENATE(FV$4,FV$6),RangeMajorsSec,$O29,FALSE)</f>
        <v>AC-HSGE14</v>
      </c>
      <c r="FW29" s="117" t="s">
        <v>121</v>
      </c>
      <c r="FX29" s="104"/>
      <c r="FY29" s="117" t="s">
        <v>123</v>
      </c>
      <c r="FZ29" s="127" t="str">
        <f>HLOOKUP(CONCATENATE(FZ$4,FZ$6),RangeMajorsSec,$O29,FALSE)</f>
        <v>AC-HSGE14</v>
      </c>
      <c r="GA29" s="117" t="s">
        <v>121</v>
      </c>
      <c r="GB29" s="104"/>
      <c r="GC29" s="117" t="s">
        <v>123</v>
      </c>
      <c r="GD29" s="127" t="str">
        <f>HLOOKUP(CONCATENATE(GD$4,GD$6),RangeMajorsSec,$O29,FALSE)</f>
        <v>AC-HSGE14</v>
      </c>
      <c r="GE29" s="117" t="s">
        <v>121</v>
      </c>
      <c r="GF29" s="104"/>
      <c r="GG29" s="117" t="s">
        <v>123</v>
      </c>
      <c r="GH29" s="127" t="str">
        <f>HLOOKUP(CONCATENATE(GH$4,GH$6),RangeMajorsSec,$O29,FALSE)</f>
        <v>AC-HSGE14</v>
      </c>
      <c r="GI29" s="117" t="s">
        <v>121</v>
      </c>
      <c r="GJ29" s="104"/>
      <c r="GK29" s="117" t="s">
        <v>123</v>
      </c>
      <c r="GL29" s="127" t="str">
        <f>HLOOKUP(CONCATENATE(GL$4,GL$6),RangeMajorsSec,$O29,FALSE)</f>
        <v>AC-HSGE14</v>
      </c>
      <c r="GM29" s="117" t="s">
        <v>121</v>
      </c>
      <c r="GN29" s="104"/>
      <c r="GO29" s="117" t="s">
        <v>123</v>
      </c>
      <c r="GP29" s="127" t="str">
        <f>HLOOKUP(CONCATENATE(GP$4,GP$6),RangeMajorsSec,$O29,FALSE)</f>
        <v>AC-HSGE14</v>
      </c>
      <c r="GQ29" s="117" t="s">
        <v>121</v>
      </c>
      <c r="GR29" s="104"/>
      <c r="GS29" s="117" t="s">
        <v>123</v>
      </c>
      <c r="GT29" s="127" t="str">
        <f>HLOOKUP(CONCATENATE(GT$4,GT$6),RangeMajorsSec,$O29,FALSE)</f>
        <v>AC-HSGE14</v>
      </c>
      <c r="GU29" s="117" t="s">
        <v>121</v>
      </c>
      <c r="GV29" s="104"/>
      <c r="GW29" s="117" t="s">
        <v>123</v>
      </c>
      <c r="GX29" s="127" t="str">
        <f>HLOOKUP(CONCATENATE(GX$4,GX$6),RangeMajorsSec,$O29,FALSE)</f>
        <v>AC-HSHI13</v>
      </c>
      <c r="GY29" s="117" t="s">
        <v>121</v>
      </c>
      <c r="GZ29" s="104"/>
      <c r="HA29" s="117" t="s">
        <v>123</v>
      </c>
      <c r="HB29" s="127" t="str">
        <f>HLOOKUP(CONCATENATE(HB$4,HB$6),RangeMajorsSec,$O29,FALSE)</f>
        <v>AC-HSHI13</v>
      </c>
      <c r="HC29" s="117" t="s">
        <v>121</v>
      </c>
      <c r="HD29" s="104"/>
      <c r="HE29" s="117" t="s">
        <v>123</v>
      </c>
      <c r="HF29" s="127" t="str">
        <f>HLOOKUP(CONCATENATE(HF$4,HF$6),RangeMajorsSec,$O29,FALSE)</f>
        <v>AC-HSHI13</v>
      </c>
      <c r="HG29" s="117" t="s">
        <v>121</v>
      </c>
      <c r="HH29" s="104"/>
      <c r="HI29" s="117" t="s">
        <v>123</v>
      </c>
      <c r="HJ29" s="127" t="str">
        <f>HLOOKUP(CONCATENATE(HJ$4,HJ$6),RangeMajorsSec,$O29,FALSE)</f>
        <v>AC-HSHI13</v>
      </c>
      <c r="HK29" s="117" t="s">
        <v>121</v>
      </c>
      <c r="HL29" s="104"/>
      <c r="HM29" s="117" t="s">
        <v>123</v>
      </c>
      <c r="HN29" s="127" t="str">
        <f>HLOOKUP(CONCATENATE(HN$4,HN$6),RangeMajorsSec,$O29,FALSE)</f>
        <v>AC-HSHI13</v>
      </c>
      <c r="HO29" s="117" t="s">
        <v>121</v>
      </c>
      <c r="HP29" s="104"/>
      <c r="HQ29" s="117" t="s">
        <v>123</v>
      </c>
      <c r="HR29" s="127" t="str">
        <f>HLOOKUP(CONCATENATE(HR$4,HR$6),RangeMajorsSec,$O29,FALSE)</f>
        <v>AC-HSHI13</v>
      </c>
      <c r="HS29" s="117" t="s">
        <v>121</v>
      </c>
      <c r="HT29" s="104"/>
      <c r="HU29" s="117" t="s">
        <v>123</v>
      </c>
      <c r="HV29" s="127" t="str">
        <f>HLOOKUP(CONCATENATE(HV$4,HV$6),RangeMajorsSec,$O29,FALSE)</f>
        <v>AC-HSHI13</v>
      </c>
      <c r="HW29" s="117" t="s">
        <v>121</v>
      </c>
      <c r="HX29" s="104"/>
      <c r="HY29" s="117" t="s">
        <v>123</v>
      </c>
      <c r="HZ29" s="127" t="str">
        <f>HLOOKUP(CONCATENATE(HZ$4,HZ$6),RangeMajorsSec,$O29,FALSE)</f>
        <v>AC-HSHI13</v>
      </c>
      <c r="IA29" s="117" t="s">
        <v>121</v>
      </c>
      <c r="IB29" s="104"/>
      <c r="IC29" s="117" t="s">
        <v>123</v>
      </c>
      <c r="ID29" s="127" t="str">
        <f>HLOOKUP(CONCATENATE(ID$4,ID$6),RangeMajorsSec,$O29,FALSE)</f>
        <v>AC-HSPL13</v>
      </c>
      <c r="IE29" s="117" t="s">
        <v>121</v>
      </c>
      <c r="IF29" s="104"/>
      <c r="IG29" s="117" t="s">
        <v>123</v>
      </c>
      <c r="IH29" s="127" t="str">
        <f>HLOOKUP(CONCATENATE(IH$4,IH$6),RangeMajorsSec,$O29,FALSE)</f>
        <v>AC-HSPL13</v>
      </c>
      <c r="II29" s="117" t="s">
        <v>121</v>
      </c>
      <c r="IJ29" s="104"/>
      <c r="IK29" s="117" t="s">
        <v>123</v>
      </c>
      <c r="IL29" s="127" t="str">
        <f>HLOOKUP(CONCATENATE(IL$4,IL$6),RangeMajorsSec,$O29,FALSE)</f>
        <v>AC-HSPL13</v>
      </c>
      <c r="IM29" s="117" t="s">
        <v>121</v>
      </c>
      <c r="IN29" s="104"/>
      <c r="IO29" s="117" t="s">
        <v>123</v>
      </c>
      <c r="IP29" s="127" t="str">
        <f>HLOOKUP(CONCATENATE(IP$4,IP$6),RangeMajorsSec,$O29,FALSE)</f>
        <v>AC-HSPL13</v>
      </c>
      <c r="IQ29" s="117" t="s">
        <v>121</v>
      </c>
      <c r="IR29" s="104"/>
      <c r="IS29" s="117" t="s">
        <v>123</v>
      </c>
      <c r="IT29" s="127" t="str">
        <f>HLOOKUP(CONCATENATE(IT$4,IT$6),RangeMajorsSec,$O29,FALSE)</f>
        <v>AC-HSPL13</v>
      </c>
      <c r="IU29" s="117" t="s">
        <v>121</v>
      </c>
      <c r="IV29" s="104"/>
      <c r="IW29" s="117" t="s">
        <v>123</v>
      </c>
      <c r="IX29" s="127" t="str">
        <f>HLOOKUP(CONCATENATE(IX$4,IX$6),RangeMajorsSec,$O29,FALSE)</f>
        <v>AC-HSPL13</v>
      </c>
      <c r="IY29" s="117" t="s">
        <v>121</v>
      </c>
      <c r="IZ29" s="104"/>
      <c r="JA29" s="117" t="s">
        <v>123</v>
      </c>
      <c r="JB29" s="127" t="str">
        <f>HLOOKUP(CONCATENATE(JB$4,JB$6),RangeMajorsSec,$O29,FALSE)</f>
        <v>AC-HSPL13</v>
      </c>
      <c r="JC29" s="117" t="s">
        <v>121</v>
      </c>
      <c r="JD29" s="104"/>
      <c r="JE29" s="117" t="s">
        <v>123</v>
      </c>
      <c r="JF29" s="127" t="str">
        <f>HLOOKUP(CONCATENATE(JF$4,JF$6),RangeMajorsSec,$O29,FALSE)</f>
        <v>AC-HSPL13</v>
      </c>
      <c r="JG29" s="117" t="s">
        <v>121</v>
      </c>
      <c r="JH29" s="104"/>
      <c r="JI29" s="117" t="s">
        <v>123</v>
      </c>
      <c r="JJ29" s="127" t="str">
        <f>HLOOKUP(CONCATENATE(JJ$4,JJ$6),RangeMajorsSec,$O29,FALSE)</f>
        <v>AC-HSPL13</v>
      </c>
      <c r="JK29" s="117" t="s">
        <v>121</v>
      </c>
      <c r="JL29" s="104"/>
      <c r="JM29" s="117" t="s">
        <v>123</v>
      </c>
      <c r="JN29" s="127" t="str">
        <f>HLOOKUP(CONCATENATE(JN$4,JN$6),RangeMajorsSec,$O29,FALSE)</f>
        <v>STAT3011</v>
      </c>
      <c r="JO29" s="117" t="s">
        <v>121</v>
      </c>
      <c r="JP29" s="104"/>
      <c r="JQ29" s="117" t="s">
        <v>123</v>
      </c>
      <c r="JR29" s="127" t="str">
        <f>HLOOKUP(CONCATENATE(JR$4,JR$6),RangeMajorsSec,$O29,FALSE)</f>
        <v>STAT3011</v>
      </c>
      <c r="JS29" s="117" t="s">
        <v>121</v>
      </c>
      <c r="JT29" s="104"/>
      <c r="JU29" s="117" t="s">
        <v>123</v>
      </c>
      <c r="JV29" s="127" t="str">
        <f>HLOOKUP(CONCATENATE(JV$4,JV$6),RangeMajorsSec,$O29,FALSE)</f>
        <v>STAT3011</v>
      </c>
      <c r="JW29" s="117" t="s">
        <v>121</v>
      </c>
      <c r="JX29" s="104"/>
      <c r="JY29" s="117" t="s">
        <v>123</v>
      </c>
      <c r="JZ29" s="127" t="str">
        <f>HLOOKUP(CONCATENATE(JZ$4,JZ$6),RangeMajorsSec,$O29,FALSE)</f>
        <v>STAT3011</v>
      </c>
      <c r="KA29" s="117" t="s">
        <v>121</v>
      </c>
      <c r="KB29" s="104"/>
      <c r="KC29" s="117" t="s">
        <v>123</v>
      </c>
      <c r="KD29" s="127" t="str">
        <f>HLOOKUP(CONCATENATE(KD$4,KD$6),RangeMajorsSec,$O29,FALSE)</f>
        <v>STAT3011</v>
      </c>
      <c r="KE29" s="117" t="s">
        <v>121</v>
      </c>
      <c r="KF29" s="104"/>
      <c r="KG29" s="117" t="s">
        <v>123</v>
      </c>
      <c r="KH29" s="127" t="str">
        <f>HLOOKUP(CONCATENATE(KH$4,KH$6),RangeMajorsSec,$O29,FALSE)</f>
        <v>STAT3011</v>
      </c>
      <c r="KI29" s="117" t="s">
        <v>121</v>
      </c>
      <c r="KJ29" s="104"/>
      <c r="KK29" s="117" t="s">
        <v>123</v>
      </c>
      <c r="KL29" s="127" t="str">
        <f>HLOOKUP(CONCATENATE(KL$4,KL$6),RangeMajorsSec,$O29,FALSE)</f>
        <v>STAT3011</v>
      </c>
      <c r="KM29" s="117" t="s">
        <v>121</v>
      </c>
      <c r="KN29" s="104"/>
      <c r="KO29" s="117" t="s">
        <v>123</v>
      </c>
      <c r="KP29" s="127" t="str">
        <f>HLOOKUP(CONCATENATE(KP$4,KP$6),RangeMajorsSec,$O29,FALSE)</f>
        <v>STAT3011</v>
      </c>
      <c r="KQ29" s="117" t="s">
        <v>121</v>
      </c>
      <c r="KR29" s="104"/>
      <c r="KS29" s="117" t="s">
        <v>123</v>
      </c>
      <c r="KT29" s="127" t="str">
        <f>HLOOKUP(CONCATENATE(KT$4,KT$6),RangeMajorsSec,$O29,FALSE)</f>
        <v>STAT3011</v>
      </c>
      <c r="KU29" s="117" t="s">
        <v>121</v>
      </c>
      <c r="KV29" s="104"/>
      <c r="KW29" s="117" t="s">
        <v>123</v>
      </c>
      <c r="KX29" s="127" t="str">
        <f>HLOOKUP(CONCATENATE(KX$4,KX$6),RangeMajorsSec,$O29,FALSE)</f>
        <v>REHT3002</v>
      </c>
      <c r="KY29" s="117" t="s">
        <v>121</v>
      </c>
      <c r="KZ29" s="104"/>
      <c r="LA29" s="117" t="s">
        <v>123</v>
      </c>
      <c r="LB29" s="127" t="str">
        <f>HLOOKUP(CONCATENATE(LB$4,LB$6),RangeMajorsSec,$O29,FALSE)</f>
        <v>REHT3002</v>
      </c>
      <c r="LC29" s="117" t="s">
        <v>121</v>
      </c>
      <c r="LD29" s="104"/>
      <c r="LE29" s="117" t="s">
        <v>123</v>
      </c>
      <c r="LF29" s="127" t="str">
        <f>HLOOKUP(CONCATENATE(LF$4,LF$6),RangeMajorsSec,$O29,FALSE)</f>
        <v>ENST3002</v>
      </c>
      <c r="LG29" s="117" t="s">
        <v>121</v>
      </c>
      <c r="LH29" s="104"/>
      <c r="LI29" s="117" t="s">
        <v>123</v>
      </c>
      <c r="LJ29" s="127" t="str">
        <f>HLOOKUP(CONCATENATE(LJ$4,LJ$6),RangeMajorsSec,$O29,FALSE)</f>
        <v>ENST3002</v>
      </c>
      <c r="LK29" s="117" t="s">
        <v>121</v>
      </c>
      <c r="LL29" s="104"/>
      <c r="LM29" s="117" t="s">
        <v>123</v>
      </c>
      <c r="LN29" s="127" t="str">
        <f>HLOOKUP(CONCATENATE(LN$4,LN$6),RangeMajorsSec,$O29,FALSE)</f>
        <v>ENST3002</v>
      </c>
      <c r="LO29" s="117" t="s">
        <v>121</v>
      </c>
      <c r="LP29" s="104"/>
      <c r="LQ29" s="117" t="s">
        <v>123</v>
      </c>
      <c r="LR29" s="127" t="str">
        <f>HLOOKUP(CONCATENATE(LR$4,LR$6),RangeMajorsSec,$O29,FALSE)</f>
        <v>ENST3002</v>
      </c>
      <c r="LS29" s="117" t="s">
        <v>121</v>
      </c>
      <c r="LT29" s="104"/>
      <c r="LU29" s="117" t="s">
        <v>123</v>
      </c>
      <c r="LV29" s="127" t="str">
        <f>HLOOKUP(CONCATENATE(LV$4,LV$6),RangeMajorsSec,$O29,FALSE)</f>
        <v>ENST3002</v>
      </c>
      <c r="LW29" s="117" t="s">
        <v>121</v>
      </c>
      <c r="LX29" s="104"/>
      <c r="LY29" s="117" t="s">
        <v>123</v>
      </c>
      <c r="LZ29" s="127" t="str">
        <f>HLOOKUP(CONCATENATE(LZ$4,LZ$6),RangeMajorsSec,$O29,FALSE)</f>
        <v>ENST3002</v>
      </c>
      <c r="MA29" s="117" t="s">
        <v>121</v>
      </c>
      <c r="MB29" s="104"/>
      <c r="MC29" s="117" t="s">
        <v>123</v>
      </c>
      <c r="MD29" s="127" t="str">
        <f>HLOOKUP(CONCATENATE(MD$4,MD$6),RangeMajorsSec,$O29,FALSE)</f>
        <v>ENST3002</v>
      </c>
      <c r="ME29" s="117" t="s">
        <v>121</v>
      </c>
      <c r="MF29" s="104"/>
      <c r="MG29" s="117" t="s">
        <v>123</v>
      </c>
      <c r="MH29" s="127" t="str">
        <f>HLOOKUP(CONCATENATE(MH$4,MH$6),RangeMajorsSec,$O29,FALSE)</f>
        <v>ENST3002</v>
      </c>
      <c r="MI29" s="117" t="s">
        <v>121</v>
      </c>
      <c r="MJ29" s="104"/>
      <c r="MK29" s="117" t="s">
        <v>123</v>
      </c>
      <c r="ML29" s="127" t="str">
        <f>HLOOKUP(CONCATENATE(ML$4,ML$6),RangeMajorsSec,$O29,FALSE)</f>
        <v>AC-SCCH11</v>
      </c>
      <c r="MM29" s="117" t="s">
        <v>121</v>
      </c>
      <c r="MN29" s="104"/>
      <c r="MO29" s="117" t="s">
        <v>123</v>
      </c>
      <c r="MP29" s="127" t="str">
        <f>HLOOKUP(CONCATENATE(MP$4,MP$6),RangeMajorsSec,$O29,FALSE)</f>
        <v>AC-SCCH11</v>
      </c>
      <c r="MQ29" s="117" t="s">
        <v>121</v>
      </c>
      <c r="MR29" s="104"/>
      <c r="MS29" s="117" t="s">
        <v>123</v>
      </c>
      <c r="MT29" s="127" t="str">
        <f>HLOOKUP(CONCATENATE(MT$4,MT$6),RangeMajorsSec,$O29,FALSE)</f>
        <v>AC-SCCH11</v>
      </c>
      <c r="MU29" s="117" t="s">
        <v>121</v>
      </c>
      <c r="MV29" s="104"/>
      <c r="MW29" s="117" t="s">
        <v>123</v>
      </c>
      <c r="MX29" s="127" t="str">
        <f>HLOOKUP(CONCATENATE(MX$4,MX$6),RangeMajorsSec,$O29,FALSE)</f>
        <v>AC-SCCH11</v>
      </c>
      <c r="MY29" s="117" t="s">
        <v>121</v>
      </c>
      <c r="MZ29" s="104"/>
      <c r="NA29" s="117" t="s">
        <v>123</v>
      </c>
      <c r="NB29" s="127" t="str">
        <f>HLOOKUP(CONCATENATE(NB$4,NB$6),RangeMajorsSec,$O29,FALSE)</f>
        <v>AC-SCCH11</v>
      </c>
      <c r="NC29" s="117" t="s">
        <v>121</v>
      </c>
      <c r="ND29" s="104"/>
      <c r="NE29" s="117" t="s">
        <v>123</v>
      </c>
      <c r="NF29" s="127" t="str">
        <f>HLOOKUP(CONCATENATE(NF$4,NF$6),RangeMajorsSec,$O29,FALSE)</f>
        <v>AC-SCCH11</v>
      </c>
      <c r="NG29" s="117" t="s">
        <v>121</v>
      </c>
      <c r="NH29" s="104"/>
      <c r="NI29" s="117" t="s">
        <v>123</v>
      </c>
      <c r="NJ29" s="127" t="str">
        <f>HLOOKUP(CONCATENATE(NJ$4,NJ$6),RangeMajorsSec,$O29,FALSE)</f>
        <v>AC-SCCH11</v>
      </c>
      <c r="NK29" s="117" t="s">
        <v>121</v>
      </c>
      <c r="NL29" s="104"/>
      <c r="NM29" s="117" t="s">
        <v>123</v>
      </c>
      <c r="NN29" s="127" t="str">
        <f>HLOOKUP(CONCATENATE(NN$4,NN$6),RangeMajorsSec,$O29,FALSE)</f>
        <v>AC-SCCH11</v>
      </c>
      <c r="NO29" s="117" t="s">
        <v>121</v>
      </c>
      <c r="NP29" s="104"/>
      <c r="NQ29" s="117" t="s">
        <v>123</v>
      </c>
      <c r="NR29" s="127" t="str">
        <f>HLOOKUP(CONCATENATE(NR$4,NR$6),RangeMajorsSec,$O29,FALSE)</f>
        <v>MEDS3005</v>
      </c>
      <c r="NS29" s="117" t="s">
        <v>121</v>
      </c>
      <c r="NT29" s="104"/>
      <c r="NU29" s="117" t="s">
        <v>123</v>
      </c>
      <c r="NV29" s="127" t="str">
        <f>HLOOKUP(CONCATENATE(NV$4,NV$6),RangeMajorsSec,$O29,FALSE)</f>
        <v>MEDS3005</v>
      </c>
      <c r="NW29" s="117" t="s">
        <v>121</v>
      </c>
      <c r="NX29" s="104"/>
      <c r="NY29" s="117" t="s">
        <v>123</v>
      </c>
      <c r="NZ29" s="127" t="str">
        <f>HLOOKUP(CONCATENATE(NZ$4,NZ$6),RangeMajorsSec,$O29,FALSE)</f>
        <v>MEDS3005</v>
      </c>
      <c r="OA29" s="117" t="s">
        <v>121</v>
      </c>
      <c r="OB29" s="104"/>
      <c r="OC29" s="117" t="s">
        <v>123</v>
      </c>
      <c r="OD29" s="127" t="str">
        <f>HLOOKUP(CONCATENATE(OD$4,OD$6),RangeMajorsSec,$O29,FALSE)</f>
        <v>MEDS3005</v>
      </c>
      <c r="OE29" s="117" t="s">
        <v>121</v>
      </c>
      <c r="OF29" s="104"/>
      <c r="OG29" s="117" t="s">
        <v>123</v>
      </c>
      <c r="OH29" s="127" t="str">
        <f>HLOOKUP(CONCATENATE(OH$4,OH$6),RangeMajorsSec,$O29,FALSE)</f>
        <v>MEDS3005</v>
      </c>
      <c r="OI29" s="117" t="s">
        <v>121</v>
      </c>
      <c r="OJ29" s="104"/>
      <c r="OK29" s="117" t="s">
        <v>123</v>
      </c>
      <c r="OL29" s="127" t="str">
        <f>HLOOKUP(CONCATENATE(OL$4,OL$6),RangeMajorsSec,$O29,FALSE)</f>
        <v>MEDS3005</v>
      </c>
      <c r="OM29" s="117" t="s">
        <v>121</v>
      </c>
      <c r="ON29" s="104"/>
      <c r="OO29" s="117" t="s">
        <v>123</v>
      </c>
      <c r="OP29" s="127" t="str">
        <f>HLOOKUP(CONCATENATE(OP$4,OP$6),RangeMajorsSec,$O29,FALSE)</f>
        <v>MEDS3005</v>
      </c>
      <c r="OQ29" s="117" t="s">
        <v>121</v>
      </c>
      <c r="OR29" s="104"/>
      <c r="OS29" s="117" t="s">
        <v>123</v>
      </c>
      <c r="OT29" s="127" t="str">
        <f>HLOOKUP(CONCATENATE(OT$4,OT$6),RangeMajorsSec,$O29,FALSE)</f>
        <v>MEDS3005</v>
      </c>
      <c r="OU29" s="117" t="s">
        <v>121</v>
      </c>
      <c r="OV29" s="104"/>
      <c r="OW29" s="117" t="s">
        <v>123</v>
      </c>
      <c r="OX29" s="127" t="str">
        <f>HLOOKUP(CONCATENATE(OX$4,OX$6),RangeMajorsSec,$O29,FALSE)</f>
        <v>PSYC3000</v>
      </c>
      <c r="OY29" s="117" t="s">
        <v>121</v>
      </c>
      <c r="OZ29" s="104"/>
      <c r="PA29" s="117" t="s">
        <v>123</v>
      </c>
      <c r="PB29" s="127" t="str">
        <f>HLOOKUP(CONCATENATE(PB$4,PB$6),RangeMajorsSec,$O29,FALSE)</f>
        <v>PSYC3000</v>
      </c>
      <c r="PC29" s="117" t="s">
        <v>121</v>
      </c>
      <c r="PD29" s="104"/>
      <c r="PE29" s="117" t="s">
        <v>123</v>
      </c>
      <c r="PF29" s="127" t="str">
        <f>HLOOKUP(CONCATENATE(PF$4,PF$6),RangeMajorsSec,$O29,FALSE)</f>
        <v>PSYC3000</v>
      </c>
      <c r="PG29" s="117" t="s">
        <v>121</v>
      </c>
      <c r="PH29" s="104"/>
      <c r="PI29" s="117" t="s">
        <v>123</v>
      </c>
      <c r="PJ29" s="127" t="str">
        <f>HLOOKUP(CONCATENATE(PJ$4,PJ$6),RangeMajorsSec,$O29,FALSE)</f>
        <v>PSYC3000</v>
      </c>
      <c r="PK29" s="117" t="s">
        <v>121</v>
      </c>
      <c r="PL29" s="104"/>
      <c r="PM29" s="117" t="s">
        <v>123</v>
      </c>
      <c r="PN29" s="127" t="str">
        <f>HLOOKUP(CONCATENATE(PN$4,PN$6),RangeMajorsSec,$O29,FALSE)</f>
        <v>PSYC3000</v>
      </c>
      <c r="PO29" s="117" t="s">
        <v>121</v>
      </c>
      <c r="PP29" s="104"/>
      <c r="PQ29" s="117" t="s">
        <v>123</v>
      </c>
      <c r="PR29" s="127" t="str">
        <f>HLOOKUP(CONCATENATE(PR$4,PR$6),RangeMajorsSec,$O29,FALSE)</f>
        <v>PSYC3000</v>
      </c>
      <c r="PS29" s="117" t="s">
        <v>121</v>
      </c>
      <c r="PT29" s="104"/>
      <c r="PU29" s="117" t="s">
        <v>123</v>
      </c>
      <c r="PV29" s="127" t="str">
        <f>HLOOKUP(CONCATENATE(PV$4,PV$6),RangeMajorsSec,$O29,FALSE)</f>
        <v>PSYC3000</v>
      </c>
      <c r="PW29" s="117" t="s">
        <v>121</v>
      </c>
      <c r="PX29" s="104"/>
      <c r="PY29" s="117" t="s">
        <v>123</v>
      </c>
      <c r="PZ29" s="127" t="str">
        <f>HLOOKUP(CONCATENATE(PZ$4,PZ$6),RangeMajorsSec,$O29,FALSE)</f>
        <v>PSYC3000</v>
      </c>
      <c r="QA29" s="117" t="s">
        <v>121</v>
      </c>
      <c r="QB29" s="104"/>
      <c r="QC29" s="117" t="s">
        <v>123</v>
      </c>
      <c r="QD29" s="127" t="e">
        <f>HLOOKUP(CONCATENATE(QD$4,QD$6),RangeMajorsSec,$O29,FALSE)</f>
        <v>#N/A</v>
      </c>
      <c r="QE29" s="117" t="s">
        <v>121</v>
      </c>
      <c r="QF29" s="104"/>
      <c r="QG29" s="117" t="s">
        <v>123</v>
      </c>
      <c r="QH29" s="127" t="e">
        <f>HLOOKUP(CONCATENATE(QH$4,QH$6),RangeMajorsSec,$O29,FALSE)</f>
        <v>#N/A</v>
      </c>
      <c r="QI29" s="117" t="s">
        <v>121</v>
      </c>
      <c r="QJ29" s="104"/>
    </row>
    <row r="30" spans="1:452" x14ac:dyDescent="0.25">
      <c r="A30" s="353" t="s">
        <v>403</v>
      </c>
      <c r="B30" s="7" t="s">
        <v>362</v>
      </c>
      <c r="C30" s="268" t="s">
        <v>404</v>
      </c>
      <c r="D30" s="269">
        <v>45658</v>
      </c>
      <c r="E30" s="268">
        <v>4</v>
      </c>
      <c r="F30" s="269">
        <v>45658</v>
      </c>
      <c r="G30" s="7" t="s">
        <v>398</v>
      </c>
      <c r="J30" s="141"/>
      <c r="K30" s="146" t="str">
        <f>INDEX(TableStreams[Choose your Specialisation Stream second (drop-down list)],MATCH(L30,TableStreams[UDC],0))</f>
        <v>Geography Education Minor Teaching Area Stream (BEd Secondary)</v>
      </c>
      <c r="L30" s="141" t="s">
        <v>354</v>
      </c>
      <c r="O30" s="340">
        <v>7</v>
      </c>
      <c r="P30" s="19">
        <v>28</v>
      </c>
      <c r="Q30" s="118" t="s">
        <v>123</v>
      </c>
      <c r="R30" s="128" t="s">
        <v>384</v>
      </c>
      <c r="S30" s="118" t="s">
        <v>121</v>
      </c>
      <c r="T30" s="103"/>
      <c r="U30" s="118" t="s">
        <v>123</v>
      </c>
      <c r="V30" s="338" t="str">
        <f>HLOOKUP(CONCATENATE(V$5,V$6),RangeStreamsSec,$O30,FALSE)</f>
        <v>ASTR2000</v>
      </c>
      <c r="W30" s="118" t="s">
        <v>121</v>
      </c>
      <c r="X30" s="103"/>
      <c r="Y30" s="118" t="s">
        <v>123</v>
      </c>
      <c r="Z30" s="128" t="str">
        <f>HLOOKUP(CONCATENATE(Z$5,Z$6),RangeStreamsSec,$O30,FALSE)</f>
        <v>EDSC4023</v>
      </c>
      <c r="AA30" s="118" t="s">
        <v>121</v>
      </c>
      <c r="AB30" s="103"/>
      <c r="AC30" s="118" t="s">
        <v>123</v>
      </c>
      <c r="AD30" s="128" t="str">
        <f>HLOOKUP(CONCATENATE(AD$5,AD$6),RangeStreamsSec,$O30,FALSE)</f>
        <v>AC-PARTB4</v>
      </c>
      <c r="AE30" s="118" t="s">
        <v>121</v>
      </c>
      <c r="AF30" s="103"/>
      <c r="AG30" s="118" t="s">
        <v>123</v>
      </c>
      <c r="AH30" s="128" t="str">
        <f>HLOOKUP(CONCATENATE(AH$5,AH$6),RangeStreamsSec,$O30,FALSE)</f>
        <v>EDSC4018</v>
      </c>
      <c r="AI30" s="118" t="s">
        <v>121</v>
      </c>
      <c r="AJ30" s="103"/>
      <c r="AK30" s="118" t="s">
        <v>123</v>
      </c>
      <c r="AL30" s="128" t="str">
        <f>HLOOKUP(CONCATENATE(AL$5,AL$6),RangeStreamsSec,$O30,FALSE)</f>
        <v>EDSC4026</v>
      </c>
      <c r="AM30" s="118" t="s">
        <v>121</v>
      </c>
      <c r="AN30" s="103"/>
      <c r="AO30" s="118" t="s">
        <v>123</v>
      </c>
      <c r="AP30" s="128" t="str">
        <f>HLOOKUP(CONCATENATE(AP$5,AP$6),RangeStreamsSec,$O30,FALSE)</f>
        <v>EDSC4026</v>
      </c>
      <c r="AQ30" s="118" t="s">
        <v>121</v>
      </c>
      <c r="AR30" s="103"/>
      <c r="AS30" s="118" t="s">
        <v>123</v>
      </c>
      <c r="AT30" s="128" t="str">
        <f>HLOOKUP(CONCATENATE(AT$5,AT$6),RangeStreamsSec,$O30,FALSE)</f>
        <v>EDSC4021</v>
      </c>
      <c r="AU30" s="118" t="s">
        <v>121</v>
      </c>
      <c r="AV30" s="103"/>
      <c r="AW30" s="118" t="s">
        <v>123</v>
      </c>
      <c r="AX30" s="128" t="str">
        <f>HLOOKUP(CONCATENATE(AX$5,AX$6),RangeStreamsSec,$O30,FALSE)</f>
        <v>EDSC4023</v>
      </c>
      <c r="AY30" s="118" t="s">
        <v>121</v>
      </c>
      <c r="AZ30" s="103"/>
      <c r="BA30" s="118" t="s">
        <v>123</v>
      </c>
      <c r="BB30" s="128" t="str">
        <f>HLOOKUP(CONCATENATE(BB$5,BB$6),RangeStreamsSec,$O30,FALSE)</f>
        <v>EDSC4023</v>
      </c>
      <c r="BC30" s="118" t="s">
        <v>121</v>
      </c>
      <c r="BD30" s="103"/>
      <c r="BE30" s="118" t="s">
        <v>123</v>
      </c>
      <c r="BF30" s="128" t="str">
        <f>HLOOKUP(CONCATENATE(BF$5,BF$6),RangeStreamsSec,$O30,FALSE)</f>
        <v>EDSC4018</v>
      </c>
      <c r="BG30" s="118" t="s">
        <v>121</v>
      </c>
      <c r="BH30" s="103"/>
      <c r="BI30" s="118" t="s">
        <v>123</v>
      </c>
      <c r="BJ30" s="128" t="str">
        <f>HLOOKUP(CONCATENATE(BJ$5,BJ$6),RangeStreamsSec,$O30,FALSE)</f>
        <v>EDSC4026</v>
      </c>
      <c r="BK30" s="118" t="s">
        <v>121</v>
      </c>
      <c r="BL30" s="103"/>
      <c r="BM30" s="118" t="s">
        <v>123</v>
      </c>
      <c r="BN30" s="128" t="str">
        <f>HLOOKUP(CONCATENATE(BN$5,BN$6),RangeStreamsSec,$O30,FALSE)</f>
        <v>EDSC4026</v>
      </c>
      <c r="BO30" s="118" t="s">
        <v>121</v>
      </c>
      <c r="BP30" s="103"/>
      <c r="BQ30" s="118" t="s">
        <v>123</v>
      </c>
      <c r="BR30" s="128" t="str">
        <f>HLOOKUP(CONCATENATE(BR$5,BR$6),RangeStreamsSec,$O30,FALSE)</f>
        <v>EDSC4021</v>
      </c>
      <c r="BS30" s="118" t="s">
        <v>121</v>
      </c>
      <c r="BT30" s="103"/>
      <c r="BU30" s="118" t="s">
        <v>123</v>
      </c>
      <c r="BV30" s="128" t="str">
        <f>HLOOKUP(CONCATENATE(BV$5,BV$6),RangeStreamsSec,$O30,FALSE)</f>
        <v>EDSC4023</v>
      </c>
      <c r="BW30" s="118" t="s">
        <v>121</v>
      </c>
      <c r="BX30" s="103"/>
      <c r="BY30" s="118" t="s">
        <v>123</v>
      </c>
      <c r="BZ30" s="128" t="str">
        <f>HLOOKUP(CONCATENATE(BZ$5,BZ$6),RangeStreamsSec,$O30,FALSE)</f>
        <v>EDSC4023</v>
      </c>
      <c r="CA30" s="118" t="s">
        <v>121</v>
      </c>
      <c r="CB30" s="103"/>
      <c r="CC30" s="118" t="s">
        <v>123</v>
      </c>
      <c r="CD30" s="128" t="str">
        <f>HLOOKUP(CONCATENATE(CD$5,CD$6),RangeStreamsSec,$O30,FALSE)</f>
        <v>VISA2007</v>
      </c>
      <c r="CE30" s="118" t="s">
        <v>121</v>
      </c>
      <c r="CF30" s="103"/>
      <c r="CG30" s="118" t="s">
        <v>123</v>
      </c>
      <c r="CH30" s="128" t="str">
        <f>HLOOKUP(CONCATENATE(CH$5,CH$6),RangeStreamsSec,$O30,FALSE)</f>
        <v>EDSC4018</v>
      </c>
      <c r="CI30" s="118" t="s">
        <v>121</v>
      </c>
      <c r="CJ30" s="103"/>
      <c r="CK30" s="118" t="s">
        <v>123</v>
      </c>
      <c r="CL30" s="128" t="str">
        <f>HLOOKUP(CONCATENATE(CL$5,CL$6),RangeStreamsSec,$O30,FALSE)</f>
        <v>EDSC4026</v>
      </c>
      <c r="CM30" s="118" t="s">
        <v>121</v>
      </c>
      <c r="CN30" s="103"/>
      <c r="CO30" s="118" t="s">
        <v>123</v>
      </c>
      <c r="CP30" s="128" t="str">
        <f>HLOOKUP(CONCATENATE(CP$5,CP$6),RangeStreamsSec,$O30,FALSE)</f>
        <v>EDSC4026</v>
      </c>
      <c r="CQ30" s="118" t="s">
        <v>121</v>
      </c>
      <c r="CR30" s="103"/>
      <c r="CS30" s="118" t="s">
        <v>123</v>
      </c>
      <c r="CT30" s="128" t="str">
        <f>HLOOKUP(CONCATENATE(CT$5,CT$6),RangeStreamsSec,$O30,FALSE)</f>
        <v>EDSC4021</v>
      </c>
      <c r="CU30" s="118" t="s">
        <v>121</v>
      </c>
      <c r="CV30" s="103"/>
      <c r="CW30" s="118" t="s">
        <v>123</v>
      </c>
      <c r="CX30" s="128" t="str">
        <f>HLOOKUP(CONCATENATE(CX$5,CX$6),RangeStreamsSec,$O30,FALSE)</f>
        <v>EDSC4023</v>
      </c>
      <c r="CY30" s="118" t="s">
        <v>121</v>
      </c>
      <c r="CZ30" s="103"/>
      <c r="DA30" s="118" t="s">
        <v>123</v>
      </c>
      <c r="DB30" s="128" t="str">
        <f>HLOOKUP(CONCATENATE(DB$5,DB$6),RangeStreamsSec,$O30,FALSE)</f>
        <v>EDSC4023</v>
      </c>
      <c r="DC30" s="118" t="s">
        <v>121</v>
      </c>
      <c r="DD30" s="103"/>
      <c r="DE30" s="118" t="s">
        <v>123</v>
      </c>
      <c r="DF30" s="128" t="str">
        <f>HLOOKUP(CONCATENATE(DF$5,DF$6),RangeStreamsSec,$O30,FALSE)</f>
        <v>COMS2000</v>
      </c>
      <c r="DG30" s="118" t="s">
        <v>121</v>
      </c>
      <c r="DH30" s="103"/>
      <c r="DI30" s="118" t="s">
        <v>123</v>
      </c>
      <c r="DJ30" s="128" t="str">
        <f>HLOOKUP(CONCATENATE(DJ$5,DJ$6),RangeStreamsSec,$O30,FALSE)</f>
        <v>EDSC4026</v>
      </c>
      <c r="DK30" s="118" t="s">
        <v>121</v>
      </c>
      <c r="DL30" s="103"/>
      <c r="DM30" s="118" t="s">
        <v>123</v>
      </c>
      <c r="DN30" s="128" t="str">
        <f>HLOOKUP(CONCATENATE(DN$5,DN$6),RangeStreamsSec,$O30,FALSE)</f>
        <v>EDSC4026</v>
      </c>
      <c r="DO30" s="118" t="s">
        <v>121</v>
      </c>
      <c r="DP30" s="103"/>
      <c r="DQ30" s="118" t="s">
        <v>123</v>
      </c>
      <c r="DR30" s="128" t="str">
        <f>HLOOKUP(CONCATENATE(DR$5,DR$6),RangeStreamsSec,$O30,FALSE)</f>
        <v>EDSC4021</v>
      </c>
      <c r="DS30" s="118" t="s">
        <v>121</v>
      </c>
      <c r="DT30" s="103"/>
      <c r="DU30" s="118" t="s">
        <v>123</v>
      </c>
      <c r="DV30" s="128" t="str">
        <f>HLOOKUP(CONCATENATE(DV$5,DV$6),RangeStreamsSec,$O30,FALSE)</f>
        <v>EDSC4023</v>
      </c>
      <c r="DW30" s="118" t="s">
        <v>121</v>
      </c>
      <c r="DX30" s="103"/>
      <c r="DY30" s="118" t="s">
        <v>123</v>
      </c>
      <c r="DZ30" s="128" t="str">
        <f>HLOOKUP(CONCATENATE(DZ$5,DZ$6),RangeStreamsSec,$O30,FALSE)</f>
        <v>EDSC4028</v>
      </c>
      <c r="EA30" s="118" t="s">
        <v>121</v>
      </c>
      <c r="EB30" s="103"/>
      <c r="EC30" s="118" t="s">
        <v>123</v>
      </c>
      <c r="ED30" s="128" t="str">
        <f>HLOOKUP(CONCATENATE(ED$5,ED$6),RangeStreamsSec,$O30,FALSE)</f>
        <v>EDSC4028</v>
      </c>
      <c r="EE30" s="118" t="s">
        <v>121</v>
      </c>
      <c r="EF30" s="103"/>
      <c r="EG30" s="118" t="s">
        <v>123</v>
      </c>
      <c r="EH30" s="128" t="str">
        <f>HLOOKUP(CONCATENATE(EH$5,EH$6),RangeStreamsSec,$O30,FALSE)</f>
        <v>EDSC4028</v>
      </c>
      <c r="EI30" s="118" t="s">
        <v>121</v>
      </c>
      <c r="EJ30" s="103"/>
      <c r="EK30" s="118" t="s">
        <v>123</v>
      </c>
      <c r="EL30" s="128" t="str">
        <f>HLOOKUP(CONCATENATE(EL$5,EL$6),RangeStreamsSec,$O30,FALSE)</f>
        <v>EDSC4023</v>
      </c>
      <c r="EM30" s="118" t="s">
        <v>121</v>
      </c>
      <c r="EN30" s="103"/>
      <c r="EO30" s="118" t="s">
        <v>123</v>
      </c>
      <c r="EP30" s="128" t="str">
        <f>HLOOKUP(CONCATENATE(EP$5,EP$6),RangeStreamsSec,$O30,FALSE)</f>
        <v>INDS2004</v>
      </c>
      <c r="EQ30" s="118" t="s">
        <v>121</v>
      </c>
      <c r="ER30" s="103"/>
      <c r="ES30" s="118" t="s">
        <v>123</v>
      </c>
      <c r="ET30" s="128" t="str">
        <f>HLOOKUP(CONCATENATE(ET$5,ET$6),RangeStreamsSec,$O30,FALSE)</f>
        <v>EDSC4018</v>
      </c>
      <c r="EU30" s="118" t="s">
        <v>121</v>
      </c>
      <c r="EV30" s="103"/>
      <c r="EW30" s="118" t="s">
        <v>123</v>
      </c>
      <c r="EX30" s="128" t="str">
        <f>HLOOKUP(CONCATENATE(EX$5,EX$6),RangeStreamsSec,$O30,FALSE)</f>
        <v>EDSC4021</v>
      </c>
      <c r="EY30" s="118" t="s">
        <v>121</v>
      </c>
      <c r="EZ30" s="103"/>
      <c r="FA30" s="118" t="s">
        <v>123</v>
      </c>
      <c r="FB30" s="128" t="str">
        <f>HLOOKUP(CONCATENATE(FB$5,FB$6),RangeStreamsSec,$O30,FALSE)</f>
        <v>EDSC4023</v>
      </c>
      <c r="FC30" s="118" t="s">
        <v>121</v>
      </c>
      <c r="FD30" s="103"/>
      <c r="FE30" s="118" t="s">
        <v>123</v>
      </c>
      <c r="FF30" s="128" t="str">
        <f>HLOOKUP(CONCATENATE(FF$5,FF$6),RangeStreamsSec,$O30,FALSE)</f>
        <v>EDSC4028</v>
      </c>
      <c r="FG30" s="118" t="s">
        <v>121</v>
      </c>
      <c r="FH30" s="103"/>
      <c r="FI30" s="118" t="s">
        <v>123</v>
      </c>
      <c r="FJ30" s="128" t="str">
        <f>HLOOKUP(CONCATENATE(FJ$5,FJ$6),RangeStreamsSec,$O30,FALSE)</f>
        <v>EDSC4028</v>
      </c>
      <c r="FK30" s="118" t="s">
        <v>121</v>
      </c>
      <c r="FL30" s="103"/>
      <c r="FM30" s="118" t="s">
        <v>123</v>
      </c>
      <c r="FN30" s="128" t="str">
        <f>HLOOKUP(CONCATENATE(FN$5,FN$6),RangeStreamsSec,$O30,FALSE)</f>
        <v>EDSC4028</v>
      </c>
      <c r="FO30" s="118" t="s">
        <v>121</v>
      </c>
      <c r="FP30" s="103"/>
      <c r="FQ30" s="118" t="s">
        <v>123</v>
      </c>
      <c r="FR30" s="128" t="str">
        <f>HLOOKUP(CONCATENATE(FR$5,FR$6),RangeStreamsSec,$O30,FALSE)</f>
        <v>EDSC4023</v>
      </c>
      <c r="FS30" s="118" t="s">
        <v>121</v>
      </c>
      <c r="FT30" s="103"/>
      <c r="FU30" s="118" t="s">
        <v>123</v>
      </c>
      <c r="FV30" s="128" t="str">
        <f>HLOOKUP(CONCATENATE(FV$5,FV$6),RangeStreamsSec,$O30,FALSE)</f>
        <v>INDS2004</v>
      </c>
      <c r="FW30" s="118" t="s">
        <v>121</v>
      </c>
      <c r="FX30" s="103"/>
      <c r="FY30" s="118" t="s">
        <v>123</v>
      </c>
      <c r="FZ30" s="128" t="str">
        <f>HLOOKUP(CONCATENATE(FZ$5,FZ$6),RangeStreamsSec,$O30,FALSE)</f>
        <v>EDSC4018</v>
      </c>
      <c r="GA30" s="118" t="s">
        <v>121</v>
      </c>
      <c r="GB30" s="103"/>
      <c r="GC30" s="118" t="s">
        <v>123</v>
      </c>
      <c r="GD30" s="128" t="str">
        <f>HLOOKUP(CONCATENATE(GD$5,GD$6),RangeStreamsSec,$O30,FALSE)</f>
        <v>EDSC4021</v>
      </c>
      <c r="GE30" s="118" t="s">
        <v>121</v>
      </c>
      <c r="GF30" s="103"/>
      <c r="GG30" s="118" t="s">
        <v>123</v>
      </c>
      <c r="GH30" s="128" t="str">
        <f>HLOOKUP(CONCATENATE(GH$5,GH$6),RangeStreamsSec,$O30,FALSE)</f>
        <v>EDSC4023</v>
      </c>
      <c r="GI30" s="118" t="s">
        <v>121</v>
      </c>
      <c r="GJ30" s="103"/>
      <c r="GK30" s="118" t="s">
        <v>123</v>
      </c>
      <c r="GL30" s="128" t="str">
        <f>HLOOKUP(CONCATENATE(GL$5,GL$6),RangeStreamsSec,$O30,FALSE)</f>
        <v>EDSC4028</v>
      </c>
      <c r="GM30" s="118" t="s">
        <v>121</v>
      </c>
      <c r="GN30" s="103"/>
      <c r="GO30" s="118" t="s">
        <v>123</v>
      </c>
      <c r="GP30" s="128" t="str">
        <f>HLOOKUP(CONCATENATE(GP$5,GP$6),RangeStreamsSec,$O30,FALSE)</f>
        <v>EDSC4028</v>
      </c>
      <c r="GQ30" s="118" t="s">
        <v>121</v>
      </c>
      <c r="GR30" s="103"/>
      <c r="GS30" s="118" t="s">
        <v>123</v>
      </c>
      <c r="GT30" s="128" t="str">
        <f>HLOOKUP(CONCATENATE(GT$5,GT$6),RangeStreamsSec,$O30,FALSE)</f>
        <v>EDSC4028</v>
      </c>
      <c r="GU30" s="118" t="s">
        <v>121</v>
      </c>
      <c r="GV30" s="103"/>
      <c r="GW30" s="118" t="s">
        <v>123</v>
      </c>
      <c r="GX30" s="128" t="str">
        <f>HLOOKUP(CONCATENATE(GX$5,GX$6),RangeStreamsSec,$O30,FALSE)</f>
        <v>EDSC4023</v>
      </c>
      <c r="GY30" s="118" t="s">
        <v>121</v>
      </c>
      <c r="GZ30" s="103"/>
      <c r="HA30" s="118" t="s">
        <v>123</v>
      </c>
      <c r="HB30" s="128" t="str">
        <f>HLOOKUP(CONCATENATE(HB$5,HB$6),RangeStreamsSec,$O30,FALSE)</f>
        <v>ANTH3003</v>
      </c>
      <c r="HC30" s="118" t="s">
        <v>121</v>
      </c>
      <c r="HD30" s="103"/>
      <c r="HE30" s="118" t="s">
        <v>123</v>
      </c>
      <c r="HF30" s="128" t="str">
        <f>HLOOKUP(CONCATENATE(HF$5,HF$6),RangeStreamsSec,$O30,FALSE)</f>
        <v>EDSC4018</v>
      </c>
      <c r="HG30" s="118" t="s">
        <v>121</v>
      </c>
      <c r="HH30" s="103"/>
      <c r="HI30" s="118" t="s">
        <v>123</v>
      </c>
      <c r="HJ30" s="128" t="str">
        <f>HLOOKUP(CONCATENATE(HJ$5,HJ$6),RangeStreamsSec,$O30,FALSE)</f>
        <v>EDSC4021</v>
      </c>
      <c r="HK30" s="118" t="s">
        <v>121</v>
      </c>
      <c r="HL30" s="103"/>
      <c r="HM30" s="118" t="s">
        <v>123</v>
      </c>
      <c r="HN30" s="128" t="str">
        <f>HLOOKUP(CONCATENATE(HN$5,HN$6),RangeStreamsSec,$O30,FALSE)</f>
        <v>EDSC4023</v>
      </c>
      <c r="HO30" s="118" t="s">
        <v>121</v>
      </c>
      <c r="HP30" s="103"/>
      <c r="HQ30" s="118" t="s">
        <v>123</v>
      </c>
      <c r="HR30" s="128" t="str">
        <f>HLOOKUP(CONCATENATE(HR$5,HR$6),RangeStreamsSec,$O30,FALSE)</f>
        <v>EDSC4028</v>
      </c>
      <c r="HS30" s="118" t="s">
        <v>121</v>
      </c>
      <c r="HT30" s="103"/>
      <c r="HU30" s="118" t="s">
        <v>123</v>
      </c>
      <c r="HV30" s="128" t="str">
        <f>HLOOKUP(CONCATENATE(HV$5,HV$6),RangeStreamsSec,$O30,FALSE)</f>
        <v>EDSC4028</v>
      </c>
      <c r="HW30" s="118" t="s">
        <v>121</v>
      </c>
      <c r="HX30" s="103"/>
      <c r="HY30" s="118" t="s">
        <v>123</v>
      </c>
      <c r="HZ30" s="128" t="str">
        <f>HLOOKUP(CONCATENATE(HZ$5,HZ$6),RangeStreamsSec,$O30,FALSE)</f>
        <v>EDSC4028</v>
      </c>
      <c r="IA30" s="118" t="s">
        <v>121</v>
      </c>
      <c r="IB30" s="103"/>
      <c r="IC30" s="118" t="s">
        <v>123</v>
      </c>
      <c r="ID30" s="128" t="str">
        <f>HLOOKUP(CONCATENATE(ID$5,ID$6),RangeStreamsSec,$O30,FALSE)</f>
        <v>EDSC4023</v>
      </c>
      <c r="IE30" s="118" t="s">
        <v>121</v>
      </c>
      <c r="IF30" s="103"/>
      <c r="IG30" s="118" t="s">
        <v>123</v>
      </c>
      <c r="IH30" s="128" t="str">
        <f>HLOOKUP(CONCATENATE(IH$5,IH$6),RangeStreamsSec,$O30,FALSE)</f>
        <v>PHGY1000</v>
      </c>
      <c r="II30" s="118" t="s">
        <v>121</v>
      </c>
      <c r="IJ30" s="103"/>
      <c r="IK30" s="118" t="s">
        <v>123</v>
      </c>
      <c r="IL30" s="128" t="str">
        <f>HLOOKUP(CONCATENATE(IL$5,IL$6),RangeStreamsSec,$O30,FALSE)</f>
        <v>EDSC4018</v>
      </c>
      <c r="IM30" s="118" t="s">
        <v>121</v>
      </c>
      <c r="IN30" s="103"/>
      <c r="IO30" s="118" t="s">
        <v>123</v>
      </c>
      <c r="IP30" s="128" t="str">
        <f>HLOOKUP(CONCATENATE(IP$5,IP$6),RangeStreamsSec,$O30,FALSE)</f>
        <v>EDSC4021</v>
      </c>
      <c r="IQ30" s="118" t="s">
        <v>121</v>
      </c>
      <c r="IR30" s="103"/>
      <c r="IS30" s="118" t="s">
        <v>123</v>
      </c>
      <c r="IT30" s="128" t="str">
        <f>HLOOKUP(CONCATENATE(IT$5,IT$6),RangeStreamsSec,$O30,FALSE)</f>
        <v>EDSC4023</v>
      </c>
      <c r="IU30" s="118" t="s">
        <v>121</v>
      </c>
      <c r="IV30" s="103"/>
      <c r="IW30" s="118" t="s">
        <v>123</v>
      </c>
      <c r="IX30" s="128" t="str">
        <f>HLOOKUP(CONCATENATE(IX$5,IX$6),RangeStreamsSec,$O30,FALSE)</f>
        <v>EDSC4028</v>
      </c>
      <c r="IY30" s="118" t="s">
        <v>121</v>
      </c>
      <c r="IZ30" s="103"/>
      <c r="JA30" s="118" t="s">
        <v>123</v>
      </c>
      <c r="JB30" s="128" t="str">
        <f>HLOOKUP(CONCATENATE(JB$5,JB$6),RangeStreamsSec,$O30,FALSE)</f>
        <v>EDSC4028</v>
      </c>
      <c r="JC30" s="118" t="s">
        <v>121</v>
      </c>
      <c r="JD30" s="103"/>
      <c r="JE30" s="118" t="s">
        <v>123</v>
      </c>
      <c r="JF30" s="128" t="str">
        <f>HLOOKUP(CONCATENATE(JF$5,JF$6),RangeStreamsSec,$O30,FALSE)</f>
        <v>EDSC4028</v>
      </c>
      <c r="JG30" s="118" t="s">
        <v>121</v>
      </c>
      <c r="JH30" s="103"/>
      <c r="JI30" s="118" t="s">
        <v>123</v>
      </c>
      <c r="JJ30" s="128" t="e">
        <f>HLOOKUP(CONCATENATE(JJ$5,JJ$6),RangeStreamsSec,$O30,FALSE)</f>
        <v>#N/A</v>
      </c>
      <c r="JK30" s="118" t="s">
        <v>121</v>
      </c>
      <c r="JL30" s="103"/>
      <c r="JM30" s="118" t="s">
        <v>123</v>
      </c>
      <c r="JN30" s="128" t="str">
        <f>HLOOKUP(CONCATENATE(JN$5,JN$6),RangeStreamsSec,$O30,FALSE)</f>
        <v>EDSC4023</v>
      </c>
      <c r="JO30" s="118" t="s">
        <v>121</v>
      </c>
      <c r="JP30" s="103"/>
      <c r="JQ30" s="118" t="s">
        <v>123</v>
      </c>
      <c r="JR30" s="128" t="str">
        <f>HLOOKUP(CONCATENATE(JR$5,JR$6),RangeStreamsSec,$O30,FALSE)</f>
        <v>Opt-MATHB</v>
      </c>
      <c r="JS30" s="118" t="s">
        <v>121</v>
      </c>
      <c r="JT30" s="103"/>
      <c r="JU30" s="118" t="s">
        <v>123</v>
      </c>
      <c r="JV30" s="128" t="str">
        <f>HLOOKUP(CONCATENATE(JV$5,JV$6),RangeStreamsSec,$O30,FALSE)</f>
        <v>EDSC4018</v>
      </c>
      <c r="JW30" s="118" t="s">
        <v>121</v>
      </c>
      <c r="JX30" s="103"/>
      <c r="JY30" s="118" t="s">
        <v>123</v>
      </c>
      <c r="JZ30" s="128" t="str">
        <f>HLOOKUP(CONCATENATE(JZ$5,JZ$6),RangeStreamsSec,$O30,FALSE)</f>
        <v>EDSC4026</v>
      </c>
      <c r="KA30" s="118" t="s">
        <v>121</v>
      </c>
      <c r="KB30" s="103"/>
      <c r="KC30" s="118" t="s">
        <v>123</v>
      </c>
      <c r="KD30" s="128" t="str">
        <f>HLOOKUP(CONCATENATE(KD$5,KD$6),RangeStreamsSec,$O30,FALSE)</f>
        <v>EDSC4026</v>
      </c>
      <c r="KE30" s="118" t="s">
        <v>121</v>
      </c>
      <c r="KF30" s="103"/>
      <c r="KG30" s="118" t="s">
        <v>123</v>
      </c>
      <c r="KH30" s="128" t="str">
        <f>HLOOKUP(CONCATENATE(KH$5,KH$6),RangeStreamsSec,$O30,FALSE)</f>
        <v>EDSC4023</v>
      </c>
      <c r="KI30" s="118" t="s">
        <v>121</v>
      </c>
      <c r="KJ30" s="103"/>
      <c r="KK30" s="118" t="s">
        <v>123</v>
      </c>
      <c r="KL30" s="128" t="str">
        <f>HLOOKUP(CONCATENATE(KL$5,KL$6),RangeStreamsSec,$O30,FALSE)</f>
        <v>EDSC4028</v>
      </c>
      <c r="KM30" s="118" t="s">
        <v>121</v>
      </c>
      <c r="KN30" s="103"/>
      <c r="KO30" s="118" t="s">
        <v>123</v>
      </c>
      <c r="KP30" s="128" t="str">
        <f>HLOOKUP(CONCATENATE(KP$5,KP$6),RangeStreamsSec,$O30,FALSE)</f>
        <v>EDSC4028</v>
      </c>
      <c r="KQ30" s="118" t="s">
        <v>121</v>
      </c>
      <c r="KR30" s="103"/>
      <c r="KS30" s="118" t="s">
        <v>123</v>
      </c>
      <c r="KT30" s="128" t="str">
        <f>HLOOKUP(CONCATENATE(KT$5,KT$6),RangeStreamsSec,$O30,FALSE)</f>
        <v>EDSC4028</v>
      </c>
      <c r="KU30" s="118" t="s">
        <v>121</v>
      </c>
      <c r="KV30" s="103"/>
      <c r="KW30" s="118" t="s">
        <v>123</v>
      </c>
      <c r="KX30" s="128" t="str">
        <f>HLOOKUP(CONCATENATE(KX$5,KX$6),RangeStreamsSec,$O30,FALSE)</f>
        <v>EDSC4023</v>
      </c>
      <c r="KY30" s="118" t="s">
        <v>121</v>
      </c>
      <c r="KZ30" s="103"/>
      <c r="LA30" s="118" t="s">
        <v>123</v>
      </c>
      <c r="LB30" s="128" t="str">
        <f>HLOOKUP(CONCATENATE(LB$5,LB$6),RangeStreamsSec,$O30,FALSE)</f>
        <v>HLPR2003</v>
      </c>
      <c r="LC30" s="118" t="s">
        <v>121</v>
      </c>
      <c r="LD30" s="103"/>
      <c r="LE30" s="118" t="s">
        <v>123</v>
      </c>
      <c r="LF30" s="128" t="str">
        <f>HLOOKUP(CONCATENATE(LF$5,LF$6),RangeStreamsSec,$O30,FALSE)</f>
        <v>ENST2003</v>
      </c>
      <c r="LG30" s="118" t="s">
        <v>121</v>
      </c>
      <c r="LH30" s="103"/>
      <c r="LI30" s="118" t="s">
        <v>123</v>
      </c>
      <c r="LJ30" s="128" t="str">
        <f>HLOOKUP(CONCATENATE(LJ$5,LJ$6),RangeStreamsSec,$O30,FALSE)</f>
        <v>EDSC4018</v>
      </c>
      <c r="LK30" s="118" t="s">
        <v>121</v>
      </c>
      <c r="LL30" s="103"/>
      <c r="LM30" s="118" t="s">
        <v>123</v>
      </c>
      <c r="LN30" s="128" t="str">
        <f>HLOOKUP(CONCATENATE(LN$5,LN$6),RangeStreamsSec,$O30,FALSE)</f>
        <v>EDSC4026</v>
      </c>
      <c r="LO30" s="118" t="s">
        <v>121</v>
      </c>
      <c r="LP30" s="103"/>
      <c r="LQ30" s="118" t="s">
        <v>123</v>
      </c>
      <c r="LR30" s="128" t="str">
        <f>HLOOKUP(CONCATENATE(LR$5,LR$6),RangeStreamsSec,$O30,FALSE)</f>
        <v>EDSC4026</v>
      </c>
      <c r="LS30" s="118" t="s">
        <v>121</v>
      </c>
      <c r="LT30" s="103"/>
      <c r="LU30" s="118" t="s">
        <v>123</v>
      </c>
      <c r="LV30" s="128" t="str">
        <f>HLOOKUP(CONCATENATE(LV$5,LV$6),RangeStreamsSec,$O30,FALSE)</f>
        <v>EDSC4021</v>
      </c>
      <c r="LW30" s="118" t="s">
        <v>121</v>
      </c>
      <c r="LX30" s="103"/>
      <c r="LY30" s="118" t="s">
        <v>123</v>
      </c>
      <c r="LZ30" s="128" t="str">
        <f>HLOOKUP(CONCATENATE(LZ$5,LZ$6),RangeStreamsSec,$O30,FALSE)</f>
        <v>EDSC4028</v>
      </c>
      <c r="MA30" s="118" t="s">
        <v>121</v>
      </c>
      <c r="MB30" s="103"/>
      <c r="MC30" s="118" t="s">
        <v>123</v>
      </c>
      <c r="MD30" s="128" t="str">
        <f>HLOOKUP(CONCATENATE(MD$5,MD$6),RangeStreamsSec,$O30,FALSE)</f>
        <v>EDSC4028</v>
      </c>
      <c r="ME30" s="118" t="s">
        <v>121</v>
      </c>
      <c r="MF30" s="103"/>
      <c r="MG30" s="118" t="s">
        <v>123</v>
      </c>
      <c r="MH30" s="128" t="str">
        <f>HLOOKUP(CONCATENATE(MH$5,MH$6),RangeStreamsSec,$O30,FALSE)</f>
        <v>EDSC4028</v>
      </c>
      <c r="MI30" s="118" t="s">
        <v>121</v>
      </c>
      <c r="MJ30" s="103"/>
      <c r="MK30" s="118" t="s">
        <v>123</v>
      </c>
      <c r="ML30" s="128" t="str">
        <f>HLOOKUP(CONCATENATE(ML$5,ML$6),RangeStreamsSec,$O30,FALSE)</f>
        <v>CHEM2006</v>
      </c>
      <c r="MM30" s="118" t="s">
        <v>121</v>
      </c>
      <c r="MN30" s="103"/>
      <c r="MO30" s="118" t="s">
        <v>123</v>
      </c>
      <c r="MP30" s="128" t="str">
        <f>HLOOKUP(CONCATENATE(MP$5,MP$6),RangeStreamsSec,$O30,FALSE)</f>
        <v>EDSC4018</v>
      </c>
      <c r="MQ30" s="118" t="s">
        <v>121</v>
      </c>
      <c r="MR30" s="103"/>
      <c r="MS30" s="118" t="s">
        <v>123</v>
      </c>
      <c r="MT30" s="128" t="str">
        <f>HLOOKUP(CONCATENATE(MT$5,MT$6),RangeStreamsSec,$O30,FALSE)</f>
        <v>EDSC4026</v>
      </c>
      <c r="MU30" s="118" t="s">
        <v>121</v>
      </c>
      <c r="MV30" s="103"/>
      <c r="MW30" s="118" t="s">
        <v>123</v>
      </c>
      <c r="MX30" s="128" t="str">
        <f>HLOOKUP(CONCATENATE(MX$5,MX$6),RangeStreamsSec,$O30,FALSE)</f>
        <v>EDSC4026</v>
      </c>
      <c r="MY30" s="118" t="s">
        <v>121</v>
      </c>
      <c r="MZ30" s="103"/>
      <c r="NA30" s="118" t="s">
        <v>123</v>
      </c>
      <c r="NB30" s="128" t="str">
        <f>HLOOKUP(CONCATENATE(NB$5,NB$6),RangeStreamsSec,$O30,FALSE)</f>
        <v>EDSC4021</v>
      </c>
      <c r="NC30" s="118" t="s">
        <v>121</v>
      </c>
      <c r="ND30" s="103"/>
      <c r="NE30" s="118" t="s">
        <v>123</v>
      </c>
      <c r="NF30" s="128" t="str">
        <f>HLOOKUP(CONCATENATE(NF$5,NF$6),RangeStreamsSec,$O30,FALSE)</f>
        <v>EDSC4028</v>
      </c>
      <c r="NG30" s="118" t="s">
        <v>121</v>
      </c>
      <c r="NH30" s="103"/>
      <c r="NI30" s="118" t="s">
        <v>123</v>
      </c>
      <c r="NJ30" s="128" t="str">
        <f>HLOOKUP(CONCATENATE(NJ$5,NJ$6),RangeStreamsSec,$O30,FALSE)</f>
        <v>EDSC4028</v>
      </c>
      <c r="NK30" s="118" t="s">
        <v>121</v>
      </c>
      <c r="NL30" s="103"/>
      <c r="NM30" s="118" t="s">
        <v>123</v>
      </c>
      <c r="NN30" s="128" t="str">
        <f>HLOOKUP(CONCATENATE(NN$5,NN$6),RangeStreamsSec,$O30,FALSE)</f>
        <v>EDSC4028</v>
      </c>
      <c r="NO30" s="118" t="s">
        <v>121</v>
      </c>
      <c r="NP30" s="103"/>
      <c r="NQ30" s="118" t="s">
        <v>123</v>
      </c>
      <c r="NR30" s="128" t="str">
        <f>HLOOKUP(CONCATENATE(NR$5,NR$6),RangeStreamsSec,$O30,FALSE)</f>
        <v>MEDI2000</v>
      </c>
      <c r="NS30" s="118" t="s">
        <v>121</v>
      </c>
      <c r="NT30" s="103"/>
      <c r="NU30" s="118" t="s">
        <v>123</v>
      </c>
      <c r="NV30" s="128" t="str">
        <f>HLOOKUP(CONCATENATE(NV$5,NV$6),RangeStreamsSec,$O30,FALSE)</f>
        <v>EDSC4018</v>
      </c>
      <c r="NW30" s="118" t="s">
        <v>121</v>
      </c>
      <c r="NX30" s="103"/>
      <c r="NY30" s="118" t="s">
        <v>123</v>
      </c>
      <c r="NZ30" s="128" t="str">
        <f>HLOOKUP(CONCATENATE(NZ$5,NZ$6),RangeStreamsSec,$O30,FALSE)</f>
        <v>EDSC4026</v>
      </c>
      <c r="OA30" s="118" t="s">
        <v>121</v>
      </c>
      <c r="OB30" s="103"/>
      <c r="OC30" s="118" t="s">
        <v>123</v>
      </c>
      <c r="OD30" s="128" t="str">
        <f>HLOOKUP(CONCATENATE(OD$5,OD$6),RangeStreamsSec,$O30,FALSE)</f>
        <v>EDSC4026</v>
      </c>
      <c r="OE30" s="118" t="s">
        <v>121</v>
      </c>
      <c r="OF30" s="103"/>
      <c r="OG30" s="118" t="s">
        <v>123</v>
      </c>
      <c r="OH30" s="128" t="str">
        <f>HLOOKUP(CONCATENATE(OH$5,OH$6),RangeStreamsSec,$O30,FALSE)</f>
        <v>EDSC4021</v>
      </c>
      <c r="OI30" s="118" t="s">
        <v>121</v>
      </c>
      <c r="OJ30" s="103"/>
      <c r="OK30" s="118" t="s">
        <v>123</v>
      </c>
      <c r="OL30" s="128" t="str">
        <f>HLOOKUP(CONCATENATE(OL$5,OL$6),RangeStreamsSec,$O30,FALSE)</f>
        <v>EDSC4028</v>
      </c>
      <c r="OM30" s="118" t="s">
        <v>121</v>
      </c>
      <c r="ON30" s="103"/>
      <c r="OO30" s="118" t="s">
        <v>123</v>
      </c>
      <c r="OP30" s="128" t="str">
        <f>HLOOKUP(CONCATENATE(OP$5,OP$6),RangeStreamsSec,$O30,FALSE)</f>
        <v>EDSC4028</v>
      </c>
      <c r="OQ30" s="118" t="s">
        <v>121</v>
      </c>
      <c r="OR30" s="103"/>
      <c r="OS30" s="118" t="s">
        <v>123</v>
      </c>
      <c r="OT30" s="128" t="str">
        <f>HLOOKUP(CONCATENATE(OT$5,OT$6),RangeStreamsSec,$O30,FALSE)</f>
        <v>EDSC4028</v>
      </c>
      <c r="OU30" s="118" t="s">
        <v>121</v>
      </c>
      <c r="OV30" s="103"/>
      <c r="OW30" s="118" t="s">
        <v>123</v>
      </c>
      <c r="OX30" s="128" t="str">
        <f>HLOOKUP(CONCATENATE(OX$5,OX$6),RangeStreamsSec,$O30,FALSE)</f>
        <v>PSYC2002</v>
      </c>
      <c r="OY30" s="118" t="s">
        <v>121</v>
      </c>
      <c r="OZ30" s="103"/>
      <c r="PA30" s="118" t="s">
        <v>123</v>
      </c>
      <c r="PB30" s="128" t="str">
        <f>HLOOKUP(CONCATENATE(PB$5,PB$6),RangeStreamsSec,$O30,FALSE)</f>
        <v>EDSC4018</v>
      </c>
      <c r="PC30" s="118" t="s">
        <v>121</v>
      </c>
      <c r="PD30" s="103"/>
      <c r="PE30" s="118" t="s">
        <v>123</v>
      </c>
      <c r="PF30" s="128" t="str">
        <f>HLOOKUP(CONCATENATE(PF$5,PF$6),RangeStreamsSec,$O30,FALSE)</f>
        <v>EDSC4026</v>
      </c>
      <c r="PG30" s="118" t="s">
        <v>121</v>
      </c>
      <c r="PH30" s="103"/>
      <c r="PI30" s="118" t="s">
        <v>123</v>
      </c>
      <c r="PJ30" s="128" t="str">
        <f>HLOOKUP(CONCATENATE(PJ$5,PJ$6),RangeStreamsSec,$O30,FALSE)</f>
        <v>EDSC4026</v>
      </c>
      <c r="PK30" s="118" t="s">
        <v>121</v>
      </c>
      <c r="PL30" s="103"/>
      <c r="PM30" s="118" t="s">
        <v>123</v>
      </c>
      <c r="PN30" s="128" t="str">
        <f>HLOOKUP(CONCATENATE(PN$5,PN$6),RangeStreamsSec,$O30,FALSE)</f>
        <v>EDSC4021</v>
      </c>
      <c r="PO30" s="118" t="s">
        <v>121</v>
      </c>
      <c r="PP30" s="103"/>
      <c r="PQ30" s="118" t="s">
        <v>123</v>
      </c>
      <c r="PR30" s="128" t="str">
        <f>HLOOKUP(CONCATENATE(PR$5,PR$6),RangeStreamsSec,$O30,FALSE)</f>
        <v>EDSC4028</v>
      </c>
      <c r="PS30" s="118" t="s">
        <v>121</v>
      </c>
      <c r="PT30" s="103"/>
      <c r="PU30" s="118" t="s">
        <v>123</v>
      </c>
      <c r="PV30" s="128" t="str">
        <f>HLOOKUP(CONCATENATE(PV$5,PV$6),RangeStreamsSec,$O30,FALSE)</f>
        <v>EDSC4028</v>
      </c>
      <c r="PW30" s="118" t="s">
        <v>121</v>
      </c>
      <c r="PX30" s="103"/>
      <c r="PY30" s="118" t="s">
        <v>123</v>
      </c>
      <c r="PZ30" s="128" t="str">
        <f>HLOOKUP(CONCATENATE(PZ$5,PZ$6),RangeStreamsSec,$O30,FALSE)</f>
        <v>EDSC4028</v>
      </c>
      <c r="QA30" s="118" t="s">
        <v>121</v>
      </c>
      <c r="QB30" s="103"/>
      <c r="QC30" s="118" t="s">
        <v>123</v>
      </c>
      <c r="QD30" s="128" t="e">
        <f>HLOOKUP(CONCATENATE(QD$5,QD$6),RangeStreamsSec,$O30,FALSE)</f>
        <v>#N/A</v>
      </c>
      <c r="QE30" s="118" t="s">
        <v>121</v>
      </c>
      <c r="QF30" s="103"/>
      <c r="QG30" s="118" t="s">
        <v>123</v>
      </c>
      <c r="QH30" s="128" t="e">
        <f>HLOOKUP(CONCATENATE(QH$5,QH$6),RangeStreamsSec,$O30,FALSE)</f>
        <v>#N/A</v>
      </c>
      <c r="QI30" s="118" t="s">
        <v>121</v>
      </c>
      <c r="QJ30" s="103"/>
    </row>
    <row r="31" spans="1:452" x14ac:dyDescent="0.25">
      <c r="A31" s="353" t="s">
        <v>405</v>
      </c>
      <c r="B31" s="7" t="s">
        <v>363</v>
      </c>
      <c r="C31" s="268" t="s">
        <v>404</v>
      </c>
      <c r="D31" s="269">
        <v>45658</v>
      </c>
      <c r="E31" s="268">
        <v>4</v>
      </c>
      <c r="F31" s="269">
        <v>45658</v>
      </c>
      <c r="G31" s="7" t="s">
        <v>398</v>
      </c>
      <c r="J31" s="141"/>
      <c r="K31" s="146" t="str">
        <f>INDEX(TableStreams[Choose your Specialisation Stream second (drop-down list)],MATCH(L31,TableStreams[UDC],0))</f>
        <v>History Education Minor Teaching Area Stream (BEd Secondary)</v>
      </c>
      <c r="L31" s="141" t="s">
        <v>355</v>
      </c>
      <c r="O31" s="19"/>
      <c r="P31" s="3">
        <v>29</v>
      </c>
      <c r="Q31" s="116" t="s">
        <v>148</v>
      </c>
      <c r="R31" s="119" t="s">
        <v>188</v>
      </c>
      <c r="S31" s="116" t="s">
        <v>149</v>
      </c>
      <c r="T31" s="115"/>
      <c r="U31" s="116" t="s">
        <v>148</v>
      </c>
      <c r="V31" s="300" t="str">
        <f t="shared" ref="V31:V32" si="216">$R31</f>
        <v>EDSC3007</v>
      </c>
      <c r="W31" s="116" t="s">
        <v>149</v>
      </c>
      <c r="X31" s="115"/>
      <c r="Y31" s="116" t="s">
        <v>148</v>
      </c>
      <c r="Z31" s="300" t="str">
        <f t="shared" ref="Z31:Z32" si="217">$R31</f>
        <v>EDSC3007</v>
      </c>
      <c r="AA31" s="116" t="s">
        <v>149</v>
      </c>
      <c r="AB31" s="115"/>
      <c r="AC31" s="116" t="s">
        <v>148</v>
      </c>
      <c r="AD31" s="300" t="str">
        <f t="shared" ref="AD31:AD32" si="218">$R31</f>
        <v>EDSC3007</v>
      </c>
      <c r="AE31" s="116" t="s">
        <v>149</v>
      </c>
      <c r="AF31" s="115"/>
      <c r="AG31" s="116" t="s">
        <v>148</v>
      </c>
      <c r="AH31" s="300" t="str">
        <f t="shared" ref="AH31:AH32" si="219">$R31</f>
        <v>EDSC3007</v>
      </c>
      <c r="AI31" s="116" t="s">
        <v>149</v>
      </c>
      <c r="AJ31" s="115"/>
      <c r="AK31" s="116" t="s">
        <v>148</v>
      </c>
      <c r="AL31" s="300" t="str">
        <f t="shared" ref="AL31:AL32" si="220">$R31</f>
        <v>EDSC3007</v>
      </c>
      <c r="AM31" s="116" t="s">
        <v>149</v>
      </c>
      <c r="AN31" s="115"/>
      <c r="AO31" s="116" t="s">
        <v>148</v>
      </c>
      <c r="AP31" s="300" t="str">
        <f t="shared" ref="AP31:AP32" si="221">$R31</f>
        <v>EDSC3007</v>
      </c>
      <c r="AQ31" s="116" t="s">
        <v>149</v>
      </c>
      <c r="AR31" s="115"/>
      <c r="AS31" s="116" t="s">
        <v>148</v>
      </c>
      <c r="AT31" s="300" t="str">
        <f t="shared" ref="AT31:AT32" si="222">$R31</f>
        <v>EDSC3007</v>
      </c>
      <c r="AU31" s="116" t="s">
        <v>149</v>
      </c>
      <c r="AV31" s="115"/>
      <c r="AW31" s="116" t="s">
        <v>148</v>
      </c>
      <c r="AX31" s="300" t="str">
        <f t="shared" ref="AX31:AX32" si="223">$R31</f>
        <v>EDSC3007</v>
      </c>
      <c r="AY31" s="116" t="s">
        <v>149</v>
      </c>
      <c r="AZ31" s="115"/>
      <c r="BA31" s="116" t="s">
        <v>148</v>
      </c>
      <c r="BB31" s="300" t="str">
        <f t="shared" ref="BB31:BB32" si="224">$R31</f>
        <v>EDSC3007</v>
      </c>
      <c r="BC31" s="116" t="s">
        <v>149</v>
      </c>
      <c r="BD31" s="115"/>
      <c r="BE31" s="116" t="s">
        <v>148</v>
      </c>
      <c r="BF31" s="300" t="str">
        <f t="shared" ref="BF31:BF32" si="225">$R31</f>
        <v>EDSC3007</v>
      </c>
      <c r="BG31" s="116" t="s">
        <v>149</v>
      </c>
      <c r="BH31" s="115"/>
      <c r="BI31" s="116" t="s">
        <v>148</v>
      </c>
      <c r="BJ31" s="300" t="str">
        <f t="shared" ref="BJ31:BJ32" si="226">$R31</f>
        <v>EDSC3007</v>
      </c>
      <c r="BK31" s="116" t="s">
        <v>149</v>
      </c>
      <c r="BL31" s="115"/>
      <c r="BM31" s="116" t="s">
        <v>148</v>
      </c>
      <c r="BN31" s="300" t="str">
        <f t="shared" ref="BN31:BN32" si="227">$R31</f>
        <v>EDSC3007</v>
      </c>
      <c r="BO31" s="116" t="s">
        <v>149</v>
      </c>
      <c r="BP31" s="115"/>
      <c r="BQ31" s="116" t="s">
        <v>148</v>
      </c>
      <c r="BR31" s="300" t="str">
        <f t="shared" ref="BR31:BR32" si="228">$R31</f>
        <v>EDSC3007</v>
      </c>
      <c r="BS31" s="116" t="s">
        <v>149</v>
      </c>
      <c r="BT31" s="115"/>
      <c r="BU31" s="116" t="s">
        <v>148</v>
      </c>
      <c r="BV31" s="300" t="str">
        <f t="shared" ref="BV31:BV32" si="229">$R31</f>
        <v>EDSC3007</v>
      </c>
      <c r="BW31" s="116" t="s">
        <v>149</v>
      </c>
      <c r="BX31" s="115"/>
      <c r="BY31" s="116" t="s">
        <v>148</v>
      </c>
      <c r="BZ31" s="300" t="str">
        <f t="shared" ref="BZ31:BZ32" si="230">$R31</f>
        <v>EDSC3007</v>
      </c>
      <c r="CA31" s="116" t="s">
        <v>149</v>
      </c>
      <c r="CB31" s="115"/>
      <c r="CC31" s="116" t="s">
        <v>148</v>
      </c>
      <c r="CD31" s="300" t="str">
        <f t="shared" ref="CD31:CD32" si="231">$R31</f>
        <v>EDSC3007</v>
      </c>
      <c r="CE31" s="116" t="s">
        <v>149</v>
      </c>
      <c r="CF31" s="115"/>
      <c r="CG31" s="116" t="s">
        <v>148</v>
      </c>
      <c r="CH31" s="300" t="str">
        <f t="shared" ref="CH31:CH32" si="232">$R31</f>
        <v>EDSC3007</v>
      </c>
      <c r="CI31" s="116" t="s">
        <v>149</v>
      </c>
      <c r="CJ31" s="115"/>
      <c r="CK31" s="116" t="s">
        <v>148</v>
      </c>
      <c r="CL31" s="300" t="str">
        <f t="shared" ref="CL31:CL32" si="233">$R31</f>
        <v>EDSC3007</v>
      </c>
      <c r="CM31" s="116" t="s">
        <v>149</v>
      </c>
      <c r="CN31" s="115"/>
      <c r="CO31" s="116" t="s">
        <v>148</v>
      </c>
      <c r="CP31" s="300" t="str">
        <f t="shared" ref="CP31:CP32" si="234">$R31</f>
        <v>EDSC3007</v>
      </c>
      <c r="CQ31" s="116" t="s">
        <v>149</v>
      </c>
      <c r="CR31" s="115"/>
      <c r="CS31" s="116" t="s">
        <v>148</v>
      </c>
      <c r="CT31" s="300" t="str">
        <f t="shared" ref="CT31:CT32" si="235">$R31</f>
        <v>EDSC3007</v>
      </c>
      <c r="CU31" s="116" t="s">
        <v>149</v>
      </c>
      <c r="CV31" s="115"/>
      <c r="CW31" s="116" t="s">
        <v>148</v>
      </c>
      <c r="CX31" s="300" t="str">
        <f t="shared" ref="CX31:CX32" si="236">$R31</f>
        <v>EDSC3007</v>
      </c>
      <c r="CY31" s="116" t="s">
        <v>149</v>
      </c>
      <c r="CZ31" s="115"/>
      <c r="DA31" s="116" t="s">
        <v>148</v>
      </c>
      <c r="DB31" s="300" t="str">
        <f t="shared" ref="DB31:DB32" si="237">$R31</f>
        <v>EDSC3007</v>
      </c>
      <c r="DC31" s="116" t="s">
        <v>149</v>
      </c>
      <c r="DD31" s="115"/>
      <c r="DE31" s="116" t="s">
        <v>148</v>
      </c>
      <c r="DF31" s="300" t="str">
        <f t="shared" ref="DF31:DF32" si="238">$R31</f>
        <v>EDSC3007</v>
      </c>
      <c r="DG31" s="116" t="s">
        <v>149</v>
      </c>
      <c r="DH31" s="115"/>
      <c r="DI31" s="116" t="s">
        <v>148</v>
      </c>
      <c r="DJ31" s="300" t="str">
        <f t="shared" ref="DJ31:DJ32" si="239">$R31</f>
        <v>EDSC3007</v>
      </c>
      <c r="DK31" s="116" t="s">
        <v>149</v>
      </c>
      <c r="DL31" s="115"/>
      <c r="DM31" s="116" t="s">
        <v>148</v>
      </c>
      <c r="DN31" s="300" t="str">
        <f t="shared" ref="DN31:DN32" si="240">$R31</f>
        <v>EDSC3007</v>
      </c>
      <c r="DO31" s="116" t="s">
        <v>149</v>
      </c>
      <c r="DP31" s="115"/>
      <c r="DQ31" s="116" t="s">
        <v>148</v>
      </c>
      <c r="DR31" s="300" t="str">
        <f t="shared" ref="DR31:DR32" si="241">$R31</f>
        <v>EDSC3007</v>
      </c>
      <c r="DS31" s="116" t="s">
        <v>149</v>
      </c>
      <c r="DT31" s="115"/>
      <c r="DU31" s="116" t="s">
        <v>148</v>
      </c>
      <c r="DV31" s="300" t="str">
        <f t="shared" ref="DV31:DV32" si="242">$R31</f>
        <v>EDSC3007</v>
      </c>
      <c r="DW31" s="116" t="s">
        <v>149</v>
      </c>
      <c r="DX31" s="115"/>
      <c r="DY31" s="116" t="s">
        <v>148</v>
      </c>
      <c r="DZ31" s="300" t="str">
        <f t="shared" ref="DZ31:DZ32" si="243">$R31</f>
        <v>EDSC3007</v>
      </c>
      <c r="EA31" s="116" t="s">
        <v>149</v>
      </c>
      <c r="EB31" s="115"/>
      <c r="EC31" s="116" t="s">
        <v>148</v>
      </c>
      <c r="ED31" s="300" t="str">
        <f t="shared" ref="ED31:ED32" si="244">$R31</f>
        <v>EDSC3007</v>
      </c>
      <c r="EE31" s="116" t="s">
        <v>149</v>
      </c>
      <c r="EF31" s="115"/>
      <c r="EG31" s="116" t="s">
        <v>148</v>
      </c>
      <c r="EH31" s="300" t="str">
        <f t="shared" ref="EH31:EH32" si="245">$R31</f>
        <v>EDSC3007</v>
      </c>
      <c r="EI31" s="116" t="s">
        <v>149</v>
      </c>
      <c r="EJ31" s="115"/>
      <c r="EK31" s="116" t="s">
        <v>148</v>
      </c>
      <c r="EL31" s="300" t="str">
        <f t="shared" ref="EL31:EL32" si="246">$R31</f>
        <v>EDSC3007</v>
      </c>
      <c r="EM31" s="116" t="s">
        <v>149</v>
      </c>
      <c r="EN31" s="115"/>
      <c r="EO31" s="116" t="s">
        <v>148</v>
      </c>
      <c r="EP31" s="300" t="str">
        <f t="shared" ref="EP31:EP32" si="247">$R31</f>
        <v>EDSC3007</v>
      </c>
      <c r="EQ31" s="116" t="s">
        <v>149</v>
      </c>
      <c r="ER31" s="115"/>
      <c r="ES31" s="116" t="s">
        <v>148</v>
      </c>
      <c r="ET31" s="300" t="str">
        <f t="shared" ref="ET31:ET32" si="248">$R31</f>
        <v>EDSC3007</v>
      </c>
      <c r="EU31" s="116" t="s">
        <v>149</v>
      </c>
      <c r="EV31" s="115"/>
      <c r="EW31" s="116" t="s">
        <v>148</v>
      </c>
      <c r="EX31" s="300" t="str">
        <f t="shared" ref="EX31:EX32" si="249">$R31</f>
        <v>EDSC3007</v>
      </c>
      <c r="EY31" s="116" t="s">
        <v>149</v>
      </c>
      <c r="EZ31" s="115"/>
      <c r="FA31" s="116" t="s">
        <v>148</v>
      </c>
      <c r="FB31" s="300" t="str">
        <f t="shared" ref="FB31:FB32" si="250">$R31</f>
        <v>EDSC3007</v>
      </c>
      <c r="FC31" s="116" t="s">
        <v>149</v>
      </c>
      <c r="FD31" s="115"/>
      <c r="FE31" s="116" t="s">
        <v>148</v>
      </c>
      <c r="FF31" s="300" t="str">
        <f t="shared" ref="FF31:FF32" si="251">$R31</f>
        <v>EDSC3007</v>
      </c>
      <c r="FG31" s="116" t="s">
        <v>149</v>
      </c>
      <c r="FH31" s="115"/>
      <c r="FI31" s="116" t="s">
        <v>148</v>
      </c>
      <c r="FJ31" s="300" t="str">
        <f t="shared" ref="FJ31:FJ32" si="252">$R31</f>
        <v>EDSC3007</v>
      </c>
      <c r="FK31" s="116" t="s">
        <v>149</v>
      </c>
      <c r="FL31" s="115"/>
      <c r="FM31" s="116" t="s">
        <v>148</v>
      </c>
      <c r="FN31" s="300" t="str">
        <f t="shared" ref="FN31:FN32" si="253">$R31</f>
        <v>EDSC3007</v>
      </c>
      <c r="FO31" s="116" t="s">
        <v>149</v>
      </c>
      <c r="FP31" s="115"/>
      <c r="FQ31" s="116" t="s">
        <v>148</v>
      </c>
      <c r="FR31" s="300" t="str">
        <f t="shared" ref="FR31:FR32" si="254">$R31</f>
        <v>EDSC3007</v>
      </c>
      <c r="FS31" s="116" t="s">
        <v>149</v>
      </c>
      <c r="FT31" s="115"/>
      <c r="FU31" s="116" t="s">
        <v>148</v>
      </c>
      <c r="FV31" s="300" t="str">
        <f t="shared" ref="FV31:FV32" si="255">$R31</f>
        <v>EDSC3007</v>
      </c>
      <c r="FW31" s="116" t="s">
        <v>149</v>
      </c>
      <c r="FX31" s="115"/>
      <c r="FY31" s="116" t="s">
        <v>148</v>
      </c>
      <c r="FZ31" s="300" t="str">
        <f t="shared" ref="FZ31:FZ32" si="256">$R31</f>
        <v>EDSC3007</v>
      </c>
      <c r="GA31" s="116" t="s">
        <v>149</v>
      </c>
      <c r="GB31" s="115"/>
      <c r="GC31" s="116" t="s">
        <v>148</v>
      </c>
      <c r="GD31" s="300" t="str">
        <f t="shared" ref="GD31:GD32" si="257">$R31</f>
        <v>EDSC3007</v>
      </c>
      <c r="GE31" s="116" t="s">
        <v>149</v>
      </c>
      <c r="GF31" s="115"/>
      <c r="GG31" s="116" t="s">
        <v>148</v>
      </c>
      <c r="GH31" s="300" t="str">
        <f t="shared" ref="GH31:GH32" si="258">$R31</f>
        <v>EDSC3007</v>
      </c>
      <c r="GI31" s="116" t="s">
        <v>149</v>
      </c>
      <c r="GJ31" s="115"/>
      <c r="GK31" s="116" t="s">
        <v>148</v>
      </c>
      <c r="GL31" s="300" t="str">
        <f t="shared" ref="GL31:GL32" si="259">$R31</f>
        <v>EDSC3007</v>
      </c>
      <c r="GM31" s="116" t="s">
        <v>149</v>
      </c>
      <c r="GN31" s="115"/>
      <c r="GO31" s="116" t="s">
        <v>148</v>
      </c>
      <c r="GP31" s="300" t="str">
        <f t="shared" ref="GP31:GP32" si="260">$R31</f>
        <v>EDSC3007</v>
      </c>
      <c r="GQ31" s="116" t="s">
        <v>149</v>
      </c>
      <c r="GR31" s="115"/>
      <c r="GS31" s="116" t="s">
        <v>148</v>
      </c>
      <c r="GT31" s="300" t="str">
        <f t="shared" ref="GT31:GT32" si="261">$R31</f>
        <v>EDSC3007</v>
      </c>
      <c r="GU31" s="116" t="s">
        <v>149</v>
      </c>
      <c r="GV31" s="115"/>
      <c r="GW31" s="116" t="s">
        <v>148</v>
      </c>
      <c r="GX31" s="300" t="str">
        <f t="shared" ref="GX31:GX32" si="262">$R31</f>
        <v>EDSC3007</v>
      </c>
      <c r="GY31" s="116" t="s">
        <v>149</v>
      </c>
      <c r="GZ31" s="115"/>
      <c r="HA31" s="116" t="s">
        <v>148</v>
      </c>
      <c r="HB31" s="300" t="str">
        <f t="shared" ref="HB31:HB32" si="263">$R31</f>
        <v>EDSC3007</v>
      </c>
      <c r="HC31" s="116" t="s">
        <v>149</v>
      </c>
      <c r="HD31" s="115"/>
      <c r="HE31" s="116" t="s">
        <v>148</v>
      </c>
      <c r="HF31" s="300" t="str">
        <f t="shared" ref="HF31:HF32" si="264">$R31</f>
        <v>EDSC3007</v>
      </c>
      <c r="HG31" s="116" t="s">
        <v>149</v>
      </c>
      <c r="HH31" s="115"/>
      <c r="HI31" s="116" t="s">
        <v>148</v>
      </c>
      <c r="HJ31" s="300" t="str">
        <f t="shared" ref="HJ31:HJ32" si="265">$R31</f>
        <v>EDSC3007</v>
      </c>
      <c r="HK31" s="116" t="s">
        <v>149</v>
      </c>
      <c r="HL31" s="115"/>
      <c r="HM31" s="116" t="s">
        <v>148</v>
      </c>
      <c r="HN31" s="300" t="str">
        <f t="shared" ref="HN31:HN32" si="266">$R31</f>
        <v>EDSC3007</v>
      </c>
      <c r="HO31" s="116" t="s">
        <v>149</v>
      </c>
      <c r="HP31" s="115"/>
      <c r="HQ31" s="116" t="s">
        <v>148</v>
      </c>
      <c r="HR31" s="300" t="str">
        <f t="shared" ref="HR31:HR32" si="267">$R31</f>
        <v>EDSC3007</v>
      </c>
      <c r="HS31" s="116" t="s">
        <v>149</v>
      </c>
      <c r="HT31" s="115"/>
      <c r="HU31" s="116" t="s">
        <v>148</v>
      </c>
      <c r="HV31" s="300" t="str">
        <f t="shared" ref="HV31:HV32" si="268">$R31</f>
        <v>EDSC3007</v>
      </c>
      <c r="HW31" s="116" t="s">
        <v>149</v>
      </c>
      <c r="HX31" s="115"/>
      <c r="HY31" s="116" t="s">
        <v>148</v>
      </c>
      <c r="HZ31" s="300" t="str">
        <f t="shared" ref="HZ31:HZ32" si="269">$R31</f>
        <v>EDSC3007</v>
      </c>
      <c r="IA31" s="116" t="s">
        <v>149</v>
      </c>
      <c r="IB31" s="115"/>
      <c r="IC31" s="116" t="s">
        <v>148</v>
      </c>
      <c r="ID31" s="300" t="str">
        <f t="shared" ref="ID31:ID32" si="270">$R31</f>
        <v>EDSC3007</v>
      </c>
      <c r="IE31" s="116" t="s">
        <v>149</v>
      </c>
      <c r="IF31" s="115"/>
      <c r="IG31" s="116" t="s">
        <v>148</v>
      </c>
      <c r="IH31" s="300" t="str">
        <f t="shared" ref="IH31:IH32" si="271">$R31</f>
        <v>EDSC3007</v>
      </c>
      <c r="II31" s="116" t="s">
        <v>149</v>
      </c>
      <c r="IJ31" s="115"/>
      <c r="IK31" s="116" t="s">
        <v>148</v>
      </c>
      <c r="IL31" s="300" t="str">
        <f t="shared" ref="IL31:IL32" si="272">$R31</f>
        <v>EDSC3007</v>
      </c>
      <c r="IM31" s="116" t="s">
        <v>149</v>
      </c>
      <c r="IN31" s="115"/>
      <c r="IO31" s="116" t="s">
        <v>148</v>
      </c>
      <c r="IP31" s="300" t="str">
        <f t="shared" ref="IP31:IP32" si="273">$R31</f>
        <v>EDSC3007</v>
      </c>
      <c r="IQ31" s="116" t="s">
        <v>149</v>
      </c>
      <c r="IR31" s="115"/>
      <c r="IS31" s="116" t="s">
        <v>148</v>
      </c>
      <c r="IT31" s="300" t="str">
        <f t="shared" ref="IT31:IT32" si="274">$R31</f>
        <v>EDSC3007</v>
      </c>
      <c r="IU31" s="116" t="s">
        <v>149</v>
      </c>
      <c r="IV31" s="115"/>
      <c r="IW31" s="116" t="s">
        <v>148</v>
      </c>
      <c r="IX31" s="300" t="str">
        <f t="shared" ref="IX31:IX32" si="275">$R31</f>
        <v>EDSC3007</v>
      </c>
      <c r="IY31" s="116" t="s">
        <v>149</v>
      </c>
      <c r="IZ31" s="115"/>
      <c r="JA31" s="116" t="s">
        <v>148</v>
      </c>
      <c r="JB31" s="300" t="str">
        <f t="shared" ref="JB31:JB32" si="276">$R31</f>
        <v>EDSC3007</v>
      </c>
      <c r="JC31" s="116" t="s">
        <v>149</v>
      </c>
      <c r="JD31" s="115"/>
      <c r="JE31" s="116" t="s">
        <v>148</v>
      </c>
      <c r="JF31" s="300" t="str">
        <f t="shared" ref="JF31:JF32" si="277">$R31</f>
        <v>EDSC3007</v>
      </c>
      <c r="JG31" s="116" t="s">
        <v>149</v>
      </c>
      <c r="JH31" s="115"/>
      <c r="JI31" s="116" t="s">
        <v>148</v>
      </c>
      <c r="JJ31" s="300" t="str">
        <f t="shared" ref="JJ31:JJ32" si="278">$R31</f>
        <v>EDSC3007</v>
      </c>
      <c r="JK31" s="116" t="s">
        <v>149</v>
      </c>
      <c r="JL31" s="115"/>
      <c r="JM31" s="116" t="s">
        <v>148</v>
      </c>
      <c r="JN31" s="300" t="str">
        <f t="shared" ref="JN31:JN32" si="279">$R31</f>
        <v>EDSC3007</v>
      </c>
      <c r="JO31" s="116" t="s">
        <v>149</v>
      </c>
      <c r="JP31" s="115"/>
      <c r="JQ31" s="116" t="s">
        <v>148</v>
      </c>
      <c r="JR31" s="300" t="str">
        <f t="shared" ref="JR31:JR32" si="280">$R31</f>
        <v>EDSC3007</v>
      </c>
      <c r="JS31" s="116" t="s">
        <v>149</v>
      </c>
      <c r="JT31" s="115"/>
      <c r="JU31" s="116" t="s">
        <v>148</v>
      </c>
      <c r="JV31" s="300" t="str">
        <f t="shared" ref="JV31:JV32" si="281">$R31</f>
        <v>EDSC3007</v>
      </c>
      <c r="JW31" s="116" t="s">
        <v>149</v>
      </c>
      <c r="JX31" s="115"/>
      <c r="JY31" s="116" t="s">
        <v>148</v>
      </c>
      <c r="JZ31" s="300" t="str">
        <f t="shared" ref="JZ31:JZ32" si="282">$R31</f>
        <v>EDSC3007</v>
      </c>
      <c r="KA31" s="116" t="s">
        <v>149</v>
      </c>
      <c r="KB31" s="115"/>
      <c r="KC31" s="116" t="s">
        <v>148</v>
      </c>
      <c r="KD31" s="300" t="str">
        <f t="shared" ref="KD31:KD32" si="283">$R31</f>
        <v>EDSC3007</v>
      </c>
      <c r="KE31" s="116" t="s">
        <v>149</v>
      </c>
      <c r="KF31" s="115"/>
      <c r="KG31" s="116" t="s">
        <v>148</v>
      </c>
      <c r="KH31" s="300" t="str">
        <f t="shared" ref="KH31:KH32" si="284">$R31</f>
        <v>EDSC3007</v>
      </c>
      <c r="KI31" s="116" t="s">
        <v>149</v>
      </c>
      <c r="KJ31" s="115"/>
      <c r="KK31" s="116" t="s">
        <v>148</v>
      </c>
      <c r="KL31" s="300" t="str">
        <f t="shared" ref="KL31:KL32" si="285">$R31</f>
        <v>EDSC3007</v>
      </c>
      <c r="KM31" s="116" t="s">
        <v>149</v>
      </c>
      <c r="KN31" s="115"/>
      <c r="KO31" s="116" t="s">
        <v>148</v>
      </c>
      <c r="KP31" s="300" t="str">
        <f t="shared" ref="KP31:KP32" si="286">$R31</f>
        <v>EDSC3007</v>
      </c>
      <c r="KQ31" s="116" t="s">
        <v>149</v>
      </c>
      <c r="KR31" s="115"/>
      <c r="KS31" s="116" t="s">
        <v>148</v>
      </c>
      <c r="KT31" s="300" t="str">
        <f t="shared" ref="KT31:KT32" si="287">$R31</f>
        <v>EDSC3007</v>
      </c>
      <c r="KU31" s="116" t="s">
        <v>149</v>
      </c>
      <c r="KV31" s="115"/>
      <c r="KW31" s="116" t="s">
        <v>148</v>
      </c>
      <c r="KX31" s="300" t="str">
        <f t="shared" ref="KX31:KX32" si="288">$R31</f>
        <v>EDSC3007</v>
      </c>
      <c r="KY31" s="116" t="s">
        <v>149</v>
      </c>
      <c r="KZ31" s="115"/>
      <c r="LA31" s="116" t="s">
        <v>148</v>
      </c>
      <c r="LB31" s="300" t="str">
        <f t="shared" ref="LB31:LB32" si="289">$R31</f>
        <v>EDSC3007</v>
      </c>
      <c r="LC31" s="116" t="s">
        <v>149</v>
      </c>
      <c r="LD31" s="115"/>
      <c r="LE31" s="116" t="s">
        <v>148</v>
      </c>
      <c r="LF31" s="300" t="str">
        <f t="shared" ref="LF31:LF32" si="290">$R31</f>
        <v>EDSC3007</v>
      </c>
      <c r="LG31" s="116" t="s">
        <v>149</v>
      </c>
      <c r="LH31" s="115"/>
      <c r="LI31" s="116" t="s">
        <v>148</v>
      </c>
      <c r="LJ31" s="300" t="str">
        <f t="shared" ref="LJ31:LJ32" si="291">$R31</f>
        <v>EDSC3007</v>
      </c>
      <c r="LK31" s="116" t="s">
        <v>149</v>
      </c>
      <c r="LL31" s="115"/>
      <c r="LM31" s="116" t="s">
        <v>148</v>
      </c>
      <c r="LN31" s="300" t="str">
        <f t="shared" ref="LN31:LN32" si="292">$R31</f>
        <v>EDSC3007</v>
      </c>
      <c r="LO31" s="116" t="s">
        <v>149</v>
      </c>
      <c r="LP31" s="115"/>
      <c r="LQ31" s="116" t="s">
        <v>148</v>
      </c>
      <c r="LR31" s="300" t="str">
        <f t="shared" ref="LR31:LR32" si="293">$R31</f>
        <v>EDSC3007</v>
      </c>
      <c r="LS31" s="116" t="s">
        <v>149</v>
      </c>
      <c r="LT31" s="115"/>
      <c r="LU31" s="116" t="s">
        <v>148</v>
      </c>
      <c r="LV31" s="300" t="str">
        <f t="shared" ref="LV31:LV32" si="294">$R31</f>
        <v>EDSC3007</v>
      </c>
      <c r="LW31" s="116" t="s">
        <v>149</v>
      </c>
      <c r="LX31" s="115"/>
      <c r="LY31" s="116" t="s">
        <v>148</v>
      </c>
      <c r="LZ31" s="300" t="str">
        <f t="shared" ref="LZ31:LZ32" si="295">$R31</f>
        <v>EDSC3007</v>
      </c>
      <c r="MA31" s="116" t="s">
        <v>149</v>
      </c>
      <c r="MB31" s="115"/>
      <c r="MC31" s="116" t="s">
        <v>148</v>
      </c>
      <c r="MD31" s="300" t="str">
        <f t="shared" ref="MD31:MD32" si="296">$R31</f>
        <v>EDSC3007</v>
      </c>
      <c r="ME31" s="116" t="s">
        <v>149</v>
      </c>
      <c r="MF31" s="115"/>
      <c r="MG31" s="116" t="s">
        <v>148</v>
      </c>
      <c r="MH31" s="300" t="str">
        <f t="shared" ref="MH31:MH32" si="297">$R31</f>
        <v>EDSC3007</v>
      </c>
      <c r="MI31" s="116" t="s">
        <v>149</v>
      </c>
      <c r="MJ31" s="115"/>
      <c r="MK31" s="116" t="s">
        <v>148</v>
      </c>
      <c r="ML31" s="300" t="str">
        <f t="shared" ref="ML31:ML32" si="298">$R31</f>
        <v>EDSC3007</v>
      </c>
      <c r="MM31" s="116" t="s">
        <v>149</v>
      </c>
      <c r="MN31" s="115"/>
      <c r="MO31" s="116" t="s">
        <v>148</v>
      </c>
      <c r="MP31" s="300" t="str">
        <f t="shared" ref="MP31:MP32" si="299">$R31</f>
        <v>EDSC3007</v>
      </c>
      <c r="MQ31" s="116" t="s">
        <v>149</v>
      </c>
      <c r="MR31" s="115"/>
      <c r="MS31" s="116" t="s">
        <v>148</v>
      </c>
      <c r="MT31" s="300" t="str">
        <f t="shared" ref="MT31:MT32" si="300">$R31</f>
        <v>EDSC3007</v>
      </c>
      <c r="MU31" s="116" t="s">
        <v>149</v>
      </c>
      <c r="MV31" s="115"/>
      <c r="MW31" s="116" t="s">
        <v>148</v>
      </c>
      <c r="MX31" s="300" t="str">
        <f t="shared" ref="MX31:MX32" si="301">$R31</f>
        <v>EDSC3007</v>
      </c>
      <c r="MY31" s="116" t="s">
        <v>149</v>
      </c>
      <c r="MZ31" s="115"/>
      <c r="NA31" s="116" t="s">
        <v>148</v>
      </c>
      <c r="NB31" s="300" t="str">
        <f t="shared" ref="NB31:NB32" si="302">$R31</f>
        <v>EDSC3007</v>
      </c>
      <c r="NC31" s="116" t="s">
        <v>149</v>
      </c>
      <c r="ND31" s="115"/>
      <c r="NE31" s="116" t="s">
        <v>148</v>
      </c>
      <c r="NF31" s="300" t="str">
        <f t="shared" ref="NF31:NF32" si="303">$R31</f>
        <v>EDSC3007</v>
      </c>
      <c r="NG31" s="116" t="s">
        <v>149</v>
      </c>
      <c r="NH31" s="115"/>
      <c r="NI31" s="116" t="s">
        <v>148</v>
      </c>
      <c r="NJ31" s="300" t="str">
        <f t="shared" ref="NJ31:NJ32" si="304">$R31</f>
        <v>EDSC3007</v>
      </c>
      <c r="NK31" s="116" t="s">
        <v>149</v>
      </c>
      <c r="NL31" s="115"/>
      <c r="NM31" s="116" t="s">
        <v>148</v>
      </c>
      <c r="NN31" s="300" t="str">
        <f t="shared" ref="NN31:NN32" si="305">$R31</f>
        <v>EDSC3007</v>
      </c>
      <c r="NO31" s="116" t="s">
        <v>149</v>
      </c>
      <c r="NP31" s="115"/>
      <c r="NQ31" s="116" t="s">
        <v>148</v>
      </c>
      <c r="NR31" s="300" t="str">
        <f t="shared" ref="NR31:NR32" si="306">$R31</f>
        <v>EDSC3007</v>
      </c>
      <c r="NS31" s="116" t="s">
        <v>149</v>
      </c>
      <c r="NT31" s="115"/>
      <c r="NU31" s="116" t="s">
        <v>148</v>
      </c>
      <c r="NV31" s="300" t="str">
        <f t="shared" ref="NV31:NV32" si="307">$R31</f>
        <v>EDSC3007</v>
      </c>
      <c r="NW31" s="116" t="s">
        <v>149</v>
      </c>
      <c r="NX31" s="115"/>
      <c r="NY31" s="116" t="s">
        <v>148</v>
      </c>
      <c r="NZ31" s="300" t="str">
        <f t="shared" ref="NZ31:NZ32" si="308">$R31</f>
        <v>EDSC3007</v>
      </c>
      <c r="OA31" s="116" t="s">
        <v>149</v>
      </c>
      <c r="OB31" s="115"/>
      <c r="OC31" s="116" t="s">
        <v>148</v>
      </c>
      <c r="OD31" s="300" t="str">
        <f t="shared" ref="OD31:OD32" si="309">$R31</f>
        <v>EDSC3007</v>
      </c>
      <c r="OE31" s="116" t="s">
        <v>149</v>
      </c>
      <c r="OF31" s="115"/>
      <c r="OG31" s="116" t="s">
        <v>148</v>
      </c>
      <c r="OH31" s="300" t="str">
        <f t="shared" ref="OH31:OH32" si="310">$R31</f>
        <v>EDSC3007</v>
      </c>
      <c r="OI31" s="116" t="s">
        <v>149</v>
      </c>
      <c r="OJ31" s="115"/>
      <c r="OK31" s="116" t="s">
        <v>148</v>
      </c>
      <c r="OL31" s="300" t="str">
        <f t="shared" ref="OL31:OL32" si="311">$R31</f>
        <v>EDSC3007</v>
      </c>
      <c r="OM31" s="116" t="s">
        <v>149</v>
      </c>
      <c r="ON31" s="115"/>
      <c r="OO31" s="116" t="s">
        <v>148</v>
      </c>
      <c r="OP31" s="300" t="str">
        <f t="shared" ref="OP31:OP32" si="312">$R31</f>
        <v>EDSC3007</v>
      </c>
      <c r="OQ31" s="116" t="s">
        <v>149</v>
      </c>
      <c r="OR31" s="115"/>
      <c r="OS31" s="116" t="s">
        <v>148</v>
      </c>
      <c r="OT31" s="300" t="str">
        <f t="shared" ref="OT31:OT32" si="313">$R31</f>
        <v>EDSC3007</v>
      </c>
      <c r="OU31" s="116" t="s">
        <v>149</v>
      </c>
      <c r="OV31" s="115"/>
      <c r="OW31" s="116" t="s">
        <v>148</v>
      </c>
      <c r="OX31" s="300" t="str">
        <f t="shared" ref="OX31:OX32" si="314">$R31</f>
        <v>EDSC3007</v>
      </c>
      <c r="OY31" s="116" t="s">
        <v>149</v>
      </c>
      <c r="OZ31" s="115"/>
      <c r="PA31" s="116" t="s">
        <v>148</v>
      </c>
      <c r="PB31" s="300" t="str">
        <f t="shared" ref="PB31:PB32" si="315">$R31</f>
        <v>EDSC3007</v>
      </c>
      <c r="PC31" s="116" t="s">
        <v>149</v>
      </c>
      <c r="PD31" s="115"/>
      <c r="PE31" s="116" t="s">
        <v>148</v>
      </c>
      <c r="PF31" s="300" t="str">
        <f t="shared" ref="PF31:PF32" si="316">$R31</f>
        <v>EDSC3007</v>
      </c>
      <c r="PG31" s="116" t="s">
        <v>149</v>
      </c>
      <c r="PH31" s="115"/>
      <c r="PI31" s="116" t="s">
        <v>148</v>
      </c>
      <c r="PJ31" s="300" t="str">
        <f t="shared" ref="PJ31:PJ32" si="317">$R31</f>
        <v>EDSC3007</v>
      </c>
      <c r="PK31" s="116" t="s">
        <v>149</v>
      </c>
      <c r="PL31" s="115"/>
      <c r="PM31" s="116" t="s">
        <v>148</v>
      </c>
      <c r="PN31" s="300" t="str">
        <f t="shared" ref="PN31:PN32" si="318">$R31</f>
        <v>EDSC3007</v>
      </c>
      <c r="PO31" s="116" t="s">
        <v>149</v>
      </c>
      <c r="PP31" s="115"/>
      <c r="PQ31" s="116" t="s">
        <v>148</v>
      </c>
      <c r="PR31" s="300" t="str">
        <f t="shared" ref="PR31:PR32" si="319">$R31</f>
        <v>EDSC3007</v>
      </c>
      <c r="PS31" s="116" t="s">
        <v>149</v>
      </c>
      <c r="PT31" s="115"/>
      <c r="PU31" s="116" t="s">
        <v>148</v>
      </c>
      <c r="PV31" s="300" t="str">
        <f t="shared" ref="PV31:PV32" si="320">$R31</f>
        <v>EDSC3007</v>
      </c>
      <c r="PW31" s="116" t="s">
        <v>149</v>
      </c>
      <c r="PX31" s="115"/>
      <c r="PY31" s="116" t="s">
        <v>148</v>
      </c>
      <c r="PZ31" s="300" t="str">
        <f t="shared" ref="PZ31:PZ32" si="321">$R31</f>
        <v>EDSC3007</v>
      </c>
      <c r="QA31" s="116" t="s">
        <v>149</v>
      </c>
      <c r="QB31" s="115"/>
      <c r="QC31" s="116" t="s">
        <v>148</v>
      </c>
      <c r="QD31" s="300" t="str">
        <f t="shared" ref="QD31:QD32" si="322">$R31</f>
        <v>EDSC3007</v>
      </c>
      <c r="QE31" s="116" t="s">
        <v>149</v>
      </c>
      <c r="QF31" s="115"/>
      <c r="QG31" s="116" t="s">
        <v>148</v>
      </c>
      <c r="QH31" s="300" t="str">
        <f t="shared" ref="QH31:QH32" si="323">$R31</f>
        <v>EDSC3007</v>
      </c>
      <c r="QI31" s="116" t="s">
        <v>149</v>
      </c>
      <c r="QJ31" s="115"/>
    </row>
    <row r="32" spans="1:452" x14ac:dyDescent="0.25">
      <c r="A32" s="353" t="s">
        <v>406</v>
      </c>
      <c r="B32" s="7" t="s">
        <v>364</v>
      </c>
      <c r="C32" s="268" t="s">
        <v>404</v>
      </c>
      <c r="D32" s="269">
        <v>45658</v>
      </c>
      <c r="E32" s="268">
        <v>4</v>
      </c>
      <c r="F32" s="269">
        <v>45658</v>
      </c>
      <c r="G32" s="7" t="s">
        <v>398</v>
      </c>
      <c r="J32" s="141"/>
      <c r="K32" s="146" t="str">
        <f>INDEX(TableStreams[Choose your Specialisation Stream second (drop-down list)],MATCH(L32,TableStreams[UDC],0))</f>
        <v>Mathematics Education Minor Teaching Area Stream (BEd Secondary)</v>
      </c>
      <c r="L32" s="141" t="s">
        <v>356</v>
      </c>
      <c r="O32" s="19"/>
      <c r="P32" s="19">
        <v>30</v>
      </c>
      <c r="Q32" s="117" t="s">
        <v>148</v>
      </c>
      <c r="R32" s="104" t="s">
        <v>153</v>
      </c>
      <c r="S32" s="117" t="s">
        <v>149</v>
      </c>
      <c r="T32" s="104"/>
      <c r="U32" s="117" t="s">
        <v>148</v>
      </c>
      <c r="V32" s="298" t="str">
        <f t="shared" si="216"/>
        <v>EDUC4049</v>
      </c>
      <c r="W32" s="117" t="s">
        <v>149</v>
      </c>
      <c r="X32" s="104"/>
      <c r="Y32" s="117" t="s">
        <v>148</v>
      </c>
      <c r="Z32" s="298" t="str">
        <f t="shared" si="217"/>
        <v>EDUC4049</v>
      </c>
      <c r="AA32" s="117" t="s">
        <v>149</v>
      </c>
      <c r="AB32" s="104"/>
      <c r="AC32" s="117" t="s">
        <v>148</v>
      </c>
      <c r="AD32" s="298" t="str">
        <f t="shared" si="218"/>
        <v>EDUC4049</v>
      </c>
      <c r="AE32" s="117" t="s">
        <v>149</v>
      </c>
      <c r="AF32" s="104"/>
      <c r="AG32" s="117" t="s">
        <v>148</v>
      </c>
      <c r="AH32" s="298" t="str">
        <f t="shared" si="219"/>
        <v>EDUC4049</v>
      </c>
      <c r="AI32" s="117" t="s">
        <v>149</v>
      </c>
      <c r="AJ32" s="104"/>
      <c r="AK32" s="117" t="s">
        <v>148</v>
      </c>
      <c r="AL32" s="298" t="str">
        <f t="shared" si="220"/>
        <v>EDUC4049</v>
      </c>
      <c r="AM32" s="117" t="s">
        <v>149</v>
      </c>
      <c r="AN32" s="104"/>
      <c r="AO32" s="117" t="s">
        <v>148</v>
      </c>
      <c r="AP32" s="298" t="str">
        <f t="shared" si="221"/>
        <v>EDUC4049</v>
      </c>
      <c r="AQ32" s="117" t="s">
        <v>149</v>
      </c>
      <c r="AR32" s="104"/>
      <c r="AS32" s="117" t="s">
        <v>148</v>
      </c>
      <c r="AT32" s="298" t="str">
        <f t="shared" si="222"/>
        <v>EDUC4049</v>
      </c>
      <c r="AU32" s="117" t="s">
        <v>149</v>
      </c>
      <c r="AV32" s="104"/>
      <c r="AW32" s="117" t="s">
        <v>148</v>
      </c>
      <c r="AX32" s="298" t="str">
        <f t="shared" si="223"/>
        <v>EDUC4049</v>
      </c>
      <c r="AY32" s="117" t="s">
        <v>149</v>
      </c>
      <c r="AZ32" s="104"/>
      <c r="BA32" s="117" t="s">
        <v>148</v>
      </c>
      <c r="BB32" s="298" t="str">
        <f t="shared" si="224"/>
        <v>EDUC4049</v>
      </c>
      <c r="BC32" s="117" t="s">
        <v>149</v>
      </c>
      <c r="BD32" s="104"/>
      <c r="BE32" s="117" t="s">
        <v>148</v>
      </c>
      <c r="BF32" s="298" t="str">
        <f t="shared" si="225"/>
        <v>EDUC4049</v>
      </c>
      <c r="BG32" s="117" t="s">
        <v>149</v>
      </c>
      <c r="BH32" s="104"/>
      <c r="BI32" s="117" t="s">
        <v>148</v>
      </c>
      <c r="BJ32" s="298" t="str">
        <f t="shared" si="226"/>
        <v>EDUC4049</v>
      </c>
      <c r="BK32" s="117" t="s">
        <v>149</v>
      </c>
      <c r="BL32" s="104"/>
      <c r="BM32" s="117" t="s">
        <v>148</v>
      </c>
      <c r="BN32" s="298" t="str">
        <f t="shared" si="227"/>
        <v>EDUC4049</v>
      </c>
      <c r="BO32" s="117" t="s">
        <v>149</v>
      </c>
      <c r="BP32" s="104"/>
      <c r="BQ32" s="117" t="s">
        <v>148</v>
      </c>
      <c r="BR32" s="298" t="str">
        <f t="shared" si="228"/>
        <v>EDUC4049</v>
      </c>
      <c r="BS32" s="117" t="s">
        <v>149</v>
      </c>
      <c r="BT32" s="104"/>
      <c r="BU32" s="117" t="s">
        <v>148</v>
      </c>
      <c r="BV32" s="298" t="str">
        <f t="shared" si="229"/>
        <v>EDUC4049</v>
      </c>
      <c r="BW32" s="117" t="s">
        <v>149</v>
      </c>
      <c r="BX32" s="104"/>
      <c r="BY32" s="117" t="s">
        <v>148</v>
      </c>
      <c r="BZ32" s="298" t="str">
        <f t="shared" si="230"/>
        <v>EDUC4049</v>
      </c>
      <c r="CA32" s="117" t="s">
        <v>149</v>
      </c>
      <c r="CB32" s="104"/>
      <c r="CC32" s="117" t="s">
        <v>148</v>
      </c>
      <c r="CD32" s="298" t="str">
        <f t="shared" si="231"/>
        <v>EDUC4049</v>
      </c>
      <c r="CE32" s="117" t="s">
        <v>149</v>
      </c>
      <c r="CF32" s="104"/>
      <c r="CG32" s="117" t="s">
        <v>148</v>
      </c>
      <c r="CH32" s="298" t="str">
        <f t="shared" si="232"/>
        <v>EDUC4049</v>
      </c>
      <c r="CI32" s="117" t="s">
        <v>149</v>
      </c>
      <c r="CJ32" s="104"/>
      <c r="CK32" s="117" t="s">
        <v>148</v>
      </c>
      <c r="CL32" s="298" t="str">
        <f t="shared" si="233"/>
        <v>EDUC4049</v>
      </c>
      <c r="CM32" s="117" t="s">
        <v>149</v>
      </c>
      <c r="CN32" s="104"/>
      <c r="CO32" s="117" t="s">
        <v>148</v>
      </c>
      <c r="CP32" s="298" t="str">
        <f t="shared" si="234"/>
        <v>EDUC4049</v>
      </c>
      <c r="CQ32" s="117" t="s">
        <v>149</v>
      </c>
      <c r="CR32" s="104"/>
      <c r="CS32" s="117" t="s">
        <v>148</v>
      </c>
      <c r="CT32" s="298" t="str">
        <f t="shared" si="235"/>
        <v>EDUC4049</v>
      </c>
      <c r="CU32" s="117" t="s">
        <v>149</v>
      </c>
      <c r="CV32" s="104"/>
      <c r="CW32" s="117" t="s">
        <v>148</v>
      </c>
      <c r="CX32" s="298" t="str">
        <f t="shared" si="236"/>
        <v>EDUC4049</v>
      </c>
      <c r="CY32" s="117" t="s">
        <v>149</v>
      </c>
      <c r="CZ32" s="104"/>
      <c r="DA32" s="117" t="s">
        <v>148</v>
      </c>
      <c r="DB32" s="298" t="str">
        <f t="shared" si="237"/>
        <v>EDUC4049</v>
      </c>
      <c r="DC32" s="117" t="s">
        <v>149</v>
      </c>
      <c r="DD32" s="104"/>
      <c r="DE32" s="117" t="s">
        <v>148</v>
      </c>
      <c r="DF32" s="298" t="str">
        <f t="shared" si="238"/>
        <v>EDUC4049</v>
      </c>
      <c r="DG32" s="117" t="s">
        <v>149</v>
      </c>
      <c r="DH32" s="104"/>
      <c r="DI32" s="117" t="s">
        <v>148</v>
      </c>
      <c r="DJ32" s="298" t="str">
        <f t="shared" si="239"/>
        <v>EDUC4049</v>
      </c>
      <c r="DK32" s="117" t="s">
        <v>149</v>
      </c>
      <c r="DL32" s="104"/>
      <c r="DM32" s="117" t="s">
        <v>148</v>
      </c>
      <c r="DN32" s="298" t="str">
        <f t="shared" si="240"/>
        <v>EDUC4049</v>
      </c>
      <c r="DO32" s="117" t="s">
        <v>149</v>
      </c>
      <c r="DP32" s="104"/>
      <c r="DQ32" s="117" t="s">
        <v>148</v>
      </c>
      <c r="DR32" s="298" t="str">
        <f t="shared" si="241"/>
        <v>EDUC4049</v>
      </c>
      <c r="DS32" s="117" t="s">
        <v>149</v>
      </c>
      <c r="DT32" s="104"/>
      <c r="DU32" s="117" t="s">
        <v>148</v>
      </c>
      <c r="DV32" s="298" t="str">
        <f t="shared" si="242"/>
        <v>EDUC4049</v>
      </c>
      <c r="DW32" s="117" t="s">
        <v>149</v>
      </c>
      <c r="DX32" s="104"/>
      <c r="DY32" s="117" t="s">
        <v>148</v>
      </c>
      <c r="DZ32" s="298" t="str">
        <f t="shared" si="243"/>
        <v>EDUC4049</v>
      </c>
      <c r="EA32" s="117" t="s">
        <v>149</v>
      </c>
      <c r="EB32" s="104"/>
      <c r="EC32" s="117" t="s">
        <v>148</v>
      </c>
      <c r="ED32" s="298" t="str">
        <f t="shared" si="244"/>
        <v>EDUC4049</v>
      </c>
      <c r="EE32" s="117" t="s">
        <v>149</v>
      </c>
      <c r="EF32" s="104"/>
      <c r="EG32" s="117" t="s">
        <v>148</v>
      </c>
      <c r="EH32" s="298" t="str">
        <f t="shared" si="245"/>
        <v>EDUC4049</v>
      </c>
      <c r="EI32" s="117" t="s">
        <v>149</v>
      </c>
      <c r="EJ32" s="104"/>
      <c r="EK32" s="117" t="s">
        <v>148</v>
      </c>
      <c r="EL32" s="298" t="str">
        <f t="shared" si="246"/>
        <v>EDUC4049</v>
      </c>
      <c r="EM32" s="117" t="s">
        <v>149</v>
      </c>
      <c r="EN32" s="104"/>
      <c r="EO32" s="117" t="s">
        <v>148</v>
      </c>
      <c r="EP32" s="298" t="str">
        <f t="shared" si="247"/>
        <v>EDUC4049</v>
      </c>
      <c r="EQ32" s="117" t="s">
        <v>149</v>
      </c>
      <c r="ER32" s="104"/>
      <c r="ES32" s="117" t="s">
        <v>148</v>
      </c>
      <c r="ET32" s="298" t="str">
        <f t="shared" si="248"/>
        <v>EDUC4049</v>
      </c>
      <c r="EU32" s="117" t="s">
        <v>149</v>
      </c>
      <c r="EV32" s="104"/>
      <c r="EW32" s="117" t="s">
        <v>148</v>
      </c>
      <c r="EX32" s="298" t="str">
        <f t="shared" si="249"/>
        <v>EDUC4049</v>
      </c>
      <c r="EY32" s="117" t="s">
        <v>149</v>
      </c>
      <c r="EZ32" s="104"/>
      <c r="FA32" s="117" t="s">
        <v>148</v>
      </c>
      <c r="FB32" s="298" t="str">
        <f t="shared" si="250"/>
        <v>EDUC4049</v>
      </c>
      <c r="FC32" s="117" t="s">
        <v>149</v>
      </c>
      <c r="FD32" s="104"/>
      <c r="FE32" s="117" t="s">
        <v>148</v>
      </c>
      <c r="FF32" s="298" t="str">
        <f t="shared" si="251"/>
        <v>EDUC4049</v>
      </c>
      <c r="FG32" s="117" t="s">
        <v>149</v>
      </c>
      <c r="FH32" s="104"/>
      <c r="FI32" s="117" t="s">
        <v>148</v>
      </c>
      <c r="FJ32" s="298" t="str">
        <f t="shared" si="252"/>
        <v>EDUC4049</v>
      </c>
      <c r="FK32" s="117" t="s">
        <v>149</v>
      </c>
      <c r="FL32" s="104"/>
      <c r="FM32" s="117" t="s">
        <v>148</v>
      </c>
      <c r="FN32" s="298" t="str">
        <f t="shared" si="253"/>
        <v>EDUC4049</v>
      </c>
      <c r="FO32" s="117" t="s">
        <v>149</v>
      </c>
      <c r="FP32" s="104"/>
      <c r="FQ32" s="117" t="s">
        <v>148</v>
      </c>
      <c r="FR32" s="298" t="str">
        <f t="shared" si="254"/>
        <v>EDUC4049</v>
      </c>
      <c r="FS32" s="117" t="s">
        <v>149</v>
      </c>
      <c r="FT32" s="104"/>
      <c r="FU32" s="117" t="s">
        <v>148</v>
      </c>
      <c r="FV32" s="298" t="str">
        <f t="shared" si="255"/>
        <v>EDUC4049</v>
      </c>
      <c r="FW32" s="117" t="s">
        <v>149</v>
      </c>
      <c r="FX32" s="104"/>
      <c r="FY32" s="117" t="s">
        <v>148</v>
      </c>
      <c r="FZ32" s="298" t="str">
        <f t="shared" si="256"/>
        <v>EDUC4049</v>
      </c>
      <c r="GA32" s="117" t="s">
        <v>149</v>
      </c>
      <c r="GB32" s="104"/>
      <c r="GC32" s="117" t="s">
        <v>148</v>
      </c>
      <c r="GD32" s="298" t="str">
        <f t="shared" si="257"/>
        <v>EDUC4049</v>
      </c>
      <c r="GE32" s="117" t="s">
        <v>149</v>
      </c>
      <c r="GF32" s="104"/>
      <c r="GG32" s="117" t="s">
        <v>148</v>
      </c>
      <c r="GH32" s="298" t="str">
        <f t="shared" si="258"/>
        <v>EDUC4049</v>
      </c>
      <c r="GI32" s="117" t="s">
        <v>149</v>
      </c>
      <c r="GJ32" s="104"/>
      <c r="GK32" s="117" t="s">
        <v>148</v>
      </c>
      <c r="GL32" s="298" t="str">
        <f t="shared" si="259"/>
        <v>EDUC4049</v>
      </c>
      <c r="GM32" s="117" t="s">
        <v>149</v>
      </c>
      <c r="GN32" s="104"/>
      <c r="GO32" s="117" t="s">
        <v>148</v>
      </c>
      <c r="GP32" s="298" t="str">
        <f t="shared" si="260"/>
        <v>EDUC4049</v>
      </c>
      <c r="GQ32" s="117" t="s">
        <v>149</v>
      </c>
      <c r="GR32" s="104"/>
      <c r="GS32" s="117" t="s">
        <v>148</v>
      </c>
      <c r="GT32" s="298" t="str">
        <f t="shared" si="261"/>
        <v>EDUC4049</v>
      </c>
      <c r="GU32" s="117" t="s">
        <v>149</v>
      </c>
      <c r="GV32" s="104"/>
      <c r="GW32" s="117" t="s">
        <v>148</v>
      </c>
      <c r="GX32" s="298" t="str">
        <f t="shared" si="262"/>
        <v>EDUC4049</v>
      </c>
      <c r="GY32" s="117" t="s">
        <v>149</v>
      </c>
      <c r="GZ32" s="104"/>
      <c r="HA32" s="117" t="s">
        <v>148</v>
      </c>
      <c r="HB32" s="298" t="str">
        <f t="shared" si="263"/>
        <v>EDUC4049</v>
      </c>
      <c r="HC32" s="117" t="s">
        <v>149</v>
      </c>
      <c r="HD32" s="104"/>
      <c r="HE32" s="117" t="s">
        <v>148</v>
      </c>
      <c r="HF32" s="298" t="str">
        <f t="shared" si="264"/>
        <v>EDUC4049</v>
      </c>
      <c r="HG32" s="117" t="s">
        <v>149</v>
      </c>
      <c r="HH32" s="104"/>
      <c r="HI32" s="117" t="s">
        <v>148</v>
      </c>
      <c r="HJ32" s="298" t="str">
        <f t="shared" si="265"/>
        <v>EDUC4049</v>
      </c>
      <c r="HK32" s="117" t="s">
        <v>149</v>
      </c>
      <c r="HL32" s="104"/>
      <c r="HM32" s="117" t="s">
        <v>148</v>
      </c>
      <c r="HN32" s="298" t="str">
        <f t="shared" si="266"/>
        <v>EDUC4049</v>
      </c>
      <c r="HO32" s="117" t="s">
        <v>149</v>
      </c>
      <c r="HP32" s="104"/>
      <c r="HQ32" s="117" t="s">
        <v>148</v>
      </c>
      <c r="HR32" s="298" t="str">
        <f t="shared" si="267"/>
        <v>EDUC4049</v>
      </c>
      <c r="HS32" s="117" t="s">
        <v>149</v>
      </c>
      <c r="HT32" s="104"/>
      <c r="HU32" s="117" t="s">
        <v>148</v>
      </c>
      <c r="HV32" s="298" t="str">
        <f t="shared" si="268"/>
        <v>EDUC4049</v>
      </c>
      <c r="HW32" s="117" t="s">
        <v>149</v>
      </c>
      <c r="HX32" s="104"/>
      <c r="HY32" s="117" t="s">
        <v>148</v>
      </c>
      <c r="HZ32" s="298" t="str">
        <f t="shared" si="269"/>
        <v>EDUC4049</v>
      </c>
      <c r="IA32" s="117" t="s">
        <v>149</v>
      </c>
      <c r="IB32" s="104"/>
      <c r="IC32" s="117" t="s">
        <v>148</v>
      </c>
      <c r="ID32" s="298" t="str">
        <f t="shared" si="270"/>
        <v>EDUC4049</v>
      </c>
      <c r="IE32" s="117" t="s">
        <v>149</v>
      </c>
      <c r="IF32" s="104"/>
      <c r="IG32" s="117" t="s">
        <v>148</v>
      </c>
      <c r="IH32" s="298" t="str">
        <f t="shared" si="271"/>
        <v>EDUC4049</v>
      </c>
      <c r="II32" s="117" t="s">
        <v>149</v>
      </c>
      <c r="IJ32" s="104"/>
      <c r="IK32" s="117" t="s">
        <v>148</v>
      </c>
      <c r="IL32" s="298" t="str">
        <f t="shared" si="272"/>
        <v>EDUC4049</v>
      </c>
      <c r="IM32" s="117" t="s">
        <v>149</v>
      </c>
      <c r="IN32" s="104"/>
      <c r="IO32" s="117" t="s">
        <v>148</v>
      </c>
      <c r="IP32" s="298" t="str">
        <f t="shared" si="273"/>
        <v>EDUC4049</v>
      </c>
      <c r="IQ32" s="117" t="s">
        <v>149</v>
      </c>
      <c r="IR32" s="104"/>
      <c r="IS32" s="117" t="s">
        <v>148</v>
      </c>
      <c r="IT32" s="298" t="str">
        <f t="shared" si="274"/>
        <v>EDUC4049</v>
      </c>
      <c r="IU32" s="117" t="s">
        <v>149</v>
      </c>
      <c r="IV32" s="104"/>
      <c r="IW32" s="117" t="s">
        <v>148</v>
      </c>
      <c r="IX32" s="298" t="str">
        <f t="shared" si="275"/>
        <v>EDUC4049</v>
      </c>
      <c r="IY32" s="117" t="s">
        <v>149</v>
      </c>
      <c r="IZ32" s="104"/>
      <c r="JA32" s="117" t="s">
        <v>148</v>
      </c>
      <c r="JB32" s="298" t="str">
        <f t="shared" si="276"/>
        <v>EDUC4049</v>
      </c>
      <c r="JC32" s="117" t="s">
        <v>149</v>
      </c>
      <c r="JD32" s="104"/>
      <c r="JE32" s="117" t="s">
        <v>148</v>
      </c>
      <c r="JF32" s="298" t="str">
        <f t="shared" si="277"/>
        <v>EDUC4049</v>
      </c>
      <c r="JG32" s="117" t="s">
        <v>149</v>
      </c>
      <c r="JH32" s="104"/>
      <c r="JI32" s="117" t="s">
        <v>148</v>
      </c>
      <c r="JJ32" s="298" t="str">
        <f t="shared" si="278"/>
        <v>EDUC4049</v>
      </c>
      <c r="JK32" s="117" t="s">
        <v>149</v>
      </c>
      <c r="JL32" s="104"/>
      <c r="JM32" s="117" t="s">
        <v>148</v>
      </c>
      <c r="JN32" s="298" t="str">
        <f t="shared" si="279"/>
        <v>EDUC4049</v>
      </c>
      <c r="JO32" s="117" t="s">
        <v>149</v>
      </c>
      <c r="JP32" s="104"/>
      <c r="JQ32" s="117" t="s">
        <v>148</v>
      </c>
      <c r="JR32" s="298" t="str">
        <f t="shared" si="280"/>
        <v>EDUC4049</v>
      </c>
      <c r="JS32" s="117" t="s">
        <v>149</v>
      </c>
      <c r="JT32" s="104"/>
      <c r="JU32" s="117" t="s">
        <v>148</v>
      </c>
      <c r="JV32" s="298" t="str">
        <f t="shared" si="281"/>
        <v>EDUC4049</v>
      </c>
      <c r="JW32" s="117" t="s">
        <v>149</v>
      </c>
      <c r="JX32" s="104"/>
      <c r="JY32" s="117" t="s">
        <v>148</v>
      </c>
      <c r="JZ32" s="298" t="str">
        <f t="shared" si="282"/>
        <v>EDUC4049</v>
      </c>
      <c r="KA32" s="117" t="s">
        <v>149</v>
      </c>
      <c r="KB32" s="104"/>
      <c r="KC32" s="117" t="s">
        <v>148</v>
      </c>
      <c r="KD32" s="298" t="str">
        <f t="shared" si="283"/>
        <v>EDUC4049</v>
      </c>
      <c r="KE32" s="117" t="s">
        <v>149</v>
      </c>
      <c r="KF32" s="104"/>
      <c r="KG32" s="117" t="s">
        <v>148</v>
      </c>
      <c r="KH32" s="298" t="str">
        <f t="shared" si="284"/>
        <v>EDUC4049</v>
      </c>
      <c r="KI32" s="117" t="s">
        <v>149</v>
      </c>
      <c r="KJ32" s="104"/>
      <c r="KK32" s="117" t="s">
        <v>148</v>
      </c>
      <c r="KL32" s="298" t="str">
        <f t="shared" si="285"/>
        <v>EDUC4049</v>
      </c>
      <c r="KM32" s="117" t="s">
        <v>149</v>
      </c>
      <c r="KN32" s="104"/>
      <c r="KO32" s="117" t="s">
        <v>148</v>
      </c>
      <c r="KP32" s="298" t="str">
        <f t="shared" si="286"/>
        <v>EDUC4049</v>
      </c>
      <c r="KQ32" s="117" t="s">
        <v>149</v>
      </c>
      <c r="KR32" s="104"/>
      <c r="KS32" s="117" t="s">
        <v>148</v>
      </c>
      <c r="KT32" s="298" t="str">
        <f t="shared" si="287"/>
        <v>EDUC4049</v>
      </c>
      <c r="KU32" s="117" t="s">
        <v>149</v>
      </c>
      <c r="KV32" s="104"/>
      <c r="KW32" s="117" t="s">
        <v>148</v>
      </c>
      <c r="KX32" s="298" t="str">
        <f t="shared" si="288"/>
        <v>EDUC4049</v>
      </c>
      <c r="KY32" s="117" t="s">
        <v>149</v>
      </c>
      <c r="KZ32" s="104"/>
      <c r="LA32" s="117" t="s">
        <v>148</v>
      </c>
      <c r="LB32" s="298" t="str">
        <f t="shared" si="289"/>
        <v>EDUC4049</v>
      </c>
      <c r="LC32" s="117" t="s">
        <v>149</v>
      </c>
      <c r="LD32" s="104"/>
      <c r="LE32" s="117" t="s">
        <v>148</v>
      </c>
      <c r="LF32" s="298" t="str">
        <f t="shared" si="290"/>
        <v>EDUC4049</v>
      </c>
      <c r="LG32" s="117" t="s">
        <v>149</v>
      </c>
      <c r="LH32" s="104"/>
      <c r="LI32" s="117" t="s">
        <v>148</v>
      </c>
      <c r="LJ32" s="298" t="str">
        <f t="shared" si="291"/>
        <v>EDUC4049</v>
      </c>
      <c r="LK32" s="117" t="s">
        <v>149</v>
      </c>
      <c r="LL32" s="104"/>
      <c r="LM32" s="117" t="s">
        <v>148</v>
      </c>
      <c r="LN32" s="298" t="str">
        <f t="shared" si="292"/>
        <v>EDUC4049</v>
      </c>
      <c r="LO32" s="117" t="s">
        <v>149</v>
      </c>
      <c r="LP32" s="104"/>
      <c r="LQ32" s="117" t="s">
        <v>148</v>
      </c>
      <c r="LR32" s="298" t="str">
        <f t="shared" si="293"/>
        <v>EDUC4049</v>
      </c>
      <c r="LS32" s="117" t="s">
        <v>149</v>
      </c>
      <c r="LT32" s="104"/>
      <c r="LU32" s="117" t="s">
        <v>148</v>
      </c>
      <c r="LV32" s="298" t="str">
        <f t="shared" si="294"/>
        <v>EDUC4049</v>
      </c>
      <c r="LW32" s="117" t="s">
        <v>149</v>
      </c>
      <c r="LX32" s="104"/>
      <c r="LY32" s="117" t="s">
        <v>148</v>
      </c>
      <c r="LZ32" s="298" t="str">
        <f t="shared" si="295"/>
        <v>EDUC4049</v>
      </c>
      <c r="MA32" s="117" t="s">
        <v>149</v>
      </c>
      <c r="MB32" s="104"/>
      <c r="MC32" s="117" t="s">
        <v>148</v>
      </c>
      <c r="MD32" s="298" t="str">
        <f t="shared" si="296"/>
        <v>EDUC4049</v>
      </c>
      <c r="ME32" s="117" t="s">
        <v>149</v>
      </c>
      <c r="MF32" s="104"/>
      <c r="MG32" s="117" t="s">
        <v>148</v>
      </c>
      <c r="MH32" s="298" t="str">
        <f t="shared" si="297"/>
        <v>EDUC4049</v>
      </c>
      <c r="MI32" s="117" t="s">
        <v>149</v>
      </c>
      <c r="MJ32" s="104"/>
      <c r="MK32" s="117" t="s">
        <v>148</v>
      </c>
      <c r="ML32" s="298" t="str">
        <f t="shared" si="298"/>
        <v>EDUC4049</v>
      </c>
      <c r="MM32" s="117" t="s">
        <v>149</v>
      </c>
      <c r="MN32" s="104"/>
      <c r="MO32" s="117" t="s">
        <v>148</v>
      </c>
      <c r="MP32" s="298" t="str">
        <f t="shared" si="299"/>
        <v>EDUC4049</v>
      </c>
      <c r="MQ32" s="117" t="s">
        <v>149</v>
      </c>
      <c r="MR32" s="104"/>
      <c r="MS32" s="117" t="s">
        <v>148</v>
      </c>
      <c r="MT32" s="298" t="str">
        <f t="shared" si="300"/>
        <v>EDUC4049</v>
      </c>
      <c r="MU32" s="117" t="s">
        <v>149</v>
      </c>
      <c r="MV32" s="104"/>
      <c r="MW32" s="117" t="s">
        <v>148</v>
      </c>
      <c r="MX32" s="298" t="str">
        <f t="shared" si="301"/>
        <v>EDUC4049</v>
      </c>
      <c r="MY32" s="117" t="s">
        <v>149</v>
      </c>
      <c r="MZ32" s="104"/>
      <c r="NA32" s="117" t="s">
        <v>148</v>
      </c>
      <c r="NB32" s="298" t="str">
        <f t="shared" si="302"/>
        <v>EDUC4049</v>
      </c>
      <c r="NC32" s="117" t="s">
        <v>149</v>
      </c>
      <c r="ND32" s="104"/>
      <c r="NE32" s="117" t="s">
        <v>148</v>
      </c>
      <c r="NF32" s="298" t="str">
        <f t="shared" si="303"/>
        <v>EDUC4049</v>
      </c>
      <c r="NG32" s="117" t="s">
        <v>149</v>
      </c>
      <c r="NH32" s="104"/>
      <c r="NI32" s="117" t="s">
        <v>148</v>
      </c>
      <c r="NJ32" s="298" t="str">
        <f t="shared" si="304"/>
        <v>EDUC4049</v>
      </c>
      <c r="NK32" s="117" t="s">
        <v>149</v>
      </c>
      <c r="NL32" s="104"/>
      <c r="NM32" s="117" t="s">
        <v>148</v>
      </c>
      <c r="NN32" s="298" t="str">
        <f t="shared" si="305"/>
        <v>EDUC4049</v>
      </c>
      <c r="NO32" s="117" t="s">
        <v>149</v>
      </c>
      <c r="NP32" s="104"/>
      <c r="NQ32" s="117" t="s">
        <v>148</v>
      </c>
      <c r="NR32" s="298" t="str">
        <f t="shared" si="306"/>
        <v>EDUC4049</v>
      </c>
      <c r="NS32" s="117" t="s">
        <v>149</v>
      </c>
      <c r="NT32" s="104"/>
      <c r="NU32" s="117" t="s">
        <v>148</v>
      </c>
      <c r="NV32" s="298" t="str">
        <f t="shared" si="307"/>
        <v>EDUC4049</v>
      </c>
      <c r="NW32" s="117" t="s">
        <v>149</v>
      </c>
      <c r="NX32" s="104"/>
      <c r="NY32" s="117" t="s">
        <v>148</v>
      </c>
      <c r="NZ32" s="298" t="str">
        <f t="shared" si="308"/>
        <v>EDUC4049</v>
      </c>
      <c r="OA32" s="117" t="s">
        <v>149</v>
      </c>
      <c r="OB32" s="104"/>
      <c r="OC32" s="117" t="s">
        <v>148</v>
      </c>
      <c r="OD32" s="298" t="str">
        <f t="shared" si="309"/>
        <v>EDUC4049</v>
      </c>
      <c r="OE32" s="117" t="s">
        <v>149</v>
      </c>
      <c r="OF32" s="104"/>
      <c r="OG32" s="117" t="s">
        <v>148</v>
      </c>
      <c r="OH32" s="298" t="str">
        <f t="shared" si="310"/>
        <v>EDUC4049</v>
      </c>
      <c r="OI32" s="117" t="s">
        <v>149</v>
      </c>
      <c r="OJ32" s="104"/>
      <c r="OK32" s="117" t="s">
        <v>148</v>
      </c>
      <c r="OL32" s="298" t="str">
        <f t="shared" si="311"/>
        <v>EDUC4049</v>
      </c>
      <c r="OM32" s="117" t="s">
        <v>149</v>
      </c>
      <c r="ON32" s="104"/>
      <c r="OO32" s="117" t="s">
        <v>148</v>
      </c>
      <c r="OP32" s="298" t="str">
        <f t="shared" si="312"/>
        <v>EDUC4049</v>
      </c>
      <c r="OQ32" s="117" t="s">
        <v>149</v>
      </c>
      <c r="OR32" s="104"/>
      <c r="OS32" s="117" t="s">
        <v>148</v>
      </c>
      <c r="OT32" s="298" t="str">
        <f t="shared" si="313"/>
        <v>EDUC4049</v>
      </c>
      <c r="OU32" s="117" t="s">
        <v>149</v>
      </c>
      <c r="OV32" s="104"/>
      <c r="OW32" s="117" t="s">
        <v>148</v>
      </c>
      <c r="OX32" s="298" t="str">
        <f t="shared" si="314"/>
        <v>EDUC4049</v>
      </c>
      <c r="OY32" s="117" t="s">
        <v>149</v>
      </c>
      <c r="OZ32" s="104"/>
      <c r="PA32" s="117" t="s">
        <v>148</v>
      </c>
      <c r="PB32" s="298" t="str">
        <f t="shared" si="315"/>
        <v>EDUC4049</v>
      </c>
      <c r="PC32" s="117" t="s">
        <v>149</v>
      </c>
      <c r="PD32" s="104"/>
      <c r="PE32" s="117" t="s">
        <v>148</v>
      </c>
      <c r="PF32" s="298" t="str">
        <f t="shared" si="316"/>
        <v>EDUC4049</v>
      </c>
      <c r="PG32" s="117" t="s">
        <v>149</v>
      </c>
      <c r="PH32" s="104"/>
      <c r="PI32" s="117" t="s">
        <v>148</v>
      </c>
      <c r="PJ32" s="298" t="str">
        <f t="shared" si="317"/>
        <v>EDUC4049</v>
      </c>
      <c r="PK32" s="117" t="s">
        <v>149</v>
      </c>
      <c r="PL32" s="104"/>
      <c r="PM32" s="117" t="s">
        <v>148</v>
      </c>
      <c r="PN32" s="298" t="str">
        <f t="shared" si="318"/>
        <v>EDUC4049</v>
      </c>
      <c r="PO32" s="117" t="s">
        <v>149</v>
      </c>
      <c r="PP32" s="104"/>
      <c r="PQ32" s="117" t="s">
        <v>148</v>
      </c>
      <c r="PR32" s="298" t="str">
        <f t="shared" si="319"/>
        <v>EDUC4049</v>
      </c>
      <c r="PS32" s="117" t="s">
        <v>149</v>
      </c>
      <c r="PT32" s="104"/>
      <c r="PU32" s="117" t="s">
        <v>148</v>
      </c>
      <c r="PV32" s="298" t="str">
        <f t="shared" si="320"/>
        <v>EDUC4049</v>
      </c>
      <c r="PW32" s="117" t="s">
        <v>149</v>
      </c>
      <c r="PX32" s="104"/>
      <c r="PY32" s="117" t="s">
        <v>148</v>
      </c>
      <c r="PZ32" s="298" t="str">
        <f t="shared" si="321"/>
        <v>EDUC4049</v>
      </c>
      <c r="QA32" s="117" t="s">
        <v>149</v>
      </c>
      <c r="QB32" s="104"/>
      <c r="QC32" s="117" t="s">
        <v>148</v>
      </c>
      <c r="QD32" s="298" t="str">
        <f t="shared" si="322"/>
        <v>EDUC4049</v>
      </c>
      <c r="QE32" s="117" t="s">
        <v>149</v>
      </c>
      <c r="QF32" s="104"/>
      <c r="QG32" s="117" t="s">
        <v>148</v>
      </c>
      <c r="QH32" s="298" t="str">
        <f t="shared" si="323"/>
        <v>EDUC4049</v>
      </c>
      <c r="QI32" s="117" t="s">
        <v>149</v>
      </c>
      <c r="QJ32" s="104"/>
    </row>
    <row r="33" spans="1:452" x14ac:dyDescent="0.25">
      <c r="A33" s="353" t="s">
        <v>407</v>
      </c>
      <c r="B33" s="7" t="s">
        <v>365</v>
      </c>
      <c r="C33" s="268" t="s">
        <v>404</v>
      </c>
      <c r="D33" s="269">
        <v>45658</v>
      </c>
      <c r="E33" s="268">
        <v>4</v>
      </c>
      <c r="F33" s="269">
        <v>45658</v>
      </c>
      <c r="G33" s="7" t="s">
        <v>398</v>
      </c>
      <c r="J33" s="141"/>
      <c r="K33" s="146" t="str">
        <f>INDEX(TableStreams[Choose your Specialisation Stream second (drop-down list)],MATCH(L33,TableStreams[UDC],0))</f>
        <v>Psychology Education Minor Teaching Area Stream (BEd Secondary)</v>
      </c>
      <c r="L33" s="141" t="s">
        <v>357</v>
      </c>
      <c r="O33" s="332">
        <v>9</v>
      </c>
      <c r="P33" s="3">
        <v>31</v>
      </c>
      <c r="Q33" s="117" t="s">
        <v>148</v>
      </c>
      <c r="R33" s="127" t="s">
        <v>383</v>
      </c>
      <c r="S33" s="117" t="s">
        <v>149</v>
      </c>
      <c r="T33" s="104"/>
      <c r="U33" s="117" t="s">
        <v>148</v>
      </c>
      <c r="V33" s="127" t="str">
        <f>HLOOKUP(CONCATENATE(V$4,V$6),RangeMajorsSec,$O33,FALSE)</f>
        <v>PHYS3009</v>
      </c>
      <c r="W33" s="117" t="s">
        <v>149</v>
      </c>
      <c r="X33" s="104"/>
      <c r="Y33" s="117" t="s">
        <v>148</v>
      </c>
      <c r="Z33" s="127" t="str">
        <f>HLOOKUP(CONCATENATE(Z$4,Z$6),RangeMajorsSec,$O33,FALSE)</f>
        <v>THTR3000</v>
      </c>
      <c r="AA33" s="117" t="s">
        <v>149</v>
      </c>
      <c r="AB33" s="104"/>
      <c r="AC33" s="117" t="s">
        <v>148</v>
      </c>
      <c r="AD33" s="127" t="str">
        <f>HLOOKUP(CONCATENATE(AD$4,AD$6),RangeMajorsSec,$O33,FALSE)</f>
        <v>THTR3000</v>
      </c>
      <c r="AE33" s="117" t="s">
        <v>149</v>
      </c>
      <c r="AF33" s="104"/>
      <c r="AG33" s="117" t="s">
        <v>148</v>
      </c>
      <c r="AH33" s="127" t="str">
        <f>HLOOKUP(CONCATENATE(AH$4,AH$6),RangeMajorsSec,$O33,FALSE)</f>
        <v>THTR3000</v>
      </c>
      <c r="AI33" s="117" t="s">
        <v>149</v>
      </c>
      <c r="AJ33" s="104"/>
      <c r="AK33" s="117" t="s">
        <v>148</v>
      </c>
      <c r="AL33" s="127" t="str">
        <f>HLOOKUP(CONCATENATE(AL$4,AL$6),RangeMajorsSec,$O33,FALSE)</f>
        <v>THTR3000</v>
      </c>
      <c r="AM33" s="117" t="s">
        <v>149</v>
      </c>
      <c r="AN33" s="104"/>
      <c r="AO33" s="117" t="s">
        <v>148</v>
      </c>
      <c r="AP33" s="127" t="str">
        <f>HLOOKUP(CONCATENATE(AP$4,AP$6),RangeMajorsSec,$O33,FALSE)</f>
        <v>THTR3000</v>
      </c>
      <c r="AQ33" s="117" t="s">
        <v>149</v>
      </c>
      <c r="AR33" s="104"/>
      <c r="AS33" s="117" t="s">
        <v>148</v>
      </c>
      <c r="AT33" s="127" t="str">
        <f>HLOOKUP(CONCATENATE(AT$4,AT$6),RangeMajorsSec,$O33,FALSE)</f>
        <v>THTR3000</v>
      </c>
      <c r="AU33" s="117" t="s">
        <v>149</v>
      </c>
      <c r="AV33" s="104"/>
      <c r="AW33" s="117" t="s">
        <v>148</v>
      </c>
      <c r="AX33" s="127" t="str">
        <f>HLOOKUP(CONCATENATE(AX$4,AX$6),RangeMajorsSec,$O33,FALSE)</f>
        <v>THTR3000</v>
      </c>
      <c r="AY33" s="117" t="s">
        <v>149</v>
      </c>
      <c r="AZ33" s="104"/>
      <c r="BA33" s="117" t="s">
        <v>148</v>
      </c>
      <c r="BB33" s="127" t="str">
        <f>HLOOKUP(CONCATENATE(BB$4,BB$6),RangeMajorsSec,$O33,FALSE)</f>
        <v>SPRO3004</v>
      </c>
      <c r="BC33" s="117" t="s">
        <v>149</v>
      </c>
      <c r="BD33" s="104"/>
      <c r="BE33" s="117" t="s">
        <v>148</v>
      </c>
      <c r="BF33" s="127" t="str">
        <f>HLOOKUP(CONCATENATE(BF$4,BF$6),RangeMajorsSec,$O33,FALSE)</f>
        <v>SPRO3004</v>
      </c>
      <c r="BG33" s="117" t="s">
        <v>149</v>
      </c>
      <c r="BH33" s="104"/>
      <c r="BI33" s="117" t="s">
        <v>148</v>
      </c>
      <c r="BJ33" s="127" t="str">
        <f>HLOOKUP(CONCATENATE(BJ$4,BJ$6),RangeMajorsSec,$O33,FALSE)</f>
        <v>SPRO3004</v>
      </c>
      <c r="BK33" s="117" t="s">
        <v>149</v>
      </c>
      <c r="BL33" s="104"/>
      <c r="BM33" s="117" t="s">
        <v>148</v>
      </c>
      <c r="BN33" s="127" t="str">
        <f>HLOOKUP(CONCATENATE(BN$4,BN$6),RangeMajorsSec,$O33,FALSE)</f>
        <v>SPRO3004</v>
      </c>
      <c r="BO33" s="117" t="s">
        <v>149</v>
      </c>
      <c r="BP33" s="104"/>
      <c r="BQ33" s="117" t="s">
        <v>148</v>
      </c>
      <c r="BR33" s="127" t="str">
        <f>HLOOKUP(CONCATENATE(BR$4,BR$6),RangeMajorsSec,$O33,FALSE)</f>
        <v>SPRO3004</v>
      </c>
      <c r="BS33" s="117" t="s">
        <v>149</v>
      </c>
      <c r="BT33" s="104"/>
      <c r="BU33" s="117" t="s">
        <v>148</v>
      </c>
      <c r="BV33" s="127" t="str">
        <f>HLOOKUP(CONCATENATE(BV$4,BV$6),RangeMajorsSec,$O33,FALSE)</f>
        <v>SPRO3004</v>
      </c>
      <c r="BW33" s="117" t="s">
        <v>149</v>
      </c>
      <c r="BX33" s="104"/>
      <c r="BY33" s="117" t="s">
        <v>148</v>
      </c>
      <c r="BZ33" s="127" t="str">
        <f>HLOOKUP(CONCATENATE(BZ$4,BZ$6),RangeMajorsSec,$O33,FALSE)</f>
        <v>VISA3006</v>
      </c>
      <c r="CA33" s="117" t="s">
        <v>149</v>
      </c>
      <c r="CB33" s="104"/>
      <c r="CC33" s="117" t="s">
        <v>148</v>
      </c>
      <c r="CD33" s="127" t="str">
        <f>HLOOKUP(CONCATENATE(CD$4,CD$6),RangeMajorsSec,$O33,FALSE)</f>
        <v>VISA3006</v>
      </c>
      <c r="CE33" s="117" t="s">
        <v>149</v>
      </c>
      <c r="CF33" s="104"/>
      <c r="CG33" s="117" t="s">
        <v>148</v>
      </c>
      <c r="CH33" s="127" t="str">
        <f>HLOOKUP(CONCATENATE(CH$4,CH$6),RangeMajorsSec,$O33,FALSE)</f>
        <v>VISA3006</v>
      </c>
      <c r="CI33" s="117" t="s">
        <v>149</v>
      </c>
      <c r="CJ33" s="104"/>
      <c r="CK33" s="117" t="s">
        <v>148</v>
      </c>
      <c r="CL33" s="127" t="str">
        <f>HLOOKUP(CONCATENATE(CL$4,CL$6),RangeMajorsSec,$O33,FALSE)</f>
        <v>VISA3006</v>
      </c>
      <c r="CM33" s="117" t="s">
        <v>149</v>
      </c>
      <c r="CN33" s="104"/>
      <c r="CO33" s="117" t="s">
        <v>148</v>
      </c>
      <c r="CP33" s="127" t="str">
        <f>HLOOKUP(CONCATENATE(CP$4,CP$6),RangeMajorsSec,$O33,FALSE)</f>
        <v>VISA3006</v>
      </c>
      <c r="CQ33" s="117" t="s">
        <v>149</v>
      </c>
      <c r="CR33" s="104"/>
      <c r="CS33" s="117" t="s">
        <v>148</v>
      </c>
      <c r="CT33" s="127" t="str">
        <f>HLOOKUP(CONCATENATE(CT$4,CT$6),RangeMajorsSec,$O33,FALSE)</f>
        <v>VISA3006</v>
      </c>
      <c r="CU33" s="117" t="s">
        <v>149</v>
      </c>
      <c r="CV33" s="104"/>
      <c r="CW33" s="117" t="s">
        <v>148</v>
      </c>
      <c r="CX33" s="127" t="str">
        <f>HLOOKUP(CONCATENATE(CX$4,CX$6),RangeMajorsSec,$O33,FALSE)</f>
        <v>VISA3006</v>
      </c>
      <c r="CY33" s="117" t="s">
        <v>149</v>
      </c>
      <c r="CZ33" s="104"/>
      <c r="DA33" s="117" t="s">
        <v>148</v>
      </c>
      <c r="DB33" s="127" t="str">
        <f>HLOOKUP(CONCATENATE(DB$4,DB$6),RangeMajorsSec,$O33,FALSE)</f>
        <v>LCST3006</v>
      </c>
      <c r="DC33" s="117" t="s">
        <v>149</v>
      </c>
      <c r="DD33" s="104"/>
      <c r="DE33" s="117" t="s">
        <v>148</v>
      </c>
      <c r="DF33" s="127" t="str">
        <f>HLOOKUP(CONCATENATE(DF$4,DF$6),RangeMajorsSec,$O33,FALSE)</f>
        <v>LCST3006</v>
      </c>
      <c r="DG33" s="117" t="s">
        <v>149</v>
      </c>
      <c r="DH33" s="104"/>
      <c r="DI33" s="117" t="s">
        <v>148</v>
      </c>
      <c r="DJ33" s="127" t="str">
        <f>HLOOKUP(CONCATENATE(DJ$4,DJ$6),RangeMajorsSec,$O33,FALSE)</f>
        <v>LCST3006</v>
      </c>
      <c r="DK33" s="117" t="s">
        <v>149</v>
      </c>
      <c r="DL33" s="104"/>
      <c r="DM33" s="117" t="s">
        <v>148</v>
      </c>
      <c r="DN33" s="127" t="str">
        <f>HLOOKUP(CONCATENATE(DN$4,DN$6),RangeMajorsSec,$O33,FALSE)</f>
        <v>LCST3006</v>
      </c>
      <c r="DO33" s="117" t="s">
        <v>149</v>
      </c>
      <c r="DP33" s="104"/>
      <c r="DQ33" s="117" t="s">
        <v>148</v>
      </c>
      <c r="DR33" s="127" t="str">
        <f>HLOOKUP(CONCATENATE(DR$4,DR$6),RangeMajorsSec,$O33,FALSE)</f>
        <v>LCST3006</v>
      </c>
      <c r="DS33" s="117" t="s">
        <v>149</v>
      </c>
      <c r="DT33" s="104"/>
      <c r="DU33" s="117" t="s">
        <v>148</v>
      </c>
      <c r="DV33" s="127" t="str">
        <f>HLOOKUP(CONCATENATE(DV$4,DV$6),RangeMajorsSec,$O33,FALSE)</f>
        <v>LCST3006</v>
      </c>
      <c r="DW33" s="117" t="s">
        <v>149</v>
      </c>
      <c r="DX33" s="104"/>
      <c r="DY33" s="117" t="s">
        <v>148</v>
      </c>
      <c r="DZ33" s="127" t="str">
        <f>HLOOKUP(CONCATENATE(DZ$4,DZ$6),RangeMajorsSec,$O33,FALSE)</f>
        <v>LCST3006</v>
      </c>
      <c r="EA33" s="117" t="s">
        <v>149</v>
      </c>
      <c r="EB33" s="104"/>
      <c r="EC33" s="117" t="s">
        <v>148</v>
      </c>
      <c r="ED33" s="127" t="str">
        <f>HLOOKUP(CONCATENATE(ED$4,ED$6),RangeMajorsSec,$O33,FALSE)</f>
        <v>LCST3006</v>
      </c>
      <c r="EE33" s="117" t="s">
        <v>149</v>
      </c>
      <c r="EF33" s="104"/>
      <c r="EG33" s="117" t="s">
        <v>148</v>
      </c>
      <c r="EH33" s="127" t="str">
        <f>HLOOKUP(CONCATENATE(EH$4,EH$6),RangeMajorsSec,$O33,FALSE)</f>
        <v>LCST3006</v>
      </c>
      <c r="EI33" s="117" t="s">
        <v>149</v>
      </c>
      <c r="EJ33" s="104"/>
      <c r="EK33" s="117" t="s">
        <v>148</v>
      </c>
      <c r="EL33" s="127" t="str">
        <f>HLOOKUP(CONCATENATE(EL$4,EL$6),RangeMajorsSec,$O33,FALSE)</f>
        <v>MGMT3026</v>
      </c>
      <c r="EM33" s="117" t="s">
        <v>149</v>
      </c>
      <c r="EN33" s="104"/>
      <c r="EO33" s="117" t="s">
        <v>148</v>
      </c>
      <c r="EP33" s="127" t="str">
        <f>HLOOKUP(CONCATENATE(EP$4,EP$6),RangeMajorsSec,$O33,FALSE)</f>
        <v>MGMT3026</v>
      </c>
      <c r="EQ33" s="117" t="s">
        <v>149</v>
      </c>
      <c r="ER33" s="104"/>
      <c r="ES33" s="117" t="s">
        <v>148</v>
      </c>
      <c r="ET33" s="127" t="str">
        <f>HLOOKUP(CONCATENATE(ET$4,ET$6),RangeMajorsSec,$O33,FALSE)</f>
        <v>MGMT3026</v>
      </c>
      <c r="EU33" s="117" t="s">
        <v>149</v>
      </c>
      <c r="EV33" s="104"/>
      <c r="EW33" s="117" t="s">
        <v>148</v>
      </c>
      <c r="EX33" s="127" t="str">
        <f>HLOOKUP(CONCATENATE(EX$4,EX$6),RangeMajorsSec,$O33,FALSE)</f>
        <v>MGMT3026</v>
      </c>
      <c r="EY33" s="117" t="s">
        <v>149</v>
      </c>
      <c r="EZ33" s="104"/>
      <c r="FA33" s="117" t="s">
        <v>148</v>
      </c>
      <c r="FB33" s="127" t="str">
        <f>HLOOKUP(CONCATENATE(FB$4,FB$6),RangeMajorsSec,$O33,FALSE)</f>
        <v>MGMT3026</v>
      </c>
      <c r="FC33" s="117" t="s">
        <v>149</v>
      </c>
      <c r="FD33" s="104"/>
      <c r="FE33" s="117" t="s">
        <v>148</v>
      </c>
      <c r="FF33" s="127" t="str">
        <f>HLOOKUP(CONCATENATE(FF$4,FF$6),RangeMajorsSec,$O33,FALSE)</f>
        <v>MGMT3026</v>
      </c>
      <c r="FG33" s="117" t="s">
        <v>149</v>
      </c>
      <c r="FH33" s="104"/>
      <c r="FI33" s="117" t="s">
        <v>148</v>
      </c>
      <c r="FJ33" s="127" t="str">
        <f>HLOOKUP(CONCATENATE(FJ$4,FJ$6),RangeMajorsSec,$O33,FALSE)</f>
        <v>MGMT3026</v>
      </c>
      <c r="FK33" s="117" t="s">
        <v>149</v>
      </c>
      <c r="FL33" s="104"/>
      <c r="FM33" s="117" t="s">
        <v>148</v>
      </c>
      <c r="FN33" s="127" t="str">
        <f>HLOOKUP(CONCATENATE(FN$4,FN$6),RangeMajorsSec,$O33,FALSE)</f>
        <v>MGMT3026</v>
      </c>
      <c r="FO33" s="117" t="s">
        <v>149</v>
      </c>
      <c r="FP33" s="104"/>
      <c r="FQ33" s="117" t="s">
        <v>148</v>
      </c>
      <c r="FR33" s="127" t="str">
        <f>HLOOKUP(CONCATENATE(FR$4,FR$6),RangeMajorsSec,$O33,FALSE)</f>
        <v>AC-HSGE15</v>
      </c>
      <c r="FS33" s="117" t="s">
        <v>149</v>
      </c>
      <c r="FT33" s="104"/>
      <c r="FU33" s="117" t="s">
        <v>148</v>
      </c>
      <c r="FV33" s="127" t="str">
        <f>HLOOKUP(CONCATENATE(FV$4,FV$6),RangeMajorsSec,$O33,FALSE)</f>
        <v>AC-HSGE15</v>
      </c>
      <c r="FW33" s="117" t="s">
        <v>149</v>
      </c>
      <c r="FX33" s="104"/>
      <c r="FY33" s="117" t="s">
        <v>148</v>
      </c>
      <c r="FZ33" s="127" t="str">
        <f>HLOOKUP(CONCATENATE(FZ$4,FZ$6),RangeMajorsSec,$O33,FALSE)</f>
        <v>AC-HSGE15</v>
      </c>
      <c r="GA33" s="117" t="s">
        <v>149</v>
      </c>
      <c r="GB33" s="104"/>
      <c r="GC33" s="117" t="s">
        <v>148</v>
      </c>
      <c r="GD33" s="127" t="str">
        <f>HLOOKUP(CONCATENATE(GD$4,GD$6),RangeMajorsSec,$O33,FALSE)</f>
        <v>AC-HSGE15</v>
      </c>
      <c r="GE33" s="117" t="s">
        <v>149</v>
      </c>
      <c r="GF33" s="104"/>
      <c r="GG33" s="117" t="s">
        <v>148</v>
      </c>
      <c r="GH33" s="127" t="str">
        <f>HLOOKUP(CONCATENATE(GH$4,GH$6),RangeMajorsSec,$O33,FALSE)</f>
        <v>AC-HSGE15</v>
      </c>
      <c r="GI33" s="117" t="s">
        <v>149</v>
      </c>
      <c r="GJ33" s="104"/>
      <c r="GK33" s="117" t="s">
        <v>148</v>
      </c>
      <c r="GL33" s="127" t="str">
        <f>HLOOKUP(CONCATENATE(GL$4,GL$6),RangeMajorsSec,$O33,FALSE)</f>
        <v>AC-HSGE15</v>
      </c>
      <c r="GM33" s="117" t="s">
        <v>149</v>
      </c>
      <c r="GN33" s="104"/>
      <c r="GO33" s="117" t="s">
        <v>148</v>
      </c>
      <c r="GP33" s="127" t="str">
        <f>HLOOKUP(CONCATENATE(GP$4,GP$6),RangeMajorsSec,$O33,FALSE)</f>
        <v>AC-HSGE15</v>
      </c>
      <c r="GQ33" s="117" t="s">
        <v>149</v>
      </c>
      <c r="GR33" s="104"/>
      <c r="GS33" s="117" t="s">
        <v>148</v>
      </c>
      <c r="GT33" s="127" t="str">
        <f>HLOOKUP(CONCATENATE(GT$4,GT$6),RangeMajorsSec,$O33,FALSE)</f>
        <v>AC-HSGE15</v>
      </c>
      <c r="GU33" s="117" t="s">
        <v>149</v>
      </c>
      <c r="GV33" s="104"/>
      <c r="GW33" s="117" t="s">
        <v>148</v>
      </c>
      <c r="GX33" s="127" t="str">
        <f>HLOOKUP(CONCATENATE(GX$4,GX$6),RangeMajorsSec,$O33,FALSE)</f>
        <v>HIST3003</v>
      </c>
      <c r="GY33" s="117" t="s">
        <v>149</v>
      </c>
      <c r="GZ33" s="104"/>
      <c r="HA33" s="117" t="s">
        <v>148</v>
      </c>
      <c r="HB33" s="127" t="str">
        <f>HLOOKUP(CONCATENATE(HB$4,HB$6),RangeMajorsSec,$O33,FALSE)</f>
        <v>HIST3003</v>
      </c>
      <c r="HC33" s="117" t="s">
        <v>149</v>
      </c>
      <c r="HD33" s="104"/>
      <c r="HE33" s="117" t="s">
        <v>148</v>
      </c>
      <c r="HF33" s="127" t="str">
        <f>HLOOKUP(CONCATENATE(HF$4,HF$6),RangeMajorsSec,$O33,FALSE)</f>
        <v>HIST3003</v>
      </c>
      <c r="HG33" s="117" t="s">
        <v>149</v>
      </c>
      <c r="HH33" s="104"/>
      <c r="HI33" s="117" t="s">
        <v>148</v>
      </c>
      <c r="HJ33" s="127" t="str">
        <f>HLOOKUP(CONCATENATE(HJ$4,HJ$6),RangeMajorsSec,$O33,FALSE)</f>
        <v>HIST3003</v>
      </c>
      <c r="HK33" s="117" t="s">
        <v>149</v>
      </c>
      <c r="HL33" s="104"/>
      <c r="HM33" s="117" t="s">
        <v>148</v>
      </c>
      <c r="HN33" s="127" t="str">
        <f>HLOOKUP(CONCATENATE(HN$4,HN$6),RangeMajorsSec,$O33,FALSE)</f>
        <v>HIST3003</v>
      </c>
      <c r="HO33" s="117" t="s">
        <v>149</v>
      </c>
      <c r="HP33" s="104"/>
      <c r="HQ33" s="117" t="s">
        <v>148</v>
      </c>
      <c r="HR33" s="127" t="str">
        <f>HLOOKUP(CONCATENATE(HR$4,HR$6),RangeMajorsSec,$O33,FALSE)</f>
        <v>HIST3003</v>
      </c>
      <c r="HS33" s="117" t="s">
        <v>149</v>
      </c>
      <c r="HT33" s="104"/>
      <c r="HU33" s="117" t="s">
        <v>148</v>
      </c>
      <c r="HV33" s="127" t="str">
        <f>HLOOKUP(CONCATENATE(HV$4,HV$6),RangeMajorsSec,$O33,FALSE)</f>
        <v>HIST3003</v>
      </c>
      <c r="HW33" s="117" t="s">
        <v>149</v>
      </c>
      <c r="HX33" s="104"/>
      <c r="HY33" s="117" t="s">
        <v>148</v>
      </c>
      <c r="HZ33" s="127" t="str">
        <f>HLOOKUP(CONCATENATE(HZ$4,HZ$6),RangeMajorsSec,$O33,FALSE)</f>
        <v>HIST3003</v>
      </c>
      <c r="IA33" s="117" t="s">
        <v>149</v>
      </c>
      <c r="IB33" s="104"/>
      <c r="IC33" s="117" t="s">
        <v>148</v>
      </c>
      <c r="ID33" s="127" t="str">
        <f>HLOOKUP(CONCATENATE(ID$4,ID$6),RangeMajorsSec,$O33,FALSE)</f>
        <v>AC-HSPL14</v>
      </c>
      <c r="IE33" s="117" t="s">
        <v>149</v>
      </c>
      <c r="IF33" s="104"/>
      <c r="IG33" s="117" t="s">
        <v>148</v>
      </c>
      <c r="IH33" s="127" t="str">
        <f>HLOOKUP(CONCATENATE(IH$4,IH$6),RangeMajorsSec,$O33,FALSE)</f>
        <v>AC-HSPL14</v>
      </c>
      <c r="II33" s="117" t="s">
        <v>149</v>
      </c>
      <c r="IJ33" s="104"/>
      <c r="IK33" s="117" t="s">
        <v>148</v>
      </c>
      <c r="IL33" s="127" t="str">
        <f>HLOOKUP(CONCATENATE(IL$4,IL$6),RangeMajorsSec,$O33,FALSE)</f>
        <v>AC-HSPL14</v>
      </c>
      <c r="IM33" s="117" t="s">
        <v>149</v>
      </c>
      <c r="IN33" s="104"/>
      <c r="IO33" s="117" t="s">
        <v>148</v>
      </c>
      <c r="IP33" s="127" t="str">
        <f>HLOOKUP(CONCATENATE(IP$4,IP$6),RangeMajorsSec,$O33,FALSE)</f>
        <v>AC-HSPL14</v>
      </c>
      <c r="IQ33" s="117" t="s">
        <v>149</v>
      </c>
      <c r="IR33" s="104"/>
      <c r="IS33" s="117" t="s">
        <v>148</v>
      </c>
      <c r="IT33" s="127" t="str">
        <f>HLOOKUP(CONCATENATE(IT$4,IT$6),RangeMajorsSec,$O33,FALSE)</f>
        <v>AC-HSPL14</v>
      </c>
      <c r="IU33" s="117" t="s">
        <v>149</v>
      </c>
      <c r="IV33" s="104"/>
      <c r="IW33" s="117" t="s">
        <v>148</v>
      </c>
      <c r="IX33" s="127" t="str">
        <f>HLOOKUP(CONCATENATE(IX$4,IX$6),RangeMajorsSec,$O33,FALSE)</f>
        <v>AC-HSPL14</v>
      </c>
      <c r="IY33" s="117" t="s">
        <v>149</v>
      </c>
      <c r="IZ33" s="104"/>
      <c r="JA33" s="117" t="s">
        <v>148</v>
      </c>
      <c r="JB33" s="127" t="str">
        <f>HLOOKUP(CONCATENATE(JB$4,JB$6),RangeMajorsSec,$O33,FALSE)</f>
        <v>AC-HSPL14</v>
      </c>
      <c r="JC33" s="117" t="s">
        <v>149</v>
      </c>
      <c r="JD33" s="104"/>
      <c r="JE33" s="117" t="s">
        <v>148</v>
      </c>
      <c r="JF33" s="127" t="str">
        <f>HLOOKUP(CONCATENATE(JF$4,JF$6),RangeMajorsSec,$O33,FALSE)</f>
        <v>AC-HSPL14</v>
      </c>
      <c r="JG33" s="117" t="s">
        <v>149</v>
      </c>
      <c r="JH33" s="104"/>
      <c r="JI33" s="117" t="s">
        <v>148</v>
      </c>
      <c r="JJ33" s="127" t="str">
        <f>HLOOKUP(CONCATENATE(JJ$4,JJ$6),RangeMajorsSec,$O33,FALSE)</f>
        <v>AC-HSPL14</v>
      </c>
      <c r="JK33" s="117" t="s">
        <v>149</v>
      </c>
      <c r="JL33" s="104"/>
      <c r="JM33" s="117" t="s">
        <v>148</v>
      </c>
      <c r="JN33" s="127" t="str">
        <f>HLOOKUP(CONCATENATE(JN$4,JN$6),RangeMajorsSec,$O33,FALSE)</f>
        <v>STAT2001</v>
      </c>
      <c r="JO33" s="117" t="s">
        <v>149</v>
      </c>
      <c r="JP33" s="104"/>
      <c r="JQ33" s="117" t="s">
        <v>148</v>
      </c>
      <c r="JR33" s="127" t="str">
        <f>HLOOKUP(CONCATENATE(JR$4,JR$6),RangeMajorsSec,$O33,FALSE)</f>
        <v>STAT2001</v>
      </c>
      <c r="JS33" s="117" t="s">
        <v>149</v>
      </c>
      <c r="JT33" s="104"/>
      <c r="JU33" s="117" t="s">
        <v>148</v>
      </c>
      <c r="JV33" s="127" t="str">
        <f>HLOOKUP(CONCATENATE(JV$4,JV$6),RangeMajorsSec,$O33,FALSE)</f>
        <v>STAT2001</v>
      </c>
      <c r="JW33" s="117" t="s">
        <v>149</v>
      </c>
      <c r="JX33" s="104"/>
      <c r="JY33" s="117" t="s">
        <v>148</v>
      </c>
      <c r="JZ33" s="127" t="str">
        <f>HLOOKUP(CONCATENATE(JZ$4,JZ$6),RangeMajorsSec,$O33,FALSE)</f>
        <v>STAT2001</v>
      </c>
      <c r="KA33" s="117" t="s">
        <v>149</v>
      </c>
      <c r="KB33" s="104"/>
      <c r="KC33" s="117" t="s">
        <v>148</v>
      </c>
      <c r="KD33" s="127" t="str">
        <f>HLOOKUP(CONCATENATE(KD$4,KD$6),RangeMajorsSec,$O33,FALSE)</f>
        <v>STAT2001</v>
      </c>
      <c r="KE33" s="117" t="s">
        <v>149</v>
      </c>
      <c r="KF33" s="104"/>
      <c r="KG33" s="117" t="s">
        <v>148</v>
      </c>
      <c r="KH33" s="127" t="str">
        <f>HLOOKUP(CONCATENATE(KH$4,KH$6),RangeMajorsSec,$O33,FALSE)</f>
        <v>STAT2001</v>
      </c>
      <c r="KI33" s="117" t="s">
        <v>149</v>
      </c>
      <c r="KJ33" s="104"/>
      <c r="KK33" s="117" t="s">
        <v>148</v>
      </c>
      <c r="KL33" s="127" t="str">
        <f>HLOOKUP(CONCATENATE(KL$4,KL$6),RangeMajorsSec,$O33,FALSE)</f>
        <v>STAT2001</v>
      </c>
      <c r="KM33" s="117" t="s">
        <v>149</v>
      </c>
      <c r="KN33" s="104"/>
      <c r="KO33" s="117" t="s">
        <v>148</v>
      </c>
      <c r="KP33" s="127" t="str">
        <f>HLOOKUP(CONCATENATE(KP$4,KP$6),RangeMajorsSec,$O33,FALSE)</f>
        <v>STAT2001</v>
      </c>
      <c r="KQ33" s="117" t="s">
        <v>149</v>
      </c>
      <c r="KR33" s="104"/>
      <c r="KS33" s="117" t="s">
        <v>148</v>
      </c>
      <c r="KT33" s="127" t="str">
        <f>HLOOKUP(CONCATENATE(KT$4,KT$6),RangeMajorsSec,$O33,FALSE)</f>
        <v>STAT2001</v>
      </c>
      <c r="KU33" s="117" t="s">
        <v>149</v>
      </c>
      <c r="KV33" s="104"/>
      <c r="KW33" s="117" t="s">
        <v>148</v>
      </c>
      <c r="KX33" s="127" t="str">
        <f>HLOOKUP(CONCATENATE(KX$4,KX$6),RangeMajorsSec,$O33,FALSE)</f>
        <v>PSYC3006</v>
      </c>
      <c r="KY33" s="117" t="s">
        <v>149</v>
      </c>
      <c r="KZ33" s="104"/>
      <c r="LA33" s="117" t="s">
        <v>148</v>
      </c>
      <c r="LB33" s="127" t="str">
        <f>HLOOKUP(CONCATENATE(LB$4,LB$6),RangeMajorsSec,$O33,FALSE)</f>
        <v>PSYC3006</v>
      </c>
      <c r="LC33" s="117" t="s">
        <v>149</v>
      </c>
      <c r="LD33" s="104"/>
      <c r="LE33" s="117" t="s">
        <v>148</v>
      </c>
      <c r="LF33" s="127" t="str">
        <f>HLOOKUP(CONCATENATE(LF$4,LF$6),RangeMajorsSec,$O33,FALSE)</f>
        <v>EDSC3011</v>
      </c>
      <c r="LG33" s="117" t="s">
        <v>149</v>
      </c>
      <c r="LH33" s="104"/>
      <c r="LI33" s="117" t="s">
        <v>148</v>
      </c>
      <c r="LJ33" s="127" t="str">
        <f>HLOOKUP(CONCATENATE(LJ$4,LJ$6),RangeMajorsSec,$O33,FALSE)</f>
        <v>EDSC3011</v>
      </c>
      <c r="LK33" s="117" t="s">
        <v>149</v>
      </c>
      <c r="LL33" s="104"/>
      <c r="LM33" s="117" t="s">
        <v>148</v>
      </c>
      <c r="LN33" s="127" t="str">
        <f>HLOOKUP(CONCATENATE(LN$4,LN$6),RangeMajorsSec,$O33,FALSE)</f>
        <v>EDSC3011</v>
      </c>
      <c r="LO33" s="117" t="s">
        <v>149</v>
      </c>
      <c r="LP33" s="104"/>
      <c r="LQ33" s="117" t="s">
        <v>148</v>
      </c>
      <c r="LR33" s="127" t="str">
        <f>HLOOKUP(CONCATENATE(LR$4,LR$6),RangeMajorsSec,$O33,FALSE)</f>
        <v>EDSC3011</v>
      </c>
      <c r="LS33" s="117" t="s">
        <v>149</v>
      </c>
      <c r="LT33" s="104"/>
      <c r="LU33" s="117" t="s">
        <v>148</v>
      </c>
      <c r="LV33" s="127" t="str">
        <f>HLOOKUP(CONCATENATE(LV$4,LV$6),RangeMajorsSec,$O33,FALSE)</f>
        <v>EDSC3011</v>
      </c>
      <c r="LW33" s="117" t="s">
        <v>149</v>
      </c>
      <c r="LX33" s="104"/>
      <c r="LY33" s="117" t="s">
        <v>148</v>
      </c>
      <c r="LZ33" s="127" t="str">
        <f>HLOOKUP(CONCATENATE(LZ$4,LZ$6),RangeMajorsSec,$O33,FALSE)</f>
        <v>EDSC3011</v>
      </c>
      <c r="MA33" s="117" t="s">
        <v>149</v>
      </c>
      <c r="MB33" s="104"/>
      <c r="MC33" s="117" t="s">
        <v>148</v>
      </c>
      <c r="MD33" s="127" t="str">
        <f>HLOOKUP(CONCATENATE(MD$4,MD$6),RangeMajorsSec,$O33,FALSE)</f>
        <v>EDSC3011</v>
      </c>
      <c r="ME33" s="117" t="s">
        <v>149</v>
      </c>
      <c r="MF33" s="104"/>
      <c r="MG33" s="117" t="s">
        <v>148</v>
      </c>
      <c r="MH33" s="127" t="str">
        <f>HLOOKUP(CONCATENATE(MH$4,MH$6),RangeMajorsSec,$O33,FALSE)</f>
        <v>EDSC3011</v>
      </c>
      <c r="MI33" s="117" t="s">
        <v>149</v>
      </c>
      <c r="MJ33" s="104"/>
      <c r="MK33" s="117" t="s">
        <v>148</v>
      </c>
      <c r="ML33" s="127" t="str">
        <f>HLOOKUP(CONCATENATE(ML$4,ML$6),RangeMajorsSec,$O33,FALSE)</f>
        <v>AC-SCCH12</v>
      </c>
      <c r="MM33" s="117" t="s">
        <v>149</v>
      </c>
      <c r="MN33" s="104"/>
      <c r="MO33" s="117" t="s">
        <v>148</v>
      </c>
      <c r="MP33" s="127" t="str">
        <f>HLOOKUP(CONCATENATE(MP$4,MP$6),RangeMajorsSec,$O33,FALSE)</f>
        <v>AC-SCCH12</v>
      </c>
      <c r="MQ33" s="117" t="s">
        <v>149</v>
      </c>
      <c r="MR33" s="104"/>
      <c r="MS33" s="117" t="s">
        <v>148</v>
      </c>
      <c r="MT33" s="127" t="str">
        <f>HLOOKUP(CONCATENATE(MT$4,MT$6),RangeMajorsSec,$O33,FALSE)</f>
        <v>AC-SCCH12</v>
      </c>
      <c r="MU33" s="117" t="s">
        <v>149</v>
      </c>
      <c r="MV33" s="104"/>
      <c r="MW33" s="117" t="s">
        <v>148</v>
      </c>
      <c r="MX33" s="127" t="str">
        <f>HLOOKUP(CONCATENATE(MX$4,MX$6),RangeMajorsSec,$O33,FALSE)</f>
        <v>AC-SCCH12</v>
      </c>
      <c r="MY33" s="117" t="s">
        <v>149</v>
      </c>
      <c r="MZ33" s="104"/>
      <c r="NA33" s="117" t="s">
        <v>148</v>
      </c>
      <c r="NB33" s="127" t="str">
        <f>HLOOKUP(CONCATENATE(NB$4,NB$6),RangeMajorsSec,$O33,FALSE)</f>
        <v>AC-SCCH12</v>
      </c>
      <c r="NC33" s="117" t="s">
        <v>149</v>
      </c>
      <c r="ND33" s="104"/>
      <c r="NE33" s="117" t="s">
        <v>148</v>
      </c>
      <c r="NF33" s="127" t="str">
        <f>HLOOKUP(CONCATENATE(NF$4,NF$6),RangeMajorsSec,$O33,FALSE)</f>
        <v>AC-SCCH12</v>
      </c>
      <c r="NG33" s="117" t="s">
        <v>149</v>
      </c>
      <c r="NH33" s="104"/>
      <c r="NI33" s="117" t="s">
        <v>148</v>
      </c>
      <c r="NJ33" s="127" t="str">
        <f>HLOOKUP(CONCATENATE(NJ$4,NJ$6),RangeMajorsSec,$O33,FALSE)</f>
        <v>AC-SCCH12</v>
      </c>
      <c r="NK33" s="117" t="s">
        <v>149</v>
      </c>
      <c r="NL33" s="104"/>
      <c r="NM33" s="117" t="s">
        <v>148</v>
      </c>
      <c r="NN33" s="127" t="str">
        <f>HLOOKUP(CONCATENATE(NN$4,NN$6),RangeMajorsSec,$O33,FALSE)</f>
        <v>AC-SCCH12</v>
      </c>
      <c r="NO33" s="117" t="s">
        <v>149</v>
      </c>
      <c r="NP33" s="104"/>
      <c r="NQ33" s="117" t="s">
        <v>148</v>
      </c>
      <c r="NR33" s="127" t="str">
        <f>HLOOKUP(CONCATENATE(NR$4,NR$6),RangeMajorsSec,$O33,FALSE)</f>
        <v>EDSC3011</v>
      </c>
      <c r="NS33" s="117" t="s">
        <v>149</v>
      </c>
      <c r="NT33" s="104"/>
      <c r="NU33" s="117" t="s">
        <v>148</v>
      </c>
      <c r="NV33" s="127" t="str">
        <f>HLOOKUP(CONCATENATE(NV$4,NV$6),RangeMajorsSec,$O33,FALSE)</f>
        <v>EDSC3011</v>
      </c>
      <c r="NW33" s="117" t="s">
        <v>149</v>
      </c>
      <c r="NX33" s="104"/>
      <c r="NY33" s="117" t="s">
        <v>148</v>
      </c>
      <c r="NZ33" s="127" t="str">
        <f>HLOOKUP(CONCATENATE(NZ$4,NZ$6),RangeMajorsSec,$O33,FALSE)</f>
        <v>EDSC3011</v>
      </c>
      <c r="OA33" s="117" t="s">
        <v>149</v>
      </c>
      <c r="OB33" s="104"/>
      <c r="OC33" s="117" t="s">
        <v>148</v>
      </c>
      <c r="OD33" s="127" t="str">
        <f>HLOOKUP(CONCATENATE(OD$4,OD$6),RangeMajorsSec,$O33,FALSE)</f>
        <v>EDSC3011</v>
      </c>
      <c r="OE33" s="117" t="s">
        <v>149</v>
      </c>
      <c r="OF33" s="104"/>
      <c r="OG33" s="117" t="s">
        <v>148</v>
      </c>
      <c r="OH33" s="127" t="str">
        <f>HLOOKUP(CONCATENATE(OH$4,OH$6),RangeMajorsSec,$O33,FALSE)</f>
        <v>EDSC3011</v>
      </c>
      <c r="OI33" s="117" t="s">
        <v>149</v>
      </c>
      <c r="OJ33" s="104"/>
      <c r="OK33" s="117" t="s">
        <v>148</v>
      </c>
      <c r="OL33" s="127" t="str">
        <f>HLOOKUP(CONCATENATE(OL$4,OL$6),RangeMajorsSec,$O33,FALSE)</f>
        <v>EDSC3011</v>
      </c>
      <c r="OM33" s="117" t="s">
        <v>149</v>
      </c>
      <c r="ON33" s="104"/>
      <c r="OO33" s="117" t="s">
        <v>148</v>
      </c>
      <c r="OP33" s="127" t="str">
        <f>HLOOKUP(CONCATENATE(OP$4,OP$6),RangeMajorsSec,$O33,FALSE)</f>
        <v>EDSC3011</v>
      </c>
      <c r="OQ33" s="117" t="s">
        <v>149</v>
      </c>
      <c r="OR33" s="104"/>
      <c r="OS33" s="117" t="s">
        <v>148</v>
      </c>
      <c r="OT33" s="127" t="str">
        <f>HLOOKUP(CONCATENATE(OT$4,OT$6),RangeMajorsSec,$O33,FALSE)</f>
        <v>EDSC3011</v>
      </c>
      <c r="OU33" s="117" t="s">
        <v>149</v>
      </c>
      <c r="OV33" s="104"/>
      <c r="OW33" s="117" t="s">
        <v>148</v>
      </c>
      <c r="OX33" s="127" t="str">
        <f>HLOOKUP(CONCATENATE(OX$4,OX$6),RangeMajorsSec,$O33,FALSE)</f>
        <v>PSYT3000</v>
      </c>
      <c r="OY33" s="117" t="s">
        <v>149</v>
      </c>
      <c r="OZ33" s="104"/>
      <c r="PA33" s="117" t="s">
        <v>148</v>
      </c>
      <c r="PB33" s="127" t="str">
        <f>HLOOKUP(CONCATENATE(PB$4,PB$6),RangeMajorsSec,$O33,FALSE)</f>
        <v>PSYT3000</v>
      </c>
      <c r="PC33" s="117" t="s">
        <v>149</v>
      </c>
      <c r="PD33" s="104"/>
      <c r="PE33" s="117" t="s">
        <v>148</v>
      </c>
      <c r="PF33" s="127" t="str">
        <f>HLOOKUP(CONCATENATE(PF$4,PF$6),RangeMajorsSec,$O33,FALSE)</f>
        <v>PSYT3000</v>
      </c>
      <c r="PG33" s="117" t="s">
        <v>149</v>
      </c>
      <c r="PH33" s="104"/>
      <c r="PI33" s="117" t="s">
        <v>148</v>
      </c>
      <c r="PJ33" s="127" t="str">
        <f>HLOOKUP(CONCATENATE(PJ$4,PJ$6),RangeMajorsSec,$O33,FALSE)</f>
        <v>PSYT3000</v>
      </c>
      <c r="PK33" s="117" t="s">
        <v>149</v>
      </c>
      <c r="PL33" s="104"/>
      <c r="PM33" s="117" t="s">
        <v>148</v>
      </c>
      <c r="PN33" s="127" t="str">
        <f>HLOOKUP(CONCATENATE(PN$4,PN$6),RangeMajorsSec,$O33,FALSE)</f>
        <v>PSYT3000</v>
      </c>
      <c r="PO33" s="117" t="s">
        <v>149</v>
      </c>
      <c r="PP33" s="104"/>
      <c r="PQ33" s="117" t="s">
        <v>148</v>
      </c>
      <c r="PR33" s="127" t="str">
        <f>HLOOKUP(CONCATENATE(PR$4,PR$6),RangeMajorsSec,$O33,FALSE)</f>
        <v>PSYT3000</v>
      </c>
      <c r="PS33" s="117" t="s">
        <v>149</v>
      </c>
      <c r="PT33" s="104"/>
      <c r="PU33" s="117" t="s">
        <v>148</v>
      </c>
      <c r="PV33" s="127" t="str">
        <f>HLOOKUP(CONCATENATE(PV$4,PV$6),RangeMajorsSec,$O33,FALSE)</f>
        <v>PSYT3000</v>
      </c>
      <c r="PW33" s="117" t="s">
        <v>149</v>
      </c>
      <c r="PX33" s="104"/>
      <c r="PY33" s="117" t="s">
        <v>148</v>
      </c>
      <c r="PZ33" s="127" t="str">
        <f>HLOOKUP(CONCATENATE(PZ$4,PZ$6),RangeMajorsSec,$O33,FALSE)</f>
        <v>PSYT3000</v>
      </c>
      <c r="QA33" s="117" t="s">
        <v>149</v>
      </c>
      <c r="QB33" s="104"/>
      <c r="QC33" s="117" t="s">
        <v>148</v>
      </c>
      <c r="QD33" s="127" t="e">
        <f>HLOOKUP(CONCATENATE(QD$4,QD$6),RangeMajorsSec,$O33,FALSE)</f>
        <v>#N/A</v>
      </c>
      <c r="QE33" s="117" t="s">
        <v>149</v>
      </c>
      <c r="QF33" s="104"/>
      <c r="QG33" s="117" t="s">
        <v>148</v>
      </c>
      <c r="QH33" s="127" t="e">
        <f>HLOOKUP(CONCATENATE(QH$4,QH$6),RangeMajorsSec,$O33,FALSE)</f>
        <v>#N/A</v>
      </c>
      <c r="QI33" s="117" t="s">
        <v>149</v>
      </c>
      <c r="QJ33" s="104"/>
    </row>
    <row r="34" spans="1:452" x14ac:dyDescent="0.25">
      <c r="A34" s="353" t="s">
        <v>208</v>
      </c>
      <c r="B34" s="268" t="s">
        <v>367</v>
      </c>
      <c r="C34" s="268" t="s">
        <v>100</v>
      </c>
      <c r="D34" s="269">
        <v>45658</v>
      </c>
      <c r="E34" s="268">
        <v>1</v>
      </c>
      <c r="F34" s="269">
        <v>45658</v>
      </c>
      <c r="G34" s="7" t="s">
        <v>398</v>
      </c>
      <c r="J34" s="141"/>
      <c r="K34" s="146" t="str">
        <f>INDEX(TableStreams[Choose your Specialisation Stream second (drop-down list)],MATCH(L34,TableStreams[UDC],0))</f>
        <v>The Arts - Media Education Minor Teaching Area Stream (BEd Secondary)</v>
      </c>
      <c r="L34" s="141" t="s">
        <v>360</v>
      </c>
      <c r="O34" s="332">
        <v>10</v>
      </c>
      <c r="P34" s="19">
        <v>32</v>
      </c>
      <c r="Q34" s="117" t="s">
        <v>148</v>
      </c>
      <c r="R34" s="129" t="s">
        <v>383</v>
      </c>
      <c r="S34" s="117" t="s">
        <v>149</v>
      </c>
      <c r="T34" s="103"/>
      <c r="U34" s="117" t="s">
        <v>148</v>
      </c>
      <c r="V34" s="129" t="str">
        <f>HLOOKUP(CONCATENATE(V$4,V$6),RangeMajorsSec,$O34,FALSE)</f>
        <v>AERO3000</v>
      </c>
      <c r="W34" s="117" t="s">
        <v>149</v>
      </c>
      <c r="X34" s="103"/>
      <c r="Y34" s="117" t="s">
        <v>148</v>
      </c>
      <c r="Z34" s="129" t="str">
        <f>HLOOKUP(CONCATENATE(Z$4,Z$6),RangeMajorsSec,$O34,FALSE)</f>
        <v>Opt-ARDR1</v>
      </c>
      <c r="AA34" s="117" t="s">
        <v>149</v>
      </c>
      <c r="AB34" s="103"/>
      <c r="AC34" s="117" t="s">
        <v>148</v>
      </c>
      <c r="AD34" s="129" t="str">
        <f>HLOOKUP(CONCATENATE(AD$4,AD$6),RangeMajorsSec,$O34,FALSE)</f>
        <v>Opt-ARDR1</v>
      </c>
      <c r="AE34" s="117" t="s">
        <v>149</v>
      </c>
      <c r="AF34" s="103"/>
      <c r="AG34" s="117" t="s">
        <v>148</v>
      </c>
      <c r="AH34" s="129" t="str">
        <f>HLOOKUP(CONCATENATE(AH$4,AH$6),RangeMajorsSec,$O34,FALSE)</f>
        <v>Opt-ARDR1</v>
      </c>
      <c r="AI34" s="117" t="s">
        <v>149</v>
      </c>
      <c r="AJ34" s="103"/>
      <c r="AK34" s="117" t="s">
        <v>148</v>
      </c>
      <c r="AL34" s="129" t="str">
        <f>HLOOKUP(CONCATENATE(AL$4,AL$6),RangeMajorsSec,$O34,FALSE)</f>
        <v>Opt-ARDR1</v>
      </c>
      <c r="AM34" s="117" t="s">
        <v>149</v>
      </c>
      <c r="AN34" s="103"/>
      <c r="AO34" s="117" t="s">
        <v>148</v>
      </c>
      <c r="AP34" s="129" t="str">
        <f>HLOOKUP(CONCATENATE(AP$4,AP$6),RangeMajorsSec,$O34,FALSE)</f>
        <v>Opt-ARDR1</v>
      </c>
      <c r="AQ34" s="117" t="s">
        <v>149</v>
      </c>
      <c r="AR34" s="103"/>
      <c r="AS34" s="117" t="s">
        <v>148</v>
      </c>
      <c r="AT34" s="129" t="str">
        <f>HLOOKUP(CONCATENATE(AT$4,AT$6),RangeMajorsSec,$O34,FALSE)</f>
        <v>Opt-ARDR1</v>
      </c>
      <c r="AU34" s="117" t="s">
        <v>149</v>
      </c>
      <c r="AV34" s="103"/>
      <c r="AW34" s="117" t="s">
        <v>148</v>
      </c>
      <c r="AX34" s="129" t="str">
        <f>HLOOKUP(CONCATENATE(AX$4,AX$6),RangeMajorsSec,$O34,FALSE)</f>
        <v>Opt-ARDR1</v>
      </c>
      <c r="AY34" s="117" t="s">
        <v>149</v>
      </c>
      <c r="AZ34" s="103"/>
      <c r="BA34" s="117" t="s">
        <v>148</v>
      </c>
      <c r="BB34" s="129" t="str">
        <f>HLOOKUP(CONCATENATE(BB$4,BB$6),RangeMajorsSec,$O34,FALSE)</f>
        <v>Opt-ARME1</v>
      </c>
      <c r="BC34" s="117" t="s">
        <v>149</v>
      </c>
      <c r="BD34" s="103"/>
      <c r="BE34" s="117" t="s">
        <v>148</v>
      </c>
      <c r="BF34" s="129" t="str">
        <f>HLOOKUP(CONCATENATE(BF$4,BF$6),RangeMajorsSec,$O34,FALSE)</f>
        <v>Opt-ARME1</v>
      </c>
      <c r="BG34" s="117" t="s">
        <v>149</v>
      </c>
      <c r="BH34" s="103"/>
      <c r="BI34" s="117" t="s">
        <v>148</v>
      </c>
      <c r="BJ34" s="129" t="str">
        <f>HLOOKUP(CONCATENATE(BJ$4,BJ$6),RangeMajorsSec,$O34,FALSE)</f>
        <v>Opt-ARME1</v>
      </c>
      <c r="BK34" s="117" t="s">
        <v>149</v>
      </c>
      <c r="BL34" s="103"/>
      <c r="BM34" s="117" t="s">
        <v>148</v>
      </c>
      <c r="BN34" s="129" t="str">
        <f>HLOOKUP(CONCATENATE(BN$4,BN$6),RangeMajorsSec,$O34,FALSE)</f>
        <v>Opt-ARME1</v>
      </c>
      <c r="BO34" s="117" t="s">
        <v>149</v>
      </c>
      <c r="BP34" s="103"/>
      <c r="BQ34" s="117" t="s">
        <v>148</v>
      </c>
      <c r="BR34" s="129" t="str">
        <f>HLOOKUP(CONCATENATE(BR$4,BR$6),RangeMajorsSec,$O34,FALSE)</f>
        <v>Opt-ARME1</v>
      </c>
      <c r="BS34" s="117" t="s">
        <v>149</v>
      </c>
      <c r="BT34" s="103"/>
      <c r="BU34" s="117" t="s">
        <v>148</v>
      </c>
      <c r="BV34" s="129" t="str">
        <f>HLOOKUP(CONCATENATE(BV$4,BV$6),RangeMajorsSec,$O34,FALSE)</f>
        <v>Opt-ARME1</v>
      </c>
      <c r="BW34" s="117" t="s">
        <v>149</v>
      </c>
      <c r="BX34" s="103"/>
      <c r="BY34" s="117" t="s">
        <v>148</v>
      </c>
      <c r="BZ34" s="129" t="str">
        <f>HLOOKUP(CONCATENATE(BZ$4,BZ$6),RangeMajorsSec,$O34,FALSE)</f>
        <v>VISA3010</v>
      </c>
      <c r="CA34" s="117" t="s">
        <v>149</v>
      </c>
      <c r="CB34" s="103"/>
      <c r="CC34" s="117" t="s">
        <v>148</v>
      </c>
      <c r="CD34" s="129" t="str">
        <f>HLOOKUP(CONCATENATE(CD$4,CD$6),RangeMajorsSec,$O34,FALSE)</f>
        <v>VISA3010</v>
      </c>
      <c r="CE34" s="117" t="s">
        <v>149</v>
      </c>
      <c r="CF34" s="103"/>
      <c r="CG34" s="117" t="s">
        <v>148</v>
      </c>
      <c r="CH34" s="129" t="str">
        <f>HLOOKUP(CONCATENATE(CH$4,CH$6),RangeMajorsSec,$O34,FALSE)</f>
        <v>VISA3010</v>
      </c>
      <c r="CI34" s="117" t="s">
        <v>149</v>
      </c>
      <c r="CJ34" s="103"/>
      <c r="CK34" s="117" t="s">
        <v>148</v>
      </c>
      <c r="CL34" s="129" t="str">
        <f>HLOOKUP(CONCATENATE(CL$4,CL$6),RangeMajorsSec,$O34,FALSE)</f>
        <v>VISA3010</v>
      </c>
      <c r="CM34" s="117" t="s">
        <v>149</v>
      </c>
      <c r="CN34" s="103"/>
      <c r="CO34" s="117" t="s">
        <v>148</v>
      </c>
      <c r="CP34" s="129" t="str">
        <f>HLOOKUP(CONCATENATE(CP$4,CP$6),RangeMajorsSec,$O34,FALSE)</f>
        <v>VISA3010</v>
      </c>
      <c r="CQ34" s="117" t="s">
        <v>149</v>
      </c>
      <c r="CR34" s="103"/>
      <c r="CS34" s="117" t="s">
        <v>148</v>
      </c>
      <c r="CT34" s="129" t="str">
        <f>HLOOKUP(CONCATENATE(CT$4,CT$6),RangeMajorsSec,$O34,FALSE)</f>
        <v>VISA3010</v>
      </c>
      <c r="CU34" s="117" t="s">
        <v>149</v>
      </c>
      <c r="CV34" s="103"/>
      <c r="CW34" s="117" t="s">
        <v>148</v>
      </c>
      <c r="CX34" s="129" t="str">
        <f>HLOOKUP(CONCATENATE(CX$4,CX$6),RangeMajorsSec,$O34,FALSE)</f>
        <v>VISA3010</v>
      </c>
      <c r="CY34" s="117" t="s">
        <v>149</v>
      </c>
      <c r="CZ34" s="103"/>
      <c r="DA34" s="117" t="s">
        <v>148</v>
      </c>
      <c r="DB34" s="129" t="str">
        <f>HLOOKUP(CONCATENATE(DB$4,DB$6),RangeMajorsSec,$O34,FALSE)</f>
        <v>Opt-ENGL1</v>
      </c>
      <c r="DC34" s="117" t="s">
        <v>149</v>
      </c>
      <c r="DD34" s="103"/>
      <c r="DE34" s="117" t="s">
        <v>148</v>
      </c>
      <c r="DF34" s="129" t="str">
        <f>HLOOKUP(CONCATENATE(DF$4,DF$6),RangeMajorsSec,$O34,FALSE)</f>
        <v>Opt-ENGL1</v>
      </c>
      <c r="DG34" s="117" t="s">
        <v>149</v>
      </c>
      <c r="DH34" s="103"/>
      <c r="DI34" s="117" t="s">
        <v>148</v>
      </c>
      <c r="DJ34" s="129" t="str">
        <f>HLOOKUP(CONCATENATE(DJ$4,DJ$6),RangeMajorsSec,$O34,FALSE)</f>
        <v>Opt-ENGL1</v>
      </c>
      <c r="DK34" s="117" t="s">
        <v>149</v>
      </c>
      <c r="DL34" s="103"/>
      <c r="DM34" s="117" t="s">
        <v>148</v>
      </c>
      <c r="DN34" s="129" t="str">
        <f>HLOOKUP(CONCATENATE(DN$4,DN$6),RangeMajorsSec,$O34,FALSE)</f>
        <v>Opt-ENGL1</v>
      </c>
      <c r="DO34" s="117" t="s">
        <v>149</v>
      </c>
      <c r="DP34" s="103"/>
      <c r="DQ34" s="117" t="s">
        <v>148</v>
      </c>
      <c r="DR34" s="129" t="str">
        <f>HLOOKUP(CONCATENATE(DR$4,DR$6),RangeMajorsSec,$O34,FALSE)</f>
        <v>Opt-ENGL1</v>
      </c>
      <c r="DS34" s="117" t="s">
        <v>149</v>
      </c>
      <c r="DT34" s="103"/>
      <c r="DU34" s="117" t="s">
        <v>148</v>
      </c>
      <c r="DV34" s="129" t="str">
        <f>HLOOKUP(CONCATENATE(DV$4,DV$6),RangeMajorsSec,$O34,FALSE)</f>
        <v>Opt-ENGL1</v>
      </c>
      <c r="DW34" s="117" t="s">
        <v>149</v>
      </c>
      <c r="DX34" s="103"/>
      <c r="DY34" s="117" t="s">
        <v>148</v>
      </c>
      <c r="DZ34" s="129" t="str">
        <f>HLOOKUP(CONCATENATE(DZ$4,DZ$6),RangeMajorsSec,$O34,FALSE)</f>
        <v>Opt-ENGL1</v>
      </c>
      <c r="EA34" s="117" t="s">
        <v>149</v>
      </c>
      <c r="EB34" s="103"/>
      <c r="EC34" s="117" t="s">
        <v>148</v>
      </c>
      <c r="ED34" s="129" t="str">
        <f>HLOOKUP(CONCATENATE(ED$4,ED$6),RangeMajorsSec,$O34,FALSE)</f>
        <v>Opt-ENGL1</v>
      </c>
      <c r="EE34" s="117" t="s">
        <v>149</v>
      </c>
      <c r="EF34" s="103"/>
      <c r="EG34" s="117" t="s">
        <v>148</v>
      </c>
      <c r="EH34" s="129" t="str">
        <f>HLOOKUP(CONCATENATE(EH$4,EH$6),RangeMajorsSec,$O34,FALSE)</f>
        <v>Opt-ENGL1</v>
      </c>
      <c r="EI34" s="117" t="s">
        <v>149</v>
      </c>
      <c r="EJ34" s="103"/>
      <c r="EK34" s="117" t="s">
        <v>148</v>
      </c>
      <c r="EL34" s="129" t="str">
        <f>HLOOKUP(CONCATENATE(EL$4,EL$6),RangeMajorsSec,$O34,FALSE)</f>
        <v>Opt-HSEC1</v>
      </c>
      <c r="EM34" s="117" t="s">
        <v>149</v>
      </c>
      <c r="EN34" s="103"/>
      <c r="EO34" s="117" t="s">
        <v>148</v>
      </c>
      <c r="EP34" s="129" t="str">
        <f>HLOOKUP(CONCATENATE(EP$4,EP$6),RangeMajorsSec,$O34,FALSE)</f>
        <v>Opt-HSEC1</v>
      </c>
      <c r="EQ34" s="117" t="s">
        <v>149</v>
      </c>
      <c r="ER34" s="103"/>
      <c r="ES34" s="117" t="s">
        <v>148</v>
      </c>
      <c r="ET34" s="129" t="str">
        <f>HLOOKUP(CONCATENATE(ET$4,ET$6),RangeMajorsSec,$O34,FALSE)</f>
        <v>Opt-HSEC1</v>
      </c>
      <c r="EU34" s="117" t="s">
        <v>149</v>
      </c>
      <c r="EV34" s="103"/>
      <c r="EW34" s="117" t="s">
        <v>148</v>
      </c>
      <c r="EX34" s="129" t="str">
        <f>HLOOKUP(CONCATENATE(EX$4,EX$6),RangeMajorsSec,$O34,FALSE)</f>
        <v>Opt-HSEC1</v>
      </c>
      <c r="EY34" s="117" t="s">
        <v>149</v>
      </c>
      <c r="EZ34" s="103"/>
      <c r="FA34" s="117" t="s">
        <v>148</v>
      </c>
      <c r="FB34" s="129" t="str">
        <f>HLOOKUP(CONCATENATE(FB$4,FB$6),RangeMajorsSec,$O34,FALSE)</f>
        <v>Opt-HSEC1</v>
      </c>
      <c r="FC34" s="117" t="s">
        <v>149</v>
      </c>
      <c r="FD34" s="103"/>
      <c r="FE34" s="117" t="s">
        <v>148</v>
      </c>
      <c r="FF34" s="129" t="str">
        <f>HLOOKUP(CONCATENATE(FF$4,FF$6),RangeMajorsSec,$O34,FALSE)</f>
        <v>Opt-HSEC1</v>
      </c>
      <c r="FG34" s="117" t="s">
        <v>149</v>
      </c>
      <c r="FH34" s="103"/>
      <c r="FI34" s="117" t="s">
        <v>148</v>
      </c>
      <c r="FJ34" s="129" t="str">
        <f>HLOOKUP(CONCATENATE(FJ$4,FJ$6),RangeMajorsSec,$O34,FALSE)</f>
        <v>Opt-HSEC1</v>
      </c>
      <c r="FK34" s="117" t="s">
        <v>149</v>
      </c>
      <c r="FL34" s="103"/>
      <c r="FM34" s="117" t="s">
        <v>148</v>
      </c>
      <c r="FN34" s="129" t="str">
        <f>HLOOKUP(CONCATENATE(FN$4,FN$6),RangeMajorsSec,$O34,FALSE)</f>
        <v>Opt-HSEC1</v>
      </c>
      <c r="FO34" s="117" t="s">
        <v>149</v>
      </c>
      <c r="FP34" s="103"/>
      <c r="FQ34" s="117" t="s">
        <v>148</v>
      </c>
      <c r="FR34" s="129" t="str">
        <f>HLOOKUP(CONCATENATE(FR$4,FR$6),RangeMajorsSec,$O34,FALSE)</f>
        <v>Opt-HSGE1</v>
      </c>
      <c r="FS34" s="117" t="s">
        <v>149</v>
      </c>
      <c r="FT34" s="103"/>
      <c r="FU34" s="117" t="s">
        <v>148</v>
      </c>
      <c r="FV34" s="129" t="str">
        <f>HLOOKUP(CONCATENATE(FV$4,FV$6),RangeMajorsSec,$O34,FALSE)</f>
        <v>Opt-HSGE1</v>
      </c>
      <c r="FW34" s="117" t="s">
        <v>149</v>
      </c>
      <c r="FX34" s="103"/>
      <c r="FY34" s="117" t="s">
        <v>148</v>
      </c>
      <c r="FZ34" s="129" t="str">
        <f>HLOOKUP(CONCATENATE(FZ$4,FZ$6),RangeMajorsSec,$O34,FALSE)</f>
        <v>Opt-HSGE1</v>
      </c>
      <c r="GA34" s="117" t="s">
        <v>149</v>
      </c>
      <c r="GB34" s="103"/>
      <c r="GC34" s="117" t="s">
        <v>148</v>
      </c>
      <c r="GD34" s="129" t="str">
        <f>HLOOKUP(CONCATENATE(GD$4,GD$6),RangeMajorsSec,$O34,FALSE)</f>
        <v>Opt-HSGE1</v>
      </c>
      <c r="GE34" s="117" t="s">
        <v>149</v>
      </c>
      <c r="GF34" s="103"/>
      <c r="GG34" s="117" t="s">
        <v>148</v>
      </c>
      <c r="GH34" s="129" t="str">
        <f>HLOOKUP(CONCATENATE(GH$4,GH$6),RangeMajorsSec,$O34,FALSE)</f>
        <v>Opt-HSGE1</v>
      </c>
      <c r="GI34" s="117" t="s">
        <v>149</v>
      </c>
      <c r="GJ34" s="103"/>
      <c r="GK34" s="117" t="s">
        <v>148</v>
      </c>
      <c r="GL34" s="129" t="str">
        <f>HLOOKUP(CONCATENATE(GL$4,GL$6),RangeMajorsSec,$O34,FALSE)</f>
        <v>Opt-HSGE1</v>
      </c>
      <c r="GM34" s="117" t="s">
        <v>149</v>
      </c>
      <c r="GN34" s="103"/>
      <c r="GO34" s="117" t="s">
        <v>148</v>
      </c>
      <c r="GP34" s="129" t="str">
        <f>HLOOKUP(CONCATENATE(GP$4,GP$6),RangeMajorsSec,$O34,FALSE)</f>
        <v>Opt-HSGE1</v>
      </c>
      <c r="GQ34" s="117" t="s">
        <v>149</v>
      </c>
      <c r="GR34" s="103"/>
      <c r="GS34" s="117" t="s">
        <v>148</v>
      </c>
      <c r="GT34" s="129" t="str">
        <f>HLOOKUP(CONCATENATE(GT$4,GT$6),RangeMajorsSec,$O34,FALSE)</f>
        <v>Opt-HSGE1</v>
      </c>
      <c r="GU34" s="117" t="s">
        <v>149</v>
      </c>
      <c r="GV34" s="103"/>
      <c r="GW34" s="117" t="s">
        <v>148</v>
      </c>
      <c r="GX34" s="129" t="str">
        <f>HLOOKUP(CONCATENATE(GX$4,GX$6),RangeMajorsSec,$O34,FALSE)</f>
        <v>Opt-HSHI1</v>
      </c>
      <c r="GY34" s="117" t="s">
        <v>149</v>
      </c>
      <c r="GZ34" s="103"/>
      <c r="HA34" s="117" t="s">
        <v>148</v>
      </c>
      <c r="HB34" s="129" t="str">
        <f>HLOOKUP(CONCATENATE(HB$4,HB$6),RangeMajorsSec,$O34,FALSE)</f>
        <v>Opt-HSHI1</v>
      </c>
      <c r="HC34" s="117" t="s">
        <v>149</v>
      </c>
      <c r="HD34" s="103"/>
      <c r="HE34" s="117" t="s">
        <v>148</v>
      </c>
      <c r="HF34" s="129" t="str">
        <f>HLOOKUP(CONCATENATE(HF$4,HF$6),RangeMajorsSec,$O34,FALSE)</f>
        <v>Opt-HSHI1</v>
      </c>
      <c r="HG34" s="117" t="s">
        <v>149</v>
      </c>
      <c r="HH34" s="103"/>
      <c r="HI34" s="117" t="s">
        <v>148</v>
      </c>
      <c r="HJ34" s="129" t="str">
        <f>HLOOKUP(CONCATENATE(HJ$4,HJ$6),RangeMajorsSec,$O34,FALSE)</f>
        <v>Opt-HSHI1</v>
      </c>
      <c r="HK34" s="117" t="s">
        <v>149</v>
      </c>
      <c r="HL34" s="103"/>
      <c r="HM34" s="117" t="s">
        <v>148</v>
      </c>
      <c r="HN34" s="129" t="str">
        <f>HLOOKUP(CONCATENATE(HN$4,HN$6),RangeMajorsSec,$O34,FALSE)</f>
        <v>Opt-HSHI1</v>
      </c>
      <c r="HO34" s="117" t="s">
        <v>149</v>
      </c>
      <c r="HP34" s="103"/>
      <c r="HQ34" s="117" t="s">
        <v>148</v>
      </c>
      <c r="HR34" s="129" t="str">
        <f>HLOOKUP(CONCATENATE(HR$4,HR$6),RangeMajorsSec,$O34,FALSE)</f>
        <v>Opt-HSHI1</v>
      </c>
      <c r="HS34" s="117" t="s">
        <v>149</v>
      </c>
      <c r="HT34" s="103"/>
      <c r="HU34" s="117" t="s">
        <v>148</v>
      </c>
      <c r="HV34" s="129" t="str">
        <f>HLOOKUP(CONCATENATE(HV$4,HV$6),RangeMajorsSec,$O34,FALSE)</f>
        <v>Opt-HSHI1</v>
      </c>
      <c r="HW34" s="117" t="s">
        <v>149</v>
      </c>
      <c r="HX34" s="103"/>
      <c r="HY34" s="117" t="s">
        <v>148</v>
      </c>
      <c r="HZ34" s="129" t="str">
        <f>HLOOKUP(CONCATENATE(HZ$4,HZ$6),RangeMajorsSec,$O34,FALSE)</f>
        <v>Opt-HSHI1</v>
      </c>
      <c r="IA34" s="117" t="s">
        <v>149</v>
      </c>
      <c r="IB34" s="103"/>
      <c r="IC34" s="117" t="s">
        <v>148</v>
      </c>
      <c r="ID34" s="129" t="str">
        <f>HLOOKUP(CONCATENATE(ID$4,ID$6),RangeMajorsSec,$O34,FALSE)</f>
        <v>Opt-HSPL1</v>
      </c>
      <c r="IE34" s="117" t="s">
        <v>149</v>
      </c>
      <c r="IF34" s="103"/>
      <c r="IG34" s="117" t="s">
        <v>148</v>
      </c>
      <c r="IH34" s="129" t="str">
        <f>HLOOKUP(CONCATENATE(IH$4,IH$6),RangeMajorsSec,$O34,FALSE)</f>
        <v>Opt-HSPL1</v>
      </c>
      <c r="II34" s="117" t="s">
        <v>149</v>
      </c>
      <c r="IJ34" s="103"/>
      <c r="IK34" s="117" t="s">
        <v>148</v>
      </c>
      <c r="IL34" s="129" t="str">
        <f>HLOOKUP(CONCATENATE(IL$4,IL$6),RangeMajorsSec,$O34,FALSE)</f>
        <v>Opt-HSPL1</v>
      </c>
      <c r="IM34" s="117" t="s">
        <v>149</v>
      </c>
      <c r="IN34" s="103"/>
      <c r="IO34" s="117" t="s">
        <v>148</v>
      </c>
      <c r="IP34" s="129" t="str">
        <f>HLOOKUP(CONCATENATE(IP$4,IP$6),RangeMajorsSec,$O34,FALSE)</f>
        <v>Opt-HSPL1</v>
      </c>
      <c r="IQ34" s="117" t="s">
        <v>149</v>
      </c>
      <c r="IR34" s="103"/>
      <c r="IS34" s="117" t="s">
        <v>148</v>
      </c>
      <c r="IT34" s="129" t="str">
        <f>HLOOKUP(CONCATENATE(IT$4,IT$6),RangeMajorsSec,$O34,FALSE)</f>
        <v>Opt-HSPL1</v>
      </c>
      <c r="IU34" s="117" t="s">
        <v>149</v>
      </c>
      <c r="IV34" s="103"/>
      <c r="IW34" s="117" t="s">
        <v>148</v>
      </c>
      <c r="IX34" s="129" t="str">
        <f>HLOOKUP(CONCATENATE(IX$4,IX$6),RangeMajorsSec,$O34,FALSE)</f>
        <v>Opt-HSPL1</v>
      </c>
      <c r="IY34" s="117" t="s">
        <v>149</v>
      </c>
      <c r="IZ34" s="103"/>
      <c r="JA34" s="117" t="s">
        <v>148</v>
      </c>
      <c r="JB34" s="129" t="str">
        <f>HLOOKUP(CONCATENATE(JB$4,JB$6),RangeMajorsSec,$O34,FALSE)</f>
        <v>Opt-HSPL1</v>
      </c>
      <c r="JC34" s="117" t="s">
        <v>149</v>
      </c>
      <c r="JD34" s="103"/>
      <c r="JE34" s="117" t="s">
        <v>148</v>
      </c>
      <c r="JF34" s="129" t="str">
        <f>HLOOKUP(CONCATENATE(JF$4,JF$6),RangeMajorsSec,$O34,FALSE)</f>
        <v>Opt-HSPL1</v>
      </c>
      <c r="JG34" s="117" t="s">
        <v>149</v>
      </c>
      <c r="JH34" s="103"/>
      <c r="JI34" s="117" t="s">
        <v>148</v>
      </c>
      <c r="JJ34" s="129" t="str">
        <f>HLOOKUP(CONCATENATE(JJ$4,JJ$6),RangeMajorsSec,$O34,FALSE)</f>
        <v>Opt-HSPL1</v>
      </c>
      <c r="JK34" s="117" t="s">
        <v>149</v>
      </c>
      <c r="JL34" s="103"/>
      <c r="JM34" s="117" t="s">
        <v>148</v>
      </c>
      <c r="JN34" s="129" t="str">
        <f>HLOOKUP(CONCATENATE(JN$4,JN$6),RangeMajorsSec,$O34,FALSE)</f>
        <v>MATH3011</v>
      </c>
      <c r="JO34" s="117" t="s">
        <v>149</v>
      </c>
      <c r="JP34" s="103"/>
      <c r="JQ34" s="117" t="s">
        <v>148</v>
      </c>
      <c r="JR34" s="129" t="str">
        <f>HLOOKUP(CONCATENATE(JR$4,JR$6),RangeMajorsSec,$O34,FALSE)</f>
        <v>MATH3011</v>
      </c>
      <c r="JS34" s="117" t="s">
        <v>149</v>
      </c>
      <c r="JT34" s="103"/>
      <c r="JU34" s="117" t="s">
        <v>148</v>
      </c>
      <c r="JV34" s="129" t="str">
        <f>HLOOKUP(CONCATENATE(JV$4,JV$6),RangeMajorsSec,$O34,FALSE)</f>
        <v>MATH3011</v>
      </c>
      <c r="JW34" s="117" t="s">
        <v>149</v>
      </c>
      <c r="JX34" s="103"/>
      <c r="JY34" s="117" t="s">
        <v>148</v>
      </c>
      <c r="JZ34" s="129" t="str">
        <f>HLOOKUP(CONCATENATE(JZ$4,JZ$6),RangeMajorsSec,$O34,FALSE)</f>
        <v>MATH3011</v>
      </c>
      <c r="KA34" s="117" t="s">
        <v>149</v>
      </c>
      <c r="KB34" s="103"/>
      <c r="KC34" s="117" t="s">
        <v>148</v>
      </c>
      <c r="KD34" s="129" t="str">
        <f>HLOOKUP(CONCATENATE(KD$4,KD$6),RangeMajorsSec,$O34,FALSE)</f>
        <v>MATH3011</v>
      </c>
      <c r="KE34" s="117" t="s">
        <v>149</v>
      </c>
      <c r="KF34" s="103"/>
      <c r="KG34" s="117" t="s">
        <v>148</v>
      </c>
      <c r="KH34" s="129" t="str">
        <f>HLOOKUP(CONCATENATE(KH$4,KH$6),RangeMajorsSec,$O34,FALSE)</f>
        <v>MATH3011</v>
      </c>
      <c r="KI34" s="117" t="s">
        <v>149</v>
      </c>
      <c r="KJ34" s="103"/>
      <c r="KK34" s="117" t="s">
        <v>148</v>
      </c>
      <c r="KL34" s="129" t="str">
        <f>HLOOKUP(CONCATENATE(KL$4,KL$6),RangeMajorsSec,$O34,FALSE)</f>
        <v>MATH3011</v>
      </c>
      <c r="KM34" s="117" t="s">
        <v>149</v>
      </c>
      <c r="KN34" s="103"/>
      <c r="KO34" s="117" t="s">
        <v>148</v>
      </c>
      <c r="KP34" s="129" t="str">
        <f>HLOOKUP(CONCATENATE(KP$4,KP$6),RangeMajorsSec,$O34,FALSE)</f>
        <v>MATH3011</v>
      </c>
      <c r="KQ34" s="117" t="s">
        <v>149</v>
      </c>
      <c r="KR34" s="103"/>
      <c r="KS34" s="117" t="s">
        <v>148</v>
      </c>
      <c r="KT34" s="129" t="str">
        <f>HLOOKUP(CONCATENATE(KT$4,KT$6),RangeMajorsSec,$O34,FALSE)</f>
        <v>MATH3011</v>
      </c>
      <c r="KU34" s="117" t="s">
        <v>149</v>
      </c>
      <c r="KV34" s="103"/>
      <c r="KW34" s="117" t="s">
        <v>148</v>
      </c>
      <c r="KX34" s="363" t="s">
        <v>725</v>
      </c>
      <c r="KY34" s="117" t="s">
        <v>149</v>
      </c>
      <c r="KZ34" s="103"/>
      <c r="LA34" s="117" t="s">
        <v>148</v>
      </c>
      <c r="LB34" s="363" t="s">
        <v>731</v>
      </c>
      <c r="LC34" s="117" t="s">
        <v>149</v>
      </c>
      <c r="LD34" s="103"/>
      <c r="LE34" s="117" t="s">
        <v>148</v>
      </c>
      <c r="LF34" s="129" t="str">
        <f>HLOOKUP(CONCATENATE(LF$4,LF$6),RangeMajorsSec,$O34,FALSE)</f>
        <v>Opt-SCBI1</v>
      </c>
      <c r="LG34" s="117" t="s">
        <v>149</v>
      </c>
      <c r="LH34" s="103"/>
      <c r="LI34" s="117" t="s">
        <v>148</v>
      </c>
      <c r="LJ34" s="129" t="str">
        <f>HLOOKUP(CONCATENATE(LJ$4,LJ$6),RangeMajorsSec,$O34,FALSE)</f>
        <v>Opt-SCBI1</v>
      </c>
      <c r="LK34" s="117" t="s">
        <v>149</v>
      </c>
      <c r="LL34" s="103"/>
      <c r="LM34" s="117" t="s">
        <v>148</v>
      </c>
      <c r="LN34" s="129" t="str">
        <f>HLOOKUP(CONCATENATE(LN$4,LN$6),RangeMajorsSec,$O34,FALSE)</f>
        <v>Opt-SCBI1</v>
      </c>
      <c r="LO34" s="117" t="s">
        <v>149</v>
      </c>
      <c r="LP34" s="103"/>
      <c r="LQ34" s="117" t="s">
        <v>148</v>
      </c>
      <c r="LR34" s="129" t="str">
        <f>HLOOKUP(CONCATENATE(LR$4,LR$6),RangeMajorsSec,$O34,FALSE)</f>
        <v>Opt-SCBI1</v>
      </c>
      <c r="LS34" s="117" t="s">
        <v>149</v>
      </c>
      <c r="LT34" s="103"/>
      <c r="LU34" s="117" t="s">
        <v>148</v>
      </c>
      <c r="LV34" s="129" t="str">
        <f>HLOOKUP(CONCATENATE(LV$4,LV$6),RangeMajorsSec,$O34,FALSE)</f>
        <v>Opt-SCBI1</v>
      </c>
      <c r="LW34" s="117" t="s">
        <v>149</v>
      </c>
      <c r="LX34" s="103"/>
      <c r="LY34" s="117" t="s">
        <v>148</v>
      </c>
      <c r="LZ34" s="129" t="str">
        <f>HLOOKUP(CONCATENATE(LZ$4,LZ$6),RangeMajorsSec,$O34,FALSE)</f>
        <v>Opt-SCBI1</v>
      </c>
      <c r="MA34" s="117" t="s">
        <v>149</v>
      </c>
      <c r="MB34" s="103"/>
      <c r="MC34" s="117" t="s">
        <v>148</v>
      </c>
      <c r="MD34" s="129" t="str">
        <f>HLOOKUP(CONCATENATE(MD$4,MD$6),RangeMajorsSec,$O34,FALSE)</f>
        <v>Opt-SCBI1</v>
      </c>
      <c r="ME34" s="117" t="s">
        <v>149</v>
      </c>
      <c r="MF34" s="103"/>
      <c r="MG34" s="117" t="s">
        <v>148</v>
      </c>
      <c r="MH34" s="129" t="str">
        <f>HLOOKUP(CONCATENATE(MH$4,MH$6),RangeMajorsSec,$O34,FALSE)</f>
        <v>Opt-SCBI1</v>
      </c>
      <c r="MI34" s="117" t="s">
        <v>149</v>
      </c>
      <c r="MJ34" s="103"/>
      <c r="MK34" s="117" t="s">
        <v>148</v>
      </c>
      <c r="ML34" s="129" t="str">
        <f>HLOOKUP(CONCATENATE(ML$4,ML$6),RangeMajorsSec,$O34,FALSE)</f>
        <v>Opt-SCCH1</v>
      </c>
      <c r="MM34" s="117" t="s">
        <v>149</v>
      </c>
      <c r="MN34" s="103"/>
      <c r="MO34" s="117" t="s">
        <v>148</v>
      </c>
      <c r="MP34" s="129" t="str">
        <f>HLOOKUP(CONCATENATE(MP$4,MP$6),RangeMajorsSec,$O34,FALSE)</f>
        <v>Opt-SCCH1</v>
      </c>
      <c r="MQ34" s="117" t="s">
        <v>149</v>
      </c>
      <c r="MR34" s="103"/>
      <c r="MS34" s="117" t="s">
        <v>148</v>
      </c>
      <c r="MT34" s="129" t="str">
        <f>HLOOKUP(CONCATENATE(MT$4,MT$6),RangeMajorsSec,$O34,FALSE)</f>
        <v>Opt-SCCH1</v>
      </c>
      <c r="MU34" s="117" t="s">
        <v>149</v>
      </c>
      <c r="MV34" s="103"/>
      <c r="MW34" s="117" t="s">
        <v>148</v>
      </c>
      <c r="MX34" s="129" t="str">
        <f>HLOOKUP(CONCATENATE(MX$4,MX$6),RangeMajorsSec,$O34,FALSE)</f>
        <v>Opt-SCCH1</v>
      </c>
      <c r="MY34" s="117" t="s">
        <v>149</v>
      </c>
      <c r="MZ34" s="103"/>
      <c r="NA34" s="117" t="s">
        <v>148</v>
      </c>
      <c r="NB34" s="129" t="str">
        <f>HLOOKUP(CONCATENATE(NB$4,NB$6),RangeMajorsSec,$O34,FALSE)</f>
        <v>Opt-SCCH1</v>
      </c>
      <c r="NC34" s="117" t="s">
        <v>149</v>
      </c>
      <c r="ND34" s="103"/>
      <c r="NE34" s="117" t="s">
        <v>148</v>
      </c>
      <c r="NF34" s="129" t="str">
        <f>HLOOKUP(CONCATENATE(NF$4,NF$6),RangeMajorsSec,$O34,FALSE)</f>
        <v>Opt-SCCH1</v>
      </c>
      <c r="NG34" s="117" t="s">
        <v>149</v>
      </c>
      <c r="NH34" s="103"/>
      <c r="NI34" s="117" t="s">
        <v>148</v>
      </c>
      <c r="NJ34" s="129" t="str">
        <f>HLOOKUP(CONCATENATE(NJ$4,NJ$6),RangeMajorsSec,$O34,FALSE)</f>
        <v>Opt-SCCH1</v>
      </c>
      <c r="NK34" s="117" t="s">
        <v>149</v>
      </c>
      <c r="NL34" s="103"/>
      <c r="NM34" s="117" t="s">
        <v>148</v>
      </c>
      <c r="NN34" s="129" t="str">
        <f>HLOOKUP(CONCATENATE(NN$4,NN$6),RangeMajorsSec,$O34,FALSE)</f>
        <v>Opt-SCCH1</v>
      </c>
      <c r="NO34" s="117" t="s">
        <v>149</v>
      </c>
      <c r="NP34" s="103"/>
      <c r="NQ34" s="117" t="s">
        <v>148</v>
      </c>
      <c r="NR34" s="129" t="str">
        <f>HLOOKUP(CONCATENATE(NR$4,NR$6),RangeMajorsSec,$O34,FALSE)</f>
        <v>Opt-SCHB1</v>
      </c>
      <c r="NS34" s="117" t="s">
        <v>149</v>
      </c>
      <c r="NT34" s="103"/>
      <c r="NU34" s="117" t="s">
        <v>148</v>
      </c>
      <c r="NV34" s="129" t="str">
        <f>HLOOKUP(CONCATENATE(NV$4,NV$6),RangeMajorsSec,$O34,FALSE)</f>
        <v>Opt-SCHB1</v>
      </c>
      <c r="NW34" s="117" t="s">
        <v>149</v>
      </c>
      <c r="NX34" s="103"/>
      <c r="NY34" s="117" t="s">
        <v>148</v>
      </c>
      <c r="NZ34" s="129" t="str">
        <f>HLOOKUP(CONCATENATE(NZ$4,NZ$6),RangeMajorsSec,$O34,FALSE)</f>
        <v>Opt-SCHB1</v>
      </c>
      <c r="OA34" s="117" t="s">
        <v>149</v>
      </c>
      <c r="OB34" s="103"/>
      <c r="OC34" s="117" t="s">
        <v>148</v>
      </c>
      <c r="OD34" s="129" t="str">
        <f>HLOOKUP(CONCATENATE(OD$4,OD$6),RangeMajorsSec,$O34,FALSE)</f>
        <v>Opt-SCHB1</v>
      </c>
      <c r="OE34" s="117" t="s">
        <v>149</v>
      </c>
      <c r="OF34" s="103"/>
      <c r="OG34" s="117" t="s">
        <v>148</v>
      </c>
      <c r="OH34" s="129" t="str">
        <f>HLOOKUP(CONCATENATE(OH$4,OH$6),RangeMajorsSec,$O34,FALSE)</f>
        <v>Opt-SCHB1</v>
      </c>
      <c r="OI34" s="117" t="s">
        <v>149</v>
      </c>
      <c r="OJ34" s="103"/>
      <c r="OK34" s="117" t="s">
        <v>148</v>
      </c>
      <c r="OL34" s="129" t="str">
        <f>HLOOKUP(CONCATENATE(OL$4,OL$6),RangeMajorsSec,$O34,FALSE)</f>
        <v>Opt-SCHB1</v>
      </c>
      <c r="OM34" s="117" t="s">
        <v>149</v>
      </c>
      <c r="ON34" s="103"/>
      <c r="OO34" s="117" t="s">
        <v>148</v>
      </c>
      <c r="OP34" s="129" t="str">
        <f>HLOOKUP(CONCATENATE(OP$4,OP$6),RangeMajorsSec,$O34,FALSE)</f>
        <v>Opt-SCHB1</v>
      </c>
      <c r="OQ34" s="117" t="s">
        <v>149</v>
      </c>
      <c r="OR34" s="103"/>
      <c r="OS34" s="117" t="s">
        <v>148</v>
      </c>
      <c r="OT34" s="129" t="str">
        <f>HLOOKUP(CONCATENATE(OT$4,OT$6),RangeMajorsSec,$O34,FALSE)</f>
        <v>Opt-SCHB1</v>
      </c>
      <c r="OU34" s="117" t="s">
        <v>149</v>
      </c>
      <c r="OV34" s="103"/>
      <c r="OW34" s="117" t="s">
        <v>148</v>
      </c>
      <c r="OX34" s="129" t="str">
        <f>HLOOKUP(CONCATENATE(OX$4,OX$6),RangeMajorsSec,$O34,FALSE)</f>
        <v>Opt-SCPS1</v>
      </c>
      <c r="OY34" s="117" t="s">
        <v>149</v>
      </c>
      <c r="OZ34" s="103"/>
      <c r="PA34" s="117" t="s">
        <v>148</v>
      </c>
      <c r="PB34" s="129" t="str">
        <f>HLOOKUP(CONCATENATE(PB$4,PB$6),RangeMajorsSec,$O34,FALSE)</f>
        <v>Opt-SCPS1</v>
      </c>
      <c r="PC34" s="117" t="s">
        <v>149</v>
      </c>
      <c r="PD34" s="103"/>
      <c r="PE34" s="117" t="s">
        <v>148</v>
      </c>
      <c r="PF34" s="129" t="str">
        <f>HLOOKUP(CONCATENATE(PF$4,PF$6),RangeMajorsSec,$O34,FALSE)</f>
        <v>Opt-SCPS1</v>
      </c>
      <c r="PG34" s="117" t="s">
        <v>149</v>
      </c>
      <c r="PH34" s="103"/>
      <c r="PI34" s="117" t="s">
        <v>148</v>
      </c>
      <c r="PJ34" s="129" t="str">
        <f>HLOOKUP(CONCATENATE(PJ$4,PJ$6),RangeMajorsSec,$O34,FALSE)</f>
        <v>Opt-SCPS1</v>
      </c>
      <c r="PK34" s="117" t="s">
        <v>149</v>
      </c>
      <c r="PL34" s="103"/>
      <c r="PM34" s="117" t="s">
        <v>148</v>
      </c>
      <c r="PN34" s="129" t="str">
        <f>HLOOKUP(CONCATENATE(PN$4,PN$6),RangeMajorsSec,$O34,FALSE)</f>
        <v>Opt-SCPS1</v>
      </c>
      <c r="PO34" s="117" t="s">
        <v>149</v>
      </c>
      <c r="PP34" s="103"/>
      <c r="PQ34" s="117" t="s">
        <v>148</v>
      </c>
      <c r="PR34" s="129" t="str">
        <f>HLOOKUP(CONCATENATE(PR$4,PR$6),RangeMajorsSec,$O34,FALSE)</f>
        <v>Opt-SCPS1</v>
      </c>
      <c r="PS34" s="117" t="s">
        <v>149</v>
      </c>
      <c r="PT34" s="103"/>
      <c r="PU34" s="117" t="s">
        <v>148</v>
      </c>
      <c r="PV34" s="129" t="str">
        <f>HLOOKUP(CONCATENATE(PV$4,PV$6),RangeMajorsSec,$O34,FALSE)</f>
        <v>Opt-SCPS1</v>
      </c>
      <c r="PW34" s="117" t="s">
        <v>149</v>
      </c>
      <c r="PX34" s="103"/>
      <c r="PY34" s="117" t="s">
        <v>148</v>
      </c>
      <c r="PZ34" s="129" t="str">
        <f>HLOOKUP(CONCATENATE(PZ$4,PZ$6),RangeMajorsSec,$O34,FALSE)</f>
        <v>Opt-SCPS1</v>
      </c>
      <c r="QA34" s="117" t="s">
        <v>149</v>
      </c>
      <c r="QB34" s="103"/>
      <c r="QC34" s="117" t="s">
        <v>148</v>
      </c>
      <c r="QD34" s="129" t="e">
        <f>HLOOKUP(CONCATENATE(QD$4,QD$6),RangeMajorsSec,$O34,FALSE)</f>
        <v>#N/A</v>
      </c>
      <c r="QE34" s="117" t="s">
        <v>149</v>
      </c>
      <c r="QF34" s="103"/>
      <c r="QG34" s="117" t="s">
        <v>148</v>
      </c>
      <c r="QH34" s="129" t="e">
        <f>HLOOKUP(CONCATENATE(QH$4,QH$6),RangeMajorsSec,$O34,FALSE)</f>
        <v>#N/A</v>
      </c>
      <c r="QI34" s="117" t="s">
        <v>149</v>
      </c>
      <c r="QJ34" s="103"/>
    </row>
    <row r="35" spans="1:452" x14ac:dyDescent="0.25">
      <c r="A35" s="353" t="s">
        <v>408</v>
      </c>
      <c r="B35" s="7" t="s">
        <v>370</v>
      </c>
      <c r="C35" s="268" t="s">
        <v>77</v>
      </c>
      <c r="D35" s="269">
        <v>45658</v>
      </c>
      <c r="E35" s="268">
        <v>6</v>
      </c>
      <c r="F35" s="269">
        <v>45658</v>
      </c>
      <c r="G35" s="7" t="s">
        <v>398</v>
      </c>
      <c r="J35" s="141"/>
      <c r="K35" s="146" t="str">
        <f>INDEX(TableStreams[Choose your Specialisation Stream second (drop-down list)],MATCH(L35,TableStreams[UDC],0))</f>
        <v>The Arts - Performing Arts Education Minor Teaching Area Stream (BEd Secondary)</v>
      </c>
      <c r="L35" s="141" t="s">
        <v>361</v>
      </c>
      <c r="O35" s="19"/>
      <c r="P35" s="3">
        <v>33</v>
      </c>
      <c r="Q35" s="116" t="s">
        <v>149</v>
      </c>
      <c r="R35" s="115" t="s">
        <v>155</v>
      </c>
      <c r="S35" s="116" t="s">
        <v>148</v>
      </c>
      <c r="T35" s="115"/>
      <c r="U35" s="116" t="s">
        <v>149</v>
      </c>
      <c r="V35" s="297" t="str">
        <f>$R35</f>
        <v>EDUC4040</v>
      </c>
      <c r="W35" s="116" t="s">
        <v>148</v>
      </c>
      <c r="X35" s="115"/>
      <c r="Y35" s="116" t="s">
        <v>149</v>
      </c>
      <c r="Z35" s="297" t="str">
        <f>$R35</f>
        <v>EDUC4040</v>
      </c>
      <c r="AA35" s="116" t="s">
        <v>148</v>
      </c>
      <c r="AB35" s="115"/>
      <c r="AC35" s="116" t="s">
        <v>149</v>
      </c>
      <c r="AD35" s="297" t="str">
        <f>$R35</f>
        <v>EDUC4040</v>
      </c>
      <c r="AE35" s="116" t="s">
        <v>148</v>
      </c>
      <c r="AF35" s="115"/>
      <c r="AG35" s="116" t="s">
        <v>149</v>
      </c>
      <c r="AH35" s="297" t="str">
        <f>$R35</f>
        <v>EDUC4040</v>
      </c>
      <c r="AI35" s="116" t="s">
        <v>148</v>
      </c>
      <c r="AJ35" s="115"/>
      <c r="AK35" s="116" t="s">
        <v>149</v>
      </c>
      <c r="AL35" s="297" t="str">
        <f>$R35</f>
        <v>EDUC4040</v>
      </c>
      <c r="AM35" s="116" t="s">
        <v>148</v>
      </c>
      <c r="AN35" s="115"/>
      <c r="AO35" s="116" t="s">
        <v>149</v>
      </c>
      <c r="AP35" s="297" t="str">
        <f>$R35</f>
        <v>EDUC4040</v>
      </c>
      <c r="AQ35" s="116" t="s">
        <v>148</v>
      </c>
      <c r="AR35" s="115"/>
      <c r="AS35" s="116" t="s">
        <v>149</v>
      </c>
      <c r="AT35" s="297" t="str">
        <f>$R35</f>
        <v>EDUC4040</v>
      </c>
      <c r="AU35" s="116" t="s">
        <v>148</v>
      </c>
      <c r="AV35" s="115"/>
      <c r="AW35" s="116" t="s">
        <v>149</v>
      </c>
      <c r="AX35" s="297" t="str">
        <f>$R35</f>
        <v>EDUC4040</v>
      </c>
      <c r="AY35" s="116" t="s">
        <v>148</v>
      </c>
      <c r="AZ35" s="115"/>
      <c r="BA35" s="116" t="s">
        <v>149</v>
      </c>
      <c r="BB35" s="297" t="str">
        <f>$R35</f>
        <v>EDUC4040</v>
      </c>
      <c r="BC35" s="116" t="s">
        <v>148</v>
      </c>
      <c r="BD35" s="115"/>
      <c r="BE35" s="116" t="s">
        <v>149</v>
      </c>
      <c r="BF35" s="297" t="str">
        <f>$R35</f>
        <v>EDUC4040</v>
      </c>
      <c r="BG35" s="116" t="s">
        <v>148</v>
      </c>
      <c r="BH35" s="115"/>
      <c r="BI35" s="116" t="s">
        <v>149</v>
      </c>
      <c r="BJ35" s="297" t="str">
        <f>$R35</f>
        <v>EDUC4040</v>
      </c>
      <c r="BK35" s="116" t="s">
        <v>148</v>
      </c>
      <c r="BL35" s="115"/>
      <c r="BM35" s="116" t="s">
        <v>149</v>
      </c>
      <c r="BN35" s="297" t="str">
        <f>$R35</f>
        <v>EDUC4040</v>
      </c>
      <c r="BO35" s="116" t="s">
        <v>148</v>
      </c>
      <c r="BP35" s="115"/>
      <c r="BQ35" s="116" t="s">
        <v>149</v>
      </c>
      <c r="BR35" s="297" t="str">
        <f>$R35</f>
        <v>EDUC4040</v>
      </c>
      <c r="BS35" s="116" t="s">
        <v>148</v>
      </c>
      <c r="BT35" s="115"/>
      <c r="BU35" s="116" t="s">
        <v>149</v>
      </c>
      <c r="BV35" s="297" t="str">
        <f>$R35</f>
        <v>EDUC4040</v>
      </c>
      <c r="BW35" s="116" t="s">
        <v>148</v>
      </c>
      <c r="BX35" s="115"/>
      <c r="BY35" s="116" t="s">
        <v>149</v>
      </c>
      <c r="BZ35" s="297" t="str">
        <f>$R35</f>
        <v>EDUC4040</v>
      </c>
      <c r="CA35" s="116" t="s">
        <v>148</v>
      </c>
      <c r="CB35" s="115"/>
      <c r="CC35" s="116" t="s">
        <v>149</v>
      </c>
      <c r="CD35" s="297" t="str">
        <f>$R35</f>
        <v>EDUC4040</v>
      </c>
      <c r="CE35" s="116" t="s">
        <v>148</v>
      </c>
      <c r="CF35" s="115"/>
      <c r="CG35" s="116" t="s">
        <v>149</v>
      </c>
      <c r="CH35" s="297" t="str">
        <f>$R35</f>
        <v>EDUC4040</v>
      </c>
      <c r="CI35" s="116" t="s">
        <v>148</v>
      </c>
      <c r="CJ35" s="115"/>
      <c r="CK35" s="116" t="s">
        <v>149</v>
      </c>
      <c r="CL35" s="297" t="str">
        <f>$R35</f>
        <v>EDUC4040</v>
      </c>
      <c r="CM35" s="116" t="s">
        <v>148</v>
      </c>
      <c r="CN35" s="115"/>
      <c r="CO35" s="116" t="s">
        <v>149</v>
      </c>
      <c r="CP35" s="297" t="str">
        <f>$R35</f>
        <v>EDUC4040</v>
      </c>
      <c r="CQ35" s="116" t="s">
        <v>148</v>
      </c>
      <c r="CR35" s="115"/>
      <c r="CS35" s="116" t="s">
        <v>149</v>
      </c>
      <c r="CT35" s="297" t="str">
        <f>$R35</f>
        <v>EDUC4040</v>
      </c>
      <c r="CU35" s="116" t="s">
        <v>148</v>
      </c>
      <c r="CV35" s="115"/>
      <c r="CW35" s="116" t="s">
        <v>149</v>
      </c>
      <c r="CX35" s="297" t="str">
        <f>$R35</f>
        <v>EDUC4040</v>
      </c>
      <c r="CY35" s="116" t="s">
        <v>148</v>
      </c>
      <c r="CZ35" s="115"/>
      <c r="DA35" s="116" t="s">
        <v>149</v>
      </c>
      <c r="DB35" s="297" t="str">
        <f>$R35</f>
        <v>EDUC4040</v>
      </c>
      <c r="DC35" s="116" t="s">
        <v>148</v>
      </c>
      <c r="DD35" s="115"/>
      <c r="DE35" s="116" t="s">
        <v>149</v>
      </c>
      <c r="DF35" s="297" t="str">
        <f>$R35</f>
        <v>EDUC4040</v>
      </c>
      <c r="DG35" s="116" t="s">
        <v>148</v>
      </c>
      <c r="DH35" s="115"/>
      <c r="DI35" s="116" t="s">
        <v>149</v>
      </c>
      <c r="DJ35" s="297" t="str">
        <f>$R35</f>
        <v>EDUC4040</v>
      </c>
      <c r="DK35" s="116" t="s">
        <v>148</v>
      </c>
      <c r="DL35" s="115"/>
      <c r="DM35" s="116" t="s">
        <v>149</v>
      </c>
      <c r="DN35" s="297" t="str">
        <f>$R35</f>
        <v>EDUC4040</v>
      </c>
      <c r="DO35" s="116" t="s">
        <v>148</v>
      </c>
      <c r="DP35" s="115"/>
      <c r="DQ35" s="116" t="s">
        <v>149</v>
      </c>
      <c r="DR35" s="297" t="str">
        <f>$R35</f>
        <v>EDUC4040</v>
      </c>
      <c r="DS35" s="116" t="s">
        <v>148</v>
      </c>
      <c r="DT35" s="115"/>
      <c r="DU35" s="116" t="s">
        <v>149</v>
      </c>
      <c r="DV35" s="297" t="str">
        <f>$R35</f>
        <v>EDUC4040</v>
      </c>
      <c r="DW35" s="116" t="s">
        <v>148</v>
      </c>
      <c r="DX35" s="115"/>
      <c r="DY35" s="116" t="s">
        <v>149</v>
      </c>
      <c r="DZ35" s="297" t="str">
        <f>$R35</f>
        <v>EDUC4040</v>
      </c>
      <c r="EA35" s="116" t="s">
        <v>148</v>
      </c>
      <c r="EB35" s="115"/>
      <c r="EC35" s="116" t="s">
        <v>149</v>
      </c>
      <c r="ED35" s="297" t="str">
        <f>$R35</f>
        <v>EDUC4040</v>
      </c>
      <c r="EE35" s="116" t="s">
        <v>148</v>
      </c>
      <c r="EF35" s="115"/>
      <c r="EG35" s="116" t="s">
        <v>149</v>
      </c>
      <c r="EH35" s="297" t="str">
        <f>$R35</f>
        <v>EDUC4040</v>
      </c>
      <c r="EI35" s="116" t="s">
        <v>148</v>
      </c>
      <c r="EJ35" s="115"/>
      <c r="EK35" s="116" t="s">
        <v>149</v>
      </c>
      <c r="EL35" s="297" t="str">
        <f>$R35</f>
        <v>EDUC4040</v>
      </c>
      <c r="EM35" s="116" t="s">
        <v>148</v>
      </c>
      <c r="EN35" s="115"/>
      <c r="EO35" s="116" t="s">
        <v>149</v>
      </c>
      <c r="EP35" s="297" t="str">
        <f>$R35</f>
        <v>EDUC4040</v>
      </c>
      <c r="EQ35" s="116" t="s">
        <v>148</v>
      </c>
      <c r="ER35" s="115"/>
      <c r="ES35" s="116" t="s">
        <v>149</v>
      </c>
      <c r="ET35" s="297" t="str">
        <f>$R35</f>
        <v>EDUC4040</v>
      </c>
      <c r="EU35" s="116" t="s">
        <v>148</v>
      </c>
      <c r="EV35" s="115"/>
      <c r="EW35" s="116" t="s">
        <v>149</v>
      </c>
      <c r="EX35" s="297" t="str">
        <f>$R35</f>
        <v>EDUC4040</v>
      </c>
      <c r="EY35" s="116" t="s">
        <v>148</v>
      </c>
      <c r="EZ35" s="115"/>
      <c r="FA35" s="116" t="s">
        <v>149</v>
      </c>
      <c r="FB35" s="297" t="str">
        <f>$R35</f>
        <v>EDUC4040</v>
      </c>
      <c r="FC35" s="116" t="s">
        <v>148</v>
      </c>
      <c r="FD35" s="115"/>
      <c r="FE35" s="116" t="s">
        <v>149</v>
      </c>
      <c r="FF35" s="297" t="str">
        <f>$R35</f>
        <v>EDUC4040</v>
      </c>
      <c r="FG35" s="116" t="s">
        <v>148</v>
      </c>
      <c r="FH35" s="115"/>
      <c r="FI35" s="116" t="s">
        <v>149</v>
      </c>
      <c r="FJ35" s="297" t="str">
        <f>$R35</f>
        <v>EDUC4040</v>
      </c>
      <c r="FK35" s="116" t="s">
        <v>148</v>
      </c>
      <c r="FL35" s="115"/>
      <c r="FM35" s="116" t="s">
        <v>149</v>
      </c>
      <c r="FN35" s="297" t="str">
        <f>$R35</f>
        <v>EDUC4040</v>
      </c>
      <c r="FO35" s="116" t="s">
        <v>148</v>
      </c>
      <c r="FP35" s="115"/>
      <c r="FQ35" s="116" t="s">
        <v>149</v>
      </c>
      <c r="FR35" s="297" t="str">
        <f>$R35</f>
        <v>EDUC4040</v>
      </c>
      <c r="FS35" s="116" t="s">
        <v>148</v>
      </c>
      <c r="FT35" s="115"/>
      <c r="FU35" s="116" t="s">
        <v>149</v>
      </c>
      <c r="FV35" s="297" t="str">
        <f>$R35</f>
        <v>EDUC4040</v>
      </c>
      <c r="FW35" s="116" t="s">
        <v>148</v>
      </c>
      <c r="FX35" s="115"/>
      <c r="FY35" s="116" t="s">
        <v>149</v>
      </c>
      <c r="FZ35" s="297" t="str">
        <f>$R35</f>
        <v>EDUC4040</v>
      </c>
      <c r="GA35" s="116" t="s">
        <v>148</v>
      </c>
      <c r="GB35" s="115"/>
      <c r="GC35" s="116" t="s">
        <v>149</v>
      </c>
      <c r="GD35" s="297" t="str">
        <f>$R35</f>
        <v>EDUC4040</v>
      </c>
      <c r="GE35" s="116" t="s">
        <v>148</v>
      </c>
      <c r="GF35" s="115"/>
      <c r="GG35" s="116" t="s">
        <v>149</v>
      </c>
      <c r="GH35" s="297" t="str">
        <f>$R35</f>
        <v>EDUC4040</v>
      </c>
      <c r="GI35" s="116" t="s">
        <v>148</v>
      </c>
      <c r="GJ35" s="115"/>
      <c r="GK35" s="116" t="s">
        <v>149</v>
      </c>
      <c r="GL35" s="297" t="str">
        <f>$R35</f>
        <v>EDUC4040</v>
      </c>
      <c r="GM35" s="116" t="s">
        <v>148</v>
      </c>
      <c r="GN35" s="115"/>
      <c r="GO35" s="116" t="s">
        <v>149</v>
      </c>
      <c r="GP35" s="297" t="str">
        <f>$R35</f>
        <v>EDUC4040</v>
      </c>
      <c r="GQ35" s="116" t="s">
        <v>148</v>
      </c>
      <c r="GR35" s="115"/>
      <c r="GS35" s="116" t="s">
        <v>149</v>
      </c>
      <c r="GT35" s="297" t="str">
        <f>$R35</f>
        <v>EDUC4040</v>
      </c>
      <c r="GU35" s="116" t="s">
        <v>148</v>
      </c>
      <c r="GV35" s="115"/>
      <c r="GW35" s="116" t="s">
        <v>149</v>
      </c>
      <c r="GX35" s="297" t="str">
        <f>$R35</f>
        <v>EDUC4040</v>
      </c>
      <c r="GY35" s="116" t="s">
        <v>148</v>
      </c>
      <c r="GZ35" s="115"/>
      <c r="HA35" s="116" t="s">
        <v>149</v>
      </c>
      <c r="HB35" s="297" t="str">
        <f>$R35</f>
        <v>EDUC4040</v>
      </c>
      <c r="HC35" s="116" t="s">
        <v>148</v>
      </c>
      <c r="HD35" s="115"/>
      <c r="HE35" s="116" t="s">
        <v>149</v>
      </c>
      <c r="HF35" s="297" t="str">
        <f>$R35</f>
        <v>EDUC4040</v>
      </c>
      <c r="HG35" s="116" t="s">
        <v>148</v>
      </c>
      <c r="HH35" s="115"/>
      <c r="HI35" s="116" t="s">
        <v>149</v>
      </c>
      <c r="HJ35" s="297" t="str">
        <f>$R35</f>
        <v>EDUC4040</v>
      </c>
      <c r="HK35" s="116" t="s">
        <v>148</v>
      </c>
      <c r="HL35" s="115"/>
      <c r="HM35" s="116" t="s">
        <v>149</v>
      </c>
      <c r="HN35" s="297" t="str">
        <f>$R35</f>
        <v>EDUC4040</v>
      </c>
      <c r="HO35" s="116" t="s">
        <v>148</v>
      </c>
      <c r="HP35" s="115"/>
      <c r="HQ35" s="116" t="s">
        <v>149</v>
      </c>
      <c r="HR35" s="297" t="str">
        <f>$R35</f>
        <v>EDUC4040</v>
      </c>
      <c r="HS35" s="116" t="s">
        <v>148</v>
      </c>
      <c r="HT35" s="115"/>
      <c r="HU35" s="116" t="s">
        <v>149</v>
      </c>
      <c r="HV35" s="297" t="str">
        <f>$R35</f>
        <v>EDUC4040</v>
      </c>
      <c r="HW35" s="116" t="s">
        <v>148</v>
      </c>
      <c r="HX35" s="115"/>
      <c r="HY35" s="116" t="s">
        <v>149</v>
      </c>
      <c r="HZ35" s="297" t="str">
        <f>$R35</f>
        <v>EDUC4040</v>
      </c>
      <c r="IA35" s="116" t="s">
        <v>148</v>
      </c>
      <c r="IB35" s="115"/>
      <c r="IC35" s="116" t="s">
        <v>149</v>
      </c>
      <c r="ID35" s="297" t="str">
        <f>$R35</f>
        <v>EDUC4040</v>
      </c>
      <c r="IE35" s="116" t="s">
        <v>148</v>
      </c>
      <c r="IF35" s="115"/>
      <c r="IG35" s="116" t="s">
        <v>149</v>
      </c>
      <c r="IH35" s="297" t="str">
        <f>$R35</f>
        <v>EDUC4040</v>
      </c>
      <c r="II35" s="116" t="s">
        <v>148</v>
      </c>
      <c r="IJ35" s="115"/>
      <c r="IK35" s="116" t="s">
        <v>149</v>
      </c>
      <c r="IL35" s="297" t="str">
        <f>$R35</f>
        <v>EDUC4040</v>
      </c>
      <c r="IM35" s="116" t="s">
        <v>148</v>
      </c>
      <c r="IN35" s="115"/>
      <c r="IO35" s="116" t="s">
        <v>149</v>
      </c>
      <c r="IP35" s="297" t="str">
        <f>$R35</f>
        <v>EDUC4040</v>
      </c>
      <c r="IQ35" s="116" t="s">
        <v>148</v>
      </c>
      <c r="IR35" s="115"/>
      <c r="IS35" s="116" t="s">
        <v>149</v>
      </c>
      <c r="IT35" s="297" t="str">
        <f>$R35</f>
        <v>EDUC4040</v>
      </c>
      <c r="IU35" s="116" t="s">
        <v>148</v>
      </c>
      <c r="IV35" s="115"/>
      <c r="IW35" s="116" t="s">
        <v>149</v>
      </c>
      <c r="IX35" s="297" t="str">
        <f>$R35</f>
        <v>EDUC4040</v>
      </c>
      <c r="IY35" s="116" t="s">
        <v>148</v>
      </c>
      <c r="IZ35" s="115"/>
      <c r="JA35" s="116" t="s">
        <v>149</v>
      </c>
      <c r="JB35" s="297" t="str">
        <f>$R35</f>
        <v>EDUC4040</v>
      </c>
      <c r="JC35" s="116" t="s">
        <v>148</v>
      </c>
      <c r="JD35" s="115"/>
      <c r="JE35" s="116" t="s">
        <v>149</v>
      </c>
      <c r="JF35" s="297" t="str">
        <f>$R35</f>
        <v>EDUC4040</v>
      </c>
      <c r="JG35" s="116" t="s">
        <v>148</v>
      </c>
      <c r="JH35" s="115"/>
      <c r="JI35" s="116" t="s">
        <v>149</v>
      </c>
      <c r="JJ35" s="297" t="str">
        <f>$R35</f>
        <v>EDUC4040</v>
      </c>
      <c r="JK35" s="116" t="s">
        <v>148</v>
      </c>
      <c r="JL35" s="115"/>
      <c r="JM35" s="116" t="s">
        <v>149</v>
      </c>
      <c r="JN35" s="297" t="str">
        <f>$R35</f>
        <v>EDUC4040</v>
      </c>
      <c r="JO35" s="116" t="s">
        <v>148</v>
      </c>
      <c r="JP35" s="115"/>
      <c r="JQ35" s="116" t="s">
        <v>149</v>
      </c>
      <c r="JR35" s="297" t="str">
        <f>$R35</f>
        <v>EDUC4040</v>
      </c>
      <c r="JS35" s="116" t="s">
        <v>148</v>
      </c>
      <c r="JT35" s="115"/>
      <c r="JU35" s="116" t="s">
        <v>149</v>
      </c>
      <c r="JV35" s="297" t="str">
        <f>$R35</f>
        <v>EDUC4040</v>
      </c>
      <c r="JW35" s="116" t="s">
        <v>148</v>
      </c>
      <c r="JX35" s="115"/>
      <c r="JY35" s="116" t="s">
        <v>149</v>
      </c>
      <c r="JZ35" s="297" t="str">
        <f>$R35</f>
        <v>EDUC4040</v>
      </c>
      <c r="KA35" s="116" t="s">
        <v>148</v>
      </c>
      <c r="KB35" s="115"/>
      <c r="KC35" s="116" t="s">
        <v>149</v>
      </c>
      <c r="KD35" s="297" t="str">
        <f>$R35</f>
        <v>EDUC4040</v>
      </c>
      <c r="KE35" s="116" t="s">
        <v>148</v>
      </c>
      <c r="KF35" s="115"/>
      <c r="KG35" s="116" t="s">
        <v>149</v>
      </c>
      <c r="KH35" s="297" t="str">
        <f>$R35</f>
        <v>EDUC4040</v>
      </c>
      <c r="KI35" s="116" t="s">
        <v>148</v>
      </c>
      <c r="KJ35" s="115"/>
      <c r="KK35" s="116" t="s">
        <v>149</v>
      </c>
      <c r="KL35" s="297" t="str">
        <f>$R35</f>
        <v>EDUC4040</v>
      </c>
      <c r="KM35" s="116" t="s">
        <v>148</v>
      </c>
      <c r="KN35" s="115"/>
      <c r="KO35" s="116" t="s">
        <v>149</v>
      </c>
      <c r="KP35" s="297" t="str">
        <f>$R35</f>
        <v>EDUC4040</v>
      </c>
      <c r="KQ35" s="116" t="s">
        <v>148</v>
      </c>
      <c r="KR35" s="115"/>
      <c r="KS35" s="116" t="s">
        <v>149</v>
      </c>
      <c r="KT35" s="297" t="str">
        <f>$R35</f>
        <v>EDUC4040</v>
      </c>
      <c r="KU35" s="116" t="s">
        <v>148</v>
      </c>
      <c r="KV35" s="115"/>
      <c r="KW35" s="116" t="s">
        <v>149</v>
      </c>
      <c r="KX35" s="297" t="str">
        <f>$R35</f>
        <v>EDUC4040</v>
      </c>
      <c r="KY35" s="116" t="s">
        <v>148</v>
      </c>
      <c r="KZ35" s="115"/>
      <c r="LA35" s="116" t="s">
        <v>149</v>
      </c>
      <c r="LB35" s="297" t="str">
        <f>$R35</f>
        <v>EDUC4040</v>
      </c>
      <c r="LC35" s="116" t="s">
        <v>148</v>
      </c>
      <c r="LD35" s="115"/>
      <c r="LE35" s="116" t="s">
        <v>149</v>
      </c>
      <c r="LF35" s="297" t="str">
        <f>$R35</f>
        <v>EDUC4040</v>
      </c>
      <c r="LG35" s="116" t="s">
        <v>148</v>
      </c>
      <c r="LH35" s="115"/>
      <c r="LI35" s="116" t="s">
        <v>149</v>
      </c>
      <c r="LJ35" s="297" t="str">
        <f>$R35</f>
        <v>EDUC4040</v>
      </c>
      <c r="LK35" s="116" t="s">
        <v>148</v>
      </c>
      <c r="LL35" s="115"/>
      <c r="LM35" s="116" t="s">
        <v>149</v>
      </c>
      <c r="LN35" s="297" t="str">
        <f>$R35</f>
        <v>EDUC4040</v>
      </c>
      <c r="LO35" s="116" t="s">
        <v>148</v>
      </c>
      <c r="LP35" s="115"/>
      <c r="LQ35" s="116" t="s">
        <v>149</v>
      </c>
      <c r="LR35" s="297" t="str">
        <f>$R35</f>
        <v>EDUC4040</v>
      </c>
      <c r="LS35" s="116" t="s">
        <v>148</v>
      </c>
      <c r="LT35" s="115"/>
      <c r="LU35" s="116" t="s">
        <v>149</v>
      </c>
      <c r="LV35" s="297" t="str">
        <f>$R35</f>
        <v>EDUC4040</v>
      </c>
      <c r="LW35" s="116" t="s">
        <v>148</v>
      </c>
      <c r="LX35" s="115"/>
      <c r="LY35" s="116" t="s">
        <v>149</v>
      </c>
      <c r="LZ35" s="297" t="str">
        <f>$R35</f>
        <v>EDUC4040</v>
      </c>
      <c r="MA35" s="116" t="s">
        <v>148</v>
      </c>
      <c r="MB35" s="115"/>
      <c r="MC35" s="116" t="s">
        <v>149</v>
      </c>
      <c r="MD35" s="297" t="str">
        <f>$R35</f>
        <v>EDUC4040</v>
      </c>
      <c r="ME35" s="116" t="s">
        <v>148</v>
      </c>
      <c r="MF35" s="115"/>
      <c r="MG35" s="116" t="s">
        <v>149</v>
      </c>
      <c r="MH35" s="297" t="str">
        <f>$R35</f>
        <v>EDUC4040</v>
      </c>
      <c r="MI35" s="116" t="s">
        <v>148</v>
      </c>
      <c r="MJ35" s="115"/>
      <c r="MK35" s="116" t="s">
        <v>149</v>
      </c>
      <c r="ML35" s="297" t="str">
        <f>$R35</f>
        <v>EDUC4040</v>
      </c>
      <c r="MM35" s="116" t="s">
        <v>148</v>
      </c>
      <c r="MN35" s="115"/>
      <c r="MO35" s="116" t="s">
        <v>149</v>
      </c>
      <c r="MP35" s="297" t="str">
        <f>$R35</f>
        <v>EDUC4040</v>
      </c>
      <c r="MQ35" s="116" t="s">
        <v>148</v>
      </c>
      <c r="MR35" s="115"/>
      <c r="MS35" s="116" t="s">
        <v>149</v>
      </c>
      <c r="MT35" s="297" t="str">
        <f>$R35</f>
        <v>EDUC4040</v>
      </c>
      <c r="MU35" s="116" t="s">
        <v>148</v>
      </c>
      <c r="MV35" s="115"/>
      <c r="MW35" s="116" t="s">
        <v>149</v>
      </c>
      <c r="MX35" s="297" t="str">
        <f>$R35</f>
        <v>EDUC4040</v>
      </c>
      <c r="MY35" s="116" t="s">
        <v>148</v>
      </c>
      <c r="MZ35" s="115"/>
      <c r="NA35" s="116" t="s">
        <v>149</v>
      </c>
      <c r="NB35" s="297" t="str">
        <f>$R35</f>
        <v>EDUC4040</v>
      </c>
      <c r="NC35" s="116" t="s">
        <v>148</v>
      </c>
      <c r="ND35" s="115"/>
      <c r="NE35" s="116" t="s">
        <v>149</v>
      </c>
      <c r="NF35" s="297" t="str">
        <f>$R35</f>
        <v>EDUC4040</v>
      </c>
      <c r="NG35" s="116" t="s">
        <v>148</v>
      </c>
      <c r="NH35" s="115"/>
      <c r="NI35" s="116" t="s">
        <v>149</v>
      </c>
      <c r="NJ35" s="297" t="str">
        <f>$R35</f>
        <v>EDUC4040</v>
      </c>
      <c r="NK35" s="116" t="s">
        <v>148</v>
      </c>
      <c r="NL35" s="115"/>
      <c r="NM35" s="116" t="s">
        <v>149</v>
      </c>
      <c r="NN35" s="297" t="str">
        <f>$R35</f>
        <v>EDUC4040</v>
      </c>
      <c r="NO35" s="116" t="s">
        <v>148</v>
      </c>
      <c r="NP35" s="115"/>
      <c r="NQ35" s="116" t="s">
        <v>149</v>
      </c>
      <c r="NR35" s="297" t="str">
        <f>$R35</f>
        <v>EDUC4040</v>
      </c>
      <c r="NS35" s="116" t="s">
        <v>148</v>
      </c>
      <c r="NT35" s="115"/>
      <c r="NU35" s="116" t="s">
        <v>149</v>
      </c>
      <c r="NV35" s="297" t="str">
        <f>$R35</f>
        <v>EDUC4040</v>
      </c>
      <c r="NW35" s="116" t="s">
        <v>148</v>
      </c>
      <c r="NX35" s="115"/>
      <c r="NY35" s="116" t="s">
        <v>149</v>
      </c>
      <c r="NZ35" s="297" t="str">
        <f>$R35</f>
        <v>EDUC4040</v>
      </c>
      <c r="OA35" s="116" t="s">
        <v>148</v>
      </c>
      <c r="OB35" s="115"/>
      <c r="OC35" s="116" t="s">
        <v>149</v>
      </c>
      <c r="OD35" s="297" t="str">
        <f>$R35</f>
        <v>EDUC4040</v>
      </c>
      <c r="OE35" s="116" t="s">
        <v>148</v>
      </c>
      <c r="OF35" s="115"/>
      <c r="OG35" s="116" t="s">
        <v>149</v>
      </c>
      <c r="OH35" s="297" t="str">
        <f>$R35</f>
        <v>EDUC4040</v>
      </c>
      <c r="OI35" s="116" t="s">
        <v>148</v>
      </c>
      <c r="OJ35" s="115"/>
      <c r="OK35" s="116" t="s">
        <v>149</v>
      </c>
      <c r="OL35" s="297" t="str">
        <f>$R35</f>
        <v>EDUC4040</v>
      </c>
      <c r="OM35" s="116" t="s">
        <v>148</v>
      </c>
      <c r="ON35" s="115"/>
      <c r="OO35" s="116" t="s">
        <v>149</v>
      </c>
      <c r="OP35" s="297" t="str">
        <f>$R35</f>
        <v>EDUC4040</v>
      </c>
      <c r="OQ35" s="116" t="s">
        <v>148</v>
      </c>
      <c r="OR35" s="115"/>
      <c r="OS35" s="116" t="s">
        <v>149</v>
      </c>
      <c r="OT35" s="297" t="str">
        <f>$R35</f>
        <v>EDUC4040</v>
      </c>
      <c r="OU35" s="116" t="s">
        <v>148</v>
      </c>
      <c r="OV35" s="115"/>
      <c r="OW35" s="116" t="s">
        <v>149</v>
      </c>
      <c r="OX35" s="297" t="str">
        <f>$R35</f>
        <v>EDUC4040</v>
      </c>
      <c r="OY35" s="116" t="s">
        <v>148</v>
      </c>
      <c r="OZ35" s="115"/>
      <c r="PA35" s="116" t="s">
        <v>149</v>
      </c>
      <c r="PB35" s="297" t="str">
        <f>$R35</f>
        <v>EDUC4040</v>
      </c>
      <c r="PC35" s="116" t="s">
        <v>148</v>
      </c>
      <c r="PD35" s="115"/>
      <c r="PE35" s="116" t="s">
        <v>149</v>
      </c>
      <c r="PF35" s="297" t="str">
        <f>$R35</f>
        <v>EDUC4040</v>
      </c>
      <c r="PG35" s="116" t="s">
        <v>148</v>
      </c>
      <c r="PH35" s="115"/>
      <c r="PI35" s="116" t="s">
        <v>149</v>
      </c>
      <c r="PJ35" s="297" t="str">
        <f>$R35</f>
        <v>EDUC4040</v>
      </c>
      <c r="PK35" s="116" t="s">
        <v>148</v>
      </c>
      <c r="PL35" s="115"/>
      <c r="PM35" s="116" t="s">
        <v>149</v>
      </c>
      <c r="PN35" s="297" t="str">
        <f>$R35</f>
        <v>EDUC4040</v>
      </c>
      <c r="PO35" s="116" t="s">
        <v>148</v>
      </c>
      <c r="PP35" s="115"/>
      <c r="PQ35" s="116" t="s">
        <v>149</v>
      </c>
      <c r="PR35" s="297" t="str">
        <f>$R35</f>
        <v>EDUC4040</v>
      </c>
      <c r="PS35" s="116" t="s">
        <v>148</v>
      </c>
      <c r="PT35" s="115"/>
      <c r="PU35" s="116" t="s">
        <v>149</v>
      </c>
      <c r="PV35" s="297" t="str">
        <f>$R35</f>
        <v>EDUC4040</v>
      </c>
      <c r="PW35" s="116" t="s">
        <v>148</v>
      </c>
      <c r="PX35" s="115"/>
      <c r="PY35" s="116" t="s">
        <v>149</v>
      </c>
      <c r="PZ35" s="297" t="str">
        <f>$R35</f>
        <v>EDUC4040</v>
      </c>
      <c r="QA35" s="116" t="s">
        <v>148</v>
      </c>
      <c r="QB35" s="115"/>
      <c r="QC35" s="116" t="s">
        <v>149</v>
      </c>
      <c r="QD35" s="297" t="str">
        <f>$R35</f>
        <v>EDUC4040</v>
      </c>
      <c r="QE35" s="116" t="s">
        <v>148</v>
      </c>
      <c r="QF35" s="115"/>
      <c r="QG35" s="116" t="s">
        <v>149</v>
      </c>
      <c r="QH35" s="297" t="str">
        <f>$R35</f>
        <v>EDUC4040</v>
      </c>
      <c r="QI35" s="116" t="s">
        <v>148</v>
      </c>
      <c r="QJ35" s="115"/>
    </row>
    <row r="36" spans="1:452" x14ac:dyDescent="0.25">
      <c r="A36" s="353" t="s">
        <v>409</v>
      </c>
      <c r="B36" s="7" t="s">
        <v>366</v>
      </c>
      <c r="C36" s="268" t="s">
        <v>72</v>
      </c>
      <c r="D36" s="269">
        <v>45658</v>
      </c>
      <c r="E36" s="268">
        <v>5</v>
      </c>
      <c r="F36" s="269">
        <v>45658</v>
      </c>
      <c r="G36" s="7" t="s">
        <v>398</v>
      </c>
      <c r="J36" s="141"/>
      <c r="K36" s="146" t="str">
        <f>INDEX(TableStreams[Choose your Specialisation Stream second (drop-down list)],MATCH(L36,TableStreams[UDC],0))</f>
        <v>The Arts - Visual Arts Education Minor Teaching Area Stream (BEd Secondary)</v>
      </c>
      <c r="L36" s="141" t="s">
        <v>217</v>
      </c>
      <c r="O36" s="19"/>
      <c r="P36" s="19">
        <v>34</v>
      </c>
      <c r="Q36" s="117" t="s">
        <v>149</v>
      </c>
      <c r="R36" s="124" t="s">
        <v>158</v>
      </c>
      <c r="S36" s="117" t="s">
        <v>148</v>
      </c>
      <c r="T36" s="104"/>
      <c r="U36" s="117" t="s">
        <v>149</v>
      </c>
      <c r="V36" s="301" t="str">
        <f>$R36</f>
        <v>-2-</v>
      </c>
      <c r="W36" s="117" t="s">
        <v>148</v>
      </c>
      <c r="X36" s="104"/>
      <c r="Y36" s="117" t="s">
        <v>149</v>
      </c>
      <c r="Z36" s="301" t="str">
        <f>$R36</f>
        <v>-2-</v>
      </c>
      <c r="AA36" s="117" t="s">
        <v>148</v>
      </c>
      <c r="AB36" s="104"/>
      <c r="AC36" s="117" t="s">
        <v>149</v>
      </c>
      <c r="AD36" s="301" t="str">
        <f>$R36</f>
        <v>-2-</v>
      </c>
      <c r="AE36" s="117" t="s">
        <v>148</v>
      </c>
      <c r="AF36" s="104"/>
      <c r="AG36" s="117" t="s">
        <v>149</v>
      </c>
      <c r="AH36" s="301" t="str">
        <f>$R36</f>
        <v>-2-</v>
      </c>
      <c r="AI36" s="117" t="s">
        <v>148</v>
      </c>
      <c r="AJ36" s="104"/>
      <c r="AK36" s="117" t="s">
        <v>149</v>
      </c>
      <c r="AL36" s="301" t="str">
        <f>$R36</f>
        <v>-2-</v>
      </c>
      <c r="AM36" s="117" t="s">
        <v>148</v>
      </c>
      <c r="AN36" s="104"/>
      <c r="AO36" s="117" t="s">
        <v>149</v>
      </c>
      <c r="AP36" s="301" t="str">
        <f>$R36</f>
        <v>-2-</v>
      </c>
      <c r="AQ36" s="117" t="s">
        <v>148</v>
      </c>
      <c r="AR36" s="104"/>
      <c r="AS36" s="117" t="s">
        <v>149</v>
      </c>
      <c r="AT36" s="301" t="str">
        <f>$R36</f>
        <v>-2-</v>
      </c>
      <c r="AU36" s="117" t="s">
        <v>148</v>
      </c>
      <c r="AV36" s="104"/>
      <c r="AW36" s="117" t="s">
        <v>149</v>
      </c>
      <c r="AX36" s="301" t="str">
        <f>$R36</f>
        <v>-2-</v>
      </c>
      <c r="AY36" s="117" t="s">
        <v>148</v>
      </c>
      <c r="AZ36" s="104"/>
      <c r="BA36" s="117" t="s">
        <v>149</v>
      </c>
      <c r="BB36" s="301" t="str">
        <f>$R36</f>
        <v>-2-</v>
      </c>
      <c r="BC36" s="117" t="s">
        <v>148</v>
      </c>
      <c r="BD36" s="104"/>
      <c r="BE36" s="117" t="s">
        <v>149</v>
      </c>
      <c r="BF36" s="301" t="str">
        <f>$R36</f>
        <v>-2-</v>
      </c>
      <c r="BG36" s="117" t="s">
        <v>148</v>
      </c>
      <c r="BH36" s="104"/>
      <c r="BI36" s="117" t="s">
        <v>149</v>
      </c>
      <c r="BJ36" s="301" t="str">
        <f>$R36</f>
        <v>-2-</v>
      </c>
      <c r="BK36" s="117" t="s">
        <v>148</v>
      </c>
      <c r="BL36" s="104"/>
      <c r="BM36" s="117" t="s">
        <v>149</v>
      </c>
      <c r="BN36" s="301" t="str">
        <f>$R36</f>
        <v>-2-</v>
      </c>
      <c r="BO36" s="117" t="s">
        <v>148</v>
      </c>
      <c r="BP36" s="104"/>
      <c r="BQ36" s="117" t="s">
        <v>149</v>
      </c>
      <c r="BR36" s="301" t="str">
        <f>$R36</f>
        <v>-2-</v>
      </c>
      <c r="BS36" s="117" t="s">
        <v>148</v>
      </c>
      <c r="BT36" s="104"/>
      <c r="BU36" s="117" t="s">
        <v>149</v>
      </c>
      <c r="BV36" s="301" t="str">
        <f>$R36</f>
        <v>-2-</v>
      </c>
      <c r="BW36" s="117" t="s">
        <v>148</v>
      </c>
      <c r="BX36" s="104"/>
      <c r="BY36" s="117" t="s">
        <v>149</v>
      </c>
      <c r="BZ36" s="301" t="str">
        <f>$R36</f>
        <v>-2-</v>
      </c>
      <c r="CA36" s="117" t="s">
        <v>148</v>
      </c>
      <c r="CB36" s="104"/>
      <c r="CC36" s="117" t="s">
        <v>149</v>
      </c>
      <c r="CD36" s="301" t="str">
        <f>$R36</f>
        <v>-2-</v>
      </c>
      <c r="CE36" s="117" t="s">
        <v>148</v>
      </c>
      <c r="CF36" s="104"/>
      <c r="CG36" s="117" t="s">
        <v>149</v>
      </c>
      <c r="CH36" s="301" t="str">
        <f>$R36</f>
        <v>-2-</v>
      </c>
      <c r="CI36" s="117" t="s">
        <v>148</v>
      </c>
      <c r="CJ36" s="104"/>
      <c r="CK36" s="117" t="s">
        <v>149</v>
      </c>
      <c r="CL36" s="301" t="str">
        <f>$R36</f>
        <v>-2-</v>
      </c>
      <c r="CM36" s="117" t="s">
        <v>148</v>
      </c>
      <c r="CN36" s="104"/>
      <c r="CO36" s="117" t="s">
        <v>149</v>
      </c>
      <c r="CP36" s="301" t="str">
        <f>$R36</f>
        <v>-2-</v>
      </c>
      <c r="CQ36" s="117" t="s">
        <v>148</v>
      </c>
      <c r="CR36" s="104"/>
      <c r="CS36" s="117" t="s">
        <v>149</v>
      </c>
      <c r="CT36" s="301" t="str">
        <f>$R36</f>
        <v>-2-</v>
      </c>
      <c r="CU36" s="117" t="s">
        <v>148</v>
      </c>
      <c r="CV36" s="104"/>
      <c r="CW36" s="117" t="s">
        <v>149</v>
      </c>
      <c r="CX36" s="301" t="str">
        <f>$R36</f>
        <v>-2-</v>
      </c>
      <c r="CY36" s="117" t="s">
        <v>148</v>
      </c>
      <c r="CZ36" s="104"/>
      <c r="DA36" s="117" t="s">
        <v>149</v>
      </c>
      <c r="DB36" s="301" t="str">
        <f>$R36</f>
        <v>-2-</v>
      </c>
      <c r="DC36" s="117" t="s">
        <v>148</v>
      </c>
      <c r="DD36" s="104"/>
      <c r="DE36" s="117" t="s">
        <v>149</v>
      </c>
      <c r="DF36" s="301" t="str">
        <f>$R36</f>
        <v>-2-</v>
      </c>
      <c r="DG36" s="117" t="s">
        <v>148</v>
      </c>
      <c r="DH36" s="104"/>
      <c r="DI36" s="117" t="s">
        <v>149</v>
      </c>
      <c r="DJ36" s="301" t="str">
        <f>$R36</f>
        <v>-2-</v>
      </c>
      <c r="DK36" s="117" t="s">
        <v>148</v>
      </c>
      <c r="DL36" s="104"/>
      <c r="DM36" s="117" t="s">
        <v>149</v>
      </c>
      <c r="DN36" s="301" t="str">
        <f>$R36</f>
        <v>-2-</v>
      </c>
      <c r="DO36" s="117" t="s">
        <v>148</v>
      </c>
      <c r="DP36" s="104"/>
      <c r="DQ36" s="117" t="s">
        <v>149</v>
      </c>
      <c r="DR36" s="301" t="str">
        <f>$R36</f>
        <v>-2-</v>
      </c>
      <c r="DS36" s="117" t="s">
        <v>148</v>
      </c>
      <c r="DT36" s="104"/>
      <c r="DU36" s="117" t="s">
        <v>149</v>
      </c>
      <c r="DV36" s="301" t="str">
        <f>$R36</f>
        <v>-2-</v>
      </c>
      <c r="DW36" s="117" t="s">
        <v>148</v>
      </c>
      <c r="DX36" s="104"/>
      <c r="DY36" s="117" t="s">
        <v>149</v>
      </c>
      <c r="DZ36" s="301" t="str">
        <f>$R36</f>
        <v>-2-</v>
      </c>
      <c r="EA36" s="117" t="s">
        <v>148</v>
      </c>
      <c r="EB36" s="104"/>
      <c r="EC36" s="117" t="s">
        <v>149</v>
      </c>
      <c r="ED36" s="301" t="str">
        <f>$R36</f>
        <v>-2-</v>
      </c>
      <c r="EE36" s="117" t="s">
        <v>148</v>
      </c>
      <c r="EF36" s="104"/>
      <c r="EG36" s="117" t="s">
        <v>149</v>
      </c>
      <c r="EH36" s="301" t="str">
        <f>$R36</f>
        <v>-2-</v>
      </c>
      <c r="EI36" s="117" t="s">
        <v>148</v>
      </c>
      <c r="EJ36" s="104"/>
      <c r="EK36" s="117" t="s">
        <v>149</v>
      </c>
      <c r="EL36" s="301" t="str">
        <f>$R36</f>
        <v>-2-</v>
      </c>
      <c r="EM36" s="117" t="s">
        <v>148</v>
      </c>
      <c r="EN36" s="104"/>
      <c r="EO36" s="117" t="s">
        <v>149</v>
      </c>
      <c r="EP36" s="301" t="str">
        <f>$R36</f>
        <v>-2-</v>
      </c>
      <c r="EQ36" s="117" t="s">
        <v>148</v>
      </c>
      <c r="ER36" s="104"/>
      <c r="ES36" s="117" t="s">
        <v>149</v>
      </c>
      <c r="ET36" s="301" t="str">
        <f>$R36</f>
        <v>-2-</v>
      </c>
      <c r="EU36" s="117" t="s">
        <v>148</v>
      </c>
      <c r="EV36" s="104"/>
      <c r="EW36" s="117" t="s">
        <v>149</v>
      </c>
      <c r="EX36" s="301" t="str">
        <f>$R36</f>
        <v>-2-</v>
      </c>
      <c r="EY36" s="117" t="s">
        <v>148</v>
      </c>
      <c r="EZ36" s="104"/>
      <c r="FA36" s="117" t="s">
        <v>149</v>
      </c>
      <c r="FB36" s="301" t="str">
        <f>$R36</f>
        <v>-2-</v>
      </c>
      <c r="FC36" s="117" t="s">
        <v>148</v>
      </c>
      <c r="FD36" s="104"/>
      <c r="FE36" s="117" t="s">
        <v>149</v>
      </c>
      <c r="FF36" s="301" t="str">
        <f>$R36</f>
        <v>-2-</v>
      </c>
      <c r="FG36" s="117" t="s">
        <v>148</v>
      </c>
      <c r="FH36" s="104"/>
      <c r="FI36" s="117" t="s">
        <v>149</v>
      </c>
      <c r="FJ36" s="301" t="str">
        <f>$R36</f>
        <v>-2-</v>
      </c>
      <c r="FK36" s="117" t="s">
        <v>148</v>
      </c>
      <c r="FL36" s="104"/>
      <c r="FM36" s="117" t="s">
        <v>149</v>
      </c>
      <c r="FN36" s="301" t="str">
        <f>$R36</f>
        <v>-2-</v>
      </c>
      <c r="FO36" s="117" t="s">
        <v>148</v>
      </c>
      <c r="FP36" s="104"/>
      <c r="FQ36" s="117" t="s">
        <v>149</v>
      </c>
      <c r="FR36" s="301" t="str">
        <f>$R36</f>
        <v>-2-</v>
      </c>
      <c r="FS36" s="117" t="s">
        <v>148</v>
      </c>
      <c r="FT36" s="104"/>
      <c r="FU36" s="117" t="s">
        <v>149</v>
      </c>
      <c r="FV36" s="301" t="str">
        <f>$R36</f>
        <v>-2-</v>
      </c>
      <c r="FW36" s="117" t="s">
        <v>148</v>
      </c>
      <c r="FX36" s="104"/>
      <c r="FY36" s="117" t="s">
        <v>149</v>
      </c>
      <c r="FZ36" s="301" t="str">
        <f>$R36</f>
        <v>-2-</v>
      </c>
      <c r="GA36" s="117" t="s">
        <v>148</v>
      </c>
      <c r="GB36" s="104"/>
      <c r="GC36" s="117" t="s">
        <v>149</v>
      </c>
      <c r="GD36" s="301" t="str">
        <f>$R36</f>
        <v>-2-</v>
      </c>
      <c r="GE36" s="117" t="s">
        <v>148</v>
      </c>
      <c r="GF36" s="104"/>
      <c r="GG36" s="117" t="s">
        <v>149</v>
      </c>
      <c r="GH36" s="301" t="str">
        <f>$R36</f>
        <v>-2-</v>
      </c>
      <c r="GI36" s="117" t="s">
        <v>148</v>
      </c>
      <c r="GJ36" s="104"/>
      <c r="GK36" s="117" t="s">
        <v>149</v>
      </c>
      <c r="GL36" s="301" t="str">
        <f>$R36</f>
        <v>-2-</v>
      </c>
      <c r="GM36" s="117" t="s">
        <v>148</v>
      </c>
      <c r="GN36" s="104"/>
      <c r="GO36" s="117" t="s">
        <v>149</v>
      </c>
      <c r="GP36" s="301" t="str">
        <f>$R36</f>
        <v>-2-</v>
      </c>
      <c r="GQ36" s="117" t="s">
        <v>148</v>
      </c>
      <c r="GR36" s="104"/>
      <c r="GS36" s="117" t="s">
        <v>149</v>
      </c>
      <c r="GT36" s="301" t="str">
        <f>$R36</f>
        <v>-2-</v>
      </c>
      <c r="GU36" s="117" t="s">
        <v>148</v>
      </c>
      <c r="GV36" s="104"/>
      <c r="GW36" s="117" t="s">
        <v>149</v>
      </c>
      <c r="GX36" s="301" t="str">
        <f>$R36</f>
        <v>-2-</v>
      </c>
      <c r="GY36" s="117" t="s">
        <v>148</v>
      </c>
      <c r="GZ36" s="104"/>
      <c r="HA36" s="117" t="s">
        <v>149</v>
      </c>
      <c r="HB36" s="301" t="str">
        <f>$R36</f>
        <v>-2-</v>
      </c>
      <c r="HC36" s="117" t="s">
        <v>148</v>
      </c>
      <c r="HD36" s="104"/>
      <c r="HE36" s="117" t="s">
        <v>149</v>
      </c>
      <c r="HF36" s="301" t="str">
        <f>$R36</f>
        <v>-2-</v>
      </c>
      <c r="HG36" s="117" t="s">
        <v>148</v>
      </c>
      <c r="HH36" s="104"/>
      <c r="HI36" s="117" t="s">
        <v>149</v>
      </c>
      <c r="HJ36" s="301" t="str">
        <f>$R36</f>
        <v>-2-</v>
      </c>
      <c r="HK36" s="117" t="s">
        <v>148</v>
      </c>
      <c r="HL36" s="104"/>
      <c r="HM36" s="117" t="s">
        <v>149</v>
      </c>
      <c r="HN36" s="301" t="str">
        <f>$R36</f>
        <v>-2-</v>
      </c>
      <c r="HO36" s="117" t="s">
        <v>148</v>
      </c>
      <c r="HP36" s="104"/>
      <c r="HQ36" s="117" t="s">
        <v>149</v>
      </c>
      <c r="HR36" s="301" t="str">
        <f>$R36</f>
        <v>-2-</v>
      </c>
      <c r="HS36" s="117" t="s">
        <v>148</v>
      </c>
      <c r="HT36" s="104"/>
      <c r="HU36" s="117" t="s">
        <v>149</v>
      </c>
      <c r="HV36" s="301" t="str">
        <f>$R36</f>
        <v>-2-</v>
      </c>
      <c r="HW36" s="117" t="s">
        <v>148</v>
      </c>
      <c r="HX36" s="104"/>
      <c r="HY36" s="117" t="s">
        <v>149</v>
      </c>
      <c r="HZ36" s="301" t="str">
        <f>$R36</f>
        <v>-2-</v>
      </c>
      <c r="IA36" s="117" t="s">
        <v>148</v>
      </c>
      <c r="IB36" s="104"/>
      <c r="IC36" s="117" t="s">
        <v>149</v>
      </c>
      <c r="ID36" s="301" t="str">
        <f>$R36</f>
        <v>-2-</v>
      </c>
      <c r="IE36" s="117" t="s">
        <v>148</v>
      </c>
      <c r="IF36" s="104"/>
      <c r="IG36" s="117" t="s">
        <v>149</v>
      </c>
      <c r="IH36" s="301" t="str">
        <f>$R36</f>
        <v>-2-</v>
      </c>
      <c r="II36" s="117" t="s">
        <v>148</v>
      </c>
      <c r="IJ36" s="104"/>
      <c r="IK36" s="117" t="s">
        <v>149</v>
      </c>
      <c r="IL36" s="301" t="str">
        <f>$R36</f>
        <v>-2-</v>
      </c>
      <c r="IM36" s="117" t="s">
        <v>148</v>
      </c>
      <c r="IN36" s="104"/>
      <c r="IO36" s="117" t="s">
        <v>149</v>
      </c>
      <c r="IP36" s="301" t="str">
        <f>$R36</f>
        <v>-2-</v>
      </c>
      <c r="IQ36" s="117" t="s">
        <v>148</v>
      </c>
      <c r="IR36" s="104"/>
      <c r="IS36" s="117" t="s">
        <v>149</v>
      </c>
      <c r="IT36" s="301" t="str">
        <f>$R36</f>
        <v>-2-</v>
      </c>
      <c r="IU36" s="117" t="s">
        <v>148</v>
      </c>
      <c r="IV36" s="104"/>
      <c r="IW36" s="117" t="s">
        <v>149</v>
      </c>
      <c r="IX36" s="301" t="str">
        <f>$R36</f>
        <v>-2-</v>
      </c>
      <c r="IY36" s="117" t="s">
        <v>148</v>
      </c>
      <c r="IZ36" s="104"/>
      <c r="JA36" s="117" t="s">
        <v>149</v>
      </c>
      <c r="JB36" s="301" t="str">
        <f>$R36</f>
        <v>-2-</v>
      </c>
      <c r="JC36" s="117" t="s">
        <v>148</v>
      </c>
      <c r="JD36" s="104"/>
      <c r="JE36" s="117" t="s">
        <v>149</v>
      </c>
      <c r="JF36" s="301" t="str">
        <f>$R36</f>
        <v>-2-</v>
      </c>
      <c r="JG36" s="117" t="s">
        <v>148</v>
      </c>
      <c r="JH36" s="104"/>
      <c r="JI36" s="117" t="s">
        <v>149</v>
      </c>
      <c r="JJ36" s="301" t="str">
        <f>$R36</f>
        <v>-2-</v>
      </c>
      <c r="JK36" s="117" t="s">
        <v>148</v>
      </c>
      <c r="JL36" s="104"/>
      <c r="JM36" s="117" t="s">
        <v>149</v>
      </c>
      <c r="JN36" s="301" t="str">
        <f>$R36</f>
        <v>-2-</v>
      </c>
      <c r="JO36" s="117" t="s">
        <v>148</v>
      </c>
      <c r="JP36" s="104"/>
      <c r="JQ36" s="117" t="s">
        <v>149</v>
      </c>
      <c r="JR36" s="301" t="str">
        <f>$R36</f>
        <v>-2-</v>
      </c>
      <c r="JS36" s="117" t="s">
        <v>148</v>
      </c>
      <c r="JT36" s="104"/>
      <c r="JU36" s="117" t="s">
        <v>149</v>
      </c>
      <c r="JV36" s="301" t="str">
        <f>$R36</f>
        <v>-2-</v>
      </c>
      <c r="JW36" s="117" t="s">
        <v>148</v>
      </c>
      <c r="JX36" s="104"/>
      <c r="JY36" s="117" t="s">
        <v>149</v>
      </c>
      <c r="JZ36" s="301" t="str">
        <f>$R36</f>
        <v>-2-</v>
      </c>
      <c r="KA36" s="117" t="s">
        <v>148</v>
      </c>
      <c r="KB36" s="104"/>
      <c r="KC36" s="117" t="s">
        <v>149</v>
      </c>
      <c r="KD36" s="301" t="str">
        <f>$R36</f>
        <v>-2-</v>
      </c>
      <c r="KE36" s="117" t="s">
        <v>148</v>
      </c>
      <c r="KF36" s="104"/>
      <c r="KG36" s="117" t="s">
        <v>149</v>
      </c>
      <c r="KH36" s="301" t="str">
        <f>$R36</f>
        <v>-2-</v>
      </c>
      <c r="KI36" s="117" t="s">
        <v>148</v>
      </c>
      <c r="KJ36" s="104"/>
      <c r="KK36" s="117" t="s">
        <v>149</v>
      </c>
      <c r="KL36" s="301" t="str">
        <f>$R36</f>
        <v>-2-</v>
      </c>
      <c r="KM36" s="117" t="s">
        <v>148</v>
      </c>
      <c r="KN36" s="104"/>
      <c r="KO36" s="117" t="s">
        <v>149</v>
      </c>
      <c r="KP36" s="301" t="str">
        <f>$R36</f>
        <v>-2-</v>
      </c>
      <c r="KQ36" s="117" t="s">
        <v>148</v>
      </c>
      <c r="KR36" s="104"/>
      <c r="KS36" s="117" t="s">
        <v>149</v>
      </c>
      <c r="KT36" s="301" t="str">
        <f>$R36</f>
        <v>-2-</v>
      </c>
      <c r="KU36" s="117" t="s">
        <v>148</v>
      </c>
      <c r="KV36" s="104"/>
      <c r="KW36" s="117" t="s">
        <v>149</v>
      </c>
      <c r="KX36" s="301" t="str">
        <f>$R36</f>
        <v>-2-</v>
      </c>
      <c r="KY36" s="117" t="s">
        <v>148</v>
      </c>
      <c r="KZ36" s="104"/>
      <c r="LA36" s="117" t="s">
        <v>149</v>
      </c>
      <c r="LB36" s="301" t="str">
        <f>$R36</f>
        <v>-2-</v>
      </c>
      <c r="LC36" s="117" t="s">
        <v>148</v>
      </c>
      <c r="LD36" s="104"/>
      <c r="LE36" s="117" t="s">
        <v>149</v>
      </c>
      <c r="LF36" s="301" t="str">
        <f>$R36</f>
        <v>-2-</v>
      </c>
      <c r="LG36" s="117" t="s">
        <v>148</v>
      </c>
      <c r="LH36" s="104"/>
      <c r="LI36" s="117" t="s">
        <v>149</v>
      </c>
      <c r="LJ36" s="301" t="str">
        <f>$R36</f>
        <v>-2-</v>
      </c>
      <c r="LK36" s="117" t="s">
        <v>148</v>
      </c>
      <c r="LL36" s="104"/>
      <c r="LM36" s="117" t="s">
        <v>149</v>
      </c>
      <c r="LN36" s="301" t="str">
        <f>$R36</f>
        <v>-2-</v>
      </c>
      <c r="LO36" s="117" t="s">
        <v>148</v>
      </c>
      <c r="LP36" s="104"/>
      <c r="LQ36" s="117" t="s">
        <v>149</v>
      </c>
      <c r="LR36" s="301" t="str">
        <f>$R36</f>
        <v>-2-</v>
      </c>
      <c r="LS36" s="117" t="s">
        <v>148</v>
      </c>
      <c r="LT36" s="104"/>
      <c r="LU36" s="117" t="s">
        <v>149</v>
      </c>
      <c r="LV36" s="301" t="str">
        <f>$R36</f>
        <v>-2-</v>
      </c>
      <c r="LW36" s="117" t="s">
        <v>148</v>
      </c>
      <c r="LX36" s="104"/>
      <c r="LY36" s="117" t="s">
        <v>149</v>
      </c>
      <c r="LZ36" s="301" t="str">
        <f>$R36</f>
        <v>-2-</v>
      </c>
      <c r="MA36" s="117" t="s">
        <v>148</v>
      </c>
      <c r="MB36" s="104"/>
      <c r="MC36" s="117" t="s">
        <v>149</v>
      </c>
      <c r="MD36" s="301" t="str">
        <f>$R36</f>
        <v>-2-</v>
      </c>
      <c r="ME36" s="117" t="s">
        <v>148</v>
      </c>
      <c r="MF36" s="104"/>
      <c r="MG36" s="117" t="s">
        <v>149</v>
      </c>
      <c r="MH36" s="301" t="str">
        <f>$R36</f>
        <v>-2-</v>
      </c>
      <c r="MI36" s="117" t="s">
        <v>148</v>
      </c>
      <c r="MJ36" s="104"/>
      <c r="MK36" s="117" t="s">
        <v>149</v>
      </c>
      <c r="ML36" s="301" t="str">
        <f>$R36</f>
        <v>-2-</v>
      </c>
      <c r="MM36" s="117" t="s">
        <v>148</v>
      </c>
      <c r="MN36" s="104"/>
      <c r="MO36" s="117" t="s">
        <v>149</v>
      </c>
      <c r="MP36" s="301" t="str">
        <f>$R36</f>
        <v>-2-</v>
      </c>
      <c r="MQ36" s="117" t="s">
        <v>148</v>
      </c>
      <c r="MR36" s="104"/>
      <c r="MS36" s="117" t="s">
        <v>149</v>
      </c>
      <c r="MT36" s="301" t="str">
        <f>$R36</f>
        <v>-2-</v>
      </c>
      <c r="MU36" s="117" t="s">
        <v>148</v>
      </c>
      <c r="MV36" s="104"/>
      <c r="MW36" s="117" t="s">
        <v>149</v>
      </c>
      <c r="MX36" s="301" t="str">
        <f>$R36</f>
        <v>-2-</v>
      </c>
      <c r="MY36" s="117" t="s">
        <v>148</v>
      </c>
      <c r="MZ36" s="104"/>
      <c r="NA36" s="117" t="s">
        <v>149</v>
      </c>
      <c r="NB36" s="301" t="str">
        <f>$R36</f>
        <v>-2-</v>
      </c>
      <c r="NC36" s="117" t="s">
        <v>148</v>
      </c>
      <c r="ND36" s="104"/>
      <c r="NE36" s="117" t="s">
        <v>149</v>
      </c>
      <c r="NF36" s="301" t="str">
        <f>$R36</f>
        <v>-2-</v>
      </c>
      <c r="NG36" s="117" t="s">
        <v>148</v>
      </c>
      <c r="NH36" s="104"/>
      <c r="NI36" s="117" t="s">
        <v>149</v>
      </c>
      <c r="NJ36" s="301" t="str">
        <f>$R36</f>
        <v>-2-</v>
      </c>
      <c r="NK36" s="117" t="s">
        <v>148</v>
      </c>
      <c r="NL36" s="104"/>
      <c r="NM36" s="117" t="s">
        <v>149</v>
      </c>
      <c r="NN36" s="301" t="str">
        <f>$R36</f>
        <v>-2-</v>
      </c>
      <c r="NO36" s="117" t="s">
        <v>148</v>
      </c>
      <c r="NP36" s="104"/>
      <c r="NQ36" s="117" t="s">
        <v>149</v>
      </c>
      <c r="NR36" s="301" t="str">
        <f>$R36</f>
        <v>-2-</v>
      </c>
      <c r="NS36" s="117" t="s">
        <v>148</v>
      </c>
      <c r="NT36" s="104"/>
      <c r="NU36" s="117" t="s">
        <v>149</v>
      </c>
      <c r="NV36" s="301" t="str">
        <f>$R36</f>
        <v>-2-</v>
      </c>
      <c r="NW36" s="117" t="s">
        <v>148</v>
      </c>
      <c r="NX36" s="104"/>
      <c r="NY36" s="117" t="s">
        <v>149</v>
      </c>
      <c r="NZ36" s="301" t="str">
        <f>$R36</f>
        <v>-2-</v>
      </c>
      <c r="OA36" s="117" t="s">
        <v>148</v>
      </c>
      <c r="OB36" s="104"/>
      <c r="OC36" s="117" t="s">
        <v>149</v>
      </c>
      <c r="OD36" s="301" t="str">
        <f>$R36</f>
        <v>-2-</v>
      </c>
      <c r="OE36" s="117" t="s">
        <v>148</v>
      </c>
      <c r="OF36" s="104"/>
      <c r="OG36" s="117" t="s">
        <v>149</v>
      </c>
      <c r="OH36" s="301" t="str">
        <f>$R36</f>
        <v>-2-</v>
      </c>
      <c r="OI36" s="117" t="s">
        <v>148</v>
      </c>
      <c r="OJ36" s="104"/>
      <c r="OK36" s="117" t="s">
        <v>149</v>
      </c>
      <c r="OL36" s="301" t="str">
        <f>$R36</f>
        <v>-2-</v>
      </c>
      <c r="OM36" s="117" t="s">
        <v>148</v>
      </c>
      <c r="ON36" s="104"/>
      <c r="OO36" s="117" t="s">
        <v>149</v>
      </c>
      <c r="OP36" s="301" t="str">
        <f>$R36</f>
        <v>-2-</v>
      </c>
      <c r="OQ36" s="117" t="s">
        <v>148</v>
      </c>
      <c r="OR36" s="104"/>
      <c r="OS36" s="117" t="s">
        <v>149</v>
      </c>
      <c r="OT36" s="301" t="str">
        <f>$R36</f>
        <v>-2-</v>
      </c>
      <c r="OU36" s="117" t="s">
        <v>148</v>
      </c>
      <c r="OV36" s="104"/>
      <c r="OW36" s="117" t="s">
        <v>149</v>
      </c>
      <c r="OX36" s="301" t="str">
        <f>$R36</f>
        <v>-2-</v>
      </c>
      <c r="OY36" s="117" t="s">
        <v>148</v>
      </c>
      <c r="OZ36" s="104"/>
      <c r="PA36" s="117" t="s">
        <v>149</v>
      </c>
      <c r="PB36" s="301" t="str">
        <f>$R36</f>
        <v>-2-</v>
      </c>
      <c r="PC36" s="117" t="s">
        <v>148</v>
      </c>
      <c r="PD36" s="104"/>
      <c r="PE36" s="117" t="s">
        <v>149</v>
      </c>
      <c r="PF36" s="301" t="str">
        <f>$R36</f>
        <v>-2-</v>
      </c>
      <c r="PG36" s="117" t="s">
        <v>148</v>
      </c>
      <c r="PH36" s="104"/>
      <c r="PI36" s="117" t="s">
        <v>149</v>
      </c>
      <c r="PJ36" s="301" t="str">
        <f>$R36</f>
        <v>-2-</v>
      </c>
      <c r="PK36" s="117" t="s">
        <v>148</v>
      </c>
      <c r="PL36" s="104"/>
      <c r="PM36" s="117" t="s">
        <v>149</v>
      </c>
      <c r="PN36" s="301" t="str">
        <f>$R36</f>
        <v>-2-</v>
      </c>
      <c r="PO36" s="117" t="s">
        <v>148</v>
      </c>
      <c r="PP36" s="104"/>
      <c r="PQ36" s="117" t="s">
        <v>149</v>
      </c>
      <c r="PR36" s="301" t="str">
        <f>$R36</f>
        <v>-2-</v>
      </c>
      <c r="PS36" s="117" t="s">
        <v>148</v>
      </c>
      <c r="PT36" s="104"/>
      <c r="PU36" s="117" t="s">
        <v>149</v>
      </c>
      <c r="PV36" s="301" t="str">
        <f>$R36</f>
        <v>-2-</v>
      </c>
      <c r="PW36" s="117" t="s">
        <v>148</v>
      </c>
      <c r="PX36" s="104"/>
      <c r="PY36" s="117" t="s">
        <v>149</v>
      </c>
      <c r="PZ36" s="301" t="str">
        <f>$R36</f>
        <v>-2-</v>
      </c>
      <c r="QA36" s="117" t="s">
        <v>148</v>
      </c>
      <c r="QB36" s="104"/>
      <c r="QC36" s="117" t="s">
        <v>149</v>
      </c>
      <c r="QD36" s="301" t="str">
        <f>$R36</f>
        <v>-2-</v>
      </c>
      <c r="QE36" s="117" t="s">
        <v>148</v>
      </c>
      <c r="QF36" s="104"/>
      <c r="QG36" s="117" t="s">
        <v>149</v>
      </c>
      <c r="QH36" s="301" t="str">
        <f>$R36</f>
        <v>-2-</v>
      </c>
      <c r="QI36" s="117" t="s">
        <v>148</v>
      </c>
      <c r="QJ36" s="104"/>
    </row>
    <row r="37" spans="1:452" x14ac:dyDescent="0.25">
      <c r="A37" s="353" t="s">
        <v>410</v>
      </c>
      <c r="B37" s="7" t="s">
        <v>352</v>
      </c>
      <c r="C37" s="268" t="s">
        <v>77</v>
      </c>
      <c r="D37" s="269">
        <v>45658</v>
      </c>
      <c r="E37" s="268">
        <v>6</v>
      </c>
      <c r="F37" s="269">
        <v>45658</v>
      </c>
      <c r="G37" s="7" t="s">
        <v>398</v>
      </c>
      <c r="J37" s="140" t="s">
        <v>340</v>
      </c>
      <c r="K37" s="145" t="s">
        <v>221</v>
      </c>
      <c r="L37" s="140"/>
      <c r="O37" s="19"/>
      <c r="P37" s="3">
        <v>35</v>
      </c>
      <c r="Q37" s="117" t="s">
        <v>149</v>
      </c>
      <c r="R37" s="104"/>
      <c r="S37" s="117" t="s">
        <v>148</v>
      </c>
      <c r="T37" s="104"/>
      <c r="U37" s="117" t="s">
        <v>149</v>
      </c>
      <c r="V37" s="104"/>
      <c r="W37" s="117" t="s">
        <v>148</v>
      </c>
      <c r="X37" s="104"/>
      <c r="Y37" s="117" t="s">
        <v>149</v>
      </c>
      <c r="Z37" s="104"/>
      <c r="AA37" s="117" t="s">
        <v>148</v>
      </c>
      <c r="AB37" s="104"/>
      <c r="AC37" s="117" t="s">
        <v>149</v>
      </c>
      <c r="AD37" s="104"/>
      <c r="AE37" s="117" t="s">
        <v>148</v>
      </c>
      <c r="AF37" s="104"/>
      <c r="AG37" s="117" t="s">
        <v>149</v>
      </c>
      <c r="AH37" s="104"/>
      <c r="AI37" s="117" t="s">
        <v>148</v>
      </c>
      <c r="AJ37" s="104"/>
      <c r="AK37" s="117" t="s">
        <v>149</v>
      </c>
      <c r="AL37" s="104"/>
      <c r="AM37" s="117" t="s">
        <v>148</v>
      </c>
      <c r="AN37" s="104"/>
      <c r="AO37" s="117" t="s">
        <v>149</v>
      </c>
      <c r="AP37" s="104"/>
      <c r="AQ37" s="117" t="s">
        <v>148</v>
      </c>
      <c r="AR37" s="104"/>
      <c r="AS37" s="117" t="s">
        <v>149</v>
      </c>
      <c r="AT37" s="104"/>
      <c r="AU37" s="117" t="s">
        <v>148</v>
      </c>
      <c r="AV37" s="104"/>
      <c r="AW37" s="117" t="s">
        <v>149</v>
      </c>
      <c r="AX37" s="104"/>
      <c r="AY37" s="117" t="s">
        <v>148</v>
      </c>
      <c r="AZ37" s="104"/>
      <c r="BA37" s="117" t="s">
        <v>149</v>
      </c>
      <c r="BB37" s="104"/>
      <c r="BC37" s="117" t="s">
        <v>148</v>
      </c>
      <c r="BD37" s="104"/>
      <c r="BE37" s="117" t="s">
        <v>149</v>
      </c>
      <c r="BF37" s="104"/>
      <c r="BG37" s="117" t="s">
        <v>148</v>
      </c>
      <c r="BH37" s="104"/>
      <c r="BI37" s="117" t="s">
        <v>149</v>
      </c>
      <c r="BJ37" s="104"/>
      <c r="BK37" s="117" t="s">
        <v>148</v>
      </c>
      <c r="BL37" s="104"/>
      <c r="BM37" s="117" t="s">
        <v>149</v>
      </c>
      <c r="BN37" s="104"/>
      <c r="BO37" s="117" t="s">
        <v>148</v>
      </c>
      <c r="BP37" s="104"/>
      <c r="BQ37" s="117" t="s">
        <v>149</v>
      </c>
      <c r="BR37" s="104"/>
      <c r="BS37" s="117" t="s">
        <v>148</v>
      </c>
      <c r="BT37" s="104"/>
      <c r="BU37" s="117" t="s">
        <v>149</v>
      </c>
      <c r="BV37" s="104"/>
      <c r="BW37" s="117" t="s">
        <v>148</v>
      </c>
      <c r="BX37" s="104"/>
      <c r="BY37" s="117" t="s">
        <v>149</v>
      </c>
      <c r="BZ37" s="104"/>
      <c r="CA37" s="117" t="s">
        <v>148</v>
      </c>
      <c r="CB37" s="104"/>
      <c r="CC37" s="117" t="s">
        <v>149</v>
      </c>
      <c r="CD37" s="104"/>
      <c r="CE37" s="117" t="s">
        <v>148</v>
      </c>
      <c r="CF37" s="104"/>
      <c r="CG37" s="117" t="s">
        <v>149</v>
      </c>
      <c r="CH37" s="104"/>
      <c r="CI37" s="117" t="s">
        <v>148</v>
      </c>
      <c r="CJ37" s="104"/>
      <c r="CK37" s="117" t="s">
        <v>149</v>
      </c>
      <c r="CL37" s="104"/>
      <c r="CM37" s="117" t="s">
        <v>148</v>
      </c>
      <c r="CN37" s="104"/>
      <c r="CO37" s="117" t="s">
        <v>149</v>
      </c>
      <c r="CP37" s="104"/>
      <c r="CQ37" s="117" t="s">
        <v>148</v>
      </c>
      <c r="CR37" s="104"/>
      <c r="CS37" s="117" t="s">
        <v>149</v>
      </c>
      <c r="CT37" s="104"/>
      <c r="CU37" s="117" t="s">
        <v>148</v>
      </c>
      <c r="CV37" s="104"/>
      <c r="CW37" s="117" t="s">
        <v>149</v>
      </c>
      <c r="CX37" s="104"/>
      <c r="CY37" s="117" t="s">
        <v>148</v>
      </c>
      <c r="CZ37" s="104"/>
      <c r="DA37" s="117" t="s">
        <v>149</v>
      </c>
      <c r="DB37" s="104"/>
      <c r="DC37" s="117" t="s">
        <v>148</v>
      </c>
      <c r="DD37" s="104"/>
      <c r="DE37" s="117" t="s">
        <v>149</v>
      </c>
      <c r="DF37" s="104"/>
      <c r="DG37" s="117" t="s">
        <v>148</v>
      </c>
      <c r="DH37" s="104"/>
      <c r="DI37" s="117" t="s">
        <v>149</v>
      </c>
      <c r="DJ37" s="104"/>
      <c r="DK37" s="117" t="s">
        <v>148</v>
      </c>
      <c r="DL37" s="104"/>
      <c r="DM37" s="117" t="s">
        <v>149</v>
      </c>
      <c r="DN37" s="104"/>
      <c r="DO37" s="117" t="s">
        <v>148</v>
      </c>
      <c r="DP37" s="104"/>
      <c r="DQ37" s="117" t="s">
        <v>149</v>
      </c>
      <c r="DR37" s="104"/>
      <c r="DS37" s="117" t="s">
        <v>148</v>
      </c>
      <c r="DT37" s="104"/>
      <c r="DU37" s="117" t="s">
        <v>149</v>
      </c>
      <c r="DV37" s="104"/>
      <c r="DW37" s="117" t="s">
        <v>148</v>
      </c>
      <c r="DX37" s="104"/>
      <c r="DY37" s="117" t="s">
        <v>149</v>
      </c>
      <c r="DZ37" s="104"/>
      <c r="EA37" s="117" t="s">
        <v>148</v>
      </c>
      <c r="EB37" s="104"/>
      <c r="EC37" s="117" t="s">
        <v>149</v>
      </c>
      <c r="ED37" s="104"/>
      <c r="EE37" s="117" t="s">
        <v>148</v>
      </c>
      <c r="EF37" s="104"/>
      <c r="EG37" s="117" t="s">
        <v>149</v>
      </c>
      <c r="EH37" s="104"/>
      <c r="EI37" s="117" t="s">
        <v>148</v>
      </c>
      <c r="EJ37" s="104"/>
      <c r="EK37" s="117" t="s">
        <v>149</v>
      </c>
      <c r="EL37" s="104"/>
      <c r="EM37" s="117" t="s">
        <v>148</v>
      </c>
      <c r="EN37" s="104"/>
      <c r="EO37" s="117" t="s">
        <v>149</v>
      </c>
      <c r="EP37" s="104"/>
      <c r="EQ37" s="117" t="s">
        <v>148</v>
      </c>
      <c r="ER37" s="104"/>
      <c r="ES37" s="117" t="s">
        <v>149</v>
      </c>
      <c r="ET37" s="104"/>
      <c r="EU37" s="117" t="s">
        <v>148</v>
      </c>
      <c r="EV37" s="104"/>
      <c r="EW37" s="117" t="s">
        <v>149</v>
      </c>
      <c r="EX37" s="104"/>
      <c r="EY37" s="117" t="s">
        <v>148</v>
      </c>
      <c r="EZ37" s="104"/>
      <c r="FA37" s="117" t="s">
        <v>149</v>
      </c>
      <c r="FB37" s="104"/>
      <c r="FC37" s="117" t="s">
        <v>148</v>
      </c>
      <c r="FD37" s="104"/>
      <c r="FE37" s="117" t="s">
        <v>149</v>
      </c>
      <c r="FF37" s="104"/>
      <c r="FG37" s="117" t="s">
        <v>148</v>
      </c>
      <c r="FH37" s="104"/>
      <c r="FI37" s="117" t="s">
        <v>149</v>
      </c>
      <c r="FJ37" s="104"/>
      <c r="FK37" s="117" t="s">
        <v>148</v>
      </c>
      <c r="FL37" s="104"/>
      <c r="FM37" s="117" t="s">
        <v>149</v>
      </c>
      <c r="FN37" s="104"/>
      <c r="FO37" s="117" t="s">
        <v>148</v>
      </c>
      <c r="FP37" s="104"/>
      <c r="FQ37" s="117" t="s">
        <v>149</v>
      </c>
      <c r="FR37" s="104"/>
      <c r="FS37" s="117" t="s">
        <v>148</v>
      </c>
      <c r="FT37" s="104"/>
      <c r="FU37" s="117" t="s">
        <v>149</v>
      </c>
      <c r="FV37" s="104"/>
      <c r="FW37" s="117" t="s">
        <v>148</v>
      </c>
      <c r="FX37" s="104"/>
      <c r="FY37" s="117" t="s">
        <v>149</v>
      </c>
      <c r="FZ37" s="104"/>
      <c r="GA37" s="117" t="s">
        <v>148</v>
      </c>
      <c r="GB37" s="104"/>
      <c r="GC37" s="117" t="s">
        <v>149</v>
      </c>
      <c r="GD37" s="104"/>
      <c r="GE37" s="117" t="s">
        <v>148</v>
      </c>
      <c r="GF37" s="104"/>
      <c r="GG37" s="117" t="s">
        <v>149</v>
      </c>
      <c r="GH37" s="104"/>
      <c r="GI37" s="117" t="s">
        <v>148</v>
      </c>
      <c r="GJ37" s="104"/>
      <c r="GK37" s="117" t="s">
        <v>149</v>
      </c>
      <c r="GL37" s="104"/>
      <c r="GM37" s="117" t="s">
        <v>148</v>
      </c>
      <c r="GN37" s="104"/>
      <c r="GO37" s="117" t="s">
        <v>149</v>
      </c>
      <c r="GP37" s="104"/>
      <c r="GQ37" s="117" t="s">
        <v>148</v>
      </c>
      <c r="GR37" s="104"/>
      <c r="GS37" s="117" t="s">
        <v>149</v>
      </c>
      <c r="GT37" s="104"/>
      <c r="GU37" s="117" t="s">
        <v>148</v>
      </c>
      <c r="GV37" s="104"/>
      <c r="GW37" s="117" t="s">
        <v>149</v>
      </c>
      <c r="GX37" s="104"/>
      <c r="GY37" s="117" t="s">
        <v>148</v>
      </c>
      <c r="GZ37" s="104"/>
      <c r="HA37" s="117" t="s">
        <v>149</v>
      </c>
      <c r="HB37" s="104"/>
      <c r="HC37" s="117" t="s">
        <v>148</v>
      </c>
      <c r="HD37" s="104"/>
      <c r="HE37" s="117" t="s">
        <v>149</v>
      </c>
      <c r="HF37" s="104"/>
      <c r="HG37" s="117" t="s">
        <v>148</v>
      </c>
      <c r="HH37" s="104"/>
      <c r="HI37" s="117" t="s">
        <v>149</v>
      </c>
      <c r="HJ37" s="104"/>
      <c r="HK37" s="117" t="s">
        <v>148</v>
      </c>
      <c r="HL37" s="104"/>
      <c r="HM37" s="117" t="s">
        <v>149</v>
      </c>
      <c r="HN37" s="104"/>
      <c r="HO37" s="117" t="s">
        <v>148</v>
      </c>
      <c r="HP37" s="104"/>
      <c r="HQ37" s="117" t="s">
        <v>149</v>
      </c>
      <c r="HR37" s="104"/>
      <c r="HS37" s="117" t="s">
        <v>148</v>
      </c>
      <c r="HT37" s="104"/>
      <c r="HU37" s="117" t="s">
        <v>149</v>
      </c>
      <c r="HV37" s="104"/>
      <c r="HW37" s="117" t="s">
        <v>148</v>
      </c>
      <c r="HX37" s="104"/>
      <c r="HY37" s="117" t="s">
        <v>149</v>
      </c>
      <c r="HZ37" s="104"/>
      <c r="IA37" s="117" t="s">
        <v>148</v>
      </c>
      <c r="IB37" s="104"/>
      <c r="IC37" s="117" t="s">
        <v>149</v>
      </c>
      <c r="ID37" s="104"/>
      <c r="IE37" s="117" t="s">
        <v>148</v>
      </c>
      <c r="IF37" s="104"/>
      <c r="IG37" s="117" t="s">
        <v>149</v>
      </c>
      <c r="IH37" s="104"/>
      <c r="II37" s="117" t="s">
        <v>148</v>
      </c>
      <c r="IJ37" s="104"/>
      <c r="IK37" s="117" t="s">
        <v>149</v>
      </c>
      <c r="IL37" s="104"/>
      <c r="IM37" s="117" t="s">
        <v>148</v>
      </c>
      <c r="IN37" s="104"/>
      <c r="IO37" s="117" t="s">
        <v>149</v>
      </c>
      <c r="IP37" s="104"/>
      <c r="IQ37" s="117" t="s">
        <v>148</v>
      </c>
      <c r="IR37" s="104"/>
      <c r="IS37" s="117" t="s">
        <v>149</v>
      </c>
      <c r="IT37" s="104"/>
      <c r="IU37" s="117" t="s">
        <v>148</v>
      </c>
      <c r="IV37" s="104"/>
      <c r="IW37" s="117" t="s">
        <v>149</v>
      </c>
      <c r="IX37" s="104"/>
      <c r="IY37" s="117" t="s">
        <v>148</v>
      </c>
      <c r="IZ37" s="104"/>
      <c r="JA37" s="117" t="s">
        <v>149</v>
      </c>
      <c r="JB37" s="104"/>
      <c r="JC37" s="117" t="s">
        <v>148</v>
      </c>
      <c r="JD37" s="104"/>
      <c r="JE37" s="117" t="s">
        <v>149</v>
      </c>
      <c r="JF37" s="104"/>
      <c r="JG37" s="117" t="s">
        <v>148</v>
      </c>
      <c r="JH37" s="104"/>
      <c r="JI37" s="117" t="s">
        <v>149</v>
      </c>
      <c r="JJ37" s="104"/>
      <c r="JK37" s="117" t="s">
        <v>148</v>
      </c>
      <c r="JL37" s="104"/>
      <c r="JM37" s="117" t="s">
        <v>149</v>
      </c>
      <c r="JN37" s="104"/>
      <c r="JO37" s="117" t="s">
        <v>148</v>
      </c>
      <c r="JP37" s="104"/>
      <c r="JQ37" s="117" t="s">
        <v>149</v>
      </c>
      <c r="JR37" s="104"/>
      <c r="JS37" s="117" t="s">
        <v>148</v>
      </c>
      <c r="JT37" s="104"/>
      <c r="JU37" s="117" t="s">
        <v>149</v>
      </c>
      <c r="JV37" s="104"/>
      <c r="JW37" s="117" t="s">
        <v>148</v>
      </c>
      <c r="JX37" s="104"/>
      <c r="JY37" s="117" t="s">
        <v>149</v>
      </c>
      <c r="JZ37" s="104"/>
      <c r="KA37" s="117" t="s">
        <v>148</v>
      </c>
      <c r="KB37" s="104"/>
      <c r="KC37" s="117" t="s">
        <v>149</v>
      </c>
      <c r="KD37" s="104"/>
      <c r="KE37" s="117" t="s">
        <v>148</v>
      </c>
      <c r="KF37" s="104"/>
      <c r="KG37" s="117" t="s">
        <v>149</v>
      </c>
      <c r="KH37" s="104"/>
      <c r="KI37" s="117" t="s">
        <v>148</v>
      </c>
      <c r="KJ37" s="104"/>
      <c r="KK37" s="117" t="s">
        <v>149</v>
      </c>
      <c r="KL37" s="104"/>
      <c r="KM37" s="117" t="s">
        <v>148</v>
      </c>
      <c r="KN37" s="104"/>
      <c r="KO37" s="117" t="s">
        <v>149</v>
      </c>
      <c r="KP37" s="104"/>
      <c r="KQ37" s="117" t="s">
        <v>148</v>
      </c>
      <c r="KR37" s="104"/>
      <c r="KS37" s="117" t="s">
        <v>149</v>
      </c>
      <c r="KT37" s="104"/>
      <c r="KU37" s="117" t="s">
        <v>148</v>
      </c>
      <c r="KV37" s="104"/>
      <c r="KW37" s="117" t="s">
        <v>149</v>
      </c>
      <c r="KX37" s="104"/>
      <c r="KY37" s="117" t="s">
        <v>148</v>
      </c>
      <c r="KZ37" s="104"/>
      <c r="LA37" s="117" t="s">
        <v>149</v>
      </c>
      <c r="LB37" s="104"/>
      <c r="LC37" s="117" t="s">
        <v>148</v>
      </c>
      <c r="LD37" s="104"/>
      <c r="LE37" s="117" t="s">
        <v>149</v>
      </c>
      <c r="LF37" s="104"/>
      <c r="LG37" s="117" t="s">
        <v>148</v>
      </c>
      <c r="LH37" s="104"/>
      <c r="LI37" s="117" t="s">
        <v>149</v>
      </c>
      <c r="LJ37" s="104"/>
      <c r="LK37" s="117" t="s">
        <v>148</v>
      </c>
      <c r="LL37" s="104"/>
      <c r="LM37" s="117" t="s">
        <v>149</v>
      </c>
      <c r="LN37" s="104"/>
      <c r="LO37" s="117" t="s">
        <v>148</v>
      </c>
      <c r="LP37" s="104"/>
      <c r="LQ37" s="117" t="s">
        <v>149</v>
      </c>
      <c r="LR37" s="104"/>
      <c r="LS37" s="117" t="s">
        <v>148</v>
      </c>
      <c r="LT37" s="104"/>
      <c r="LU37" s="117" t="s">
        <v>149</v>
      </c>
      <c r="LV37" s="104"/>
      <c r="LW37" s="117" t="s">
        <v>148</v>
      </c>
      <c r="LX37" s="104"/>
      <c r="LY37" s="117" t="s">
        <v>149</v>
      </c>
      <c r="LZ37" s="104"/>
      <c r="MA37" s="117" t="s">
        <v>148</v>
      </c>
      <c r="MB37" s="104"/>
      <c r="MC37" s="117" t="s">
        <v>149</v>
      </c>
      <c r="MD37" s="104"/>
      <c r="ME37" s="117" t="s">
        <v>148</v>
      </c>
      <c r="MF37" s="104"/>
      <c r="MG37" s="117" t="s">
        <v>149</v>
      </c>
      <c r="MH37" s="104"/>
      <c r="MI37" s="117" t="s">
        <v>148</v>
      </c>
      <c r="MJ37" s="104"/>
      <c r="MK37" s="117" t="s">
        <v>149</v>
      </c>
      <c r="ML37" s="104"/>
      <c r="MM37" s="117" t="s">
        <v>148</v>
      </c>
      <c r="MN37" s="104"/>
      <c r="MO37" s="117" t="s">
        <v>149</v>
      </c>
      <c r="MP37" s="104"/>
      <c r="MQ37" s="117" t="s">
        <v>148</v>
      </c>
      <c r="MR37" s="104"/>
      <c r="MS37" s="117" t="s">
        <v>149</v>
      </c>
      <c r="MT37" s="104"/>
      <c r="MU37" s="117" t="s">
        <v>148</v>
      </c>
      <c r="MV37" s="104"/>
      <c r="MW37" s="117" t="s">
        <v>149</v>
      </c>
      <c r="MX37" s="104"/>
      <c r="MY37" s="117" t="s">
        <v>148</v>
      </c>
      <c r="MZ37" s="104"/>
      <c r="NA37" s="117" t="s">
        <v>149</v>
      </c>
      <c r="NB37" s="104"/>
      <c r="NC37" s="117" t="s">
        <v>148</v>
      </c>
      <c r="ND37" s="104"/>
      <c r="NE37" s="117" t="s">
        <v>149</v>
      </c>
      <c r="NF37" s="104"/>
      <c r="NG37" s="117" t="s">
        <v>148</v>
      </c>
      <c r="NH37" s="104"/>
      <c r="NI37" s="117" t="s">
        <v>149</v>
      </c>
      <c r="NJ37" s="104"/>
      <c r="NK37" s="117" t="s">
        <v>148</v>
      </c>
      <c r="NL37" s="104"/>
      <c r="NM37" s="117" t="s">
        <v>149</v>
      </c>
      <c r="NN37" s="104"/>
      <c r="NO37" s="117" t="s">
        <v>148</v>
      </c>
      <c r="NP37" s="104"/>
      <c r="NQ37" s="117" t="s">
        <v>149</v>
      </c>
      <c r="NR37" s="104"/>
      <c r="NS37" s="117" t="s">
        <v>148</v>
      </c>
      <c r="NT37" s="104"/>
      <c r="NU37" s="117" t="s">
        <v>149</v>
      </c>
      <c r="NV37" s="104"/>
      <c r="NW37" s="117" t="s">
        <v>148</v>
      </c>
      <c r="NX37" s="104"/>
      <c r="NY37" s="117" t="s">
        <v>149</v>
      </c>
      <c r="NZ37" s="104"/>
      <c r="OA37" s="117" t="s">
        <v>148</v>
      </c>
      <c r="OB37" s="104"/>
      <c r="OC37" s="117" t="s">
        <v>149</v>
      </c>
      <c r="OD37" s="104"/>
      <c r="OE37" s="117" t="s">
        <v>148</v>
      </c>
      <c r="OF37" s="104"/>
      <c r="OG37" s="117" t="s">
        <v>149</v>
      </c>
      <c r="OH37" s="104"/>
      <c r="OI37" s="117" t="s">
        <v>148</v>
      </c>
      <c r="OJ37" s="104"/>
      <c r="OK37" s="117" t="s">
        <v>149</v>
      </c>
      <c r="OL37" s="104"/>
      <c r="OM37" s="117" t="s">
        <v>148</v>
      </c>
      <c r="ON37" s="104"/>
      <c r="OO37" s="117" t="s">
        <v>149</v>
      </c>
      <c r="OP37" s="104"/>
      <c r="OQ37" s="117" t="s">
        <v>148</v>
      </c>
      <c r="OR37" s="104"/>
      <c r="OS37" s="117" t="s">
        <v>149</v>
      </c>
      <c r="OT37" s="104"/>
      <c r="OU37" s="117" t="s">
        <v>148</v>
      </c>
      <c r="OV37" s="104"/>
      <c r="OW37" s="117" t="s">
        <v>149</v>
      </c>
      <c r="OX37" s="104"/>
      <c r="OY37" s="117" t="s">
        <v>148</v>
      </c>
      <c r="OZ37" s="104"/>
      <c r="PA37" s="117" t="s">
        <v>149</v>
      </c>
      <c r="PB37" s="104"/>
      <c r="PC37" s="117" t="s">
        <v>148</v>
      </c>
      <c r="PD37" s="104"/>
      <c r="PE37" s="117" t="s">
        <v>149</v>
      </c>
      <c r="PF37" s="104"/>
      <c r="PG37" s="117" t="s">
        <v>148</v>
      </c>
      <c r="PH37" s="104"/>
      <c r="PI37" s="117" t="s">
        <v>149</v>
      </c>
      <c r="PJ37" s="104"/>
      <c r="PK37" s="117" t="s">
        <v>148</v>
      </c>
      <c r="PL37" s="104"/>
      <c r="PM37" s="117" t="s">
        <v>149</v>
      </c>
      <c r="PN37" s="104"/>
      <c r="PO37" s="117" t="s">
        <v>148</v>
      </c>
      <c r="PP37" s="104"/>
      <c r="PQ37" s="117" t="s">
        <v>149</v>
      </c>
      <c r="PR37" s="104"/>
      <c r="PS37" s="117" t="s">
        <v>148</v>
      </c>
      <c r="PT37" s="104"/>
      <c r="PU37" s="117" t="s">
        <v>149</v>
      </c>
      <c r="PV37" s="104"/>
      <c r="PW37" s="117" t="s">
        <v>148</v>
      </c>
      <c r="PX37" s="104"/>
      <c r="PY37" s="117" t="s">
        <v>149</v>
      </c>
      <c r="PZ37" s="104"/>
      <c r="QA37" s="117" t="s">
        <v>148</v>
      </c>
      <c r="QB37" s="104"/>
      <c r="QC37" s="117" t="s">
        <v>149</v>
      </c>
      <c r="QD37" s="104"/>
      <c r="QE37" s="117" t="s">
        <v>148</v>
      </c>
      <c r="QF37" s="104"/>
      <c r="QG37" s="117" t="s">
        <v>149</v>
      </c>
      <c r="QH37" s="104"/>
      <c r="QI37" s="117" t="s">
        <v>148</v>
      </c>
      <c r="QJ37" s="104"/>
    </row>
    <row r="38" spans="1:452" x14ac:dyDescent="0.25">
      <c r="A38" s="353" t="s">
        <v>411</v>
      </c>
      <c r="B38" s="7" t="s">
        <v>371</v>
      </c>
      <c r="C38" s="268" t="s">
        <v>77</v>
      </c>
      <c r="D38" s="269">
        <v>45658</v>
      </c>
      <c r="E38" s="268">
        <v>6</v>
      </c>
      <c r="F38" s="269">
        <v>45658</v>
      </c>
      <c r="G38" s="7" t="s">
        <v>398</v>
      </c>
      <c r="J38" s="141"/>
      <c r="K38" s="146" t="str">
        <f>INDEX(TableStreams[Choose your Specialisation Stream second (drop-down list)],MATCH(L38,TableStreams[UDC],0))</f>
        <v>Biological Sciences Education Minor Teaching Area Stream (BEd Secondary)</v>
      </c>
      <c r="L38" s="141" t="s">
        <v>350</v>
      </c>
      <c r="O38" s="19"/>
      <c r="P38" s="19">
        <v>36</v>
      </c>
      <c r="Q38" s="118" t="s">
        <v>149</v>
      </c>
      <c r="R38" s="103"/>
      <c r="S38" s="118" t="s">
        <v>148</v>
      </c>
      <c r="T38" s="103"/>
      <c r="U38" s="118" t="s">
        <v>149</v>
      </c>
      <c r="V38" s="103"/>
      <c r="W38" s="118" t="s">
        <v>148</v>
      </c>
      <c r="X38" s="103"/>
      <c r="Y38" s="118" t="s">
        <v>149</v>
      </c>
      <c r="Z38" s="103"/>
      <c r="AA38" s="118" t="s">
        <v>148</v>
      </c>
      <c r="AB38" s="103"/>
      <c r="AC38" s="118" t="s">
        <v>149</v>
      </c>
      <c r="AD38" s="103"/>
      <c r="AE38" s="118" t="s">
        <v>148</v>
      </c>
      <c r="AF38" s="103"/>
      <c r="AG38" s="118" t="s">
        <v>149</v>
      </c>
      <c r="AH38" s="103"/>
      <c r="AI38" s="118" t="s">
        <v>148</v>
      </c>
      <c r="AJ38" s="103"/>
      <c r="AK38" s="118" t="s">
        <v>149</v>
      </c>
      <c r="AL38" s="103"/>
      <c r="AM38" s="118" t="s">
        <v>148</v>
      </c>
      <c r="AN38" s="103"/>
      <c r="AO38" s="118" t="s">
        <v>149</v>
      </c>
      <c r="AP38" s="103"/>
      <c r="AQ38" s="118" t="s">
        <v>148</v>
      </c>
      <c r="AR38" s="103"/>
      <c r="AS38" s="118" t="s">
        <v>149</v>
      </c>
      <c r="AT38" s="103"/>
      <c r="AU38" s="118" t="s">
        <v>148</v>
      </c>
      <c r="AV38" s="103"/>
      <c r="AW38" s="118" t="s">
        <v>149</v>
      </c>
      <c r="AX38" s="103"/>
      <c r="AY38" s="118" t="s">
        <v>148</v>
      </c>
      <c r="AZ38" s="103"/>
      <c r="BA38" s="118" t="s">
        <v>149</v>
      </c>
      <c r="BB38" s="103"/>
      <c r="BC38" s="118" t="s">
        <v>148</v>
      </c>
      <c r="BD38" s="103"/>
      <c r="BE38" s="118" t="s">
        <v>149</v>
      </c>
      <c r="BF38" s="103"/>
      <c r="BG38" s="118" t="s">
        <v>148</v>
      </c>
      <c r="BH38" s="103"/>
      <c r="BI38" s="118" t="s">
        <v>149</v>
      </c>
      <c r="BJ38" s="103"/>
      <c r="BK38" s="118" t="s">
        <v>148</v>
      </c>
      <c r="BL38" s="103"/>
      <c r="BM38" s="118" t="s">
        <v>149</v>
      </c>
      <c r="BN38" s="103"/>
      <c r="BO38" s="118" t="s">
        <v>148</v>
      </c>
      <c r="BP38" s="103"/>
      <c r="BQ38" s="118" t="s">
        <v>149</v>
      </c>
      <c r="BR38" s="103"/>
      <c r="BS38" s="118" t="s">
        <v>148</v>
      </c>
      <c r="BT38" s="103"/>
      <c r="BU38" s="118" t="s">
        <v>149</v>
      </c>
      <c r="BV38" s="103"/>
      <c r="BW38" s="118" t="s">
        <v>148</v>
      </c>
      <c r="BX38" s="103"/>
      <c r="BY38" s="118" t="s">
        <v>149</v>
      </c>
      <c r="BZ38" s="103"/>
      <c r="CA38" s="118" t="s">
        <v>148</v>
      </c>
      <c r="CB38" s="103"/>
      <c r="CC38" s="118" t="s">
        <v>149</v>
      </c>
      <c r="CD38" s="103"/>
      <c r="CE38" s="118" t="s">
        <v>148</v>
      </c>
      <c r="CF38" s="103"/>
      <c r="CG38" s="118" t="s">
        <v>149</v>
      </c>
      <c r="CH38" s="103"/>
      <c r="CI38" s="118" t="s">
        <v>148</v>
      </c>
      <c r="CJ38" s="103"/>
      <c r="CK38" s="118" t="s">
        <v>149</v>
      </c>
      <c r="CL38" s="103"/>
      <c r="CM38" s="118" t="s">
        <v>148</v>
      </c>
      <c r="CN38" s="103"/>
      <c r="CO38" s="118" t="s">
        <v>149</v>
      </c>
      <c r="CP38" s="103"/>
      <c r="CQ38" s="118" t="s">
        <v>148</v>
      </c>
      <c r="CR38" s="103"/>
      <c r="CS38" s="118" t="s">
        <v>149</v>
      </c>
      <c r="CT38" s="103"/>
      <c r="CU38" s="118" t="s">
        <v>148</v>
      </c>
      <c r="CV38" s="103"/>
      <c r="CW38" s="118" t="s">
        <v>149</v>
      </c>
      <c r="CX38" s="103"/>
      <c r="CY38" s="118" t="s">
        <v>148</v>
      </c>
      <c r="CZ38" s="103"/>
      <c r="DA38" s="118" t="s">
        <v>149</v>
      </c>
      <c r="DB38" s="103"/>
      <c r="DC38" s="118" t="s">
        <v>148</v>
      </c>
      <c r="DD38" s="103"/>
      <c r="DE38" s="118" t="s">
        <v>149</v>
      </c>
      <c r="DF38" s="103"/>
      <c r="DG38" s="118" t="s">
        <v>148</v>
      </c>
      <c r="DH38" s="103"/>
      <c r="DI38" s="118" t="s">
        <v>149</v>
      </c>
      <c r="DJ38" s="103"/>
      <c r="DK38" s="118" t="s">
        <v>148</v>
      </c>
      <c r="DL38" s="103"/>
      <c r="DM38" s="118" t="s">
        <v>149</v>
      </c>
      <c r="DN38" s="103"/>
      <c r="DO38" s="118" t="s">
        <v>148</v>
      </c>
      <c r="DP38" s="103"/>
      <c r="DQ38" s="118" t="s">
        <v>149</v>
      </c>
      <c r="DR38" s="103"/>
      <c r="DS38" s="118" t="s">
        <v>148</v>
      </c>
      <c r="DT38" s="103"/>
      <c r="DU38" s="118" t="s">
        <v>149</v>
      </c>
      <c r="DV38" s="103"/>
      <c r="DW38" s="118" t="s">
        <v>148</v>
      </c>
      <c r="DX38" s="103"/>
      <c r="DY38" s="118" t="s">
        <v>149</v>
      </c>
      <c r="DZ38" s="103"/>
      <c r="EA38" s="118" t="s">
        <v>148</v>
      </c>
      <c r="EB38" s="103"/>
      <c r="EC38" s="118" t="s">
        <v>149</v>
      </c>
      <c r="ED38" s="103"/>
      <c r="EE38" s="118" t="s">
        <v>148</v>
      </c>
      <c r="EF38" s="103"/>
      <c r="EG38" s="118" t="s">
        <v>149</v>
      </c>
      <c r="EH38" s="103"/>
      <c r="EI38" s="118" t="s">
        <v>148</v>
      </c>
      <c r="EJ38" s="103"/>
      <c r="EK38" s="118" t="s">
        <v>149</v>
      </c>
      <c r="EL38" s="103"/>
      <c r="EM38" s="118" t="s">
        <v>148</v>
      </c>
      <c r="EN38" s="103"/>
      <c r="EO38" s="118" t="s">
        <v>149</v>
      </c>
      <c r="EP38" s="103"/>
      <c r="EQ38" s="118" t="s">
        <v>148</v>
      </c>
      <c r="ER38" s="103"/>
      <c r="ES38" s="118" t="s">
        <v>149</v>
      </c>
      <c r="ET38" s="103"/>
      <c r="EU38" s="118" t="s">
        <v>148</v>
      </c>
      <c r="EV38" s="103"/>
      <c r="EW38" s="118" t="s">
        <v>149</v>
      </c>
      <c r="EX38" s="103"/>
      <c r="EY38" s="118" t="s">
        <v>148</v>
      </c>
      <c r="EZ38" s="103"/>
      <c r="FA38" s="118" t="s">
        <v>149</v>
      </c>
      <c r="FB38" s="103"/>
      <c r="FC38" s="118" t="s">
        <v>148</v>
      </c>
      <c r="FD38" s="103"/>
      <c r="FE38" s="118" t="s">
        <v>149</v>
      </c>
      <c r="FF38" s="103"/>
      <c r="FG38" s="118" t="s">
        <v>148</v>
      </c>
      <c r="FH38" s="103"/>
      <c r="FI38" s="118" t="s">
        <v>149</v>
      </c>
      <c r="FJ38" s="103"/>
      <c r="FK38" s="118" t="s">
        <v>148</v>
      </c>
      <c r="FL38" s="103"/>
      <c r="FM38" s="118" t="s">
        <v>149</v>
      </c>
      <c r="FN38" s="103"/>
      <c r="FO38" s="118" t="s">
        <v>148</v>
      </c>
      <c r="FP38" s="103"/>
      <c r="FQ38" s="118" t="s">
        <v>149</v>
      </c>
      <c r="FR38" s="103"/>
      <c r="FS38" s="118" t="s">
        <v>148</v>
      </c>
      <c r="FT38" s="103"/>
      <c r="FU38" s="118" t="s">
        <v>149</v>
      </c>
      <c r="FV38" s="103"/>
      <c r="FW38" s="118" t="s">
        <v>148</v>
      </c>
      <c r="FX38" s="103"/>
      <c r="FY38" s="118" t="s">
        <v>149</v>
      </c>
      <c r="FZ38" s="103"/>
      <c r="GA38" s="118" t="s">
        <v>148</v>
      </c>
      <c r="GB38" s="103"/>
      <c r="GC38" s="118" t="s">
        <v>149</v>
      </c>
      <c r="GD38" s="103"/>
      <c r="GE38" s="118" t="s">
        <v>148</v>
      </c>
      <c r="GF38" s="103"/>
      <c r="GG38" s="118" t="s">
        <v>149</v>
      </c>
      <c r="GH38" s="103"/>
      <c r="GI38" s="118" t="s">
        <v>148</v>
      </c>
      <c r="GJ38" s="103"/>
      <c r="GK38" s="118" t="s">
        <v>149</v>
      </c>
      <c r="GL38" s="103"/>
      <c r="GM38" s="118" t="s">
        <v>148</v>
      </c>
      <c r="GN38" s="103"/>
      <c r="GO38" s="118" t="s">
        <v>149</v>
      </c>
      <c r="GP38" s="103"/>
      <c r="GQ38" s="118" t="s">
        <v>148</v>
      </c>
      <c r="GR38" s="103"/>
      <c r="GS38" s="118" t="s">
        <v>149</v>
      </c>
      <c r="GT38" s="103"/>
      <c r="GU38" s="118" t="s">
        <v>148</v>
      </c>
      <c r="GV38" s="103"/>
      <c r="GW38" s="118" t="s">
        <v>149</v>
      </c>
      <c r="GX38" s="103"/>
      <c r="GY38" s="118" t="s">
        <v>148</v>
      </c>
      <c r="GZ38" s="103"/>
      <c r="HA38" s="118" t="s">
        <v>149</v>
      </c>
      <c r="HB38" s="103"/>
      <c r="HC38" s="118" t="s">
        <v>148</v>
      </c>
      <c r="HD38" s="103"/>
      <c r="HE38" s="118" t="s">
        <v>149</v>
      </c>
      <c r="HF38" s="103"/>
      <c r="HG38" s="118" t="s">
        <v>148</v>
      </c>
      <c r="HH38" s="103"/>
      <c r="HI38" s="118" t="s">
        <v>149</v>
      </c>
      <c r="HJ38" s="103"/>
      <c r="HK38" s="118" t="s">
        <v>148</v>
      </c>
      <c r="HL38" s="103"/>
      <c r="HM38" s="118" t="s">
        <v>149</v>
      </c>
      <c r="HN38" s="103"/>
      <c r="HO38" s="118" t="s">
        <v>148</v>
      </c>
      <c r="HP38" s="103"/>
      <c r="HQ38" s="118" t="s">
        <v>149</v>
      </c>
      <c r="HR38" s="103"/>
      <c r="HS38" s="118" t="s">
        <v>148</v>
      </c>
      <c r="HT38" s="103"/>
      <c r="HU38" s="118" t="s">
        <v>149</v>
      </c>
      <c r="HV38" s="103"/>
      <c r="HW38" s="118" t="s">
        <v>148</v>
      </c>
      <c r="HX38" s="103"/>
      <c r="HY38" s="118" t="s">
        <v>149</v>
      </c>
      <c r="HZ38" s="103"/>
      <c r="IA38" s="118" t="s">
        <v>148</v>
      </c>
      <c r="IB38" s="103"/>
      <c r="IC38" s="118" t="s">
        <v>149</v>
      </c>
      <c r="ID38" s="103"/>
      <c r="IE38" s="118" t="s">
        <v>148</v>
      </c>
      <c r="IF38" s="103"/>
      <c r="IG38" s="118" t="s">
        <v>149</v>
      </c>
      <c r="IH38" s="103"/>
      <c r="II38" s="118" t="s">
        <v>148</v>
      </c>
      <c r="IJ38" s="103"/>
      <c r="IK38" s="118" t="s">
        <v>149</v>
      </c>
      <c r="IL38" s="103"/>
      <c r="IM38" s="118" t="s">
        <v>148</v>
      </c>
      <c r="IN38" s="103"/>
      <c r="IO38" s="118" t="s">
        <v>149</v>
      </c>
      <c r="IP38" s="103"/>
      <c r="IQ38" s="118" t="s">
        <v>148</v>
      </c>
      <c r="IR38" s="103"/>
      <c r="IS38" s="118" t="s">
        <v>149</v>
      </c>
      <c r="IT38" s="103"/>
      <c r="IU38" s="118" t="s">
        <v>148</v>
      </c>
      <c r="IV38" s="103"/>
      <c r="IW38" s="118" t="s">
        <v>149</v>
      </c>
      <c r="IX38" s="103"/>
      <c r="IY38" s="118" t="s">
        <v>148</v>
      </c>
      <c r="IZ38" s="103"/>
      <c r="JA38" s="118" t="s">
        <v>149</v>
      </c>
      <c r="JB38" s="103"/>
      <c r="JC38" s="118" t="s">
        <v>148</v>
      </c>
      <c r="JD38" s="103"/>
      <c r="JE38" s="118" t="s">
        <v>149</v>
      </c>
      <c r="JF38" s="103"/>
      <c r="JG38" s="118" t="s">
        <v>148</v>
      </c>
      <c r="JH38" s="103"/>
      <c r="JI38" s="118" t="s">
        <v>149</v>
      </c>
      <c r="JJ38" s="103"/>
      <c r="JK38" s="118" t="s">
        <v>148</v>
      </c>
      <c r="JL38" s="103"/>
      <c r="JM38" s="118" t="s">
        <v>149</v>
      </c>
      <c r="JN38" s="103"/>
      <c r="JO38" s="118" t="s">
        <v>148</v>
      </c>
      <c r="JP38" s="103"/>
      <c r="JQ38" s="118" t="s">
        <v>149</v>
      </c>
      <c r="JR38" s="103"/>
      <c r="JS38" s="118" t="s">
        <v>148</v>
      </c>
      <c r="JT38" s="103"/>
      <c r="JU38" s="118" t="s">
        <v>149</v>
      </c>
      <c r="JV38" s="103"/>
      <c r="JW38" s="118" t="s">
        <v>148</v>
      </c>
      <c r="JX38" s="103"/>
      <c r="JY38" s="118" t="s">
        <v>149</v>
      </c>
      <c r="JZ38" s="103"/>
      <c r="KA38" s="118" t="s">
        <v>148</v>
      </c>
      <c r="KB38" s="103"/>
      <c r="KC38" s="118" t="s">
        <v>149</v>
      </c>
      <c r="KD38" s="103"/>
      <c r="KE38" s="118" t="s">
        <v>148</v>
      </c>
      <c r="KF38" s="103"/>
      <c r="KG38" s="118" t="s">
        <v>149</v>
      </c>
      <c r="KH38" s="103"/>
      <c r="KI38" s="118" t="s">
        <v>148</v>
      </c>
      <c r="KJ38" s="103"/>
      <c r="KK38" s="118" t="s">
        <v>149</v>
      </c>
      <c r="KL38" s="103"/>
      <c r="KM38" s="118" t="s">
        <v>148</v>
      </c>
      <c r="KN38" s="103"/>
      <c r="KO38" s="118" t="s">
        <v>149</v>
      </c>
      <c r="KP38" s="103"/>
      <c r="KQ38" s="118" t="s">
        <v>148</v>
      </c>
      <c r="KR38" s="103"/>
      <c r="KS38" s="118" t="s">
        <v>149</v>
      </c>
      <c r="KT38" s="103"/>
      <c r="KU38" s="118" t="s">
        <v>148</v>
      </c>
      <c r="KV38" s="103"/>
      <c r="KW38" s="118" t="s">
        <v>149</v>
      </c>
      <c r="KX38" s="103"/>
      <c r="KY38" s="118" t="s">
        <v>148</v>
      </c>
      <c r="KZ38" s="103"/>
      <c r="LA38" s="118" t="s">
        <v>149</v>
      </c>
      <c r="LB38" s="103"/>
      <c r="LC38" s="118" t="s">
        <v>148</v>
      </c>
      <c r="LD38" s="103"/>
      <c r="LE38" s="118" t="s">
        <v>149</v>
      </c>
      <c r="LF38" s="103"/>
      <c r="LG38" s="118" t="s">
        <v>148</v>
      </c>
      <c r="LH38" s="103"/>
      <c r="LI38" s="118" t="s">
        <v>149</v>
      </c>
      <c r="LJ38" s="103"/>
      <c r="LK38" s="118" t="s">
        <v>148</v>
      </c>
      <c r="LL38" s="103"/>
      <c r="LM38" s="118" t="s">
        <v>149</v>
      </c>
      <c r="LN38" s="103"/>
      <c r="LO38" s="118" t="s">
        <v>148</v>
      </c>
      <c r="LP38" s="103"/>
      <c r="LQ38" s="118" t="s">
        <v>149</v>
      </c>
      <c r="LR38" s="103"/>
      <c r="LS38" s="118" t="s">
        <v>148</v>
      </c>
      <c r="LT38" s="103"/>
      <c r="LU38" s="118" t="s">
        <v>149</v>
      </c>
      <c r="LV38" s="103"/>
      <c r="LW38" s="118" t="s">
        <v>148</v>
      </c>
      <c r="LX38" s="103"/>
      <c r="LY38" s="118" t="s">
        <v>149</v>
      </c>
      <c r="LZ38" s="103"/>
      <c r="MA38" s="118" t="s">
        <v>148</v>
      </c>
      <c r="MB38" s="103"/>
      <c r="MC38" s="118" t="s">
        <v>149</v>
      </c>
      <c r="MD38" s="103"/>
      <c r="ME38" s="118" t="s">
        <v>148</v>
      </c>
      <c r="MF38" s="103"/>
      <c r="MG38" s="118" t="s">
        <v>149</v>
      </c>
      <c r="MH38" s="103"/>
      <c r="MI38" s="118" t="s">
        <v>148</v>
      </c>
      <c r="MJ38" s="103"/>
      <c r="MK38" s="118" t="s">
        <v>149</v>
      </c>
      <c r="ML38" s="103"/>
      <c r="MM38" s="118" t="s">
        <v>148</v>
      </c>
      <c r="MN38" s="103"/>
      <c r="MO38" s="118" t="s">
        <v>149</v>
      </c>
      <c r="MP38" s="103"/>
      <c r="MQ38" s="118" t="s">
        <v>148</v>
      </c>
      <c r="MR38" s="103"/>
      <c r="MS38" s="118" t="s">
        <v>149</v>
      </c>
      <c r="MT38" s="103"/>
      <c r="MU38" s="118" t="s">
        <v>148</v>
      </c>
      <c r="MV38" s="103"/>
      <c r="MW38" s="118" t="s">
        <v>149</v>
      </c>
      <c r="MX38" s="103"/>
      <c r="MY38" s="118" t="s">
        <v>148</v>
      </c>
      <c r="MZ38" s="103"/>
      <c r="NA38" s="118" t="s">
        <v>149</v>
      </c>
      <c r="NB38" s="103"/>
      <c r="NC38" s="118" t="s">
        <v>148</v>
      </c>
      <c r="ND38" s="103"/>
      <c r="NE38" s="118" t="s">
        <v>149</v>
      </c>
      <c r="NF38" s="103"/>
      <c r="NG38" s="118" t="s">
        <v>148</v>
      </c>
      <c r="NH38" s="103"/>
      <c r="NI38" s="118" t="s">
        <v>149</v>
      </c>
      <c r="NJ38" s="103"/>
      <c r="NK38" s="118" t="s">
        <v>148</v>
      </c>
      <c r="NL38" s="103"/>
      <c r="NM38" s="118" t="s">
        <v>149</v>
      </c>
      <c r="NN38" s="103"/>
      <c r="NO38" s="118" t="s">
        <v>148</v>
      </c>
      <c r="NP38" s="103"/>
      <c r="NQ38" s="118" t="s">
        <v>149</v>
      </c>
      <c r="NR38" s="103"/>
      <c r="NS38" s="118" t="s">
        <v>148</v>
      </c>
      <c r="NT38" s="103"/>
      <c r="NU38" s="118" t="s">
        <v>149</v>
      </c>
      <c r="NV38" s="103"/>
      <c r="NW38" s="118" t="s">
        <v>148</v>
      </c>
      <c r="NX38" s="103"/>
      <c r="NY38" s="118" t="s">
        <v>149</v>
      </c>
      <c r="NZ38" s="103"/>
      <c r="OA38" s="118" t="s">
        <v>148</v>
      </c>
      <c r="OB38" s="103"/>
      <c r="OC38" s="118" t="s">
        <v>149</v>
      </c>
      <c r="OD38" s="103"/>
      <c r="OE38" s="118" t="s">
        <v>148</v>
      </c>
      <c r="OF38" s="103"/>
      <c r="OG38" s="118" t="s">
        <v>149</v>
      </c>
      <c r="OH38" s="103"/>
      <c r="OI38" s="118" t="s">
        <v>148</v>
      </c>
      <c r="OJ38" s="103"/>
      <c r="OK38" s="118" t="s">
        <v>149</v>
      </c>
      <c r="OL38" s="103"/>
      <c r="OM38" s="118" t="s">
        <v>148</v>
      </c>
      <c r="ON38" s="103"/>
      <c r="OO38" s="118" t="s">
        <v>149</v>
      </c>
      <c r="OP38" s="103"/>
      <c r="OQ38" s="118" t="s">
        <v>148</v>
      </c>
      <c r="OR38" s="103"/>
      <c r="OS38" s="118" t="s">
        <v>149</v>
      </c>
      <c r="OT38" s="103"/>
      <c r="OU38" s="118" t="s">
        <v>148</v>
      </c>
      <c r="OV38" s="103"/>
      <c r="OW38" s="118" t="s">
        <v>149</v>
      </c>
      <c r="OX38" s="103"/>
      <c r="OY38" s="118" t="s">
        <v>148</v>
      </c>
      <c r="OZ38" s="103"/>
      <c r="PA38" s="118" t="s">
        <v>149</v>
      </c>
      <c r="PB38" s="103"/>
      <c r="PC38" s="118" t="s">
        <v>148</v>
      </c>
      <c r="PD38" s="103"/>
      <c r="PE38" s="118" t="s">
        <v>149</v>
      </c>
      <c r="PF38" s="103"/>
      <c r="PG38" s="118" t="s">
        <v>148</v>
      </c>
      <c r="PH38" s="103"/>
      <c r="PI38" s="118" t="s">
        <v>149</v>
      </c>
      <c r="PJ38" s="103"/>
      <c r="PK38" s="118" t="s">
        <v>148</v>
      </c>
      <c r="PL38" s="103"/>
      <c r="PM38" s="118" t="s">
        <v>149</v>
      </c>
      <c r="PN38" s="103"/>
      <c r="PO38" s="118" t="s">
        <v>148</v>
      </c>
      <c r="PP38" s="103"/>
      <c r="PQ38" s="118" t="s">
        <v>149</v>
      </c>
      <c r="PR38" s="103"/>
      <c r="PS38" s="118" t="s">
        <v>148</v>
      </c>
      <c r="PT38" s="103"/>
      <c r="PU38" s="118" t="s">
        <v>149</v>
      </c>
      <c r="PV38" s="103"/>
      <c r="PW38" s="118" t="s">
        <v>148</v>
      </c>
      <c r="PX38" s="103"/>
      <c r="PY38" s="118" t="s">
        <v>149</v>
      </c>
      <c r="PZ38" s="103"/>
      <c r="QA38" s="118" t="s">
        <v>148</v>
      </c>
      <c r="QB38" s="103"/>
      <c r="QC38" s="118" t="s">
        <v>149</v>
      </c>
      <c r="QD38" s="103"/>
      <c r="QE38" s="118" t="s">
        <v>148</v>
      </c>
      <c r="QF38" s="103"/>
      <c r="QG38" s="118" t="s">
        <v>149</v>
      </c>
      <c r="QH38" s="103"/>
      <c r="QI38" s="118" t="s">
        <v>148</v>
      </c>
      <c r="QJ38" s="103"/>
    </row>
    <row r="39" spans="1:452" x14ac:dyDescent="0.25">
      <c r="A39" s="353" t="s">
        <v>412</v>
      </c>
      <c r="B39" s="7" t="s">
        <v>358</v>
      </c>
      <c r="C39" s="268" t="s">
        <v>77</v>
      </c>
      <c r="D39" s="269">
        <v>45658</v>
      </c>
      <c r="E39" s="268">
        <v>6</v>
      </c>
      <c r="F39" s="269">
        <v>45658</v>
      </c>
      <c r="G39" s="7" t="s">
        <v>398</v>
      </c>
      <c r="J39" s="141"/>
      <c r="K39" s="146" t="str">
        <f>INDEX(TableStreams[Choose your Specialisation Stream second (drop-down list)],MATCH(L39,TableStreams[UDC],0))</f>
        <v>Broadening HASS for Economics Teaching Area Stream (BEd Secondary)</v>
      </c>
      <c r="L39" s="141" t="s">
        <v>362</v>
      </c>
      <c r="DF39" s="368" t="s">
        <v>1466</v>
      </c>
      <c r="KX39" s="364" t="s">
        <v>1464</v>
      </c>
      <c r="LB39" s="364" t="s">
        <v>1464</v>
      </c>
    </row>
    <row r="40" spans="1:452" x14ac:dyDescent="0.25">
      <c r="A40" s="353" t="s">
        <v>413</v>
      </c>
      <c r="B40" s="7" t="s">
        <v>353</v>
      </c>
      <c r="C40" s="270" t="s">
        <v>77</v>
      </c>
      <c r="D40" s="276">
        <v>44562</v>
      </c>
      <c r="E40" s="270">
        <v>3</v>
      </c>
      <c r="F40" s="276">
        <v>44562</v>
      </c>
      <c r="G40" s="7" t="s">
        <v>398</v>
      </c>
      <c r="J40" s="141"/>
      <c r="K40" s="146" t="str">
        <f>INDEX(TableStreams[Choose your Specialisation Stream second (drop-down list)],MATCH(L40,TableStreams[UDC],0))</f>
        <v>English Education Minor Teaching Area Stream (BEd Secondary)</v>
      </c>
      <c r="L40" s="141" t="s">
        <v>353</v>
      </c>
      <c r="DF40" s="324" t="s">
        <v>1467</v>
      </c>
    </row>
    <row r="41" spans="1:452" x14ac:dyDescent="0.25">
      <c r="A41" s="353" t="s">
        <v>414</v>
      </c>
      <c r="B41" s="268" t="s">
        <v>354</v>
      </c>
      <c r="C41" s="268" t="s">
        <v>100</v>
      </c>
      <c r="D41" s="269">
        <v>45658</v>
      </c>
      <c r="E41" s="268">
        <v>1</v>
      </c>
      <c r="F41" s="269">
        <v>45658</v>
      </c>
      <c r="G41" s="7" t="s">
        <v>398</v>
      </c>
      <c r="J41" s="141"/>
      <c r="K41" s="146" t="str">
        <f>INDEX(TableStreams[Choose your Specialisation Stream second (drop-down list)],MATCH(L41,TableStreams[UDC],0))</f>
        <v>Mathematics Education Minor Teaching Area Stream (BEd Secondary)</v>
      </c>
      <c r="L41" s="141" t="s">
        <v>356</v>
      </c>
      <c r="N41" s="87" t="s">
        <v>415</v>
      </c>
      <c r="O41" s="87"/>
      <c r="P41" s="3">
        <v>1</v>
      </c>
      <c r="Q41" s="341"/>
      <c r="R41" s="342" t="s">
        <v>416</v>
      </c>
      <c r="S41" s="343"/>
      <c r="T41" s="342" t="s">
        <v>226</v>
      </c>
      <c r="U41" s="150" t="s">
        <v>373</v>
      </c>
      <c r="V41" s="149" t="s">
        <v>417</v>
      </c>
      <c r="W41" s="151"/>
      <c r="X41" s="149" t="s">
        <v>418</v>
      </c>
      <c r="Y41" s="150"/>
      <c r="Z41" s="149" t="s">
        <v>419</v>
      </c>
      <c r="AA41" s="151"/>
      <c r="AB41" s="149" t="s">
        <v>420</v>
      </c>
      <c r="AC41" s="150"/>
      <c r="AD41" s="149" t="s">
        <v>421</v>
      </c>
      <c r="AE41" s="151"/>
      <c r="AF41" s="149" t="s">
        <v>422</v>
      </c>
      <c r="AG41" s="150"/>
      <c r="AH41" s="149" t="s">
        <v>423</v>
      </c>
      <c r="AI41" s="151"/>
      <c r="AJ41" s="149" t="s">
        <v>424</v>
      </c>
      <c r="AK41" s="150"/>
      <c r="AL41" s="149" t="s">
        <v>425</v>
      </c>
      <c r="AM41" s="151"/>
      <c r="AN41" s="149" t="s">
        <v>426</v>
      </c>
      <c r="AO41" s="150"/>
      <c r="AP41" s="149" t="s">
        <v>427</v>
      </c>
      <c r="AQ41" s="151"/>
      <c r="AR41" s="149" t="s">
        <v>428</v>
      </c>
      <c r="AS41" s="150"/>
      <c r="AT41" s="149" t="s">
        <v>429</v>
      </c>
      <c r="AU41" s="151"/>
      <c r="AV41" s="149" t="s">
        <v>430</v>
      </c>
      <c r="AW41" s="150"/>
      <c r="AX41" s="149" t="s">
        <v>431</v>
      </c>
      <c r="AY41" s="151"/>
      <c r="AZ41" s="149" t="s">
        <v>432</v>
      </c>
      <c r="BA41" s="150"/>
      <c r="BB41" s="149" t="s">
        <v>433</v>
      </c>
      <c r="BC41" s="151"/>
      <c r="BD41" s="149" t="s">
        <v>434</v>
      </c>
      <c r="BE41" s="150"/>
      <c r="BF41" s="348" t="s">
        <v>435</v>
      </c>
      <c r="BG41" s="350"/>
      <c r="BH41" s="348" t="s">
        <v>436</v>
      </c>
      <c r="BI41" s="150"/>
      <c r="BJ41" s="149" t="s">
        <v>437</v>
      </c>
      <c r="BK41" s="151"/>
      <c r="BL41" s="149" t="s">
        <v>438</v>
      </c>
      <c r="BM41" s="150"/>
      <c r="BN41" s="149" t="s">
        <v>439</v>
      </c>
      <c r="BO41" s="151"/>
      <c r="BP41" s="149" t="s">
        <v>440</v>
      </c>
      <c r="BQ41" s="150"/>
      <c r="BR41" s="149" t="s">
        <v>441</v>
      </c>
      <c r="BS41" s="151"/>
      <c r="BT41" s="149" t="s">
        <v>442</v>
      </c>
      <c r="BU41" s="150"/>
      <c r="BV41" s="149" t="s">
        <v>443</v>
      </c>
      <c r="BW41" s="151"/>
      <c r="BX41" s="149" t="s">
        <v>444</v>
      </c>
      <c r="BY41" s="150"/>
      <c r="BZ41" s="149"/>
      <c r="CA41" s="151"/>
      <c r="CB41" s="149"/>
    </row>
    <row r="42" spans="1:452" x14ac:dyDescent="0.25">
      <c r="A42" s="353" t="s">
        <v>445</v>
      </c>
      <c r="B42" s="268" t="s">
        <v>355</v>
      </c>
      <c r="C42" s="268" t="s">
        <v>100</v>
      </c>
      <c r="D42" s="269">
        <v>45658</v>
      </c>
      <c r="E42" s="268">
        <v>1</v>
      </c>
      <c r="F42" s="269">
        <v>45658</v>
      </c>
      <c r="G42" s="7" t="s">
        <v>398</v>
      </c>
      <c r="J42" s="141"/>
      <c r="K42" s="146" t="str">
        <f>INDEX(TableStreams[Choose your Specialisation Stream second (drop-down list)],MATCH(L42,TableStreams[UDC],0))</f>
        <v>Psychology Education Minor Teaching Area Stream (BEd Secondary)</v>
      </c>
      <c r="L42" s="141" t="s">
        <v>357</v>
      </c>
      <c r="P42" s="19">
        <v>2</v>
      </c>
      <c r="Q42" s="116" t="s">
        <v>56</v>
      </c>
      <c r="R42" s="119" t="s">
        <v>446</v>
      </c>
      <c r="S42" s="116"/>
      <c r="T42" s="119" t="s">
        <v>447</v>
      </c>
      <c r="U42" s="116" t="s">
        <v>56</v>
      </c>
      <c r="V42" s="119" t="s">
        <v>448</v>
      </c>
      <c r="W42" s="116"/>
      <c r="X42" s="119"/>
      <c r="Y42" s="116" t="s">
        <v>56</v>
      </c>
      <c r="Z42" s="119" t="s">
        <v>449</v>
      </c>
      <c r="AA42" s="116"/>
      <c r="AB42" s="119"/>
      <c r="AC42" s="116" t="s">
        <v>56</v>
      </c>
      <c r="AD42" s="119" t="s">
        <v>450</v>
      </c>
      <c r="AE42" s="116"/>
      <c r="AF42" s="119"/>
      <c r="AG42" s="116" t="s">
        <v>56</v>
      </c>
      <c r="AH42" s="119" t="s">
        <v>451</v>
      </c>
      <c r="AI42" s="116"/>
      <c r="AJ42" s="119"/>
      <c r="AK42" s="116" t="s">
        <v>56</v>
      </c>
      <c r="AL42" s="119" t="s">
        <v>452</v>
      </c>
      <c r="AM42" s="116"/>
      <c r="AN42" s="119"/>
      <c r="AO42" s="116" t="s">
        <v>56</v>
      </c>
      <c r="AP42" s="119" t="s">
        <v>453</v>
      </c>
      <c r="AQ42" s="116"/>
      <c r="AR42" s="119"/>
      <c r="AS42" s="116" t="s">
        <v>56</v>
      </c>
      <c r="AT42" s="119" t="s">
        <v>454</v>
      </c>
      <c r="AU42" s="116"/>
      <c r="AV42" s="119"/>
      <c r="AW42" s="116" t="s">
        <v>56</v>
      </c>
      <c r="AX42" s="119" t="s">
        <v>454</v>
      </c>
      <c r="AY42" s="116"/>
      <c r="AZ42" s="119"/>
      <c r="BA42" s="116" t="s">
        <v>56</v>
      </c>
      <c r="BB42" s="119" t="s">
        <v>446</v>
      </c>
      <c r="BC42" s="116"/>
      <c r="BD42" s="119"/>
      <c r="BE42" s="116" t="s">
        <v>56</v>
      </c>
      <c r="BF42" s="115" t="s">
        <v>455</v>
      </c>
      <c r="BG42" s="116"/>
      <c r="BH42" s="119"/>
      <c r="BI42" s="116" t="s">
        <v>56</v>
      </c>
      <c r="BJ42" s="119" t="s">
        <v>456</v>
      </c>
      <c r="BK42" s="116"/>
      <c r="BL42" s="119"/>
      <c r="BM42" s="116" t="s">
        <v>56</v>
      </c>
      <c r="BN42" s="115" t="s">
        <v>457</v>
      </c>
      <c r="BO42" s="116"/>
      <c r="BP42" s="119"/>
      <c r="BQ42" s="116" t="s">
        <v>56</v>
      </c>
      <c r="BR42" s="115" t="s">
        <v>458</v>
      </c>
      <c r="BS42" s="116"/>
      <c r="BT42" s="119"/>
      <c r="BU42" s="116" t="s">
        <v>56</v>
      </c>
      <c r="BV42" s="119" t="s">
        <v>459</v>
      </c>
      <c r="BW42" s="116"/>
      <c r="BX42" s="119"/>
      <c r="BY42" s="116"/>
      <c r="BZ42" s="119"/>
      <c r="CA42" s="116"/>
      <c r="CB42" s="119"/>
    </row>
    <row r="43" spans="1:452" x14ac:dyDescent="0.25">
      <c r="A43" s="353" t="s">
        <v>460</v>
      </c>
      <c r="B43" s="7" t="s">
        <v>351</v>
      </c>
      <c r="C43" s="7"/>
      <c r="D43" s="213"/>
      <c r="E43" s="7"/>
      <c r="F43" s="213"/>
      <c r="G43" s="7"/>
      <c r="J43" s="141"/>
      <c r="K43" s="146" t="str">
        <f>INDEX(TableStreams[Choose your Specialisation Stream second (drop-down list)],MATCH(L43,TableStreams[UDC],0))</f>
        <v>The Arts - Media Education Minor Teaching Area Stream (BEd Secondary)</v>
      </c>
      <c r="L43" s="141" t="s">
        <v>360</v>
      </c>
      <c r="P43" s="19">
        <v>3</v>
      </c>
      <c r="Q43" s="117" t="s">
        <v>87</v>
      </c>
      <c r="R43" s="104" t="s">
        <v>461</v>
      </c>
      <c r="S43" s="117"/>
      <c r="T43" s="104"/>
      <c r="U43" s="117" t="s">
        <v>87</v>
      </c>
      <c r="V43" s="104" t="s">
        <v>462</v>
      </c>
      <c r="W43" s="117"/>
      <c r="X43" s="104"/>
      <c r="Y43" s="117" t="s">
        <v>87</v>
      </c>
      <c r="Z43" s="104" t="s">
        <v>463</v>
      </c>
      <c r="AA43" s="117"/>
      <c r="AB43" s="104"/>
      <c r="AC43" s="117" t="s">
        <v>87</v>
      </c>
      <c r="AD43" s="104" t="s">
        <v>463</v>
      </c>
      <c r="AE43" s="117"/>
      <c r="AF43" s="104"/>
      <c r="AG43" s="117" t="s">
        <v>87</v>
      </c>
      <c r="AH43" s="104" t="s">
        <v>464</v>
      </c>
      <c r="AI43" s="117"/>
      <c r="AJ43" s="104"/>
      <c r="AK43" s="117" t="s">
        <v>87</v>
      </c>
      <c r="AL43" s="104" t="s">
        <v>465</v>
      </c>
      <c r="AM43" s="117"/>
      <c r="AN43" s="104"/>
      <c r="AO43" s="117" t="s">
        <v>87</v>
      </c>
      <c r="AP43" s="104" t="s">
        <v>465</v>
      </c>
      <c r="AQ43" s="117"/>
      <c r="AR43" s="104"/>
      <c r="AS43" s="117" t="s">
        <v>87</v>
      </c>
      <c r="AT43" s="104" t="s">
        <v>465</v>
      </c>
      <c r="AU43" s="117"/>
      <c r="AV43" s="104"/>
      <c r="AW43" s="117" t="s">
        <v>87</v>
      </c>
      <c r="AX43" s="104" t="s">
        <v>465</v>
      </c>
      <c r="AY43" s="117"/>
      <c r="AZ43" s="104"/>
      <c r="BA43" s="117" t="s">
        <v>87</v>
      </c>
      <c r="BB43" s="104" t="s">
        <v>466</v>
      </c>
      <c r="BC43" s="117"/>
      <c r="BD43" s="104"/>
      <c r="BE43" s="303" t="s">
        <v>87</v>
      </c>
      <c r="BF43" s="302" t="s">
        <v>467</v>
      </c>
      <c r="BG43" s="117"/>
      <c r="BH43" s="104"/>
      <c r="BI43" s="117" t="s">
        <v>87</v>
      </c>
      <c r="BJ43" s="104" t="s">
        <v>461</v>
      </c>
      <c r="BK43" s="117"/>
      <c r="BL43" s="104"/>
      <c r="BM43" s="117" t="s">
        <v>87</v>
      </c>
      <c r="BN43" s="104" t="s">
        <v>461</v>
      </c>
      <c r="BO43" s="117"/>
      <c r="BP43" s="104"/>
      <c r="BQ43" s="117" t="s">
        <v>87</v>
      </c>
      <c r="BR43" s="104" t="s">
        <v>461</v>
      </c>
      <c r="BS43" s="117"/>
      <c r="BT43" s="104"/>
      <c r="BU43" s="117" t="s">
        <v>87</v>
      </c>
      <c r="BV43" s="104" t="s">
        <v>461</v>
      </c>
      <c r="BW43" s="117"/>
      <c r="BX43" s="104"/>
      <c r="BY43" s="117"/>
      <c r="BZ43" s="104"/>
      <c r="CA43" s="117"/>
      <c r="CB43" s="104"/>
    </row>
    <row r="44" spans="1:452" x14ac:dyDescent="0.25">
      <c r="A44" s="353" t="s">
        <v>213</v>
      </c>
      <c r="B44" s="7" t="s">
        <v>356</v>
      </c>
      <c r="C44" s="268" t="s">
        <v>77</v>
      </c>
      <c r="D44" s="269">
        <v>45658</v>
      </c>
      <c r="E44" s="268">
        <v>5</v>
      </c>
      <c r="F44" s="269">
        <v>45658</v>
      </c>
      <c r="G44" s="7" t="s">
        <v>398</v>
      </c>
      <c r="J44" s="141"/>
      <c r="K44" s="146" t="str">
        <f>INDEX(TableStreams[Choose your Specialisation Stream second (drop-down list)],MATCH(L44,TableStreams[UDC],0))</f>
        <v>The Arts - Performing Arts Education Minor Teaching Area Stream (BEd Secondary)</v>
      </c>
      <c r="L44" s="141" t="s">
        <v>361</v>
      </c>
      <c r="P44" s="19">
        <v>4</v>
      </c>
      <c r="Q44" s="117" t="s">
        <v>87</v>
      </c>
      <c r="R44" s="104" t="s">
        <v>468</v>
      </c>
      <c r="S44" s="117"/>
      <c r="T44" s="104"/>
      <c r="U44" s="117" t="s">
        <v>87</v>
      </c>
      <c r="V44" s="104" t="s">
        <v>463</v>
      </c>
      <c r="W44" s="117"/>
      <c r="X44" s="104"/>
      <c r="Y44" s="117" t="s">
        <v>87</v>
      </c>
      <c r="Z44" s="104" t="s">
        <v>469</v>
      </c>
      <c r="AA44" s="117"/>
      <c r="AB44" s="104"/>
      <c r="AC44" s="117" t="s">
        <v>87</v>
      </c>
      <c r="AD44" s="104" t="s">
        <v>470</v>
      </c>
      <c r="AE44" s="117"/>
      <c r="AF44" s="104"/>
      <c r="AG44" s="117" t="s">
        <v>87</v>
      </c>
      <c r="AH44" s="104" t="s">
        <v>471</v>
      </c>
      <c r="AI44" s="117"/>
      <c r="AJ44" s="104"/>
      <c r="AK44" s="117" t="s">
        <v>87</v>
      </c>
      <c r="AL44" s="104" t="s">
        <v>472</v>
      </c>
      <c r="AM44" s="117"/>
      <c r="AN44" s="104"/>
      <c r="AO44" s="117" t="s">
        <v>87</v>
      </c>
      <c r="AP44" s="104" t="s">
        <v>473</v>
      </c>
      <c r="AQ44" s="117"/>
      <c r="AR44" s="104"/>
      <c r="AS44" s="117" t="s">
        <v>87</v>
      </c>
      <c r="AT44" s="104" t="s">
        <v>474</v>
      </c>
      <c r="AU44" s="117"/>
      <c r="AV44" s="104"/>
      <c r="AW44" s="117" t="s">
        <v>87</v>
      </c>
      <c r="AX44" s="104" t="s">
        <v>475</v>
      </c>
      <c r="AY44" s="117"/>
      <c r="AZ44" s="104"/>
      <c r="BA44" s="117" t="s">
        <v>87</v>
      </c>
      <c r="BB44" s="104" t="s">
        <v>476</v>
      </c>
      <c r="BC44" s="117"/>
      <c r="BD44" s="104"/>
      <c r="BE44" s="117" t="s">
        <v>87</v>
      </c>
      <c r="BF44" s="104" t="s">
        <v>477</v>
      </c>
      <c r="BG44" s="117"/>
      <c r="BH44" s="104"/>
      <c r="BI44" s="117" t="s">
        <v>87</v>
      </c>
      <c r="BJ44" s="104" t="s">
        <v>478</v>
      </c>
      <c r="BK44" s="117"/>
      <c r="BL44" s="104"/>
      <c r="BM44" s="117" t="s">
        <v>87</v>
      </c>
      <c r="BN44" s="104" t="s">
        <v>479</v>
      </c>
      <c r="BO44" s="117"/>
      <c r="BP44" s="104"/>
      <c r="BQ44" s="117" t="s">
        <v>87</v>
      </c>
      <c r="BR44" s="104" t="s">
        <v>480</v>
      </c>
      <c r="BS44" s="117"/>
      <c r="BT44" s="104"/>
      <c r="BU44" s="117" t="s">
        <v>87</v>
      </c>
      <c r="BV44" s="104" t="s">
        <v>481</v>
      </c>
      <c r="BW44" s="117"/>
      <c r="BX44" s="104"/>
      <c r="BY44" s="117"/>
      <c r="BZ44" s="104"/>
      <c r="CA44" s="117"/>
      <c r="CB44" s="104"/>
    </row>
    <row r="45" spans="1:452" x14ac:dyDescent="0.25">
      <c r="A45" s="353" t="s">
        <v>482</v>
      </c>
      <c r="B45" s="7" t="s">
        <v>357</v>
      </c>
      <c r="C45" s="268" t="s">
        <v>77</v>
      </c>
      <c r="D45" s="269">
        <v>45658</v>
      </c>
      <c r="E45" s="268">
        <v>4</v>
      </c>
      <c r="F45" s="269">
        <v>45658</v>
      </c>
      <c r="G45" s="7" t="s">
        <v>398</v>
      </c>
      <c r="J45" s="141"/>
      <c r="K45" s="146" t="str">
        <f>INDEX(TableStreams[Choose your Specialisation Stream second (drop-down list)],MATCH(L45,TableStreams[UDC],0))</f>
        <v>The Arts - Visual Arts Education Minor Teaching Area Stream (BEd Secondary)</v>
      </c>
      <c r="L45" s="141" t="s">
        <v>217</v>
      </c>
      <c r="P45" s="19">
        <v>5</v>
      </c>
      <c r="Q45" s="117" t="s">
        <v>89</v>
      </c>
      <c r="R45" s="104" t="s">
        <v>483</v>
      </c>
      <c r="S45" s="117"/>
      <c r="T45" s="104"/>
      <c r="U45" s="117" t="s">
        <v>89</v>
      </c>
      <c r="V45" s="104" t="s">
        <v>484</v>
      </c>
      <c r="W45" s="117"/>
      <c r="X45" s="104"/>
      <c r="Y45" s="117" t="s">
        <v>89</v>
      </c>
      <c r="Z45" s="104" t="s">
        <v>484</v>
      </c>
      <c r="AA45" s="117"/>
      <c r="AB45" s="104"/>
      <c r="AC45" s="117" t="s">
        <v>89</v>
      </c>
      <c r="AD45" s="104" t="s">
        <v>484</v>
      </c>
      <c r="AE45" s="117"/>
      <c r="AF45" s="104"/>
      <c r="AG45" s="117" t="s">
        <v>89</v>
      </c>
      <c r="AH45" s="104" t="s">
        <v>485</v>
      </c>
      <c r="AI45" s="117"/>
      <c r="AJ45" s="104"/>
      <c r="AK45" s="117" t="s">
        <v>89</v>
      </c>
      <c r="AL45" s="104" t="s">
        <v>486</v>
      </c>
      <c r="AM45" s="117"/>
      <c r="AN45" s="104"/>
      <c r="AO45" s="117" t="s">
        <v>89</v>
      </c>
      <c r="AP45" s="104" t="s">
        <v>486</v>
      </c>
      <c r="AQ45" s="117"/>
      <c r="AR45" s="104"/>
      <c r="AS45" s="117" t="s">
        <v>89</v>
      </c>
      <c r="AT45" s="104" t="s">
        <v>486</v>
      </c>
      <c r="AU45" s="117"/>
      <c r="AV45" s="104"/>
      <c r="AW45" s="117" t="s">
        <v>89</v>
      </c>
      <c r="AX45" s="104" t="s">
        <v>486</v>
      </c>
      <c r="AY45" s="117"/>
      <c r="AZ45" s="104"/>
      <c r="BA45" s="117" t="s">
        <v>89</v>
      </c>
      <c r="BB45" s="104" t="s">
        <v>487</v>
      </c>
      <c r="BC45" s="117"/>
      <c r="BD45" s="104"/>
      <c r="BE45" s="117" t="s">
        <v>89</v>
      </c>
      <c r="BF45" s="104" t="s">
        <v>488</v>
      </c>
      <c r="BG45" s="117"/>
      <c r="BH45" s="104"/>
      <c r="BI45" s="117" t="s">
        <v>89</v>
      </c>
      <c r="BJ45" s="104" t="s">
        <v>483</v>
      </c>
      <c r="BK45" s="117"/>
      <c r="BL45" s="104"/>
      <c r="BM45" s="117" t="s">
        <v>89</v>
      </c>
      <c r="BN45" s="104" t="s">
        <v>489</v>
      </c>
      <c r="BO45" s="117"/>
      <c r="BP45" s="104"/>
      <c r="BQ45" s="117" t="s">
        <v>89</v>
      </c>
      <c r="BR45" s="104" t="s">
        <v>483</v>
      </c>
      <c r="BS45" s="117"/>
      <c r="BT45" s="104"/>
      <c r="BU45" s="117" t="s">
        <v>89</v>
      </c>
      <c r="BV45" s="104" t="s">
        <v>490</v>
      </c>
      <c r="BW45" s="117"/>
      <c r="BX45" s="104"/>
      <c r="BY45" s="117"/>
      <c r="BZ45" s="104"/>
      <c r="CA45" s="117"/>
      <c r="CB45" s="104"/>
    </row>
    <row r="46" spans="1:452" x14ac:dyDescent="0.25">
      <c r="A46" s="353" t="s">
        <v>491</v>
      </c>
      <c r="B46" s="268" t="s">
        <v>360</v>
      </c>
      <c r="C46" s="268" t="s">
        <v>100</v>
      </c>
      <c r="D46" s="269">
        <v>45658</v>
      </c>
      <c r="E46" s="268">
        <v>1</v>
      </c>
      <c r="F46" s="269">
        <v>45658</v>
      </c>
      <c r="G46" s="7" t="s">
        <v>398</v>
      </c>
      <c r="J46" s="140" t="s">
        <v>341</v>
      </c>
      <c r="K46" s="145" t="s">
        <v>221</v>
      </c>
      <c r="L46" s="140"/>
      <c r="P46" s="19">
        <v>6</v>
      </c>
      <c r="Q46" s="117" t="s">
        <v>89</v>
      </c>
      <c r="R46" s="104" t="s">
        <v>492</v>
      </c>
      <c r="S46" s="117"/>
      <c r="T46" s="104"/>
      <c r="U46" s="117" t="s">
        <v>89</v>
      </c>
      <c r="V46" s="104" t="s">
        <v>493</v>
      </c>
      <c r="W46" s="117"/>
      <c r="X46" s="104"/>
      <c r="Y46" s="117" t="s">
        <v>89</v>
      </c>
      <c r="Z46" s="104" t="s">
        <v>494</v>
      </c>
      <c r="AA46" s="117"/>
      <c r="AB46" s="104"/>
      <c r="AC46" s="117" t="s">
        <v>89</v>
      </c>
      <c r="AD46" s="104" t="s">
        <v>495</v>
      </c>
      <c r="AE46" s="117"/>
      <c r="AF46" s="104"/>
      <c r="AG46" s="117" t="s">
        <v>89</v>
      </c>
      <c r="AH46" s="104" t="s">
        <v>496</v>
      </c>
      <c r="AI46" s="117"/>
      <c r="AJ46" s="104"/>
      <c r="AK46" s="117" t="s">
        <v>89</v>
      </c>
      <c r="AL46" s="104" t="s">
        <v>497</v>
      </c>
      <c r="AM46" s="117"/>
      <c r="AN46" s="104"/>
      <c r="AO46" s="117" t="s">
        <v>89</v>
      </c>
      <c r="AP46" s="104" t="s">
        <v>498</v>
      </c>
      <c r="AQ46" s="117"/>
      <c r="AR46" s="104"/>
      <c r="AS46" s="117" t="s">
        <v>89</v>
      </c>
      <c r="AT46" s="104" t="s">
        <v>499</v>
      </c>
      <c r="AU46" s="117"/>
      <c r="AV46" s="104"/>
      <c r="AW46" s="117" t="s">
        <v>89</v>
      </c>
      <c r="AX46" s="104" t="s">
        <v>500</v>
      </c>
      <c r="AY46" s="117"/>
      <c r="AZ46" s="104"/>
      <c r="BA46" s="117" t="s">
        <v>89</v>
      </c>
      <c r="BB46" s="104" t="s">
        <v>501</v>
      </c>
      <c r="BC46" s="117"/>
      <c r="BD46" s="104"/>
      <c r="BE46" s="117" t="s">
        <v>89</v>
      </c>
      <c r="BF46" s="104" t="s">
        <v>502</v>
      </c>
      <c r="BG46" s="117"/>
      <c r="BH46" s="104"/>
      <c r="BI46" s="117" t="s">
        <v>89</v>
      </c>
      <c r="BJ46" s="104" t="s">
        <v>503</v>
      </c>
      <c r="BK46" s="117"/>
      <c r="BL46" s="104"/>
      <c r="BM46" s="117" t="s">
        <v>89</v>
      </c>
      <c r="BN46" s="104" t="s">
        <v>483</v>
      </c>
      <c r="BO46" s="117"/>
      <c r="BP46" s="104"/>
      <c r="BQ46" s="117" t="s">
        <v>89</v>
      </c>
      <c r="BR46" s="104" t="s">
        <v>504</v>
      </c>
      <c r="BS46" s="117"/>
      <c r="BT46" s="104"/>
      <c r="BU46" s="117" t="s">
        <v>89</v>
      </c>
      <c r="BV46" s="104" t="s">
        <v>483</v>
      </c>
      <c r="BW46" s="117"/>
      <c r="BX46" s="104"/>
      <c r="BY46" s="117"/>
      <c r="BZ46" s="104"/>
      <c r="CA46" s="117"/>
      <c r="CB46" s="104"/>
    </row>
    <row r="47" spans="1:452" x14ac:dyDescent="0.25">
      <c r="A47" s="353" t="s">
        <v>505</v>
      </c>
      <c r="B47" s="7" t="s">
        <v>361</v>
      </c>
      <c r="C47" s="270" t="s">
        <v>404</v>
      </c>
      <c r="D47" s="276">
        <v>43466</v>
      </c>
      <c r="E47" s="270">
        <v>2</v>
      </c>
      <c r="F47" s="276">
        <v>43466</v>
      </c>
      <c r="G47" s="7" t="s">
        <v>398</v>
      </c>
      <c r="J47" s="141"/>
      <c r="K47" s="146" t="str">
        <f>INDEX(TableStreams[Choose your Specialisation Stream second (drop-down list)],MATCH(L47,TableStreams[UDC],0))</f>
        <v>Biological Sciences Education Minor Teaching Area Stream (BEd Secondary)</v>
      </c>
      <c r="L47" s="141" t="s">
        <v>350</v>
      </c>
      <c r="P47" s="19">
        <v>7</v>
      </c>
      <c r="Q47" s="117" t="s">
        <v>121</v>
      </c>
      <c r="R47" s="104" t="s">
        <v>466</v>
      </c>
      <c r="S47" s="117"/>
      <c r="T47" s="104"/>
      <c r="U47" s="117" t="s">
        <v>121</v>
      </c>
      <c r="V47" s="104" t="s">
        <v>506</v>
      </c>
      <c r="W47" s="117"/>
      <c r="X47" s="104"/>
      <c r="Y47" s="117" t="s">
        <v>121</v>
      </c>
      <c r="Z47" s="104" t="s">
        <v>507</v>
      </c>
      <c r="AA47" s="117"/>
      <c r="AB47" s="104"/>
      <c r="AC47" s="117" t="s">
        <v>121</v>
      </c>
      <c r="AD47" s="104" t="s">
        <v>508</v>
      </c>
      <c r="AE47" s="117"/>
      <c r="AF47" s="104"/>
      <c r="AG47" s="117" t="s">
        <v>121</v>
      </c>
      <c r="AH47" s="104" t="s">
        <v>509</v>
      </c>
      <c r="AI47" s="117"/>
      <c r="AJ47" s="104"/>
      <c r="AK47" s="117" t="s">
        <v>121</v>
      </c>
      <c r="AL47" s="104" t="s">
        <v>510</v>
      </c>
      <c r="AM47" s="117"/>
      <c r="AN47" s="104"/>
      <c r="AO47" s="117" t="s">
        <v>121</v>
      </c>
      <c r="AP47" s="104" t="s">
        <v>511</v>
      </c>
      <c r="AQ47" s="117"/>
      <c r="AR47" s="104"/>
      <c r="AS47" s="117" t="s">
        <v>121</v>
      </c>
      <c r="AT47" s="104" t="s">
        <v>512</v>
      </c>
      <c r="AU47" s="117"/>
      <c r="AV47" s="104"/>
      <c r="AW47" s="117" t="s">
        <v>121</v>
      </c>
      <c r="AX47" s="104" t="s">
        <v>513</v>
      </c>
      <c r="AY47" s="117"/>
      <c r="AZ47" s="104"/>
      <c r="BA47" s="117" t="s">
        <v>121</v>
      </c>
      <c r="BB47" s="104" t="s">
        <v>514</v>
      </c>
      <c r="BC47" s="117"/>
      <c r="BD47" s="104"/>
      <c r="BE47" s="117" t="s">
        <v>121</v>
      </c>
      <c r="BF47" s="104" t="s">
        <v>515</v>
      </c>
      <c r="BG47" s="117"/>
      <c r="BH47" s="104"/>
      <c r="BI47" s="117" t="s">
        <v>121</v>
      </c>
      <c r="BJ47" s="104" t="s">
        <v>516</v>
      </c>
      <c r="BK47" s="117"/>
      <c r="BL47" s="104"/>
      <c r="BM47" s="117" t="s">
        <v>121</v>
      </c>
      <c r="BN47" s="104" t="s">
        <v>517</v>
      </c>
      <c r="BO47" s="117"/>
      <c r="BP47" s="104"/>
      <c r="BQ47" s="117" t="s">
        <v>121</v>
      </c>
      <c r="BR47" s="104" t="s">
        <v>518</v>
      </c>
      <c r="BS47" s="117"/>
      <c r="BT47" s="104"/>
      <c r="BU47" s="117" t="s">
        <v>121</v>
      </c>
      <c r="BV47" s="104" t="s">
        <v>519</v>
      </c>
      <c r="BW47" s="117"/>
      <c r="BX47" s="104"/>
      <c r="BY47" s="117"/>
      <c r="BZ47" s="104"/>
      <c r="CA47" s="117"/>
      <c r="CB47" s="104"/>
    </row>
    <row r="48" spans="1:452" x14ac:dyDescent="0.25">
      <c r="A48" s="353" t="s">
        <v>520</v>
      </c>
      <c r="B48" s="7" t="s">
        <v>217</v>
      </c>
      <c r="C48" s="268" t="s">
        <v>77</v>
      </c>
      <c r="D48" s="269">
        <v>45658</v>
      </c>
      <c r="E48" s="268">
        <v>5</v>
      </c>
      <c r="F48" s="269">
        <v>45658</v>
      </c>
      <c r="G48" s="7" t="s">
        <v>398</v>
      </c>
      <c r="J48" s="141"/>
      <c r="K48" s="146" t="str">
        <f>INDEX(TableStreams[Choose your Specialisation Stream second (drop-down list)],MATCH(L48,TableStreams[UDC],0))</f>
        <v>Broadening HASS for Geography Teaching Area Stream (BEd Secondary)</v>
      </c>
      <c r="L48" s="141" t="s">
        <v>363</v>
      </c>
      <c r="P48" s="19">
        <v>8</v>
      </c>
      <c r="Q48" s="117" t="s">
        <v>123</v>
      </c>
      <c r="R48" s="104" t="s">
        <v>487</v>
      </c>
      <c r="S48" s="117"/>
      <c r="T48" s="104"/>
      <c r="U48" s="117" t="s">
        <v>123</v>
      </c>
      <c r="V48" s="104" t="s">
        <v>521</v>
      </c>
      <c r="W48" s="117"/>
      <c r="X48" s="104"/>
      <c r="Y48" s="117" t="s">
        <v>123</v>
      </c>
      <c r="Z48" s="104" t="s">
        <v>522</v>
      </c>
      <c r="AA48" s="117"/>
      <c r="AB48" s="104"/>
      <c r="AC48" s="117" t="s">
        <v>123</v>
      </c>
      <c r="AD48" s="104" t="s">
        <v>523</v>
      </c>
      <c r="AE48" s="117"/>
      <c r="AF48" s="104"/>
      <c r="AG48" s="117" t="s">
        <v>123</v>
      </c>
      <c r="AH48" s="104" t="s">
        <v>524</v>
      </c>
      <c r="AI48" s="117"/>
      <c r="AJ48" s="104"/>
      <c r="AK48" s="117" t="s">
        <v>123</v>
      </c>
      <c r="AL48" s="104" t="s">
        <v>525</v>
      </c>
      <c r="AM48" s="117"/>
      <c r="AN48" s="104"/>
      <c r="AO48" s="117" t="s">
        <v>123</v>
      </c>
      <c r="AP48" s="104" t="s">
        <v>526</v>
      </c>
      <c r="AQ48" s="117"/>
      <c r="AR48" s="104"/>
      <c r="AS48" s="117" t="s">
        <v>123</v>
      </c>
      <c r="AT48" s="104" t="s">
        <v>527</v>
      </c>
      <c r="AU48" s="117"/>
      <c r="AV48" s="104"/>
      <c r="AW48" s="117" t="s">
        <v>123</v>
      </c>
      <c r="AX48" s="104" t="s">
        <v>528</v>
      </c>
      <c r="AY48" s="117"/>
      <c r="AZ48" s="104"/>
      <c r="BA48" s="117" t="s">
        <v>123</v>
      </c>
      <c r="BB48" s="104" t="s">
        <v>529</v>
      </c>
      <c r="BC48" s="117"/>
      <c r="BD48" s="104"/>
      <c r="BE48" s="117" t="s">
        <v>123</v>
      </c>
      <c r="BF48" s="104" t="s">
        <v>530</v>
      </c>
      <c r="BG48" s="117"/>
      <c r="BH48" s="104"/>
      <c r="BI48" s="117" t="s">
        <v>123</v>
      </c>
      <c r="BJ48" s="104" t="s">
        <v>531</v>
      </c>
      <c r="BK48" s="117"/>
      <c r="BL48" s="104"/>
      <c r="BM48" s="117" t="s">
        <v>123</v>
      </c>
      <c r="BN48" s="104" t="s">
        <v>532</v>
      </c>
      <c r="BO48" s="117"/>
      <c r="BP48" s="104"/>
      <c r="BQ48" s="117" t="s">
        <v>123</v>
      </c>
      <c r="BR48" s="104" t="s">
        <v>533</v>
      </c>
      <c r="BS48" s="117"/>
      <c r="BT48" s="104"/>
      <c r="BU48" s="117" t="s">
        <v>123</v>
      </c>
      <c r="BV48" s="104" t="s">
        <v>534</v>
      </c>
      <c r="BW48" s="117"/>
      <c r="BX48" s="104"/>
      <c r="BY48" s="117"/>
      <c r="BZ48" s="104"/>
      <c r="CA48" s="117"/>
      <c r="CB48" s="104"/>
    </row>
    <row r="49" spans="1:80" x14ac:dyDescent="0.25">
      <c r="J49" s="141"/>
      <c r="K49" s="146" t="str">
        <f>INDEX(TableStreams[Choose your Specialisation Stream second (drop-down list)],MATCH(L49,TableStreams[UDC],0))</f>
        <v>English Education Minor Teaching Area Stream (BEd Secondary)</v>
      </c>
      <c r="L49" s="141" t="s">
        <v>353</v>
      </c>
      <c r="P49" s="19">
        <v>9</v>
      </c>
      <c r="Q49" s="117" t="s">
        <v>148</v>
      </c>
      <c r="R49" s="104" t="s">
        <v>535</v>
      </c>
      <c r="S49" s="117"/>
      <c r="T49" s="104"/>
      <c r="U49" s="117" t="s">
        <v>148</v>
      </c>
      <c r="V49" s="104" t="s">
        <v>536</v>
      </c>
      <c r="W49" s="117"/>
      <c r="X49" s="104"/>
      <c r="Y49" s="117" t="s">
        <v>148</v>
      </c>
      <c r="Z49" s="104" t="s">
        <v>537</v>
      </c>
      <c r="AA49" s="117"/>
      <c r="AB49" s="104"/>
      <c r="AC49" s="117" t="s">
        <v>148</v>
      </c>
      <c r="AD49" s="104" t="s">
        <v>538</v>
      </c>
      <c r="AE49" s="117"/>
      <c r="AF49" s="104"/>
      <c r="AG49" s="117" t="s">
        <v>148</v>
      </c>
      <c r="AH49" s="104" t="s">
        <v>539</v>
      </c>
      <c r="AI49" s="117"/>
      <c r="AJ49" s="104"/>
      <c r="AK49" s="117" t="s">
        <v>148</v>
      </c>
      <c r="AL49" s="104" t="s">
        <v>540</v>
      </c>
      <c r="AM49" s="117"/>
      <c r="AN49" s="104"/>
      <c r="AO49" s="117" t="s">
        <v>148</v>
      </c>
      <c r="AP49" s="104" t="s">
        <v>541</v>
      </c>
      <c r="AQ49" s="117"/>
      <c r="AR49" s="104"/>
      <c r="AS49" s="117" t="s">
        <v>148</v>
      </c>
      <c r="AT49" s="104" t="s">
        <v>542</v>
      </c>
      <c r="AU49" s="117"/>
      <c r="AV49" s="104"/>
      <c r="AW49" s="117" t="s">
        <v>148</v>
      </c>
      <c r="AX49" s="104" t="s">
        <v>543</v>
      </c>
      <c r="AY49" s="117"/>
      <c r="AZ49" s="104"/>
      <c r="BA49" s="117" t="s">
        <v>148</v>
      </c>
      <c r="BB49" s="104" t="s">
        <v>544</v>
      </c>
      <c r="BC49" s="117"/>
      <c r="BD49" s="104"/>
      <c r="BE49" s="117" t="s">
        <v>148</v>
      </c>
      <c r="BF49" s="104" t="s">
        <v>545</v>
      </c>
      <c r="BG49" s="117"/>
      <c r="BH49" s="104"/>
      <c r="BI49" s="117" t="s">
        <v>148</v>
      </c>
      <c r="BJ49" s="104" t="s">
        <v>546</v>
      </c>
      <c r="BK49" s="117"/>
      <c r="BL49" s="104"/>
      <c r="BM49" s="117" t="s">
        <v>148</v>
      </c>
      <c r="BN49" s="104" t="s">
        <v>547</v>
      </c>
      <c r="BO49" s="117"/>
      <c r="BP49" s="104"/>
      <c r="BQ49" s="117" t="s">
        <v>148</v>
      </c>
      <c r="BR49" s="104" t="s">
        <v>546</v>
      </c>
      <c r="BS49" s="117"/>
      <c r="BT49" s="104"/>
      <c r="BU49" s="117" t="s">
        <v>148</v>
      </c>
      <c r="BV49" s="104" t="s">
        <v>548</v>
      </c>
      <c r="BW49" s="117"/>
      <c r="BX49" s="104"/>
      <c r="BY49" s="117"/>
      <c r="BZ49" s="104"/>
      <c r="CA49" s="117"/>
      <c r="CB49" s="104"/>
    </row>
    <row r="50" spans="1:80" x14ac:dyDescent="0.25">
      <c r="J50" s="141"/>
      <c r="K50" s="146" t="str">
        <f>INDEX(TableStreams[Choose your Specialisation Stream second (drop-down list)],MATCH(L50,TableStreams[UDC],0))</f>
        <v>Mathematics Education Minor Teaching Area Stream (BEd Secondary)</v>
      </c>
      <c r="L50" s="141" t="s">
        <v>356</v>
      </c>
      <c r="P50" s="19">
        <v>10</v>
      </c>
      <c r="Q50" s="117" t="s">
        <v>148</v>
      </c>
      <c r="R50" s="104" t="s">
        <v>549</v>
      </c>
      <c r="S50" s="117"/>
      <c r="T50" s="104"/>
      <c r="U50" s="117" t="s">
        <v>148</v>
      </c>
      <c r="V50" s="104" t="s">
        <v>550</v>
      </c>
      <c r="W50" s="117"/>
      <c r="X50" s="104"/>
      <c r="Y50" s="117" t="s">
        <v>148</v>
      </c>
      <c r="Z50" s="104" t="s">
        <v>551</v>
      </c>
      <c r="AA50" s="117"/>
      <c r="AB50" s="104"/>
      <c r="AC50" s="117" t="s">
        <v>148</v>
      </c>
      <c r="AD50" s="104" t="s">
        <v>552</v>
      </c>
      <c r="AE50" s="117"/>
      <c r="AF50" s="104"/>
      <c r="AG50" s="117" t="s">
        <v>148</v>
      </c>
      <c r="AH50" s="104" t="s">
        <v>553</v>
      </c>
      <c r="AI50" s="117"/>
      <c r="AJ50" s="104"/>
      <c r="AK50" s="117" t="s">
        <v>148</v>
      </c>
      <c r="AL50" s="104" t="s">
        <v>554</v>
      </c>
      <c r="AM50" s="117"/>
      <c r="AN50" s="104"/>
      <c r="AO50" s="117" t="s">
        <v>148</v>
      </c>
      <c r="AP50" s="104" t="s">
        <v>555</v>
      </c>
      <c r="AQ50" s="117"/>
      <c r="AR50" s="104"/>
      <c r="AS50" s="117" t="s">
        <v>148</v>
      </c>
      <c r="AT50" s="104" t="s">
        <v>556</v>
      </c>
      <c r="AU50" s="117"/>
      <c r="AV50" s="104"/>
      <c r="AW50" s="117" t="s">
        <v>148</v>
      </c>
      <c r="AX50" s="104" t="s">
        <v>557</v>
      </c>
      <c r="AY50" s="117"/>
      <c r="AZ50" s="104"/>
      <c r="BA50" s="117" t="s">
        <v>148</v>
      </c>
      <c r="BB50" s="104" t="s">
        <v>558</v>
      </c>
      <c r="BC50" s="117"/>
      <c r="BD50" s="104"/>
      <c r="BE50" s="303" t="s">
        <v>148</v>
      </c>
      <c r="BF50" s="302" t="s">
        <v>559</v>
      </c>
      <c r="BG50" s="117"/>
      <c r="BH50" s="104"/>
      <c r="BI50" s="117" t="s">
        <v>148</v>
      </c>
      <c r="BJ50" s="104" t="s">
        <v>560</v>
      </c>
      <c r="BK50" s="117"/>
      <c r="BL50" s="104"/>
      <c r="BM50" s="117" t="s">
        <v>148</v>
      </c>
      <c r="BN50" s="104" t="s">
        <v>561</v>
      </c>
      <c r="BO50" s="117"/>
      <c r="BP50" s="104"/>
      <c r="BQ50" s="117" t="s">
        <v>148</v>
      </c>
      <c r="BR50" s="104" t="s">
        <v>562</v>
      </c>
      <c r="BS50" s="117"/>
      <c r="BT50" s="104"/>
      <c r="BU50" s="117" t="s">
        <v>148</v>
      </c>
      <c r="BV50" s="104" t="s">
        <v>563</v>
      </c>
      <c r="BW50" s="117"/>
      <c r="BX50" s="104"/>
      <c r="BY50" s="117"/>
      <c r="BZ50" s="104"/>
      <c r="CA50" s="117"/>
      <c r="CB50" s="104"/>
    </row>
    <row r="51" spans="1:80" x14ac:dyDescent="0.25">
      <c r="A51" s="165" t="s">
        <v>597</v>
      </c>
      <c r="J51" s="141"/>
      <c r="K51" s="146" t="str">
        <f>INDEX(TableStreams[Choose your Specialisation Stream second (drop-down list)],MATCH(L51,TableStreams[UDC],0))</f>
        <v>Psychology Education Minor Teaching Area Stream (BEd Secondary)</v>
      </c>
      <c r="L51" s="141" t="s">
        <v>357</v>
      </c>
      <c r="P51" s="19">
        <v>11</v>
      </c>
      <c r="Q51" s="116"/>
      <c r="R51" s="119" t="s">
        <v>447</v>
      </c>
      <c r="S51" s="116"/>
      <c r="T51" s="115"/>
      <c r="U51" s="116"/>
      <c r="V51" s="115" t="s">
        <v>550</v>
      </c>
      <c r="W51" s="116"/>
      <c r="X51" s="115"/>
      <c r="Y51" s="116"/>
      <c r="Z51" s="115" t="s">
        <v>449</v>
      </c>
      <c r="AA51" s="116"/>
      <c r="AB51" s="115"/>
      <c r="AC51" s="116"/>
      <c r="AD51" s="115" t="s">
        <v>470</v>
      </c>
      <c r="AE51" s="116"/>
      <c r="AF51" s="115"/>
      <c r="AG51" s="116"/>
      <c r="AH51" s="115" t="s">
        <v>471</v>
      </c>
      <c r="AI51" s="116"/>
      <c r="AJ51" s="115"/>
      <c r="AK51" s="116"/>
      <c r="AL51" s="115" t="s">
        <v>472</v>
      </c>
      <c r="AM51" s="116"/>
      <c r="AN51" s="115"/>
      <c r="AO51" s="116"/>
      <c r="AP51" s="115" t="s">
        <v>453</v>
      </c>
      <c r="AQ51" s="116"/>
      <c r="AR51" s="115"/>
      <c r="AS51" s="116"/>
      <c r="AT51" s="115" t="s">
        <v>499</v>
      </c>
      <c r="AU51" s="116"/>
      <c r="AV51" s="115"/>
      <c r="AW51" s="116"/>
      <c r="AX51" s="115" t="s">
        <v>500</v>
      </c>
      <c r="AY51" s="116"/>
      <c r="AZ51" s="115"/>
      <c r="BA51" s="116"/>
      <c r="BB51" s="115" t="s">
        <v>514</v>
      </c>
      <c r="BC51" s="116"/>
      <c r="BD51" s="115"/>
      <c r="BE51" s="116"/>
      <c r="BF51" s="119" t="s">
        <v>447</v>
      </c>
      <c r="BG51" s="116"/>
      <c r="BH51" s="115"/>
      <c r="BI51" s="116"/>
      <c r="BJ51" s="115" t="s">
        <v>456</v>
      </c>
      <c r="BK51" s="116"/>
      <c r="BL51" s="115"/>
      <c r="BM51" s="116"/>
      <c r="BN51" s="115" t="s">
        <v>532</v>
      </c>
      <c r="BO51" s="116"/>
      <c r="BP51" s="115"/>
      <c r="BQ51" s="116"/>
      <c r="BR51" s="115" t="s">
        <v>562</v>
      </c>
      <c r="BS51" s="116"/>
      <c r="BT51" s="115"/>
      <c r="BU51" s="116"/>
      <c r="BV51" s="115" t="s">
        <v>563</v>
      </c>
      <c r="BW51" s="116"/>
      <c r="BX51" s="115"/>
      <c r="BY51" s="116"/>
      <c r="BZ51" s="115"/>
      <c r="CA51" s="116"/>
      <c r="CB51" s="115"/>
    </row>
    <row r="52" spans="1:80" x14ac:dyDescent="0.25">
      <c r="J52" s="141"/>
      <c r="K52" s="146" t="str">
        <f>INDEX(TableStreams[Choose your Specialisation Stream second (drop-down list)],MATCH(L52,TableStreams[UDC],0))</f>
        <v>The Arts - Media Education Minor Teaching Area Stream (BEd Secondary)</v>
      </c>
      <c r="L52" s="141" t="s">
        <v>360</v>
      </c>
      <c r="P52" s="19">
        <v>12</v>
      </c>
      <c r="Q52" s="117"/>
      <c r="R52" s="104"/>
      <c r="S52" s="117"/>
      <c r="T52" s="104"/>
      <c r="U52" s="117"/>
      <c r="V52" s="104" t="s">
        <v>522</v>
      </c>
      <c r="W52" s="117"/>
      <c r="X52" s="104"/>
      <c r="Y52" s="117"/>
      <c r="Z52" s="104" t="s">
        <v>564</v>
      </c>
      <c r="AA52" s="117"/>
      <c r="AB52" s="104"/>
      <c r="AC52" s="117"/>
      <c r="AD52" s="104" t="s">
        <v>565</v>
      </c>
      <c r="AE52" s="117"/>
      <c r="AF52" s="104"/>
      <c r="AG52" s="117"/>
      <c r="AH52" s="104" t="s">
        <v>566</v>
      </c>
      <c r="AI52" s="117"/>
      <c r="AJ52" s="104"/>
      <c r="AK52" s="117"/>
      <c r="AL52" s="104" t="s">
        <v>567</v>
      </c>
      <c r="AM52" s="117"/>
      <c r="AN52" s="104"/>
      <c r="AO52" s="117"/>
      <c r="AP52" s="104" t="s">
        <v>568</v>
      </c>
      <c r="AQ52" s="117"/>
      <c r="AR52" s="104"/>
      <c r="AS52" s="117"/>
      <c r="AT52" s="104" t="s">
        <v>569</v>
      </c>
      <c r="AU52" s="117"/>
      <c r="AV52" s="104"/>
      <c r="AW52" s="117"/>
      <c r="AX52" s="104" t="s">
        <v>570</v>
      </c>
      <c r="AY52" s="117"/>
      <c r="AZ52" s="104"/>
      <c r="BA52" s="117"/>
      <c r="BB52" s="104" t="s">
        <v>571</v>
      </c>
      <c r="BC52" s="117"/>
      <c r="BD52" s="104"/>
      <c r="BE52" s="117"/>
      <c r="BF52" s="104"/>
      <c r="BG52" s="117"/>
      <c r="BH52" s="104"/>
      <c r="BI52" s="117"/>
      <c r="BJ52" s="104" t="s">
        <v>572</v>
      </c>
      <c r="BK52" s="117"/>
      <c r="BL52" s="104"/>
      <c r="BM52" s="117"/>
      <c r="BN52" s="104" t="s">
        <v>573</v>
      </c>
      <c r="BO52" s="117"/>
      <c r="BP52" s="104"/>
      <c r="BQ52" s="117"/>
      <c r="BR52" s="104" t="s">
        <v>574</v>
      </c>
      <c r="BS52" s="117"/>
      <c r="BT52" s="104"/>
      <c r="BU52" s="117"/>
      <c r="BV52" s="104" t="s">
        <v>575</v>
      </c>
      <c r="BW52" s="117"/>
      <c r="BX52" s="104"/>
      <c r="BY52" s="117"/>
      <c r="BZ52" s="104"/>
      <c r="CA52" s="117"/>
      <c r="CB52" s="104"/>
    </row>
    <row r="53" spans="1:80" x14ac:dyDescent="0.25">
      <c r="J53" s="141"/>
      <c r="K53" s="146" t="str">
        <f>INDEX(TableStreams[Choose your Specialisation Stream second (drop-down list)],MATCH(L53,TableStreams[UDC],0))</f>
        <v>The Arts - Performing Arts Education Minor Teaching Area Stream (BEd Secondary)</v>
      </c>
      <c r="L53" s="141" t="s">
        <v>361</v>
      </c>
      <c r="P53" s="19">
        <v>13</v>
      </c>
      <c r="Q53" s="117"/>
      <c r="R53" s="104"/>
      <c r="S53" s="117"/>
      <c r="T53" s="104"/>
      <c r="U53" s="117"/>
      <c r="V53" s="104" t="s">
        <v>576</v>
      </c>
      <c r="W53" s="117"/>
      <c r="X53" s="104"/>
      <c r="Y53" s="117"/>
      <c r="Z53" s="104" t="s">
        <v>577</v>
      </c>
      <c r="AA53" s="117"/>
      <c r="AB53" s="104"/>
      <c r="AC53" s="117"/>
      <c r="AD53" s="104" t="s">
        <v>578</v>
      </c>
      <c r="AE53" s="117"/>
      <c r="AF53" s="104"/>
      <c r="AG53" s="117"/>
      <c r="AH53" s="104" t="s">
        <v>579</v>
      </c>
      <c r="AI53" s="117"/>
      <c r="AJ53" s="104"/>
      <c r="AK53" s="117"/>
      <c r="AL53" s="104" t="s">
        <v>580</v>
      </c>
      <c r="AM53" s="117"/>
      <c r="AN53" s="104"/>
      <c r="AO53" s="117"/>
      <c r="AP53" s="104" t="s">
        <v>581</v>
      </c>
      <c r="AQ53" s="117"/>
      <c r="AR53" s="104"/>
      <c r="AS53" s="117"/>
      <c r="AT53" s="104" t="s">
        <v>582</v>
      </c>
      <c r="AU53" s="117"/>
      <c r="AV53" s="104"/>
      <c r="AW53" s="117"/>
      <c r="AX53" s="104" t="s">
        <v>583</v>
      </c>
      <c r="AY53" s="117"/>
      <c r="AZ53" s="104"/>
      <c r="BA53" s="117"/>
      <c r="BB53" s="104" t="s">
        <v>584</v>
      </c>
      <c r="BC53" s="117"/>
      <c r="BD53" s="104"/>
      <c r="BE53" s="117"/>
      <c r="BF53" s="104"/>
      <c r="BG53" s="117"/>
      <c r="BH53" s="104"/>
      <c r="BI53" s="117"/>
      <c r="BJ53" s="104" t="s">
        <v>458</v>
      </c>
      <c r="BK53" s="117"/>
      <c r="BL53" s="104"/>
      <c r="BM53" s="117"/>
      <c r="BN53" s="104" t="s">
        <v>585</v>
      </c>
      <c r="BO53" s="117"/>
      <c r="BP53" s="104"/>
      <c r="BQ53" s="117"/>
      <c r="BR53" s="104" t="s">
        <v>586</v>
      </c>
      <c r="BS53" s="117"/>
      <c r="BT53" s="104"/>
      <c r="BU53" s="117"/>
      <c r="BV53" s="104" t="s">
        <v>587</v>
      </c>
      <c r="BW53" s="117"/>
      <c r="BX53" s="104"/>
      <c r="BY53" s="117"/>
      <c r="BZ53" s="104"/>
      <c r="CA53" s="117"/>
      <c r="CB53" s="104"/>
    </row>
    <row r="54" spans="1:80" x14ac:dyDescent="0.25">
      <c r="J54" s="141"/>
      <c r="K54" s="146" t="str">
        <f>INDEX(TableStreams[Choose your Specialisation Stream second (drop-down list)],MATCH(L54,TableStreams[UDC],0))</f>
        <v>The Arts - Visual Arts Education Minor Teaching Area Stream (BEd Secondary)</v>
      </c>
      <c r="L54" s="141" t="s">
        <v>217</v>
      </c>
      <c r="P54" s="19">
        <v>14</v>
      </c>
      <c r="Q54" s="117"/>
      <c r="R54" s="104"/>
      <c r="S54" s="117"/>
      <c r="T54" s="104"/>
      <c r="U54" s="117"/>
      <c r="V54" s="104" t="s">
        <v>588</v>
      </c>
      <c r="W54" s="117"/>
      <c r="X54" s="104"/>
      <c r="Y54" s="117"/>
      <c r="Z54" s="104" t="s">
        <v>589</v>
      </c>
      <c r="AA54" s="117"/>
      <c r="AB54" s="104"/>
      <c r="AC54" s="117"/>
      <c r="AD54" s="104" t="s">
        <v>589</v>
      </c>
      <c r="AE54" s="117"/>
      <c r="AF54" s="104"/>
      <c r="AG54" s="117"/>
      <c r="AH54" s="104" t="s">
        <v>589</v>
      </c>
      <c r="AI54" s="117"/>
      <c r="AJ54" s="104"/>
      <c r="AK54" s="117"/>
      <c r="AL54" s="104" t="s">
        <v>510</v>
      </c>
      <c r="AM54" s="117"/>
      <c r="AN54" s="104"/>
      <c r="AO54" s="117"/>
      <c r="AP54" s="104" t="s">
        <v>498</v>
      </c>
      <c r="AQ54" s="117"/>
      <c r="AR54" s="104"/>
      <c r="AS54" s="117"/>
      <c r="AT54" s="104" t="s">
        <v>512</v>
      </c>
      <c r="AU54" s="117"/>
      <c r="AV54" s="104"/>
      <c r="AW54" s="117"/>
      <c r="AX54" s="104" t="s">
        <v>513</v>
      </c>
      <c r="AY54" s="117"/>
      <c r="AZ54" s="104"/>
      <c r="BA54" s="117"/>
      <c r="BB54" s="104"/>
      <c r="BC54" s="117"/>
      <c r="BD54" s="104"/>
      <c r="BE54" s="117"/>
      <c r="BF54" s="104"/>
      <c r="BG54" s="117"/>
      <c r="BH54" s="104"/>
      <c r="BI54" s="117"/>
      <c r="BJ54" s="104" t="s">
        <v>589</v>
      </c>
      <c r="BK54" s="117"/>
      <c r="BL54" s="104"/>
      <c r="BM54" s="117"/>
      <c r="BN54" s="104" t="s">
        <v>547</v>
      </c>
      <c r="BO54" s="117"/>
      <c r="BP54" s="104"/>
      <c r="BQ54" s="117"/>
      <c r="BR54" s="104" t="s">
        <v>591</v>
      </c>
      <c r="BS54" s="117"/>
      <c r="BT54" s="104"/>
      <c r="BU54" s="117"/>
      <c r="BV54" s="104" t="s">
        <v>592</v>
      </c>
      <c r="BW54" s="117"/>
      <c r="BX54" s="104"/>
      <c r="BY54" s="117"/>
      <c r="BZ54" s="104"/>
      <c r="CA54" s="117"/>
      <c r="CB54" s="104"/>
    </row>
    <row r="55" spans="1:80" x14ac:dyDescent="0.25">
      <c r="J55" s="140" t="s">
        <v>342</v>
      </c>
      <c r="K55" s="145" t="s">
        <v>221</v>
      </c>
      <c r="L55" s="140"/>
      <c r="P55" s="19">
        <v>15</v>
      </c>
      <c r="Q55" s="117"/>
      <c r="R55" s="104"/>
      <c r="S55" s="117"/>
      <c r="T55" s="104"/>
      <c r="U55" s="117"/>
      <c r="V55" s="104"/>
      <c r="W55" s="117"/>
      <c r="X55" s="104"/>
      <c r="Y55" s="117"/>
      <c r="Z55" s="104" t="s">
        <v>551</v>
      </c>
      <c r="AA55" s="117"/>
      <c r="AB55" s="104"/>
      <c r="AC55" s="117"/>
      <c r="AD55" s="104" t="s">
        <v>523</v>
      </c>
      <c r="AE55" s="117"/>
      <c r="AF55" s="104"/>
      <c r="AG55" s="117"/>
      <c r="AH55" s="104" t="s">
        <v>553</v>
      </c>
      <c r="AI55" s="117"/>
      <c r="AJ55" s="104"/>
      <c r="AK55" s="117"/>
      <c r="AL55" s="104" t="s">
        <v>593</v>
      </c>
      <c r="AM55" s="117"/>
      <c r="AN55" s="104"/>
      <c r="AO55" s="117"/>
      <c r="AP55" s="104" t="s">
        <v>594</v>
      </c>
      <c r="AQ55" s="117"/>
      <c r="AR55" s="104"/>
      <c r="AS55" s="117"/>
      <c r="AT55" s="104" t="s">
        <v>595</v>
      </c>
      <c r="AU55" s="117"/>
      <c r="AV55" s="104"/>
      <c r="AW55" s="117"/>
      <c r="AX55" s="104" t="s">
        <v>595</v>
      </c>
      <c r="AY55" s="117"/>
      <c r="AZ55" s="104"/>
      <c r="BA55" s="117"/>
      <c r="BB55" s="104"/>
      <c r="BC55" s="117"/>
      <c r="BD55" s="104"/>
      <c r="BE55" s="117"/>
      <c r="BF55" s="104"/>
      <c r="BG55" s="117"/>
      <c r="BH55" s="104"/>
      <c r="BI55" s="117"/>
      <c r="BJ55" s="104" t="s">
        <v>560</v>
      </c>
      <c r="BK55" s="117"/>
      <c r="BL55" s="104"/>
      <c r="BM55" s="117"/>
      <c r="BN55" s="104" t="s">
        <v>596</v>
      </c>
      <c r="BO55" s="117"/>
      <c r="BP55" s="104"/>
      <c r="BQ55" s="117"/>
      <c r="BR55" s="104" t="s">
        <v>588</v>
      </c>
      <c r="BS55" s="117"/>
      <c r="BT55" s="104"/>
      <c r="BU55" s="117"/>
      <c r="BV55" s="104" t="s">
        <v>588</v>
      </c>
      <c r="BW55" s="117"/>
      <c r="BX55" s="104"/>
      <c r="BY55" s="117"/>
      <c r="BZ55" s="104"/>
      <c r="CA55" s="117"/>
      <c r="CB55" s="104"/>
    </row>
    <row r="56" spans="1:80" x14ac:dyDescent="0.25">
      <c r="J56" s="141"/>
      <c r="K56" s="146" t="str">
        <f>INDEX(TableStreams[Choose your Specialisation Stream second (drop-down list)],MATCH(L56,TableStreams[UDC],0))</f>
        <v>Biological Sciences Education Minor Teaching Area Stream (BEd Secondary)</v>
      </c>
      <c r="L56" s="141" t="s">
        <v>350</v>
      </c>
      <c r="P56" s="19">
        <v>16</v>
      </c>
      <c r="Q56" s="117"/>
      <c r="R56" s="104"/>
      <c r="S56" s="117"/>
      <c r="T56" s="104"/>
      <c r="U56" s="117"/>
      <c r="V56" s="104"/>
      <c r="W56" s="117"/>
      <c r="X56" s="104"/>
      <c r="Y56" s="117"/>
      <c r="Z56" s="104" t="s">
        <v>598</v>
      </c>
      <c r="AA56" s="117"/>
      <c r="AB56" s="104"/>
      <c r="AC56" s="117"/>
      <c r="AD56" s="104" t="s">
        <v>599</v>
      </c>
      <c r="AE56" s="117"/>
      <c r="AF56" s="104"/>
      <c r="AG56" s="117"/>
      <c r="AH56" s="104" t="s">
        <v>600</v>
      </c>
      <c r="AI56" s="117"/>
      <c r="AJ56" s="104"/>
      <c r="AK56" s="117"/>
      <c r="AL56" s="104" t="s">
        <v>601</v>
      </c>
      <c r="AM56" s="117"/>
      <c r="AN56" s="104"/>
      <c r="AO56" s="117"/>
      <c r="AP56" s="104" t="s">
        <v>602</v>
      </c>
      <c r="AQ56" s="117"/>
      <c r="AR56" s="104"/>
      <c r="AS56" s="117"/>
      <c r="AT56" s="104" t="s">
        <v>582</v>
      </c>
      <c r="AU56" s="117"/>
      <c r="AV56" s="104"/>
      <c r="AW56" s="117"/>
      <c r="AX56" s="104" t="s">
        <v>603</v>
      </c>
      <c r="AY56" s="117"/>
      <c r="AZ56" s="104"/>
      <c r="BA56" s="117"/>
      <c r="BB56" s="104"/>
      <c r="BC56" s="117"/>
      <c r="BD56" s="104"/>
      <c r="BE56" s="117"/>
      <c r="BF56" s="104"/>
      <c r="BG56" s="117"/>
      <c r="BH56" s="104"/>
      <c r="BI56" s="117"/>
      <c r="BJ56" s="104" t="s">
        <v>604</v>
      </c>
      <c r="BK56" s="117"/>
      <c r="BL56" s="104"/>
      <c r="BM56" s="117"/>
      <c r="BN56" s="104" t="s">
        <v>605</v>
      </c>
      <c r="BO56" s="117"/>
      <c r="BP56" s="104"/>
      <c r="BQ56" s="117"/>
      <c r="BR56" s="104"/>
      <c r="BS56" s="117"/>
      <c r="BT56" s="104"/>
      <c r="BU56" s="117"/>
      <c r="BV56" s="104"/>
      <c r="BW56" s="117"/>
      <c r="BX56" s="104"/>
      <c r="BY56" s="117"/>
      <c r="BZ56" s="104"/>
      <c r="CA56" s="117"/>
      <c r="CB56" s="104"/>
    </row>
    <row r="57" spans="1:80" x14ac:dyDescent="0.25">
      <c r="J57" s="141"/>
      <c r="K57" s="146" t="str">
        <f>INDEX(TableStreams[Choose your Specialisation Stream second (drop-down list)],MATCH(L57,TableStreams[UDC],0))</f>
        <v>Broadening HASS for History Teaching Area Stream (BEd Secondary)</v>
      </c>
      <c r="L57" s="141" t="s">
        <v>364</v>
      </c>
      <c r="P57" s="19">
        <v>17</v>
      </c>
      <c r="Q57" s="117"/>
      <c r="R57" s="104"/>
      <c r="S57" s="117"/>
      <c r="T57" s="104"/>
      <c r="U57" s="117"/>
      <c r="V57" s="104"/>
      <c r="W57" s="117"/>
      <c r="X57" s="104"/>
      <c r="Y57" s="117"/>
      <c r="Z57" s="104" t="s">
        <v>506</v>
      </c>
      <c r="AA57" s="117"/>
      <c r="AB57" s="104"/>
      <c r="AC57" s="117"/>
      <c r="AD57" s="104" t="s">
        <v>606</v>
      </c>
      <c r="AE57" s="117"/>
      <c r="AF57" s="104"/>
      <c r="AG57" s="117"/>
      <c r="AH57" s="104" t="s">
        <v>607</v>
      </c>
      <c r="AI57" s="117"/>
      <c r="AJ57" s="104"/>
      <c r="AK57" s="117"/>
      <c r="AL57" s="104" t="s">
        <v>525</v>
      </c>
      <c r="AM57" s="117"/>
      <c r="AN57" s="104"/>
      <c r="AO57" s="117"/>
      <c r="AP57" s="104" t="s">
        <v>511</v>
      </c>
      <c r="AQ57" s="117"/>
      <c r="AR57" s="104"/>
      <c r="AS57" s="117"/>
      <c r="AT57" s="104" t="s">
        <v>527</v>
      </c>
      <c r="AU57" s="117"/>
      <c r="AV57" s="104"/>
      <c r="AW57" s="117"/>
      <c r="AX57" s="104" t="s">
        <v>528</v>
      </c>
      <c r="AY57" s="117"/>
      <c r="AZ57" s="104"/>
      <c r="BA57" s="117"/>
      <c r="BB57" s="104"/>
      <c r="BC57" s="117"/>
      <c r="BD57" s="104"/>
      <c r="BE57" s="117"/>
      <c r="BF57" s="104"/>
      <c r="BG57" s="117"/>
      <c r="BH57" s="104"/>
      <c r="BI57" s="117"/>
      <c r="BJ57" s="104" t="s">
        <v>608</v>
      </c>
      <c r="BK57" s="117"/>
      <c r="BL57" s="104"/>
      <c r="BM57" s="117"/>
      <c r="BN57" s="104" t="s">
        <v>589</v>
      </c>
      <c r="BO57" s="117"/>
      <c r="BP57" s="104"/>
      <c r="BQ57" s="117"/>
      <c r="BR57" s="104"/>
      <c r="BS57" s="117"/>
      <c r="BT57" s="104"/>
      <c r="BU57" s="117"/>
      <c r="BV57" s="104"/>
      <c r="BW57" s="117"/>
      <c r="BX57" s="104"/>
      <c r="BY57" s="117"/>
      <c r="BZ57" s="104"/>
      <c r="CA57" s="117"/>
      <c r="CB57" s="104"/>
    </row>
    <row r="58" spans="1:80" x14ac:dyDescent="0.25">
      <c r="A58" t="s">
        <v>154</v>
      </c>
      <c r="J58" s="141"/>
      <c r="K58" s="146" t="str">
        <f>INDEX(TableStreams[Choose your Specialisation Stream second (drop-down list)],MATCH(L58,TableStreams[UDC],0))</f>
        <v>English Education Minor Teaching Area Stream (BEd Secondary)</v>
      </c>
      <c r="L58" s="141" t="s">
        <v>353</v>
      </c>
      <c r="P58" s="19">
        <v>18</v>
      </c>
      <c r="Q58" s="117"/>
      <c r="R58" s="104"/>
      <c r="S58" s="117"/>
      <c r="T58" s="104"/>
      <c r="U58" s="117"/>
      <c r="V58" s="104"/>
      <c r="W58" s="117"/>
      <c r="X58" s="104"/>
      <c r="Y58" s="117"/>
      <c r="Z58" s="104" t="s">
        <v>588</v>
      </c>
      <c r="AA58" s="117"/>
      <c r="AB58" s="104"/>
      <c r="AC58" s="117"/>
      <c r="AD58" s="104" t="s">
        <v>609</v>
      </c>
      <c r="AE58" s="117"/>
      <c r="AF58" s="104"/>
      <c r="AG58" s="117"/>
      <c r="AH58" s="104" t="s">
        <v>610</v>
      </c>
      <c r="AI58" s="117"/>
      <c r="AJ58" s="104"/>
      <c r="AK58" s="117"/>
      <c r="AL58" s="104" t="s">
        <v>611</v>
      </c>
      <c r="AM58" s="117"/>
      <c r="AN58" s="104"/>
      <c r="AO58" s="117"/>
      <c r="AP58" s="104" t="s">
        <v>612</v>
      </c>
      <c r="AQ58" s="117"/>
      <c r="AR58" s="104"/>
      <c r="AS58" s="117"/>
      <c r="AT58" s="104" t="s">
        <v>613</v>
      </c>
      <c r="AU58" s="117"/>
      <c r="AV58" s="104"/>
      <c r="AW58" s="117"/>
      <c r="AX58" s="104" t="s">
        <v>614</v>
      </c>
      <c r="AY58" s="117"/>
      <c r="AZ58" s="104"/>
      <c r="BA58" s="117"/>
      <c r="BB58" s="104"/>
      <c r="BC58" s="117"/>
      <c r="BD58" s="104"/>
      <c r="BE58" s="117"/>
      <c r="BF58" s="104"/>
      <c r="BG58" s="117"/>
      <c r="BH58" s="104"/>
      <c r="BI58" s="117"/>
      <c r="BJ58" s="104" t="s">
        <v>615</v>
      </c>
      <c r="BK58" s="117"/>
      <c r="BL58" s="104"/>
      <c r="BM58" s="117"/>
      <c r="BN58" s="104" t="s">
        <v>561</v>
      </c>
      <c r="BO58" s="117"/>
      <c r="BP58" s="104"/>
      <c r="BQ58" s="117"/>
      <c r="BR58" s="104"/>
      <c r="BS58" s="117"/>
      <c r="BT58" s="104"/>
      <c r="BU58" s="117"/>
      <c r="BV58" s="104"/>
      <c r="BW58" s="117"/>
      <c r="BX58" s="104"/>
      <c r="BY58" s="117"/>
      <c r="BZ58" s="104"/>
      <c r="CA58" s="117"/>
      <c r="CB58" s="104"/>
    </row>
    <row r="59" spans="1:80" x14ac:dyDescent="0.25">
      <c r="A59" s="267" t="s">
        <v>156</v>
      </c>
      <c r="J59" s="141"/>
      <c r="K59" s="146" t="str">
        <f>INDEX(TableStreams[Choose your Specialisation Stream second (drop-down list)],MATCH(L59,TableStreams[UDC],0))</f>
        <v>Mathematics Education Minor Teaching Area Stream (BEd Secondary)</v>
      </c>
      <c r="L59" s="141" t="s">
        <v>356</v>
      </c>
      <c r="P59" s="19">
        <v>19</v>
      </c>
      <c r="Q59" s="117"/>
      <c r="R59" s="104"/>
      <c r="S59" s="117"/>
      <c r="T59" s="104"/>
      <c r="U59" s="117"/>
      <c r="V59" s="104"/>
      <c r="W59" s="117"/>
      <c r="X59" s="104"/>
      <c r="Y59" s="117"/>
      <c r="Z59" s="104"/>
      <c r="AA59" s="117"/>
      <c r="AB59" s="104"/>
      <c r="AC59" s="117"/>
      <c r="AD59" s="104" t="s">
        <v>616</v>
      </c>
      <c r="AE59" s="117"/>
      <c r="AF59" s="104"/>
      <c r="AG59" s="117"/>
      <c r="AH59" s="104" t="s">
        <v>617</v>
      </c>
      <c r="AI59" s="117"/>
      <c r="AJ59" s="104"/>
      <c r="AK59" s="117"/>
      <c r="AL59" s="104" t="s">
        <v>618</v>
      </c>
      <c r="AM59" s="117"/>
      <c r="AN59" s="104"/>
      <c r="AO59" s="117"/>
      <c r="AP59" s="104" t="s">
        <v>619</v>
      </c>
      <c r="AQ59" s="117"/>
      <c r="AR59" s="104"/>
      <c r="AS59" s="117"/>
      <c r="AT59" s="104" t="s">
        <v>620</v>
      </c>
      <c r="AU59" s="117"/>
      <c r="AV59" s="104"/>
      <c r="AW59" s="117"/>
      <c r="AX59" s="104" t="s">
        <v>621</v>
      </c>
      <c r="AY59" s="117"/>
      <c r="AZ59" s="104"/>
      <c r="BA59" s="117"/>
      <c r="BB59" s="104"/>
      <c r="BC59" s="117"/>
      <c r="BD59" s="104"/>
      <c r="BE59" s="117"/>
      <c r="BF59" s="104"/>
      <c r="BG59" s="117"/>
      <c r="BH59" s="104"/>
      <c r="BI59" s="117"/>
      <c r="BJ59" s="104" t="s">
        <v>622</v>
      </c>
      <c r="BK59" s="117"/>
      <c r="BL59" s="104"/>
      <c r="BM59" s="117"/>
      <c r="BN59" s="104" t="s">
        <v>623</v>
      </c>
      <c r="BO59" s="117"/>
      <c r="BP59" s="104"/>
      <c r="BQ59" s="117"/>
      <c r="BR59" s="104"/>
      <c r="BS59" s="117"/>
      <c r="BT59" s="104"/>
      <c r="BU59" s="117"/>
      <c r="BV59" s="104"/>
      <c r="BW59" s="117"/>
      <c r="BX59" s="104"/>
      <c r="BY59" s="117"/>
      <c r="BZ59" s="104"/>
      <c r="CA59" s="117"/>
      <c r="CB59" s="104"/>
    </row>
    <row r="60" spans="1:80" x14ac:dyDescent="0.25">
      <c r="A60" t="s">
        <v>160</v>
      </c>
      <c r="J60" s="141"/>
      <c r="K60" s="146" t="str">
        <f>INDEX(TableStreams[Choose your Specialisation Stream second (drop-down list)],MATCH(L60,TableStreams[UDC],0))</f>
        <v>Psychology Education Minor Teaching Area Stream (BEd Secondary)</v>
      </c>
      <c r="L60" s="141" t="s">
        <v>357</v>
      </c>
      <c r="P60" s="19">
        <v>20</v>
      </c>
      <c r="Q60" s="117"/>
      <c r="R60" s="104"/>
      <c r="S60" s="117"/>
      <c r="T60" s="104"/>
      <c r="U60" s="117"/>
      <c r="V60" s="104"/>
      <c r="W60" s="117"/>
      <c r="X60" s="104"/>
      <c r="Y60" s="117"/>
      <c r="Z60" s="104"/>
      <c r="AA60" s="117"/>
      <c r="AB60" s="104"/>
      <c r="AC60" s="117"/>
      <c r="AD60" s="104" t="s">
        <v>588</v>
      </c>
      <c r="AE60" s="117"/>
      <c r="AF60" s="104"/>
      <c r="AG60" s="117"/>
      <c r="AH60" s="104" t="s">
        <v>588</v>
      </c>
      <c r="AI60" s="117"/>
      <c r="AJ60" s="104"/>
      <c r="AK60" s="117"/>
      <c r="AL60" s="104" t="s">
        <v>589</v>
      </c>
      <c r="AM60" s="117"/>
      <c r="AN60" s="104"/>
      <c r="AO60" s="117"/>
      <c r="AP60" s="104" t="s">
        <v>526</v>
      </c>
      <c r="AQ60" s="117"/>
      <c r="AR60" s="104"/>
      <c r="AS60" s="117"/>
      <c r="AT60" s="104" t="s">
        <v>589</v>
      </c>
      <c r="AU60" s="117"/>
      <c r="AV60" s="104"/>
      <c r="AW60" s="117"/>
      <c r="AX60" s="104" t="s">
        <v>543</v>
      </c>
      <c r="AY60" s="117"/>
      <c r="AZ60" s="104"/>
      <c r="BA60" s="117"/>
      <c r="BB60" s="104"/>
      <c r="BC60" s="117"/>
      <c r="BD60" s="104"/>
      <c r="BE60" s="117"/>
      <c r="BF60" s="104"/>
      <c r="BG60" s="117"/>
      <c r="BH60" s="104"/>
      <c r="BI60" s="117"/>
      <c r="BJ60" s="104" t="s">
        <v>624</v>
      </c>
      <c r="BK60" s="117"/>
      <c r="BL60" s="104"/>
      <c r="BM60" s="117"/>
      <c r="BN60" s="104" t="s">
        <v>625</v>
      </c>
      <c r="BO60" s="117"/>
      <c r="BP60" s="104"/>
      <c r="BQ60" s="117"/>
      <c r="BR60" s="104"/>
      <c r="BS60" s="117"/>
      <c r="BT60" s="104"/>
      <c r="BU60" s="117"/>
      <c r="BV60" s="104"/>
      <c r="BW60" s="117"/>
      <c r="BX60" s="104"/>
      <c r="BY60" s="117"/>
      <c r="BZ60" s="104"/>
      <c r="CA60" s="117"/>
      <c r="CB60" s="104"/>
    </row>
    <row r="61" spans="1:80" x14ac:dyDescent="0.25">
      <c r="A61" t="s">
        <v>161</v>
      </c>
      <c r="H61" s="304"/>
      <c r="J61" s="141"/>
      <c r="K61" s="146" t="str">
        <f>INDEX(TableStreams[Choose your Specialisation Stream second (drop-down list)],MATCH(L61,TableStreams[UDC],0))</f>
        <v>The Arts - Media Education Minor Teaching Area Stream (BEd Secondary)</v>
      </c>
      <c r="L61" s="141" t="s">
        <v>360</v>
      </c>
      <c r="P61" s="19">
        <v>21</v>
      </c>
      <c r="Q61" s="117"/>
      <c r="R61" s="104"/>
      <c r="S61" s="117"/>
      <c r="T61" s="104"/>
      <c r="U61" s="117"/>
      <c r="V61" s="104"/>
      <c r="W61" s="117"/>
      <c r="X61" s="104"/>
      <c r="Y61" s="117"/>
      <c r="Z61" s="104"/>
      <c r="AA61" s="117"/>
      <c r="AB61" s="104"/>
      <c r="AC61" s="117"/>
      <c r="AD61" s="104"/>
      <c r="AE61" s="117"/>
      <c r="AF61" s="104"/>
      <c r="AG61" s="117"/>
      <c r="AH61" s="104"/>
      <c r="AI61" s="117"/>
      <c r="AJ61" s="104"/>
      <c r="AK61" s="117"/>
      <c r="AL61" s="104" t="s">
        <v>554</v>
      </c>
      <c r="AM61" s="117"/>
      <c r="AN61" s="104"/>
      <c r="AO61" s="117"/>
      <c r="AP61" s="104" t="s">
        <v>626</v>
      </c>
      <c r="AQ61" s="117"/>
      <c r="AR61" s="104"/>
      <c r="AS61" s="117"/>
      <c r="AT61" s="104" t="s">
        <v>556</v>
      </c>
      <c r="AU61" s="117"/>
      <c r="AV61" s="104"/>
      <c r="AW61" s="117"/>
      <c r="AX61" s="104" t="s">
        <v>627</v>
      </c>
      <c r="AY61" s="117"/>
      <c r="AZ61" s="104"/>
      <c r="BA61" s="117"/>
      <c r="BB61" s="104"/>
      <c r="BC61" s="117"/>
      <c r="BD61" s="104"/>
      <c r="BE61" s="117"/>
      <c r="BF61" s="104"/>
      <c r="BG61" s="117"/>
      <c r="BH61" s="104"/>
      <c r="BI61" s="117"/>
      <c r="BJ61" s="104" t="s">
        <v>588</v>
      </c>
      <c r="BK61" s="117"/>
      <c r="BL61" s="104"/>
      <c r="BM61" s="117"/>
      <c r="BN61" s="104" t="s">
        <v>628</v>
      </c>
      <c r="BO61" s="117"/>
      <c r="BP61" s="104"/>
      <c r="BQ61" s="117"/>
      <c r="BR61" s="104"/>
      <c r="BS61" s="117"/>
      <c r="BT61" s="104"/>
      <c r="BU61" s="117"/>
      <c r="BV61" s="104"/>
      <c r="BW61" s="117"/>
      <c r="BX61" s="104"/>
      <c r="BY61" s="117"/>
      <c r="BZ61" s="104"/>
      <c r="CA61" s="117"/>
      <c r="CB61" s="104"/>
    </row>
    <row r="62" spans="1:80" x14ac:dyDescent="0.25">
      <c r="A62" t="s">
        <v>162</v>
      </c>
      <c r="J62" s="141"/>
      <c r="K62" s="146" t="str">
        <f>INDEX(TableStreams[Choose your Specialisation Stream second (drop-down list)],MATCH(L62,TableStreams[UDC],0))</f>
        <v>The Arts - Performing Arts Education Minor Teaching Area Stream (BEd Secondary)</v>
      </c>
      <c r="L62" s="141" t="s">
        <v>361</v>
      </c>
      <c r="P62" s="19">
        <v>22</v>
      </c>
      <c r="Q62" s="117"/>
      <c r="R62" s="104"/>
      <c r="S62" s="117"/>
      <c r="T62" s="104"/>
      <c r="U62" s="117"/>
      <c r="V62" s="104"/>
      <c r="W62" s="117"/>
      <c r="X62" s="104"/>
      <c r="Y62" s="117"/>
      <c r="Z62" s="104"/>
      <c r="AA62" s="117"/>
      <c r="AB62" s="104"/>
      <c r="AC62" s="117"/>
      <c r="AD62" s="104"/>
      <c r="AE62" s="117"/>
      <c r="AF62" s="104"/>
      <c r="AG62" s="117"/>
      <c r="AH62" s="104"/>
      <c r="AI62" s="117"/>
      <c r="AJ62" s="104"/>
      <c r="AK62" s="117"/>
      <c r="AL62" s="104" t="s">
        <v>629</v>
      </c>
      <c r="AM62" s="117"/>
      <c r="AN62" s="104"/>
      <c r="AO62" s="117"/>
      <c r="AP62" s="104" t="s">
        <v>630</v>
      </c>
      <c r="AQ62" s="117"/>
      <c r="AR62" s="104"/>
      <c r="AS62" s="117"/>
      <c r="AT62" s="104" t="s">
        <v>631</v>
      </c>
      <c r="AU62" s="117"/>
      <c r="AV62" s="104"/>
      <c r="AW62" s="117"/>
      <c r="AX62" s="104" t="s">
        <v>632</v>
      </c>
      <c r="AY62" s="117"/>
      <c r="AZ62" s="104"/>
      <c r="BA62" s="117"/>
      <c r="BB62" s="104"/>
      <c r="BC62" s="117"/>
      <c r="BD62" s="104"/>
      <c r="BE62" s="117"/>
      <c r="BF62" s="104"/>
      <c r="BG62" s="117"/>
      <c r="BH62" s="104"/>
      <c r="BI62" s="117"/>
      <c r="BJ62" s="104"/>
      <c r="BK62" s="117"/>
      <c r="BL62" s="104"/>
      <c r="BM62" s="117"/>
      <c r="BN62" s="104" t="s">
        <v>633</v>
      </c>
      <c r="BO62" s="117"/>
      <c r="BP62" s="104"/>
      <c r="BQ62" s="117"/>
      <c r="BR62" s="104"/>
      <c r="BS62" s="117"/>
      <c r="BT62" s="104"/>
      <c r="BU62" s="117"/>
      <c r="BV62" s="104"/>
      <c r="BW62" s="117"/>
      <c r="BX62" s="104"/>
      <c r="BY62" s="117"/>
      <c r="BZ62" s="104"/>
      <c r="CA62" s="117"/>
      <c r="CB62" s="104"/>
    </row>
    <row r="63" spans="1:80" x14ac:dyDescent="0.25">
      <c r="A63" t="s">
        <v>163</v>
      </c>
      <c r="J63" s="141"/>
      <c r="K63" s="146" t="str">
        <f>INDEX(TableStreams[Choose your Specialisation Stream second (drop-down list)],MATCH(L63,TableStreams[UDC],0))</f>
        <v>The Arts - Visual Arts Education Minor Teaching Area Stream (BEd Secondary)</v>
      </c>
      <c r="L63" s="141" t="s">
        <v>217</v>
      </c>
      <c r="P63" s="19">
        <v>23</v>
      </c>
      <c r="Q63" s="117"/>
      <c r="R63" s="104"/>
      <c r="S63" s="117"/>
      <c r="T63" s="104"/>
      <c r="U63" s="117"/>
      <c r="V63" s="104"/>
      <c r="W63" s="117"/>
      <c r="X63" s="104"/>
      <c r="Y63" s="117"/>
      <c r="Z63" s="104"/>
      <c r="AA63" s="117"/>
      <c r="AB63" s="104"/>
      <c r="AC63" s="117"/>
      <c r="AD63" s="104"/>
      <c r="AE63" s="117"/>
      <c r="AF63" s="104"/>
      <c r="AG63" s="117"/>
      <c r="AH63" s="104"/>
      <c r="AI63" s="117"/>
      <c r="AJ63" s="104"/>
      <c r="AK63" s="117"/>
      <c r="AL63" s="104" t="s">
        <v>634</v>
      </c>
      <c r="AM63" s="117"/>
      <c r="AN63" s="104"/>
      <c r="AO63" s="117"/>
      <c r="AP63" s="104" t="s">
        <v>541</v>
      </c>
      <c r="AQ63" s="117"/>
      <c r="AR63" s="104"/>
      <c r="AS63" s="117"/>
      <c r="AT63" s="104" t="s">
        <v>583</v>
      </c>
      <c r="AU63" s="117"/>
      <c r="AV63" s="104"/>
      <c r="AW63" s="117"/>
      <c r="AX63" s="104" t="s">
        <v>589</v>
      </c>
      <c r="AY63" s="117"/>
      <c r="AZ63" s="104"/>
      <c r="BA63" s="117"/>
      <c r="BB63" s="104"/>
      <c r="BC63" s="117"/>
      <c r="BD63" s="104"/>
      <c r="BE63" s="117"/>
      <c r="BF63" s="104"/>
      <c r="BG63" s="117"/>
      <c r="BH63" s="104"/>
      <c r="BI63" s="117"/>
      <c r="BJ63" s="104"/>
      <c r="BK63" s="117"/>
      <c r="BL63" s="104"/>
      <c r="BM63" s="117"/>
      <c r="BN63" s="104" t="s">
        <v>588</v>
      </c>
      <c r="BO63" s="117"/>
      <c r="BP63" s="104"/>
      <c r="BQ63" s="117"/>
      <c r="BR63" s="104"/>
      <c r="BS63" s="117"/>
      <c r="BT63" s="104"/>
      <c r="BU63" s="117"/>
      <c r="BV63" s="104"/>
      <c r="BW63" s="117"/>
      <c r="BX63" s="104"/>
      <c r="BY63" s="117"/>
      <c r="BZ63" s="104"/>
      <c r="CA63" s="117"/>
      <c r="CB63" s="104"/>
    </row>
    <row r="64" spans="1:80" x14ac:dyDescent="0.25">
      <c r="A64" t="s">
        <v>165</v>
      </c>
      <c r="J64" s="140" t="s">
        <v>343</v>
      </c>
      <c r="K64" s="145" t="s">
        <v>221</v>
      </c>
      <c r="L64" s="140"/>
      <c r="P64" s="19">
        <v>24</v>
      </c>
      <c r="Q64" s="117"/>
      <c r="R64" s="104"/>
      <c r="S64" s="117"/>
      <c r="T64" s="104"/>
      <c r="U64" s="117"/>
      <c r="V64" s="104"/>
      <c r="W64" s="117"/>
      <c r="X64" s="104"/>
      <c r="Y64" s="117"/>
      <c r="Z64" s="104"/>
      <c r="AA64" s="117"/>
      <c r="AB64" s="104"/>
      <c r="AC64" s="117"/>
      <c r="AD64" s="104"/>
      <c r="AE64" s="117"/>
      <c r="AF64" s="104"/>
      <c r="AG64" s="117"/>
      <c r="AH64" s="104"/>
      <c r="AI64" s="117"/>
      <c r="AJ64" s="104"/>
      <c r="AK64" s="117"/>
      <c r="AL64" s="104" t="s">
        <v>621</v>
      </c>
      <c r="AM64" s="117"/>
      <c r="AN64" s="104"/>
      <c r="AO64" s="117"/>
      <c r="AP64" s="104" t="s">
        <v>635</v>
      </c>
      <c r="AQ64" s="117"/>
      <c r="AR64" s="104"/>
      <c r="AS64" s="117"/>
      <c r="AT64" s="104" t="s">
        <v>614</v>
      </c>
      <c r="AU64" s="117"/>
      <c r="AV64" s="104"/>
      <c r="AW64" s="117"/>
      <c r="AX64" s="104" t="s">
        <v>557</v>
      </c>
      <c r="AY64" s="117"/>
      <c r="AZ64" s="104"/>
      <c r="BA64" s="117"/>
      <c r="BB64" s="104"/>
      <c r="BC64" s="117"/>
      <c r="BD64" s="104"/>
      <c r="BE64" s="117"/>
      <c r="BF64" s="104"/>
      <c r="BG64" s="117"/>
      <c r="BH64" s="104"/>
      <c r="BI64" s="117"/>
      <c r="BJ64" s="104"/>
      <c r="BK64" s="117"/>
      <c r="BL64" s="104"/>
      <c r="BM64" s="117"/>
      <c r="BN64" s="104"/>
      <c r="BO64" s="117"/>
      <c r="BP64" s="104"/>
      <c r="BQ64" s="117"/>
      <c r="BR64" s="104"/>
      <c r="BS64" s="117"/>
      <c r="BT64" s="104"/>
      <c r="BU64" s="117"/>
      <c r="BV64" s="104"/>
      <c r="BW64" s="117"/>
      <c r="BX64" s="104"/>
      <c r="BY64" s="117"/>
      <c r="BZ64" s="104"/>
      <c r="CA64" s="117"/>
      <c r="CB64" s="104"/>
    </row>
    <row r="65" spans="1:113" x14ac:dyDescent="0.25">
      <c r="A65" t="s">
        <v>166</v>
      </c>
      <c r="J65" s="141"/>
      <c r="K65" s="146" t="str">
        <f>INDEX(TableStreams[Choose your Specialisation Stream second (drop-down list)],MATCH(L65,TableStreams[UDC],0))</f>
        <v>Biological Sciences Education Minor Teaching Area Stream (BEd Secondary)</v>
      </c>
      <c r="L65" s="141" t="s">
        <v>350</v>
      </c>
      <c r="P65" s="19">
        <v>25</v>
      </c>
      <c r="Q65" s="117"/>
      <c r="R65" s="104"/>
      <c r="S65" s="117"/>
      <c r="T65" s="104"/>
      <c r="U65" s="117"/>
      <c r="V65" s="104"/>
      <c r="W65" s="117"/>
      <c r="X65" s="104"/>
      <c r="Y65" s="117"/>
      <c r="Z65" s="104"/>
      <c r="AA65" s="117"/>
      <c r="AB65" s="104"/>
      <c r="AC65" s="117"/>
      <c r="AD65" s="104"/>
      <c r="AE65" s="117"/>
      <c r="AF65" s="104"/>
      <c r="AG65" s="117"/>
      <c r="AH65" s="104"/>
      <c r="AI65" s="117"/>
      <c r="AJ65" s="104"/>
      <c r="AK65" s="117"/>
      <c r="AL65" s="104" t="s">
        <v>636</v>
      </c>
      <c r="AM65" s="117"/>
      <c r="AN65" s="104"/>
      <c r="AO65" s="117"/>
      <c r="AP65" s="104" t="s">
        <v>637</v>
      </c>
      <c r="AQ65" s="117"/>
      <c r="AR65" s="104"/>
      <c r="AS65" s="117"/>
      <c r="AT65" s="104" t="s">
        <v>638</v>
      </c>
      <c r="AU65" s="117"/>
      <c r="AV65" s="104"/>
      <c r="AW65" s="117"/>
      <c r="AX65" s="104" t="s">
        <v>634</v>
      </c>
      <c r="AY65" s="117"/>
      <c r="AZ65" s="104"/>
      <c r="BA65" s="117"/>
      <c r="BB65" s="104"/>
      <c r="BC65" s="117"/>
      <c r="BD65" s="104"/>
      <c r="BE65" s="117"/>
      <c r="BF65" s="104"/>
      <c r="BG65" s="117"/>
      <c r="BH65" s="104"/>
      <c r="BI65" s="117"/>
      <c r="BJ65" s="104"/>
      <c r="BK65" s="117"/>
      <c r="BL65" s="104"/>
      <c r="BM65" s="117"/>
      <c r="BN65" s="104"/>
      <c r="BO65" s="117"/>
      <c r="BP65" s="104"/>
      <c r="BQ65" s="117"/>
      <c r="BR65" s="104"/>
      <c r="BS65" s="117"/>
      <c r="BT65" s="104"/>
      <c r="BU65" s="117"/>
      <c r="BV65" s="104"/>
      <c r="BW65" s="117"/>
      <c r="BX65" s="104"/>
      <c r="BY65" s="117"/>
      <c r="BZ65" s="104"/>
      <c r="CA65" s="117"/>
      <c r="CB65" s="104"/>
    </row>
    <row r="66" spans="1:113" x14ac:dyDescent="0.25">
      <c r="A66" t="s">
        <v>173</v>
      </c>
      <c r="H66" s="304"/>
      <c r="J66" s="141"/>
      <c r="K66" s="146" t="str">
        <f>INDEX(TableStreams[Choose your Specialisation Stream second (drop-down list)],MATCH(L66,TableStreams[UDC],0))</f>
        <v>Broadening HASS for Politics and Law Teaching Area Stream (BEd Secondary)</v>
      </c>
      <c r="L66" s="141" t="s">
        <v>365</v>
      </c>
      <c r="P66" s="19">
        <v>26</v>
      </c>
      <c r="Q66" s="117"/>
      <c r="R66" s="104"/>
      <c r="S66" s="117"/>
      <c r="T66" s="104"/>
      <c r="U66" s="117"/>
      <c r="V66" s="104"/>
      <c r="W66" s="117"/>
      <c r="X66" s="104"/>
      <c r="Y66" s="117"/>
      <c r="Z66" s="104"/>
      <c r="AA66" s="117"/>
      <c r="AB66" s="104"/>
      <c r="AC66" s="117"/>
      <c r="AD66" s="104"/>
      <c r="AE66" s="117"/>
      <c r="AF66" s="104"/>
      <c r="AG66" s="117"/>
      <c r="AH66" s="104"/>
      <c r="AI66" s="117"/>
      <c r="AJ66" s="104"/>
      <c r="AK66" s="117"/>
      <c r="AL66" s="104" t="s">
        <v>588</v>
      </c>
      <c r="AM66" s="117"/>
      <c r="AN66" s="104"/>
      <c r="AO66" s="117"/>
      <c r="AP66" s="104" t="s">
        <v>589</v>
      </c>
      <c r="AQ66" s="117"/>
      <c r="AR66" s="104"/>
      <c r="AS66" s="117"/>
      <c r="AT66" s="104" t="s">
        <v>639</v>
      </c>
      <c r="AU66" s="117"/>
      <c r="AV66" s="104"/>
      <c r="AW66" s="117"/>
      <c r="AX66" s="104" t="s">
        <v>636</v>
      </c>
      <c r="AY66" s="117"/>
      <c r="AZ66" s="104"/>
      <c r="BA66" s="117"/>
      <c r="BB66" s="104"/>
      <c r="BC66" s="117"/>
      <c r="BD66" s="104"/>
      <c r="BE66" s="117"/>
      <c r="BF66" s="104"/>
      <c r="BG66" s="117"/>
      <c r="BH66" s="104"/>
      <c r="BI66" s="117"/>
      <c r="BJ66" s="104"/>
      <c r="BK66" s="117"/>
      <c r="BL66" s="104"/>
      <c r="BM66" s="117"/>
      <c r="BN66" s="104"/>
      <c r="BO66" s="117"/>
      <c r="BP66" s="104"/>
      <c r="BQ66" s="117"/>
      <c r="BR66" s="104"/>
      <c r="BS66" s="117"/>
      <c r="BT66" s="104"/>
      <c r="BU66" s="117"/>
      <c r="BV66" s="104"/>
      <c r="BW66" s="117"/>
      <c r="BX66" s="104"/>
      <c r="BY66" s="117"/>
      <c r="BZ66" s="104"/>
      <c r="CA66" s="117"/>
      <c r="CB66" s="104"/>
    </row>
    <row r="67" spans="1:113" x14ac:dyDescent="0.25">
      <c r="J67" s="141"/>
      <c r="K67" s="146" t="str">
        <f>INDEX(TableStreams[Choose your Specialisation Stream second (drop-down list)],MATCH(L67,TableStreams[UDC],0))</f>
        <v>English Education Minor Teaching Area Stream (BEd Secondary)</v>
      </c>
      <c r="L67" s="141" t="s">
        <v>353</v>
      </c>
      <c r="P67" s="19">
        <v>27</v>
      </c>
      <c r="Q67" s="117"/>
      <c r="R67" s="104"/>
      <c r="S67" s="117"/>
      <c r="T67" s="104"/>
      <c r="U67" s="117"/>
      <c r="V67" s="104"/>
      <c r="W67" s="117"/>
      <c r="X67" s="104"/>
      <c r="Y67" s="117"/>
      <c r="Z67" s="104"/>
      <c r="AA67" s="117"/>
      <c r="AB67" s="104"/>
      <c r="AC67" s="117"/>
      <c r="AD67" s="104"/>
      <c r="AE67" s="117"/>
      <c r="AF67" s="104"/>
      <c r="AG67" s="117"/>
      <c r="AH67" s="104"/>
      <c r="AI67" s="117"/>
      <c r="AJ67" s="104"/>
      <c r="AK67" s="117"/>
      <c r="AL67" s="104"/>
      <c r="AM67" s="117"/>
      <c r="AN67" s="104"/>
      <c r="AO67" s="117"/>
      <c r="AP67" s="104" t="s">
        <v>555</v>
      </c>
      <c r="AQ67" s="117"/>
      <c r="AR67" s="104"/>
      <c r="AS67" s="117"/>
      <c r="AT67" s="104" t="s">
        <v>640</v>
      </c>
      <c r="AU67" s="117"/>
      <c r="AV67" s="104"/>
      <c r="AW67" s="117"/>
      <c r="AX67" s="104" t="s">
        <v>641</v>
      </c>
      <c r="AY67" s="117"/>
      <c r="AZ67" s="104"/>
      <c r="BA67" s="117"/>
      <c r="BB67" s="104"/>
      <c r="BC67" s="117"/>
      <c r="BD67" s="104"/>
      <c r="BE67" s="117"/>
      <c r="BF67" s="104"/>
      <c r="BG67" s="117"/>
      <c r="BH67" s="104"/>
      <c r="BI67" s="117"/>
      <c r="BJ67" s="104"/>
      <c r="BK67" s="117"/>
      <c r="BL67" s="104"/>
      <c r="BM67" s="117"/>
      <c r="BN67" s="104"/>
      <c r="BO67" s="117"/>
      <c r="BP67" s="104"/>
      <c r="BQ67" s="117"/>
      <c r="BR67" s="104"/>
      <c r="BS67" s="117"/>
      <c r="BT67" s="104"/>
      <c r="BU67" s="117"/>
      <c r="BV67" s="104"/>
      <c r="BW67" s="117"/>
      <c r="BX67" s="104"/>
      <c r="BY67" s="117"/>
      <c r="BZ67" s="104"/>
      <c r="CA67" s="117"/>
      <c r="CB67" s="104"/>
    </row>
    <row r="68" spans="1:113" x14ac:dyDescent="0.25">
      <c r="J68" s="141"/>
      <c r="K68" s="146" t="str">
        <f>INDEX(TableStreams[Choose your Specialisation Stream second (drop-down list)],MATCH(L68,TableStreams[UDC],0))</f>
        <v>Mathematics Education Minor Teaching Area Stream (BEd Secondary)</v>
      </c>
      <c r="L68" s="141" t="s">
        <v>356</v>
      </c>
      <c r="P68" s="19">
        <v>28</v>
      </c>
      <c r="Q68" s="117"/>
      <c r="R68" s="104"/>
      <c r="S68" s="117"/>
      <c r="T68" s="104"/>
      <c r="U68" s="117"/>
      <c r="V68" s="104"/>
      <c r="W68" s="117"/>
      <c r="X68" s="104"/>
      <c r="Y68" s="117"/>
      <c r="Z68" s="104"/>
      <c r="AA68" s="117"/>
      <c r="AB68" s="104"/>
      <c r="AC68" s="117"/>
      <c r="AD68" s="104"/>
      <c r="AE68" s="117"/>
      <c r="AF68" s="104"/>
      <c r="AG68" s="117"/>
      <c r="AH68" s="104"/>
      <c r="AI68" s="117"/>
      <c r="AJ68" s="104"/>
      <c r="AK68" s="117"/>
      <c r="AL68" s="104"/>
      <c r="AM68" s="117"/>
      <c r="AN68" s="104"/>
      <c r="AO68" s="117"/>
      <c r="AP68" s="104" t="s">
        <v>642</v>
      </c>
      <c r="AQ68" s="117"/>
      <c r="AR68" s="104"/>
      <c r="AS68" s="117"/>
      <c r="AT68" s="104" t="s">
        <v>643</v>
      </c>
      <c r="AU68" s="117"/>
      <c r="AV68" s="104"/>
      <c r="AW68" s="117"/>
      <c r="AX68" s="104" t="s">
        <v>588</v>
      </c>
      <c r="AY68" s="117"/>
      <c r="AZ68" s="104"/>
      <c r="BA68" s="117"/>
      <c r="BB68" s="104"/>
      <c r="BC68" s="117"/>
      <c r="BD68" s="104"/>
      <c r="BE68" s="117"/>
      <c r="BF68" s="104"/>
      <c r="BG68" s="117"/>
      <c r="BH68" s="104"/>
      <c r="BI68" s="117"/>
      <c r="BJ68" s="104"/>
      <c r="BK68" s="117"/>
      <c r="BL68" s="104"/>
      <c r="BM68" s="117"/>
      <c r="BN68" s="104"/>
      <c r="BO68" s="117"/>
      <c r="BP68" s="104"/>
      <c r="BQ68" s="117"/>
      <c r="BR68" s="104"/>
      <c r="BS68" s="117"/>
      <c r="BT68" s="104"/>
      <c r="BU68" s="117"/>
      <c r="BV68" s="104"/>
      <c r="BW68" s="117"/>
      <c r="BX68" s="104"/>
      <c r="BY68" s="117"/>
      <c r="BZ68" s="104"/>
      <c r="CA68" s="117"/>
      <c r="CB68" s="104"/>
    </row>
    <row r="69" spans="1:113" x14ac:dyDescent="0.25">
      <c r="J69" s="141"/>
      <c r="K69" s="146" t="str">
        <f>INDEX(TableStreams[Choose your Specialisation Stream second (drop-down list)],MATCH(L69,TableStreams[UDC],0))</f>
        <v>Psychology Education Minor Teaching Area Stream (BEd Secondary)</v>
      </c>
      <c r="L69" s="141" t="s">
        <v>357</v>
      </c>
      <c r="P69" s="19">
        <v>29</v>
      </c>
      <c r="Q69" s="117"/>
      <c r="R69" s="104"/>
      <c r="S69" s="117"/>
      <c r="T69" s="104"/>
      <c r="U69" s="117"/>
      <c r="V69" s="104"/>
      <c r="W69" s="117"/>
      <c r="X69" s="104"/>
      <c r="Y69" s="117"/>
      <c r="Z69" s="104"/>
      <c r="AA69" s="117"/>
      <c r="AB69" s="104"/>
      <c r="AC69" s="117"/>
      <c r="AD69" s="104"/>
      <c r="AE69" s="117"/>
      <c r="AF69" s="104"/>
      <c r="AG69" s="117"/>
      <c r="AH69" s="104"/>
      <c r="AI69" s="117"/>
      <c r="AJ69" s="104"/>
      <c r="AK69" s="117"/>
      <c r="AL69" s="104"/>
      <c r="AM69" s="117"/>
      <c r="AN69" s="104"/>
      <c r="AO69" s="117"/>
      <c r="AP69" s="104" t="s">
        <v>644</v>
      </c>
      <c r="AQ69" s="117"/>
      <c r="AR69" s="104"/>
      <c r="AS69" s="117"/>
      <c r="AT69" s="104" t="s">
        <v>566</v>
      </c>
      <c r="AU69" s="117"/>
      <c r="AV69" s="104"/>
      <c r="AW69" s="117"/>
      <c r="AX69" s="104"/>
      <c r="AY69" s="117"/>
      <c r="AZ69" s="104"/>
      <c r="BA69" s="117"/>
      <c r="BB69" s="104"/>
      <c r="BC69" s="117"/>
      <c r="BD69" s="104"/>
      <c r="BE69" s="117"/>
      <c r="BF69" s="104"/>
      <c r="BG69" s="117"/>
      <c r="BH69" s="104"/>
      <c r="BI69" s="117"/>
      <c r="BJ69" s="104"/>
      <c r="BK69" s="117"/>
      <c r="BL69" s="104"/>
      <c r="BM69" s="117"/>
      <c r="BN69" s="104"/>
      <c r="BO69" s="117"/>
      <c r="BP69" s="104"/>
      <c r="BQ69" s="117"/>
      <c r="BR69" s="104"/>
      <c r="BS69" s="117"/>
      <c r="BT69" s="104"/>
      <c r="BU69" s="117"/>
      <c r="BV69" s="104"/>
      <c r="BW69" s="117"/>
      <c r="BX69" s="104"/>
      <c r="BY69" s="117"/>
      <c r="BZ69" s="104"/>
      <c r="CA69" s="117"/>
      <c r="CB69" s="104"/>
    </row>
    <row r="70" spans="1:113" x14ac:dyDescent="0.25">
      <c r="J70" s="141"/>
      <c r="K70" s="146" t="str">
        <f>INDEX(TableStreams[Choose your Specialisation Stream second (drop-down list)],MATCH(L70,TableStreams[UDC],0))</f>
        <v>The Arts - Media Education Minor Teaching Area Stream (BEd Secondary)</v>
      </c>
      <c r="L70" s="141" t="s">
        <v>360</v>
      </c>
      <c r="P70" s="19">
        <v>30</v>
      </c>
      <c r="Q70" s="117"/>
      <c r="R70" s="104"/>
      <c r="S70" s="117"/>
      <c r="T70" s="104"/>
      <c r="U70" s="117"/>
      <c r="V70" s="104"/>
      <c r="W70" s="117"/>
      <c r="X70" s="104"/>
      <c r="Y70" s="117"/>
      <c r="Z70" s="104"/>
      <c r="AA70" s="117"/>
      <c r="AB70" s="104"/>
      <c r="AC70" s="117"/>
      <c r="AD70" s="104"/>
      <c r="AE70" s="117"/>
      <c r="AF70" s="104"/>
      <c r="AG70" s="117"/>
      <c r="AH70" s="104"/>
      <c r="AI70" s="117"/>
      <c r="AJ70" s="104"/>
      <c r="AK70" s="117"/>
      <c r="AL70" s="104"/>
      <c r="AM70" s="117"/>
      <c r="AN70" s="104"/>
      <c r="AO70" s="117"/>
      <c r="AP70" s="104" t="s">
        <v>588</v>
      </c>
      <c r="AQ70" s="117"/>
      <c r="AR70" s="104"/>
      <c r="AS70" s="117"/>
      <c r="AT70" s="104" t="s">
        <v>621</v>
      </c>
      <c r="AU70" s="117"/>
      <c r="AV70" s="104"/>
      <c r="AW70" s="117"/>
      <c r="AX70" s="104"/>
      <c r="AY70" s="117"/>
      <c r="AZ70" s="104"/>
      <c r="BA70" s="117"/>
      <c r="BB70" s="104"/>
      <c r="BC70" s="117"/>
      <c r="BD70" s="104"/>
      <c r="BE70" s="117"/>
      <c r="BF70" s="104"/>
      <c r="BG70" s="117"/>
      <c r="BH70" s="104"/>
      <c r="BI70" s="117"/>
      <c r="BJ70" s="104"/>
      <c r="BK70" s="117"/>
      <c r="BL70" s="104"/>
      <c r="BM70" s="117"/>
      <c r="BN70" s="104"/>
      <c r="BO70" s="117"/>
      <c r="BP70" s="104"/>
      <c r="BQ70" s="117"/>
      <c r="BR70" s="104"/>
      <c r="BS70" s="117"/>
      <c r="BT70" s="104"/>
      <c r="BU70" s="117"/>
      <c r="BV70" s="104"/>
      <c r="BW70" s="117"/>
      <c r="BX70" s="104"/>
      <c r="BY70" s="117"/>
      <c r="BZ70" s="104"/>
      <c r="CA70" s="117"/>
      <c r="CB70" s="104"/>
    </row>
    <row r="71" spans="1:113" x14ac:dyDescent="0.25">
      <c r="J71" s="141"/>
      <c r="K71" s="146" t="str">
        <f>INDEX(TableStreams[Choose your Specialisation Stream second (drop-down list)],MATCH(L71,TableStreams[UDC],0))</f>
        <v>The Arts - Performing Arts Education Minor Teaching Area Stream (BEd Secondary)</v>
      </c>
      <c r="L71" s="141" t="s">
        <v>361</v>
      </c>
      <c r="P71" s="19">
        <v>31</v>
      </c>
      <c r="Q71" s="117"/>
      <c r="R71" s="104"/>
      <c r="S71" s="117"/>
      <c r="T71" s="104"/>
      <c r="U71" s="117"/>
      <c r="V71" s="104"/>
      <c r="W71" s="117"/>
      <c r="X71" s="104"/>
      <c r="Y71" s="117"/>
      <c r="Z71" s="104"/>
      <c r="AA71" s="117"/>
      <c r="AB71" s="104"/>
      <c r="AC71" s="117"/>
      <c r="AD71" s="104"/>
      <c r="AE71" s="117"/>
      <c r="AF71" s="104"/>
      <c r="AG71" s="117"/>
      <c r="AH71" s="104"/>
      <c r="AI71" s="117"/>
      <c r="AJ71" s="104"/>
      <c r="AK71" s="117"/>
      <c r="AL71" s="104"/>
      <c r="AM71" s="117"/>
      <c r="AN71" s="104"/>
      <c r="AO71" s="117"/>
      <c r="AP71" s="104"/>
      <c r="AQ71" s="117"/>
      <c r="AR71" s="104"/>
      <c r="AS71" s="117"/>
      <c r="AT71" s="104" t="s">
        <v>588</v>
      </c>
      <c r="AU71" s="117"/>
      <c r="AV71" s="104"/>
      <c r="AW71" s="117"/>
      <c r="AX71" s="104"/>
      <c r="AY71" s="117"/>
      <c r="AZ71" s="104"/>
      <c r="BA71" s="117"/>
      <c r="BB71" s="104"/>
      <c r="BC71" s="117"/>
      <c r="BD71" s="104"/>
      <c r="BE71" s="117"/>
      <c r="BF71" s="104"/>
      <c r="BG71" s="117"/>
      <c r="BH71" s="104"/>
      <c r="BI71" s="117"/>
      <c r="BJ71" s="104"/>
      <c r="BK71" s="117"/>
      <c r="BL71" s="104"/>
      <c r="BM71" s="117"/>
      <c r="BN71" s="104"/>
      <c r="BO71" s="117"/>
      <c r="BP71" s="104"/>
      <c r="BQ71" s="117"/>
      <c r="BR71" s="104"/>
      <c r="BS71" s="117"/>
      <c r="BT71" s="104"/>
      <c r="BU71" s="117"/>
      <c r="BV71" s="104"/>
      <c r="BW71" s="117"/>
      <c r="BX71" s="104"/>
      <c r="BY71" s="117"/>
      <c r="BZ71" s="104"/>
      <c r="CA71" s="117"/>
      <c r="CB71" s="104"/>
    </row>
    <row r="72" spans="1:113" x14ac:dyDescent="0.25">
      <c r="J72" s="141"/>
      <c r="K72" s="146" t="str">
        <f>INDEX(TableStreams[Choose your Specialisation Stream second (drop-down list)],MATCH(L72,TableStreams[UDC],0))</f>
        <v>The Arts - Visual Arts Education Minor Teaching Area Stream (BEd Secondary)</v>
      </c>
      <c r="L72" s="141" t="s">
        <v>217</v>
      </c>
      <c r="P72" s="19">
        <v>32</v>
      </c>
      <c r="Q72" s="117"/>
      <c r="R72" s="104"/>
      <c r="S72" s="117"/>
      <c r="T72" s="104"/>
      <c r="U72" s="117"/>
      <c r="V72" s="104"/>
      <c r="W72" s="117"/>
      <c r="X72" s="104"/>
      <c r="Y72" s="117"/>
      <c r="Z72" s="104"/>
      <c r="AA72" s="117"/>
      <c r="AB72" s="104"/>
      <c r="AC72" s="117"/>
      <c r="AD72" s="104"/>
      <c r="AE72" s="117"/>
      <c r="AF72" s="104"/>
      <c r="AG72" s="117"/>
      <c r="AH72" s="104"/>
      <c r="AI72" s="117"/>
      <c r="AJ72" s="104"/>
      <c r="AK72" s="117"/>
      <c r="AL72" s="104"/>
      <c r="AM72" s="117"/>
      <c r="AN72" s="104"/>
      <c r="AO72" s="117"/>
      <c r="AP72" s="104"/>
      <c r="AQ72" s="117"/>
      <c r="AR72" s="104"/>
      <c r="AS72" s="117"/>
      <c r="AT72" s="104"/>
      <c r="AU72" s="117"/>
      <c r="AV72" s="104"/>
      <c r="AW72" s="117"/>
      <c r="AX72" s="104"/>
      <c r="AY72" s="117"/>
      <c r="AZ72" s="104"/>
      <c r="BA72" s="117"/>
      <c r="BB72" s="104"/>
      <c r="BC72" s="117"/>
      <c r="BD72" s="104"/>
      <c r="BE72" s="117"/>
      <c r="BF72" s="104"/>
      <c r="BG72" s="117"/>
      <c r="BH72" s="104"/>
      <c r="BI72" s="117"/>
      <c r="BJ72" s="104"/>
      <c r="BK72" s="117"/>
      <c r="BL72" s="104"/>
      <c r="BM72" s="117"/>
      <c r="BN72" s="104"/>
      <c r="BO72" s="117"/>
      <c r="BP72" s="104"/>
      <c r="BQ72" s="117"/>
      <c r="BR72" s="104"/>
      <c r="BS72" s="117"/>
      <c r="BT72" s="104"/>
      <c r="BU72" s="117"/>
      <c r="BV72" s="104"/>
      <c r="BW72" s="117"/>
      <c r="BX72" s="104"/>
      <c r="BY72" s="117"/>
      <c r="BZ72" s="104"/>
      <c r="CA72" s="117"/>
      <c r="CB72" s="104"/>
    </row>
    <row r="73" spans="1:113" x14ac:dyDescent="0.25">
      <c r="J73" s="140" t="s">
        <v>344</v>
      </c>
      <c r="K73" s="145" t="s">
        <v>221</v>
      </c>
      <c r="L73" s="140"/>
      <c r="P73" s="19">
        <v>33</v>
      </c>
      <c r="Q73" s="117"/>
      <c r="R73" s="104"/>
      <c r="S73" s="117"/>
      <c r="T73" s="104"/>
      <c r="U73" s="117"/>
      <c r="V73" s="104"/>
      <c r="W73" s="117"/>
      <c r="X73" s="104"/>
      <c r="Y73" s="117"/>
      <c r="Z73" s="104"/>
      <c r="AA73" s="117"/>
      <c r="AB73" s="104"/>
      <c r="AC73" s="117"/>
      <c r="AD73" s="104"/>
      <c r="AE73" s="117"/>
      <c r="AF73" s="104"/>
      <c r="AG73" s="117"/>
      <c r="AH73" s="104"/>
      <c r="AI73" s="117"/>
      <c r="AJ73" s="104"/>
      <c r="AK73" s="117"/>
      <c r="AL73" s="104"/>
      <c r="AM73" s="117"/>
      <c r="AN73" s="104"/>
      <c r="AO73" s="117"/>
      <c r="AP73" s="104"/>
      <c r="AQ73" s="117"/>
      <c r="AR73" s="104"/>
      <c r="AS73" s="117"/>
      <c r="AT73" s="104"/>
      <c r="AU73" s="117"/>
      <c r="AV73" s="104"/>
      <c r="AW73" s="117"/>
      <c r="AX73" s="104"/>
      <c r="AY73" s="117"/>
      <c r="AZ73" s="104"/>
      <c r="BA73" s="117"/>
      <c r="BB73" s="104"/>
      <c r="BC73" s="117"/>
      <c r="BD73" s="104"/>
      <c r="BE73" s="117"/>
      <c r="BF73" s="104"/>
      <c r="BG73" s="117"/>
      <c r="BH73" s="104"/>
      <c r="BI73" s="117"/>
      <c r="BJ73" s="104"/>
      <c r="BK73" s="117"/>
      <c r="BL73" s="104"/>
      <c r="BM73" s="117"/>
      <c r="BN73" s="104"/>
      <c r="BO73" s="117"/>
      <c r="BP73" s="104"/>
      <c r="BQ73" s="117"/>
      <c r="BR73" s="104"/>
      <c r="BS73" s="117"/>
      <c r="BT73" s="104"/>
      <c r="BU73" s="117"/>
      <c r="BV73" s="104"/>
      <c r="BW73" s="117"/>
      <c r="BX73" s="104"/>
      <c r="BY73" s="117"/>
      <c r="BZ73" s="104"/>
      <c r="CA73" s="117"/>
      <c r="CB73" s="104"/>
    </row>
    <row r="74" spans="1:113" x14ac:dyDescent="0.25">
      <c r="J74" s="141"/>
      <c r="K74" s="146" t="str">
        <f>INDEX(TableStreams[Choose your Specialisation Stream second (drop-down list)],MATCH(L74,TableStreams[UDC],0))</f>
        <v>Biological Sciences Education Minor Teaching Area Stream (BEd Secondary)</v>
      </c>
      <c r="L74" s="141" t="s">
        <v>350</v>
      </c>
      <c r="N74" s="6"/>
      <c r="O74" s="6"/>
      <c r="P74" s="19">
        <v>34</v>
      </c>
      <c r="Q74" s="118"/>
      <c r="R74" s="103"/>
      <c r="S74" s="118"/>
      <c r="T74" s="103"/>
      <c r="U74" s="118"/>
      <c r="V74" s="103"/>
      <c r="W74" s="118"/>
      <c r="X74" s="103"/>
      <c r="Y74" s="118"/>
      <c r="Z74" s="103"/>
      <c r="AA74" s="118"/>
      <c r="AB74" s="103"/>
      <c r="AC74" s="118"/>
      <c r="AD74" s="103"/>
      <c r="AE74" s="118"/>
      <c r="AF74" s="103"/>
      <c r="AG74" s="118"/>
      <c r="AH74" s="103"/>
      <c r="AI74" s="118"/>
      <c r="AJ74" s="103"/>
      <c r="AK74" s="118"/>
      <c r="AL74" s="103"/>
      <c r="AM74" s="118"/>
      <c r="AN74" s="103"/>
      <c r="AO74" s="118"/>
      <c r="AP74" s="103"/>
      <c r="AQ74" s="118"/>
      <c r="AR74" s="103"/>
      <c r="AS74" s="118"/>
      <c r="AT74" s="103"/>
      <c r="AU74" s="118"/>
      <c r="AV74" s="103"/>
      <c r="AW74" s="118"/>
      <c r="AX74" s="103"/>
      <c r="AY74" s="118"/>
      <c r="AZ74" s="103"/>
      <c r="BA74" s="118"/>
      <c r="BB74" s="103"/>
      <c r="BC74" s="118"/>
      <c r="BD74" s="103"/>
      <c r="BE74" s="118"/>
      <c r="BF74" s="103"/>
      <c r="BG74" s="118"/>
      <c r="BH74" s="103"/>
      <c r="BI74" s="118"/>
      <c r="BJ74" s="103"/>
      <c r="BK74" s="118"/>
      <c r="BL74" s="103"/>
      <c r="BM74" s="118"/>
      <c r="BN74" s="103"/>
      <c r="BO74" s="118"/>
      <c r="BP74" s="103"/>
      <c r="BQ74" s="118"/>
      <c r="BR74" s="103"/>
      <c r="BS74" s="118"/>
      <c r="BT74" s="103"/>
      <c r="BU74" s="118"/>
      <c r="BV74" s="103"/>
      <c r="BW74" s="118"/>
      <c r="BX74" s="103"/>
      <c r="BY74" s="118"/>
      <c r="BZ74" s="103"/>
      <c r="CA74" s="118"/>
      <c r="CB74" s="103"/>
    </row>
    <row r="75" spans="1:113" x14ac:dyDescent="0.25">
      <c r="J75" s="141"/>
      <c r="K75" s="146" t="str">
        <f>INDEX(TableStreams[Choose your Specialisation Stream second (drop-down list)],MATCH(L75,TableStreams[UDC],0))</f>
        <v>Broadening Mathematics Teaching Area Stream (BEd Secondary)</v>
      </c>
      <c r="L75" s="141" t="s">
        <v>366</v>
      </c>
      <c r="N75" s="6"/>
      <c r="O75" s="6"/>
    </row>
    <row r="76" spans="1:113" x14ac:dyDescent="0.25">
      <c r="J76" s="141"/>
      <c r="K76" s="146" t="str">
        <f>INDEX(TableStreams[Choose your Specialisation Stream second (drop-down list)],MATCH(L76,TableStreams[UDC],0))</f>
        <v>English Education Minor Teaching Area Stream (BEd Secondary)</v>
      </c>
      <c r="L76" s="141" t="s">
        <v>353</v>
      </c>
      <c r="N76" s="87" t="s">
        <v>645</v>
      </c>
      <c r="O76" s="87"/>
      <c r="P76" s="3">
        <v>1</v>
      </c>
      <c r="Q76" s="134"/>
      <c r="R76" s="135" t="s">
        <v>646</v>
      </c>
      <c r="S76" s="137"/>
      <c r="T76" s="135" t="s">
        <v>647</v>
      </c>
      <c r="U76" s="152"/>
      <c r="V76" s="153" t="s">
        <v>648</v>
      </c>
      <c r="W76" s="154"/>
      <c r="X76" s="153" t="s">
        <v>649</v>
      </c>
      <c r="Y76" s="134"/>
      <c r="Z76" s="138" t="s">
        <v>650</v>
      </c>
      <c r="AA76" s="136"/>
      <c r="AB76" s="138" t="s">
        <v>651</v>
      </c>
      <c r="AC76" s="134"/>
      <c r="AD76" s="138" t="s">
        <v>652</v>
      </c>
      <c r="AE76" s="136"/>
      <c r="AF76" s="138" t="s">
        <v>653</v>
      </c>
      <c r="AG76" s="134"/>
      <c r="AH76" s="138" t="s">
        <v>654</v>
      </c>
      <c r="AI76" s="136"/>
      <c r="AJ76" s="138" t="s">
        <v>655</v>
      </c>
      <c r="AK76" s="134"/>
      <c r="AL76" s="138" t="s">
        <v>656</v>
      </c>
      <c r="AM76" s="136"/>
      <c r="AN76" s="138" t="s">
        <v>657</v>
      </c>
      <c r="AO76" s="134"/>
      <c r="AP76" s="138" t="s">
        <v>658</v>
      </c>
      <c r="AQ76" s="136"/>
      <c r="AR76" s="138" t="s">
        <v>659</v>
      </c>
      <c r="AS76" s="134"/>
      <c r="AT76" s="138" t="s">
        <v>660</v>
      </c>
      <c r="AU76" s="136"/>
      <c r="AV76" s="138" t="s">
        <v>661</v>
      </c>
      <c r="AW76" s="134"/>
      <c r="AX76" s="138" t="s">
        <v>662</v>
      </c>
      <c r="AY76" s="136"/>
      <c r="AZ76" s="138" t="s">
        <v>663</v>
      </c>
      <c r="BA76" s="134"/>
      <c r="BB76" s="138" t="s">
        <v>664</v>
      </c>
      <c r="BC76" s="136"/>
      <c r="BD76" s="138" t="s">
        <v>665</v>
      </c>
      <c r="BE76" s="134"/>
      <c r="BF76" s="138" t="s">
        <v>666</v>
      </c>
      <c r="BG76" s="136"/>
      <c r="BH76" s="138" t="s">
        <v>667</v>
      </c>
      <c r="BI76" s="134"/>
      <c r="BJ76" s="138" t="s">
        <v>668</v>
      </c>
      <c r="BK76" s="136"/>
      <c r="BL76" s="138" t="s">
        <v>669</v>
      </c>
      <c r="BM76" s="134"/>
      <c r="BN76" s="138" t="s">
        <v>670</v>
      </c>
      <c r="BO76" s="136"/>
      <c r="BP76" s="138" t="s">
        <v>671</v>
      </c>
      <c r="BQ76" s="134"/>
      <c r="BR76" s="138" t="s">
        <v>672</v>
      </c>
      <c r="BS76" s="136"/>
      <c r="BT76" s="138" t="s">
        <v>673</v>
      </c>
      <c r="BU76" s="134"/>
      <c r="BV76" s="138" t="s">
        <v>674</v>
      </c>
      <c r="BW76" s="136"/>
      <c r="BX76" s="138" t="s">
        <v>675</v>
      </c>
      <c r="BY76" s="134"/>
      <c r="BZ76" s="138" t="s">
        <v>676</v>
      </c>
      <c r="CA76" s="136"/>
      <c r="CB76" s="138" t="s">
        <v>677</v>
      </c>
      <c r="CC76" s="134"/>
      <c r="CD76" s="138" t="s">
        <v>678</v>
      </c>
      <c r="CE76" s="136"/>
      <c r="CF76" s="138" t="s">
        <v>679</v>
      </c>
      <c r="CG76" s="134"/>
      <c r="CH76" s="138" t="s">
        <v>680</v>
      </c>
      <c r="CI76" s="136"/>
      <c r="CJ76" s="138" t="s">
        <v>681</v>
      </c>
      <c r="CK76" s="134"/>
      <c r="CL76" s="138" t="s">
        <v>682</v>
      </c>
      <c r="CM76" s="136"/>
      <c r="CN76" s="138" t="s">
        <v>683</v>
      </c>
      <c r="CO76" s="134"/>
      <c r="CP76" s="138" t="s">
        <v>684</v>
      </c>
      <c r="CQ76" s="136"/>
      <c r="CR76" s="138" t="s">
        <v>685</v>
      </c>
      <c r="CS76" s="134"/>
      <c r="CT76" s="138" t="s">
        <v>686</v>
      </c>
      <c r="CU76" s="136"/>
      <c r="CV76" s="138" t="s">
        <v>687</v>
      </c>
      <c r="CW76" s="134"/>
      <c r="CX76" s="138" t="s">
        <v>688</v>
      </c>
      <c r="CY76" s="136"/>
      <c r="CZ76" s="138" t="s">
        <v>689</v>
      </c>
      <c r="DA76" s="134"/>
      <c r="DB76" s="138" t="s">
        <v>690</v>
      </c>
      <c r="DC76" s="136"/>
      <c r="DD76" s="138" t="s">
        <v>691</v>
      </c>
    </row>
    <row r="77" spans="1:113" x14ac:dyDescent="0.25">
      <c r="J77" s="141"/>
      <c r="K77" s="146" t="str">
        <f>INDEX(TableStreams[Choose your Specialisation Stream second (drop-down list)],MATCH(L77,TableStreams[UDC],0))</f>
        <v>Geography Education Minor Teaching Area Stream (BEd Secondary)</v>
      </c>
      <c r="L77" s="141" t="s">
        <v>354</v>
      </c>
      <c r="N77" s="6"/>
      <c r="O77" s="6"/>
      <c r="P77" s="19">
        <v>2</v>
      </c>
      <c r="Q77" s="116" t="s">
        <v>56</v>
      </c>
      <c r="R77" s="115" t="s">
        <v>501</v>
      </c>
      <c r="S77" s="116"/>
      <c r="T77" s="115"/>
      <c r="U77" s="116" t="s">
        <v>56</v>
      </c>
      <c r="V77" s="115" t="s">
        <v>692</v>
      </c>
      <c r="W77" s="116"/>
      <c r="X77" s="115"/>
      <c r="Y77" s="116" t="s">
        <v>56</v>
      </c>
      <c r="Z77" s="115" t="s">
        <v>693</v>
      </c>
      <c r="AA77" s="116"/>
      <c r="AB77" s="115"/>
      <c r="AC77" s="116" t="s">
        <v>56</v>
      </c>
      <c r="AD77" s="115" t="s">
        <v>694</v>
      </c>
      <c r="AE77" s="116"/>
      <c r="AF77" s="115"/>
      <c r="AG77" s="116" t="s">
        <v>56</v>
      </c>
      <c r="AH77" s="115" t="s">
        <v>640</v>
      </c>
      <c r="AI77" s="116"/>
      <c r="AJ77" s="115"/>
      <c r="AK77" s="116" t="s">
        <v>56</v>
      </c>
      <c r="AL77" s="115" t="s">
        <v>695</v>
      </c>
      <c r="AM77" s="116"/>
      <c r="AN77" s="115"/>
      <c r="AO77" s="116" t="s">
        <v>56</v>
      </c>
      <c r="AP77" s="115" t="s">
        <v>451</v>
      </c>
      <c r="AQ77" s="116"/>
      <c r="AR77" s="115"/>
      <c r="AS77" s="116" t="s">
        <v>56</v>
      </c>
      <c r="AT77" s="115" t="s">
        <v>640</v>
      </c>
      <c r="AU77" s="116"/>
      <c r="AV77" s="115"/>
      <c r="AW77" s="116" t="s">
        <v>56</v>
      </c>
      <c r="AX77" s="115" t="s">
        <v>568</v>
      </c>
      <c r="AY77" s="116"/>
      <c r="AZ77" s="115"/>
      <c r="BA77" s="116" t="s">
        <v>56</v>
      </c>
      <c r="BB77" s="115" t="s">
        <v>568</v>
      </c>
      <c r="BC77" s="116"/>
      <c r="BD77" s="115"/>
      <c r="BE77" s="116" t="s">
        <v>56</v>
      </c>
      <c r="BF77" s="115" t="s">
        <v>454</v>
      </c>
      <c r="BG77" s="116"/>
      <c r="BH77" s="115"/>
      <c r="BI77" s="116" t="s">
        <v>56</v>
      </c>
      <c r="BJ77" s="115" t="s">
        <v>696</v>
      </c>
      <c r="BK77" s="116"/>
      <c r="BL77" s="115"/>
      <c r="BM77" s="116" t="s">
        <v>56</v>
      </c>
      <c r="BN77" s="115" t="s">
        <v>697</v>
      </c>
      <c r="BO77" s="116"/>
      <c r="BP77" s="115"/>
      <c r="BQ77" s="116" t="s">
        <v>56</v>
      </c>
      <c r="BR77" s="115" t="s">
        <v>577</v>
      </c>
      <c r="BS77" s="116"/>
      <c r="BT77" s="115"/>
      <c r="BU77" s="116" t="s">
        <v>56</v>
      </c>
      <c r="BV77" s="115" t="s">
        <v>698</v>
      </c>
      <c r="BW77" s="161"/>
      <c r="BX77" s="115"/>
      <c r="BY77" s="116" t="s">
        <v>56</v>
      </c>
      <c r="BZ77" s="115" t="s">
        <v>446</v>
      </c>
      <c r="CA77" s="116"/>
      <c r="CB77" s="115"/>
      <c r="CC77" s="116" t="s">
        <v>56</v>
      </c>
      <c r="CD77" s="115" t="s">
        <v>699</v>
      </c>
      <c r="CE77" s="116"/>
      <c r="CF77" s="115"/>
      <c r="CG77" s="116" t="s">
        <v>56</v>
      </c>
      <c r="CH77" s="115" t="s">
        <v>700</v>
      </c>
      <c r="CI77" s="116"/>
      <c r="CJ77" s="115"/>
      <c r="CK77" s="116" t="s">
        <v>56</v>
      </c>
      <c r="CL77" s="115" t="s">
        <v>640</v>
      </c>
      <c r="CM77" s="116"/>
      <c r="CN77" s="115"/>
      <c r="CO77" s="116" t="s">
        <v>56</v>
      </c>
      <c r="CP77" s="115" t="s">
        <v>701</v>
      </c>
      <c r="CQ77" s="116"/>
      <c r="CR77" s="115"/>
      <c r="CS77" s="116" t="s">
        <v>56</v>
      </c>
      <c r="CT77" s="115" t="s">
        <v>459</v>
      </c>
      <c r="CU77" s="116"/>
      <c r="CV77" s="115"/>
      <c r="CW77" s="116" t="s">
        <v>56</v>
      </c>
      <c r="CX77" s="115" t="s">
        <v>58</v>
      </c>
      <c r="CY77" s="116"/>
      <c r="CZ77" s="115"/>
      <c r="DA77" s="116" t="s">
        <v>56</v>
      </c>
      <c r="DB77" s="115" t="s">
        <v>450</v>
      </c>
      <c r="DC77" s="116"/>
      <c r="DD77" s="115"/>
      <c r="DF77">
        <v>1</v>
      </c>
      <c r="DG77" t="s">
        <v>1212</v>
      </c>
      <c r="DH77" t="s">
        <v>450</v>
      </c>
      <c r="DI77">
        <v>2</v>
      </c>
    </row>
    <row r="78" spans="1:113" x14ac:dyDescent="0.25">
      <c r="J78" s="141"/>
      <c r="K78" s="146" t="str">
        <f>INDEX(TableStreams[Choose your Specialisation Stream second (drop-down list)],MATCH(L78,TableStreams[UDC],0))</f>
        <v>History Education Minor Teaching Area Stream (BEd Secondary)</v>
      </c>
      <c r="L78" s="141" t="s">
        <v>355</v>
      </c>
      <c r="N78" s="6"/>
      <c r="O78" s="6"/>
      <c r="P78" s="19">
        <v>3</v>
      </c>
      <c r="Q78" s="117" t="s">
        <v>87</v>
      </c>
      <c r="R78" s="104" t="s">
        <v>702</v>
      </c>
      <c r="S78" s="117"/>
      <c r="T78" s="104"/>
      <c r="U78" s="117" t="s">
        <v>87</v>
      </c>
      <c r="V78" s="104" t="s">
        <v>703</v>
      </c>
      <c r="W78" s="117"/>
      <c r="X78" s="104"/>
      <c r="Y78" s="117" t="s">
        <v>87</v>
      </c>
      <c r="Z78" s="104" t="s">
        <v>704</v>
      </c>
      <c r="AA78" s="117"/>
      <c r="AB78" s="104"/>
      <c r="AC78" s="117" t="s">
        <v>87</v>
      </c>
      <c r="AD78" s="104" t="s">
        <v>705</v>
      </c>
      <c r="AE78" s="117"/>
      <c r="AF78" s="104"/>
      <c r="AG78" s="117" t="s">
        <v>87</v>
      </c>
      <c r="AH78" s="104" t="s">
        <v>474</v>
      </c>
      <c r="AI78" s="117"/>
      <c r="AJ78" s="104"/>
      <c r="AK78" s="117" t="s">
        <v>87</v>
      </c>
      <c r="AL78" s="104" t="s">
        <v>706</v>
      </c>
      <c r="AM78" s="117"/>
      <c r="AN78" s="104"/>
      <c r="AO78" s="117" t="s">
        <v>87</v>
      </c>
      <c r="AP78" s="104" t="s">
        <v>566</v>
      </c>
      <c r="AQ78" s="117"/>
      <c r="AR78" s="104"/>
      <c r="AS78" s="117" t="s">
        <v>87</v>
      </c>
      <c r="AT78" s="104" t="s">
        <v>452</v>
      </c>
      <c r="AU78" s="117"/>
      <c r="AV78" s="104"/>
      <c r="AW78" s="117" t="s">
        <v>87</v>
      </c>
      <c r="AX78" s="104" t="s">
        <v>473</v>
      </c>
      <c r="AY78" s="117"/>
      <c r="AZ78" s="104"/>
      <c r="BA78" s="117" t="s">
        <v>87</v>
      </c>
      <c r="BB78" s="104" t="s">
        <v>452</v>
      </c>
      <c r="BC78" s="117"/>
      <c r="BD78" s="104"/>
      <c r="BE78" s="117" t="s">
        <v>87</v>
      </c>
      <c r="BF78" s="104" t="s">
        <v>474</v>
      </c>
      <c r="BG78" s="117"/>
      <c r="BH78" s="104"/>
      <c r="BI78" s="117" t="s">
        <v>87</v>
      </c>
      <c r="BJ78" s="104" t="s">
        <v>707</v>
      </c>
      <c r="BK78" s="117"/>
      <c r="BL78" s="104"/>
      <c r="BM78" s="117" t="s">
        <v>87</v>
      </c>
      <c r="BN78" s="104" t="s">
        <v>478</v>
      </c>
      <c r="BO78" s="117"/>
      <c r="BP78" s="104"/>
      <c r="BQ78" s="117" t="s">
        <v>87</v>
      </c>
      <c r="BR78" s="104" t="s">
        <v>469</v>
      </c>
      <c r="BS78" s="117"/>
      <c r="BT78" s="104"/>
      <c r="BU78" s="117" t="s">
        <v>87</v>
      </c>
      <c r="BV78" s="104" t="s">
        <v>708</v>
      </c>
      <c r="BW78" s="162"/>
      <c r="BX78" s="104"/>
      <c r="BY78" s="117" t="s">
        <v>87</v>
      </c>
      <c r="BZ78" s="104" t="s">
        <v>501</v>
      </c>
      <c r="CA78" s="117"/>
      <c r="CB78" s="104"/>
      <c r="CC78" s="117" t="s">
        <v>87</v>
      </c>
      <c r="CD78" s="104" t="s">
        <v>709</v>
      </c>
      <c r="CE78" s="117"/>
      <c r="CF78" s="104"/>
      <c r="CG78" s="117" t="s">
        <v>87</v>
      </c>
      <c r="CH78" s="104" t="s">
        <v>462</v>
      </c>
      <c r="CI78" s="117"/>
      <c r="CJ78" s="104"/>
      <c r="CK78" s="117" t="s">
        <v>87</v>
      </c>
      <c r="CL78" s="104" t="s">
        <v>452</v>
      </c>
      <c r="CM78" s="117"/>
      <c r="CN78" s="104"/>
      <c r="CO78" s="117" t="s">
        <v>87</v>
      </c>
      <c r="CP78" s="104" t="s">
        <v>478</v>
      </c>
      <c r="CQ78" s="117"/>
      <c r="CR78" s="104"/>
      <c r="CS78" s="117" t="s">
        <v>87</v>
      </c>
      <c r="CT78" s="104" t="s">
        <v>481</v>
      </c>
      <c r="CU78" s="117"/>
      <c r="CV78" s="104"/>
      <c r="CW78" s="117" t="s">
        <v>87</v>
      </c>
      <c r="CX78" s="104" t="s">
        <v>606</v>
      </c>
      <c r="CY78" s="117"/>
      <c r="CZ78" s="104"/>
      <c r="DA78" s="117" t="s">
        <v>87</v>
      </c>
      <c r="DB78" s="366" t="s">
        <v>508</v>
      </c>
      <c r="DC78" s="117"/>
      <c r="DD78" s="104"/>
      <c r="DF78">
        <v>2</v>
      </c>
      <c r="DG78" t="s">
        <v>1209</v>
      </c>
      <c r="DH78" t="s">
        <v>565</v>
      </c>
      <c r="DI78">
        <v>1</v>
      </c>
    </row>
    <row r="79" spans="1:113" x14ac:dyDescent="0.25">
      <c r="J79" s="141"/>
      <c r="K79" s="146" t="str">
        <f>INDEX(TableStreams[Choose your Specialisation Stream second (drop-down list)],MATCH(L79,TableStreams[UDC],0))</f>
        <v>Psychology Education Minor Teaching Area Stream (BEd Secondary)</v>
      </c>
      <c r="L79" s="141" t="s">
        <v>357</v>
      </c>
      <c r="N79" s="6"/>
      <c r="O79" s="6"/>
      <c r="P79" s="19">
        <v>4</v>
      </c>
      <c r="Q79" s="117" t="s">
        <v>89</v>
      </c>
      <c r="R79" s="104" t="s">
        <v>710</v>
      </c>
      <c r="S79" s="117"/>
      <c r="T79" s="104"/>
      <c r="U79" s="117" t="s">
        <v>89</v>
      </c>
      <c r="V79" s="104" t="s">
        <v>458</v>
      </c>
      <c r="W79" s="117"/>
      <c r="X79" s="104"/>
      <c r="Y79" s="117" t="s">
        <v>89</v>
      </c>
      <c r="Z79" s="104" t="s">
        <v>711</v>
      </c>
      <c r="AA79" s="117"/>
      <c r="AB79" s="104"/>
      <c r="AC79" s="117" t="s">
        <v>89</v>
      </c>
      <c r="AD79" s="104" t="s">
        <v>458</v>
      </c>
      <c r="AE79" s="117"/>
      <c r="AF79" s="104"/>
      <c r="AG79" s="117" t="s">
        <v>89</v>
      </c>
      <c r="AH79" s="104" t="s">
        <v>569</v>
      </c>
      <c r="AI79" s="117"/>
      <c r="AJ79" s="104"/>
      <c r="AK79" s="117" t="s">
        <v>89</v>
      </c>
      <c r="AL79" s="104" t="s">
        <v>712</v>
      </c>
      <c r="AM79" s="117"/>
      <c r="AN79" s="104"/>
      <c r="AO79" s="117" t="s">
        <v>89</v>
      </c>
      <c r="AP79" s="104" t="s">
        <v>496</v>
      </c>
      <c r="AQ79" s="117"/>
      <c r="AR79" s="104"/>
      <c r="AS79" s="117" t="s">
        <v>89</v>
      </c>
      <c r="AT79" s="104" t="s">
        <v>569</v>
      </c>
      <c r="AU79" s="117"/>
      <c r="AV79" s="104"/>
      <c r="AW79" s="117" t="s">
        <v>89</v>
      </c>
      <c r="AX79" s="104" t="s">
        <v>594</v>
      </c>
      <c r="AY79" s="117"/>
      <c r="AZ79" s="104"/>
      <c r="BA79" s="117" t="s">
        <v>89</v>
      </c>
      <c r="BB79" s="104" t="s">
        <v>583</v>
      </c>
      <c r="BC79" s="117"/>
      <c r="BD79" s="104"/>
      <c r="BE79" s="117" t="s">
        <v>89</v>
      </c>
      <c r="BF79" s="104" t="s">
        <v>569</v>
      </c>
      <c r="BG79" s="117"/>
      <c r="BH79" s="104"/>
      <c r="BI79" s="117" t="s">
        <v>89</v>
      </c>
      <c r="BJ79" s="104" t="s">
        <v>713</v>
      </c>
      <c r="BK79" s="117"/>
      <c r="BL79" s="104"/>
      <c r="BM79" s="117" t="s">
        <v>89</v>
      </c>
      <c r="BN79" s="104" t="s">
        <v>714</v>
      </c>
      <c r="BO79" s="117"/>
      <c r="BP79" s="104"/>
      <c r="BQ79" s="117" t="s">
        <v>89</v>
      </c>
      <c r="BR79" s="104" t="s">
        <v>494</v>
      </c>
      <c r="BS79" s="117"/>
      <c r="BT79" s="104"/>
      <c r="BU79" s="117" t="s">
        <v>89</v>
      </c>
      <c r="BV79" s="104" t="s">
        <v>90</v>
      </c>
      <c r="BW79" s="162"/>
      <c r="BX79" s="104"/>
      <c r="BY79" s="117" t="s">
        <v>89</v>
      </c>
      <c r="BZ79" s="104" t="s">
        <v>715</v>
      </c>
      <c r="CA79" s="117"/>
      <c r="CB79" s="104"/>
      <c r="CC79" s="117" t="s">
        <v>89</v>
      </c>
      <c r="CD79" s="104" t="s">
        <v>716</v>
      </c>
      <c r="CE79" s="117"/>
      <c r="CF79" s="104"/>
      <c r="CG79" s="117" t="s">
        <v>89</v>
      </c>
      <c r="CH79" s="104" t="s">
        <v>522</v>
      </c>
      <c r="CI79" s="117"/>
      <c r="CJ79" s="104"/>
      <c r="CK79" s="117" t="s">
        <v>89</v>
      </c>
      <c r="CL79" s="104" t="s">
        <v>569</v>
      </c>
      <c r="CM79" s="117"/>
      <c r="CN79" s="104"/>
      <c r="CO79" s="117" t="s">
        <v>89</v>
      </c>
      <c r="CP79" s="104" t="s">
        <v>717</v>
      </c>
      <c r="CQ79" s="117"/>
      <c r="CR79" s="104"/>
      <c r="CS79" s="117" t="s">
        <v>89</v>
      </c>
      <c r="CT79" s="104" t="s">
        <v>490</v>
      </c>
      <c r="CU79" s="117"/>
      <c r="CV79" s="104"/>
      <c r="CW79" s="117" t="s">
        <v>89</v>
      </c>
      <c r="CX79" s="104" t="s">
        <v>577</v>
      </c>
      <c r="CY79" s="117"/>
      <c r="CZ79" s="104"/>
      <c r="DA79" s="117" t="s">
        <v>89</v>
      </c>
      <c r="DB79" s="366" t="s">
        <v>565</v>
      </c>
      <c r="DC79" s="117"/>
      <c r="DD79" s="104"/>
      <c r="DF79">
        <v>2</v>
      </c>
      <c r="DG79" t="s">
        <v>1212</v>
      </c>
      <c r="DH79" t="s">
        <v>508</v>
      </c>
      <c r="DI79">
        <v>2</v>
      </c>
    </row>
    <row r="80" spans="1:113" x14ac:dyDescent="0.25">
      <c r="J80" s="141"/>
      <c r="K80" s="146" t="str">
        <f>INDEX(TableStreams[Choose your Specialisation Stream second (drop-down list)],MATCH(L80,TableStreams[UDC],0))</f>
        <v>The Arts - Media Education Minor Teaching Area Stream (BEd Secondary)</v>
      </c>
      <c r="L80" s="141" t="s">
        <v>360</v>
      </c>
      <c r="N80" s="6"/>
      <c r="O80" s="6"/>
      <c r="P80" s="19">
        <v>5</v>
      </c>
      <c r="Q80" s="117" t="s">
        <v>121</v>
      </c>
      <c r="R80" s="104" t="s">
        <v>718</v>
      </c>
      <c r="S80" s="117"/>
      <c r="T80" s="104"/>
      <c r="U80" s="117" t="s">
        <v>121</v>
      </c>
      <c r="V80" s="104" t="s">
        <v>719</v>
      </c>
      <c r="W80" s="117"/>
      <c r="X80" s="104"/>
      <c r="Y80" s="117" t="s">
        <v>121</v>
      </c>
      <c r="Z80" s="104" t="s">
        <v>461</v>
      </c>
      <c r="AA80" s="117"/>
      <c r="AB80" s="104"/>
      <c r="AC80" s="117" t="s">
        <v>121</v>
      </c>
      <c r="AD80" s="104" t="s">
        <v>720</v>
      </c>
      <c r="AE80" s="117"/>
      <c r="AF80" s="104"/>
      <c r="AG80" s="117" t="s">
        <v>121</v>
      </c>
      <c r="AH80" s="104" t="s">
        <v>595</v>
      </c>
      <c r="AI80" s="117"/>
      <c r="AJ80" s="104"/>
      <c r="AK80" s="117" t="s">
        <v>121</v>
      </c>
      <c r="AL80" s="104" t="s">
        <v>721</v>
      </c>
      <c r="AM80" s="117"/>
      <c r="AN80" s="104"/>
      <c r="AO80" s="117" t="s">
        <v>121</v>
      </c>
      <c r="AP80" s="104" t="s">
        <v>464</v>
      </c>
      <c r="AQ80" s="117"/>
      <c r="AR80" s="104"/>
      <c r="AS80" s="117" t="s">
        <v>121</v>
      </c>
      <c r="AT80" s="104" t="s">
        <v>595</v>
      </c>
      <c r="AU80" s="117"/>
      <c r="AV80" s="104"/>
      <c r="AW80" s="117" t="s">
        <v>121</v>
      </c>
      <c r="AX80" s="104" t="s">
        <v>465</v>
      </c>
      <c r="AY80" s="117"/>
      <c r="AZ80" s="104"/>
      <c r="BA80" s="117" t="s">
        <v>121</v>
      </c>
      <c r="BB80" s="104" t="s">
        <v>640</v>
      </c>
      <c r="BC80" s="117"/>
      <c r="BD80" s="104"/>
      <c r="BE80" s="117" t="s">
        <v>121</v>
      </c>
      <c r="BF80" s="104" t="s">
        <v>465</v>
      </c>
      <c r="BG80" s="117"/>
      <c r="BH80" s="104"/>
      <c r="BI80" s="117" t="s">
        <v>121</v>
      </c>
      <c r="BJ80" s="104" t="s">
        <v>194</v>
      </c>
      <c r="BK80" s="117"/>
      <c r="BL80" s="104"/>
      <c r="BM80" s="117" t="s">
        <v>121</v>
      </c>
      <c r="BN80" s="104" t="s">
        <v>722</v>
      </c>
      <c r="BO80" s="117"/>
      <c r="BP80" s="104"/>
      <c r="BQ80" s="117" t="s">
        <v>121</v>
      </c>
      <c r="BR80" s="104" t="s">
        <v>463</v>
      </c>
      <c r="BS80" s="117"/>
      <c r="BT80" s="104"/>
      <c r="BU80" s="117" t="s">
        <v>121</v>
      </c>
      <c r="BV80" s="104" t="s">
        <v>544</v>
      </c>
      <c r="BW80" s="162"/>
      <c r="BX80" s="104"/>
      <c r="BY80" s="117" t="s">
        <v>121</v>
      </c>
      <c r="BZ80" s="104" t="s">
        <v>466</v>
      </c>
      <c r="CA80" s="117"/>
      <c r="CB80" s="104"/>
      <c r="CC80" s="117" t="s">
        <v>121</v>
      </c>
      <c r="CD80" s="104" t="s">
        <v>131</v>
      </c>
      <c r="CE80" s="117"/>
      <c r="CF80" s="104"/>
      <c r="CG80" s="117" t="s">
        <v>121</v>
      </c>
      <c r="CH80" s="104" t="s">
        <v>463</v>
      </c>
      <c r="CI80" s="117"/>
      <c r="CJ80" s="104"/>
      <c r="CK80" s="117" t="s">
        <v>121</v>
      </c>
      <c r="CL80" s="104" t="s">
        <v>582</v>
      </c>
      <c r="CM80" s="117"/>
      <c r="CN80" s="104"/>
      <c r="CO80" s="117" t="s">
        <v>121</v>
      </c>
      <c r="CP80" s="104" t="s">
        <v>723</v>
      </c>
      <c r="CQ80" s="117"/>
      <c r="CR80" s="104"/>
      <c r="CS80" s="117" t="s">
        <v>121</v>
      </c>
      <c r="CT80" s="104" t="s">
        <v>461</v>
      </c>
      <c r="CU80" s="117"/>
      <c r="CV80" s="104"/>
      <c r="CW80" s="117" t="s">
        <v>121</v>
      </c>
      <c r="CX80" s="104" t="s">
        <v>131</v>
      </c>
      <c r="CY80" s="117"/>
      <c r="CZ80" s="104"/>
      <c r="DA80" s="117" t="s">
        <v>121</v>
      </c>
      <c r="DB80" s="104" t="s">
        <v>463</v>
      </c>
      <c r="DC80" s="117"/>
      <c r="DD80" s="104"/>
      <c r="DF80">
        <v>3</v>
      </c>
      <c r="DG80" t="s">
        <v>1209</v>
      </c>
      <c r="DH80" t="s">
        <v>463</v>
      </c>
      <c r="DI80">
        <v>1</v>
      </c>
    </row>
    <row r="81" spans="10:113" x14ac:dyDescent="0.25">
      <c r="J81" s="141"/>
      <c r="K81" s="146" t="str">
        <f>INDEX(TableStreams[Choose your Specialisation Stream second (drop-down list)],MATCH(L81,TableStreams[UDC],0))</f>
        <v>The Arts - Performing Arts Education Minor Teaching Area Stream (BEd Secondary)</v>
      </c>
      <c r="L81" s="141" t="s">
        <v>361</v>
      </c>
      <c r="N81" s="6"/>
      <c r="O81" s="6"/>
      <c r="P81" s="19">
        <v>6</v>
      </c>
      <c r="Q81" s="117" t="s">
        <v>121</v>
      </c>
      <c r="R81" s="104" t="s">
        <v>558</v>
      </c>
      <c r="S81" s="117"/>
      <c r="T81" s="104"/>
      <c r="U81" s="117" t="s">
        <v>121</v>
      </c>
      <c r="V81" s="104" t="s">
        <v>724</v>
      </c>
      <c r="W81" s="117"/>
      <c r="X81" s="104"/>
      <c r="Y81" s="117" t="s">
        <v>121</v>
      </c>
      <c r="Z81" s="104" t="s">
        <v>725</v>
      </c>
      <c r="AA81" s="117"/>
      <c r="AB81" s="104"/>
      <c r="AC81" s="117" t="s">
        <v>121</v>
      </c>
      <c r="AD81" s="104" t="s">
        <v>726</v>
      </c>
      <c r="AE81" s="117"/>
      <c r="AF81" s="104"/>
      <c r="AG81" s="117" t="s">
        <v>121</v>
      </c>
      <c r="AH81" s="104" t="s">
        <v>727</v>
      </c>
      <c r="AI81" s="117"/>
      <c r="AJ81" s="104"/>
      <c r="AK81" s="117" t="s">
        <v>121</v>
      </c>
      <c r="AL81" s="104" t="s">
        <v>728</v>
      </c>
      <c r="AM81" s="117"/>
      <c r="AN81" s="104"/>
      <c r="AO81" s="117" t="s">
        <v>121</v>
      </c>
      <c r="AP81" s="104" t="s">
        <v>509</v>
      </c>
      <c r="AQ81" s="117"/>
      <c r="AR81" s="104"/>
      <c r="AS81" s="117" t="s">
        <v>121</v>
      </c>
      <c r="AT81" s="104" t="s">
        <v>729</v>
      </c>
      <c r="AU81" s="117"/>
      <c r="AV81" s="104"/>
      <c r="AW81" s="117" t="s">
        <v>121</v>
      </c>
      <c r="AX81" s="104" t="s">
        <v>612</v>
      </c>
      <c r="AY81" s="117"/>
      <c r="AZ81" s="104"/>
      <c r="BA81" s="117" t="s">
        <v>121</v>
      </c>
      <c r="BB81" s="104" t="s">
        <v>730</v>
      </c>
      <c r="BC81" s="117"/>
      <c r="BD81" s="104"/>
      <c r="BE81" s="117" t="s">
        <v>121</v>
      </c>
      <c r="BF81" s="104" t="s">
        <v>595</v>
      </c>
      <c r="BG81" s="117"/>
      <c r="BH81" s="104"/>
      <c r="BI81" s="117" t="s">
        <v>121</v>
      </c>
      <c r="BJ81" s="104" t="s">
        <v>731</v>
      </c>
      <c r="BK81" s="117"/>
      <c r="BL81" s="104"/>
      <c r="BM81" s="117" t="s">
        <v>121</v>
      </c>
      <c r="BN81" s="104" t="s">
        <v>732</v>
      </c>
      <c r="BO81" s="117"/>
      <c r="BP81" s="104"/>
      <c r="BQ81" s="117" t="s">
        <v>121</v>
      </c>
      <c r="BR81" s="104" t="s">
        <v>522</v>
      </c>
      <c r="BS81" s="117"/>
      <c r="BT81" s="104"/>
      <c r="BU81" s="117" t="s">
        <v>121</v>
      </c>
      <c r="BV81" s="104" t="s">
        <v>135</v>
      </c>
      <c r="BW81" s="162"/>
      <c r="BX81" s="104"/>
      <c r="BY81" s="117" t="s">
        <v>121</v>
      </c>
      <c r="BZ81" s="104" t="s">
        <v>558</v>
      </c>
      <c r="CA81" s="117"/>
      <c r="CB81" s="104"/>
      <c r="CC81" s="117" t="s">
        <v>121</v>
      </c>
      <c r="CD81" s="104" t="s">
        <v>733</v>
      </c>
      <c r="CE81" s="117"/>
      <c r="CF81" s="104"/>
      <c r="CG81" s="117" t="s">
        <v>121</v>
      </c>
      <c r="CH81" s="104" t="s">
        <v>734</v>
      </c>
      <c r="CI81" s="117"/>
      <c r="CJ81" s="104"/>
      <c r="CK81" s="117" t="s">
        <v>121</v>
      </c>
      <c r="CL81" s="104" t="s">
        <v>735</v>
      </c>
      <c r="CM81" s="117"/>
      <c r="CN81" s="104"/>
      <c r="CO81" s="117" t="s">
        <v>121</v>
      </c>
      <c r="CP81" s="104" t="s">
        <v>736</v>
      </c>
      <c r="CQ81" s="117"/>
      <c r="CR81" s="104"/>
      <c r="CS81" s="117" t="s">
        <v>121</v>
      </c>
      <c r="CT81" s="104" t="s">
        <v>519</v>
      </c>
      <c r="CU81" s="117"/>
      <c r="CV81" s="104"/>
      <c r="CW81" s="117" t="s">
        <v>121</v>
      </c>
      <c r="CX81" s="104" t="s">
        <v>737</v>
      </c>
      <c r="CY81" s="117"/>
      <c r="CZ81" s="104"/>
      <c r="DA81" s="117" t="s">
        <v>121</v>
      </c>
      <c r="DB81" s="104" t="s">
        <v>609</v>
      </c>
      <c r="DC81" s="117"/>
      <c r="DD81" s="104"/>
      <c r="DF81">
        <v>3</v>
      </c>
      <c r="DG81" t="s">
        <v>1209</v>
      </c>
      <c r="DH81" t="s">
        <v>609</v>
      </c>
      <c r="DI81">
        <v>2</v>
      </c>
    </row>
    <row r="82" spans="10:113" x14ac:dyDescent="0.25">
      <c r="J82" s="141"/>
      <c r="K82" s="146" t="str">
        <f>INDEX(TableStreams[Choose your Specialisation Stream second (drop-down list)],MATCH(L82,TableStreams[UDC],0))</f>
        <v>The Arts - Visual Arts Education Minor Teaching Area Stream (BEd Secondary)</v>
      </c>
      <c r="L82" s="141" t="s">
        <v>217</v>
      </c>
      <c r="N82" s="6"/>
      <c r="O82" s="6"/>
      <c r="P82" s="19">
        <v>7</v>
      </c>
      <c r="Q82" s="118" t="s">
        <v>123</v>
      </c>
      <c r="R82" s="103" t="s">
        <v>738</v>
      </c>
      <c r="S82" s="118"/>
      <c r="T82" s="103"/>
      <c r="U82" s="118" t="s">
        <v>123</v>
      </c>
      <c r="V82" s="103" t="s">
        <v>739</v>
      </c>
      <c r="W82" s="118"/>
      <c r="X82" s="103"/>
      <c r="Y82" s="118" t="s">
        <v>123</v>
      </c>
      <c r="Z82" s="103" t="s">
        <v>483</v>
      </c>
      <c r="AA82" s="118"/>
      <c r="AB82" s="103"/>
      <c r="AC82" s="118" t="s">
        <v>123</v>
      </c>
      <c r="AD82" s="103" t="s">
        <v>740</v>
      </c>
      <c r="AE82" s="118"/>
      <c r="AF82" s="103"/>
      <c r="AG82" s="118" t="s">
        <v>123</v>
      </c>
      <c r="AH82" s="103" t="s">
        <v>582</v>
      </c>
      <c r="AI82" s="118"/>
      <c r="AJ82" s="103"/>
      <c r="AK82" s="118" t="s">
        <v>123</v>
      </c>
      <c r="AL82" s="103" t="s">
        <v>600</v>
      </c>
      <c r="AM82" s="118"/>
      <c r="AN82" s="103"/>
      <c r="AO82" s="118" t="s">
        <v>123</v>
      </c>
      <c r="AP82" s="103" t="s">
        <v>485</v>
      </c>
      <c r="AQ82" s="118"/>
      <c r="AR82" s="103"/>
      <c r="AS82" s="118" t="s">
        <v>123</v>
      </c>
      <c r="AT82" s="103" t="s">
        <v>582</v>
      </c>
      <c r="AU82" s="118"/>
      <c r="AV82" s="103"/>
      <c r="AW82" s="118" t="s">
        <v>123</v>
      </c>
      <c r="AX82" s="103" t="s">
        <v>486</v>
      </c>
      <c r="AY82" s="118"/>
      <c r="AZ82" s="103"/>
      <c r="BA82" s="118" t="s">
        <v>123</v>
      </c>
      <c r="BB82" s="103" t="s">
        <v>614</v>
      </c>
      <c r="BC82" s="118"/>
      <c r="BD82" s="103"/>
      <c r="BE82" s="118" t="s">
        <v>123</v>
      </c>
      <c r="BF82" s="103" t="s">
        <v>486</v>
      </c>
      <c r="BG82" s="118"/>
      <c r="BH82" s="103"/>
      <c r="BI82" s="118" t="s">
        <v>123</v>
      </c>
      <c r="BJ82" s="103" t="s">
        <v>741</v>
      </c>
      <c r="BK82" s="118"/>
      <c r="BL82" s="103"/>
      <c r="BM82" s="118" t="s">
        <v>123</v>
      </c>
      <c r="BN82" s="103" t="s">
        <v>742</v>
      </c>
      <c r="BO82" s="118"/>
      <c r="BP82" s="103"/>
      <c r="BQ82" s="118" t="s">
        <v>123</v>
      </c>
      <c r="BR82" s="103" t="s">
        <v>484</v>
      </c>
      <c r="BS82" s="118"/>
      <c r="BT82" s="103"/>
      <c r="BU82" s="118" t="s">
        <v>123</v>
      </c>
      <c r="BV82" s="103" t="s">
        <v>698</v>
      </c>
      <c r="BW82" s="163"/>
      <c r="BX82" s="103"/>
      <c r="BY82" s="118" t="s">
        <v>123</v>
      </c>
      <c r="BZ82" s="103" t="s">
        <v>487</v>
      </c>
      <c r="CA82" s="118"/>
      <c r="CB82" s="103"/>
      <c r="CC82" s="118" t="s">
        <v>123</v>
      </c>
      <c r="CD82" s="103" t="s">
        <v>743</v>
      </c>
      <c r="CE82" s="118"/>
      <c r="CF82" s="103"/>
      <c r="CG82" s="118" t="s">
        <v>123</v>
      </c>
      <c r="CH82" s="103" t="s">
        <v>484</v>
      </c>
      <c r="CI82" s="118"/>
      <c r="CJ82" s="103"/>
      <c r="CK82" s="118" t="s">
        <v>123</v>
      </c>
      <c r="CL82" s="103" t="s">
        <v>568</v>
      </c>
      <c r="CM82" s="118"/>
      <c r="CN82" s="103"/>
      <c r="CO82" s="118" t="s">
        <v>123</v>
      </c>
      <c r="CP82" s="103" t="s">
        <v>744</v>
      </c>
      <c r="CQ82" s="118"/>
      <c r="CR82" s="103"/>
      <c r="CS82" s="118" t="s">
        <v>123</v>
      </c>
      <c r="CT82" s="103" t="s">
        <v>483</v>
      </c>
      <c r="CU82" s="118"/>
      <c r="CV82" s="103"/>
      <c r="CW82" s="118" t="s">
        <v>123</v>
      </c>
      <c r="CX82" s="103" t="s">
        <v>745</v>
      </c>
      <c r="CY82" s="118"/>
      <c r="CZ82" s="103"/>
      <c r="DA82" s="118" t="s">
        <v>123</v>
      </c>
      <c r="DB82" s="103" t="s">
        <v>484</v>
      </c>
      <c r="DC82" s="118"/>
      <c r="DD82" s="103"/>
      <c r="DF82">
        <v>3</v>
      </c>
      <c r="DG82" t="s">
        <v>1212</v>
      </c>
      <c r="DH82" t="s">
        <v>484</v>
      </c>
      <c r="DI82">
        <v>2</v>
      </c>
    </row>
    <row r="83" spans="10:113" x14ac:dyDescent="0.25">
      <c r="J83" s="140" t="s">
        <v>345</v>
      </c>
      <c r="K83" s="145" t="s">
        <v>221</v>
      </c>
      <c r="L83" s="140"/>
      <c r="N83" s="6"/>
      <c r="O83" s="6"/>
      <c r="P83" s="19">
        <v>8</v>
      </c>
      <c r="Q83" s="116"/>
      <c r="R83" s="119" t="s">
        <v>447</v>
      </c>
      <c r="S83" s="116"/>
      <c r="T83" s="115"/>
      <c r="U83" s="116"/>
      <c r="V83" s="119" t="s">
        <v>692</v>
      </c>
      <c r="W83" s="116"/>
      <c r="X83" s="115"/>
      <c r="Y83" s="116"/>
      <c r="Z83" s="119" t="s">
        <v>693</v>
      </c>
      <c r="AA83" s="116"/>
      <c r="AB83" s="115"/>
      <c r="AC83" s="116"/>
      <c r="AD83" s="115" t="s">
        <v>694</v>
      </c>
      <c r="AE83" s="116"/>
      <c r="AF83" s="115"/>
      <c r="AG83" s="116"/>
      <c r="AH83" s="119" t="s">
        <v>727</v>
      </c>
      <c r="AI83" s="116"/>
      <c r="AJ83" s="115"/>
      <c r="AK83" s="116"/>
      <c r="AL83" s="115" t="s">
        <v>728</v>
      </c>
      <c r="AM83" s="116"/>
      <c r="AN83" s="115"/>
      <c r="AO83" s="116"/>
      <c r="AP83" s="119" t="s">
        <v>447</v>
      </c>
      <c r="AQ83" s="116"/>
      <c r="AR83" s="115"/>
      <c r="AS83" s="116"/>
      <c r="AT83" s="119" t="s">
        <v>729</v>
      </c>
      <c r="AU83" s="116"/>
      <c r="AV83" s="115"/>
      <c r="AW83" s="116"/>
      <c r="AX83" s="119" t="s">
        <v>447</v>
      </c>
      <c r="AY83" s="116"/>
      <c r="AZ83" s="115"/>
      <c r="BA83" s="116"/>
      <c r="BB83" s="119" t="s">
        <v>730</v>
      </c>
      <c r="BC83" s="116"/>
      <c r="BD83" s="115"/>
      <c r="BE83" s="116"/>
      <c r="BF83" s="119" t="s">
        <v>447</v>
      </c>
      <c r="BG83" s="116"/>
      <c r="BH83" s="115"/>
      <c r="BI83" s="116"/>
      <c r="BJ83" s="119" t="s">
        <v>731</v>
      </c>
      <c r="BK83" s="116"/>
      <c r="BL83" s="115"/>
      <c r="BM83" s="116"/>
      <c r="BN83" s="119" t="s">
        <v>697</v>
      </c>
      <c r="BO83" s="116"/>
      <c r="BP83" s="115"/>
      <c r="BQ83" s="116"/>
      <c r="BR83" s="119" t="s">
        <v>447</v>
      </c>
      <c r="BS83" s="116"/>
      <c r="BT83" s="115"/>
      <c r="BU83" s="116"/>
      <c r="BV83" s="115" t="s">
        <v>746</v>
      </c>
      <c r="BW83" s="116"/>
      <c r="BX83" s="115"/>
      <c r="BY83" s="116"/>
      <c r="BZ83" s="115" t="s">
        <v>715</v>
      </c>
      <c r="CA83" s="116"/>
      <c r="CB83" s="115"/>
      <c r="CC83" s="116"/>
      <c r="CD83" s="119" t="s">
        <v>699</v>
      </c>
      <c r="CE83" s="116"/>
      <c r="CF83" s="115"/>
      <c r="CG83" s="116"/>
      <c r="CH83" s="119" t="s">
        <v>447</v>
      </c>
      <c r="CI83" s="116"/>
      <c r="CJ83" s="115"/>
      <c r="CK83" s="116"/>
      <c r="CL83" s="119" t="s">
        <v>735</v>
      </c>
      <c r="CM83" s="116"/>
      <c r="CN83" s="115"/>
      <c r="CO83" s="116"/>
      <c r="CP83" s="119" t="s">
        <v>701</v>
      </c>
      <c r="CQ83" s="116"/>
      <c r="CR83" s="115"/>
      <c r="CS83" s="116"/>
      <c r="CT83" s="119" t="s">
        <v>447</v>
      </c>
      <c r="CU83" s="116"/>
      <c r="CV83" s="115"/>
      <c r="CW83" s="116"/>
      <c r="CX83" s="119" t="s">
        <v>737</v>
      </c>
      <c r="CY83" s="116"/>
      <c r="CZ83" s="115"/>
      <c r="DA83" s="116"/>
      <c r="DB83" s="119" t="s">
        <v>447</v>
      </c>
      <c r="DC83" s="116"/>
      <c r="DD83" s="115"/>
    </row>
    <row r="84" spans="10:113" x14ac:dyDescent="0.25">
      <c r="J84" s="141"/>
      <c r="K84" s="146" t="str">
        <f>INDEX(TableStreams[Choose your Specialisation Stream second (drop-down list)],MATCH(L84,TableStreams[UDC],0))</f>
        <v>Biological Sciences Education Minor Teaching Area Stream (BEd Secondary)</v>
      </c>
      <c r="L84" s="141" t="s">
        <v>350</v>
      </c>
      <c r="N84" s="6"/>
      <c r="O84" s="6"/>
      <c r="P84" s="19">
        <v>9</v>
      </c>
      <c r="Q84" s="117"/>
      <c r="R84" s="124"/>
      <c r="S84" s="117"/>
      <c r="T84" s="104"/>
      <c r="U84" s="117"/>
      <c r="V84" s="124" t="s">
        <v>457</v>
      </c>
      <c r="W84" s="117"/>
      <c r="X84" s="104"/>
      <c r="Y84" s="117"/>
      <c r="Z84" s="124" t="s">
        <v>696</v>
      </c>
      <c r="AA84" s="117"/>
      <c r="AB84" s="104"/>
      <c r="AC84" s="117"/>
      <c r="AD84" s="104" t="s">
        <v>747</v>
      </c>
      <c r="AE84" s="117"/>
      <c r="AF84" s="104"/>
      <c r="AG84" s="117"/>
      <c r="AH84" s="124" t="s">
        <v>194</v>
      </c>
      <c r="AI84" s="117"/>
      <c r="AJ84" s="104"/>
      <c r="AK84" s="117"/>
      <c r="AL84" s="104" t="s">
        <v>194</v>
      </c>
      <c r="AM84" s="117"/>
      <c r="AN84" s="104"/>
      <c r="AO84" s="117"/>
      <c r="AP84" s="124"/>
      <c r="AQ84" s="117"/>
      <c r="AR84" s="104"/>
      <c r="AS84" s="117"/>
      <c r="AT84" s="124" t="s">
        <v>194</v>
      </c>
      <c r="AU84" s="117"/>
      <c r="AV84" s="104"/>
      <c r="AW84" s="117"/>
      <c r="AX84" s="124"/>
      <c r="AY84" s="117"/>
      <c r="AZ84" s="104"/>
      <c r="BA84" s="117"/>
      <c r="BB84" s="124" t="s">
        <v>194</v>
      </c>
      <c r="BC84" s="117"/>
      <c r="BD84" s="104"/>
      <c r="BE84" s="117"/>
      <c r="BF84" s="124"/>
      <c r="BG84" s="117"/>
      <c r="BH84" s="104"/>
      <c r="BI84" s="117"/>
      <c r="BJ84" s="124" t="s">
        <v>174</v>
      </c>
      <c r="BK84" s="117"/>
      <c r="BL84" s="104"/>
      <c r="BM84" s="117"/>
      <c r="BN84" s="124" t="s">
        <v>457</v>
      </c>
      <c r="BO84" s="117"/>
      <c r="BP84" s="104"/>
      <c r="BQ84" s="117"/>
      <c r="BR84" s="104"/>
      <c r="BS84" s="117"/>
      <c r="BT84" s="104"/>
      <c r="BU84" s="117"/>
      <c r="BV84" s="104" t="s">
        <v>174</v>
      </c>
      <c r="BW84" s="117"/>
      <c r="BX84" s="104"/>
      <c r="BY84" s="117"/>
      <c r="BZ84" s="104" t="s">
        <v>748</v>
      </c>
      <c r="CA84" s="117"/>
      <c r="CB84" s="104"/>
      <c r="CC84" s="117"/>
      <c r="CD84" s="124" t="s">
        <v>58</v>
      </c>
      <c r="CE84" s="117"/>
      <c r="CF84" s="104"/>
      <c r="CG84" s="117"/>
      <c r="CH84" s="124"/>
      <c r="CI84" s="117"/>
      <c r="CJ84" s="104"/>
      <c r="CK84" s="117"/>
      <c r="CL84" s="124" t="s">
        <v>194</v>
      </c>
      <c r="CM84" s="117"/>
      <c r="CN84" s="104"/>
      <c r="CO84" s="117"/>
      <c r="CP84" s="124" t="s">
        <v>457</v>
      </c>
      <c r="CQ84" s="117"/>
      <c r="CR84" s="104"/>
      <c r="CS84" s="117"/>
      <c r="CT84" s="124"/>
      <c r="CU84" s="117"/>
      <c r="CV84" s="104"/>
      <c r="CW84" s="117"/>
      <c r="CX84" s="124" t="s">
        <v>194</v>
      </c>
      <c r="CY84" s="117"/>
      <c r="CZ84" s="104"/>
      <c r="DA84" s="117"/>
      <c r="DB84" s="124"/>
      <c r="DC84" s="117"/>
      <c r="DD84" s="104"/>
    </row>
    <row r="85" spans="10:113" x14ac:dyDescent="0.25">
      <c r="J85" s="142"/>
      <c r="K85" s="147" t="str">
        <f>INDEX(TableStreams[Choose your Specialisation Stream second (drop-down list)],MATCH(L85,TableStreams[UDC],0))</f>
        <v>Broadening Health and Physical Education Teaching Area Stream (BEd Secondary)</v>
      </c>
      <c r="L85" s="142" t="s">
        <v>367</v>
      </c>
      <c r="N85" s="6"/>
      <c r="O85" s="6"/>
      <c r="P85" s="19">
        <v>10</v>
      </c>
      <c r="Q85" s="117"/>
      <c r="R85" s="124"/>
      <c r="S85" s="117"/>
      <c r="T85" s="104"/>
      <c r="U85" s="117"/>
      <c r="V85" s="124" t="s">
        <v>749</v>
      </c>
      <c r="W85" s="117"/>
      <c r="X85" s="104"/>
      <c r="Y85" s="117"/>
      <c r="Z85" s="124" t="s">
        <v>458</v>
      </c>
      <c r="AA85" s="117"/>
      <c r="AB85" s="104"/>
      <c r="AC85" s="117"/>
      <c r="AD85" s="104" t="s">
        <v>750</v>
      </c>
      <c r="AE85" s="117"/>
      <c r="AF85" s="104"/>
      <c r="AG85" s="117"/>
      <c r="AH85" s="124" t="s">
        <v>195</v>
      </c>
      <c r="AI85" s="117"/>
      <c r="AJ85" s="104"/>
      <c r="AK85" s="117"/>
      <c r="AL85" s="104" t="s">
        <v>195</v>
      </c>
      <c r="AM85" s="117"/>
      <c r="AN85" s="104"/>
      <c r="AO85" s="117"/>
      <c r="AP85" s="124"/>
      <c r="AQ85" s="117"/>
      <c r="AR85" s="104"/>
      <c r="AS85" s="117"/>
      <c r="AT85" s="124" t="s">
        <v>195</v>
      </c>
      <c r="AU85" s="117"/>
      <c r="AV85" s="104"/>
      <c r="AW85" s="117"/>
      <c r="AX85" s="124"/>
      <c r="AY85" s="117"/>
      <c r="AZ85" s="104"/>
      <c r="BA85" s="117"/>
      <c r="BB85" s="124" t="s">
        <v>195</v>
      </c>
      <c r="BC85" s="117"/>
      <c r="BD85" s="104"/>
      <c r="BE85" s="117"/>
      <c r="BF85" s="124"/>
      <c r="BG85" s="117"/>
      <c r="BH85" s="104"/>
      <c r="BI85" s="117"/>
      <c r="BJ85" s="124" t="s">
        <v>167</v>
      </c>
      <c r="BK85" s="117"/>
      <c r="BL85" s="104"/>
      <c r="BM85" s="117"/>
      <c r="BN85" s="124" t="s">
        <v>749</v>
      </c>
      <c r="BO85" s="117"/>
      <c r="BP85" s="104"/>
      <c r="BQ85" s="117"/>
      <c r="BR85" s="104"/>
      <c r="BS85" s="117"/>
      <c r="BT85" s="104"/>
      <c r="BU85" s="117"/>
      <c r="BV85" s="104" t="s">
        <v>167</v>
      </c>
      <c r="BW85" s="117"/>
      <c r="BX85" s="104"/>
      <c r="BY85" s="117"/>
      <c r="BZ85" s="104" t="s">
        <v>492</v>
      </c>
      <c r="CA85" s="117"/>
      <c r="CB85" s="104"/>
      <c r="CC85" s="117"/>
      <c r="CD85" s="124" t="s">
        <v>700</v>
      </c>
      <c r="CE85" s="117"/>
      <c r="CF85" s="104"/>
      <c r="CG85" s="117"/>
      <c r="CH85" s="124"/>
      <c r="CI85" s="117"/>
      <c r="CJ85" s="104"/>
      <c r="CK85" s="117"/>
      <c r="CL85" s="124" t="s">
        <v>195</v>
      </c>
      <c r="CM85" s="117"/>
      <c r="CN85" s="104"/>
      <c r="CO85" s="117"/>
      <c r="CP85" s="124" t="s">
        <v>749</v>
      </c>
      <c r="CQ85" s="117"/>
      <c r="CR85" s="104"/>
      <c r="CS85" s="117"/>
      <c r="CT85" s="124"/>
      <c r="CU85" s="117"/>
      <c r="CV85" s="104"/>
      <c r="CW85" s="117"/>
      <c r="CX85" s="124" t="s">
        <v>195</v>
      </c>
      <c r="CY85" s="117"/>
      <c r="CZ85" s="104"/>
      <c r="DA85" s="117"/>
      <c r="DB85" s="124"/>
      <c r="DC85" s="117"/>
      <c r="DD85" s="104"/>
    </row>
    <row r="86" spans="10:113" x14ac:dyDescent="0.25">
      <c r="J86" s="140" t="s">
        <v>346</v>
      </c>
      <c r="K86" s="145" t="s">
        <v>221</v>
      </c>
      <c r="L86" s="140"/>
      <c r="N86" s="6"/>
      <c r="O86" s="6"/>
      <c r="P86" s="19">
        <v>11</v>
      </c>
      <c r="Q86" s="117"/>
      <c r="R86" s="124"/>
      <c r="S86" s="117"/>
      <c r="T86" s="104"/>
      <c r="U86" s="117"/>
      <c r="V86" s="124" t="s">
        <v>703</v>
      </c>
      <c r="W86" s="117"/>
      <c r="X86" s="104"/>
      <c r="Y86" s="117"/>
      <c r="Z86" s="124" t="s">
        <v>589</v>
      </c>
      <c r="AA86" s="117"/>
      <c r="AB86" s="104"/>
      <c r="AC86" s="117"/>
      <c r="AD86" s="104" t="s">
        <v>705</v>
      </c>
      <c r="AE86" s="117"/>
      <c r="AF86" s="104"/>
      <c r="AG86" s="117"/>
      <c r="AH86" s="124" t="s">
        <v>184</v>
      </c>
      <c r="AI86" s="117"/>
      <c r="AJ86" s="104"/>
      <c r="AK86" s="117"/>
      <c r="AL86" s="104" t="s">
        <v>184</v>
      </c>
      <c r="AM86" s="117"/>
      <c r="AN86" s="104"/>
      <c r="AO86" s="117"/>
      <c r="AP86" s="124"/>
      <c r="AQ86" s="117"/>
      <c r="AR86" s="104"/>
      <c r="AS86" s="117"/>
      <c r="AT86" s="124" t="s">
        <v>184</v>
      </c>
      <c r="AU86" s="117"/>
      <c r="AV86" s="104"/>
      <c r="AW86" s="117"/>
      <c r="AX86" s="124"/>
      <c r="AY86" s="117"/>
      <c r="AZ86" s="104"/>
      <c r="BA86" s="117"/>
      <c r="BB86" s="124" t="s">
        <v>184</v>
      </c>
      <c r="BC86" s="117"/>
      <c r="BD86" s="104"/>
      <c r="BE86" s="117"/>
      <c r="BF86" s="124"/>
      <c r="BG86" s="117"/>
      <c r="BH86" s="104"/>
      <c r="BI86" s="117"/>
      <c r="BJ86" s="124" t="s">
        <v>180</v>
      </c>
      <c r="BK86" s="117"/>
      <c r="BL86" s="104"/>
      <c r="BM86" s="117"/>
      <c r="BN86" s="124" t="s">
        <v>714</v>
      </c>
      <c r="BO86" s="117"/>
      <c r="BP86" s="104"/>
      <c r="BQ86" s="117"/>
      <c r="BR86" s="104"/>
      <c r="BS86" s="117"/>
      <c r="BT86" s="104"/>
      <c r="BU86" s="117"/>
      <c r="BV86" s="104" t="s">
        <v>180</v>
      </c>
      <c r="BW86" s="117"/>
      <c r="BX86" s="104"/>
      <c r="BY86" s="117"/>
      <c r="BZ86" s="104"/>
      <c r="CA86" s="117"/>
      <c r="CB86" s="104"/>
      <c r="CC86" s="117"/>
      <c r="CD86" s="124" t="s">
        <v>709</v>
      </c>
      <c r="CE86" s="117"/>
      <c r="CF86" s="104"/>
      <c r="CG86" s="117"/>
      <c r="CH86" s="124"/>
      <c r="CI86" s="117"/>
      <c r="CJ86" s="104"/>
      <c r="CK86" s="117"/>
      <c r="CL86" s="124" t="s">
        <v>184</v>
      </c>
      <c r="CM86" s="117"/>
      <c r="CN86" s="104"/>
      <c r="CO86" s="117"/>
      <c r="CP86" s="124" t="s">
        <v>717</v>
      </c>
      <c r="CQ86" s="117"/>
      <c r="CR86" s="104"/>
      <c r="CS86" s="117"/>
      <c r="CT86" s="124"/>
      <c r="CU86" s="117"/>
      <c r="CV86" s="104"/>
      <c r="CW86" s="117"/>
      <c r="CX86" s="124" t="s">
        <v>175</v>
      </c>
      <c r="CY86" s="117"/>
      <c r="CZ86" s="104"/>
      <c r="DA86" s="117"/>
      <c r="DB86" s="124"/>
      <c r="DC86" s="117"/>
      <c r="DD86" s="104"/>
    </row>
    <row r="87" spans="10:113" x14ac:dyDescent="0.25">
      <c r="J87" s="141"/>
      <c r="K87" s="146" t="str">
        <f>INDEX(TableStreams[Choose your Specialisation Stream second (drop-down list)],MATCH(L87,TableStreams[UDC],0))</f>
        <v>Broadening Biology Teaching Area Stream (BEd Secondary)</v>
      </c>
      <c r="L87" s="141" t="s">
        <v>368</v>
      </c>
      <c r="N87" s="6"/>
      <c r="O87" s="6"/>
      <c r="P87" s="19">
        <v>12</v>
      </c>
      <c r="Q87" s="117"/>
      <c r="R87" s="124"/>
      <c r="S87" s="117"/>
      <c r="T87" s="104"/>
      <c r="U87" s="117"/>
      <c r="V87" s="124" t="s">
        <v>702</v>
      </c>
      <c r="W87" s="117"/>
      <c r="X87" s="104"/>
      <c r="Y87" s="117"/>
      <c r="Z87" s="124" t="s">
        <v>704</v>
      </c>
      <c r="AA87" s="117"/>
      <c r="AB87" s="104"/>
      <c r="AC87" s="117"/>
      <c r="AD87" s="104" t="s">
        <v>702</v>
      </c>
      <c r="AE87" s="117"/>
      <c r="AF87" s="104"/>
      <c r="AG87" s="117"/>
      <c r="AH87" s="124" t="s">
        <v>171</v>
      </c>
      <c r="AI87" s="117"/>
      <c r="AJ87" s="104"/>
      <c r="AK87" s="117"/>
      <c r="AL87" s="104" t="s">
        <v>175</v>
      </c>
      <c r="AM87" s="117"/>
      <c r="AN87" s="104"/>
      <c r="AO87" s="117"/>
      <c r="AP87" s="124"/>
      <c r="AQ87" s="117"/>
      <c r="AR87" s="104"/>
      <c r="AS87" s="117"/>
      <c r="AT87" s="124" t="s">
        <v>171</v>
      </c>
      <c r="AU87" s="117"/>
      <c r="AV87" s="104"/>
      <c r="AW87" s="117"/>
      <c r="AX87" s="124"/>
      <c r="AY87" s="117"/>
      <c r="AZ87" s="104"/>
      <c r="BA87" s="117"/>
      <c r="BB87" s="124" t="s">
        <v>171</v>
      </c>
      <c r="BC87" s="117"/>
      <c r="BD87" s="104"/>
      <c r="BE87" s="117"/>
      <c r="BF87" s="124"/>
      <c r="BG87" s="117"/>
      <c r="BH87" s="104"/>
      <c r="BI87" s="117"/>
      <c r="BJ87" s="124" t="s">
        <v>195</v>
      </c>
      <c r="BK87" s="117"/>
      <c r="BL87" s="104"/>
      <c r="BM87" s="117"/>
      <c r="BN87" s="124" t="s">
        <v>503</v>
      </c>
      <c r="BO87" s="117"/>
      <c r="BP87" s="104"/>
      <c r="BQ87" s="117"/>
      <c r="BR87" s="104"/>
      <c r="BS87" s="117"/>
      <c r="BT87" s="104"/>
      <c r="BU87" s="117"/>
      <c r="BV87" s="104" t="s">
        <v>194</v>
      </c>
      <c r="BW87" s="117"/>
      <c r="BX87" s="104"/>
      <c r="BY87" s="117"/>
      <c r="BZ87" s="104"/>
      <c r="CA87" s="117"/>
      <c r="CB87" s="104"/>
      <c r="CC87" s="117"/>
      <c r="CD87" s="124" t="s">
        <v>638</v>
      </c>
      <c r="CE87" s="117"/>
      <c r="CF87" s="104"/>
      <c r="CG87" s="117"/>
      <c r="CH87" s="124"/>
      <c r="CI87" s="117"/>
      <c r="CJ87" s="104"/>
      <c r="CK87" s="117"/>
      <c r="CL87" s="124" t="s">
        <v>171</v>
      </c>
      <c r="CM87" s="117"/>
      <c r="CN87" s="104"/>
      <c r="CO87" s="117"/>
      <c r="CP87" s="124" t="s">
        <v>503</v>
      </c>
      <c r="CQ87" s="117"/>
      <c r="CR87" s="104"/>
      <c r="CS87" s="117"/>
      <c r="CT87" s="124"/>
      <c r="CU87" s="117"/>
      <c r="CV87" s="104"/>
      <c r="CW87" s="117"/>
      <c r="CX87" s="124" t="s">
        <v>168</v>
      </c>
      <c r="CY87" s="117"/>
      <c r="CZ87" s="104"/>
      <c r="DA87" s="117"/>
      <c r="DB87" s="124"/>
      <c r="DC87" s="117"/>
      <c r="DD87" s="104"/>
    </row>
    <row r="88" spans="10:113" x14ac:dyDescent="0.25">
      <c r="J88" s="141"/>
      <c r="K88" s="146" t="str">
        <f>INDEX(TableStreams[Choose your Specialisation Stream second (drop-down list)],MATCH(L88,TableStreams[UDC],0))</f>
        <v>English Education Minor Teaching Area Stream (BEd Secondary)</v>
      </c>
      <c r="L88" s="141" t="s">
        <v>353</v>
      </c>
      <c r="N88" s="6"/>
      <c r="O88" s="6"/>
      <c r="P88" s="19">
        <v>13</v>
      </c>
      <c r="Q88" s="117"/>
      <c r="R88" s="124"/>
      <c r="S88" s="117"/>
      <c r="T88" s="104"/>
      <c r="U88" s="117"/>
      <c r="V88" s="124" t="s">
        <v>751</v>
      </c>
      <c r="W88" s="117"/>
      <c r="X88" s="104"/>
      <c r="Y88" s="117"/>
      <c r="Z88" s="124" t="s">
        <v>707</v>
      </c>
      <c r="AA88" s="117"/>
      <c r="AB88" s="104"/>
      <c r="AC88" s="117"/>
      <c r="AD88" s="104" t="s">
        <v>751</v>
      </c>
      <c r="AE88" s="117"/>
      <c r="AF88" s="104"/>
      <c r="AG88" s="117"/>
      <c r="AH88" s="124" t="s">
        <v>178</v>
      </c>
      <c r="AI88" s="117"/>
      <c r="AJ88" s="104"/>
      <c r="AK88" s="117"/>
      <c r="AL88" s="104" t="s">
        <v>168</v>
      </c>
      <c r="AM88" s="117"/>
      <c r="AN88" s="104"/>
      <c r="AO88" s="117"/>
      <c r="AP88" s="124"/>
      <c r="AQ88" s="117"/>
      <c r="AR88" s="104"/>
      <c r="AS88" s="117"/>
      <c r="AT88" s="124" t="s">
        <v>178</v>
      </c>
      <c r="AU88" s="117"/>
      <c r="AV88" s="104"/>
      <c r="AW88" s="117"/>
      <c r="AX88" s="124"/>
      <c r="AY88" s="117"/>
      <c r="AZ88" s="104"/>
      <c r="BA88" s="117"/>
      <c r="BB88" s="124" t="s">
        <v>178</v>
      </c>
      <c r="BC88" s="117"/>
      <c r="BD88" s="104"/>
      <c r="BE88" s="117"/>
      <c r="BF88" s="124"/>
      <c r="BG88" s="117"/>
      <c r="BH88" s="104"/>
      <c r="BI88" s="117"/>
      <c r="BJ88" s="124" t="s">
        <v>184</v>
      </c>
      <c r="BK88" s="117"/>
      <c r="BL88" s="104"/>
      <c r="BM88" s="117"/>
      <c r="BN88" s="124" t="s">
        <v>739</v>
      </c>
      <c r="BO88" s="117"/>
      <c r="BP88" s="104"/>
      <c r="BQ88" s="117"/>
      <c r="BR88" s="104"/>
      <c r="BS88" s="117"/>
      <c r="BT88" s="104"/>
      <c r="BU88" s="117"/>
      <c r="BV88" s="104" t="s">
        <v>195</v>
      </c>
      <c r="BW88" s="117"/>
      <c r="BX88" s="104"/>
      <c r="BY88" s="117"/>
      <c r="BZ88" s="104"/>
      <c r="CA88" s="117"/>
      <c r="CB88" s="104"/>
      <c r="CC88" s="117"/>
      <c r="CD88" s="124" t="s">
        <v>734</v>
      </c>
      <c r="CE88" s="117"/>
      <c r="CF88" s="104"/>
      <c r="CG88" s="117"/>
      <c r="CH88" s="124"/>
      <c r="CI88" s="117"/>
      <c r="CJ88" s="104"/>
      <c r="CK88" s="117"/>
      <c r="CL88" s="124" t="s">
        <v>178</v>
      </c>
      <c r="CM88" s="117"/>
      <c r="CN88" s="104"/>
      <c r="CO88" s="117"/>
      <c r="CP88" s="124" t="s">
        <v>739</v>
      </c>
      <c r="CQ88" s="117"/>
      <c r="CR88" s="104"/>
      <c r="CS88" s="117"/>
      <c r="CT88" s="124"/>
      <c r="CU88" s="117"/>
      <c r="CV88" s="104"/>
      <c r="CW88" s="117"/>
      <c r="CX88" s="124" t="s">
        <v>172</v>
      </c>
      <c r="CY88" s="117"/>
      <c r="CZ88" s="104"/>
      <c r="DA88" s="117"/>
      <c r="DB88" s="124"/>
      <c r="DC88" s="117"/>
      <c r="DD88" s="104"/>
    </row>
    <row r="89" spans="10:113" x14ac:dyDescent="0.25">
      <c r="J89" s="141"/>
      <c r="K89" s="146" t="str">
        <f>INDEX(TableStreams[Choose your Specialisation Stream second (drop-down list)],MATCH(L89,TableStreams[UDC],0))</f>
        <v>Geography Education Minor Teaching Area Stream (BEd Secondary)</v>
      </c>
      <c r="L89" s="141" t="s">
        <v>354</v>
      </c>
      <c r="N89" s="6"/>
      <c r="O89" s="6"/>
      <c r="P89" s="19">
        <v>14</v>
      </c>
      <c r="Q89" s="117"/>
      <c r="R89" s="124"/>
      <c r="S89" s="117"/>
      <c r="T89" s="104"/>
      <c r="U89" s="117"/>
      <c r="V89" s="124" t="s">
        <v>589</v>
      </c>
      <c r="W89" s="117"/>
      <c r="X89" s="104"/>
      <c r="Y89" s="117"/>
      <c r="Z89" s="124" t="s">
        <v>478</v>
      </c>
      <c r="AA89" s="117"/>
      <c r="AB89" s="104"/>
      <c r="AC89" s="117"/>
      <c r="AD89" s="104" t="s">
        <v>720</v>
      </c>
      <c r="AE89" s="117"/>
      <c r="AF89" s="104"/>
      <c r="AG89" s="117"/>
      <c r="AH89" s="124" t="s">
        <v>129</v>
      </c>
      <c r="AI89" s="117"/>
      <c r="AJ89" s="104"/>
      <c r="AK89" s="117"/>
      <c r="AL89" s="104" t="s">
        <v>181</v>
      </c>
      <c r="AM89" s="117"/>
      <c r="AN89" s="104"/>
      <c r="AO89" s="117"/>
      <c r="AP89" s="124"/>
      <c r="AQ89" s="117"/>
      <c r="AR89" s="104"/>
      <c r="AS89" s="117"/>
      <c r="AT89" s="124" t="s">
        <v>129</v>
      </c>
      <c r="AU89" s="117"/>
      <c r="AV89" s="104"/>
      <c r="AW89" s="117"/>
      <c r="AX89" s="124"/>
      <c r="AY89" s="117"/>
      <c r="AZ89" s="104"/>
      <c r="BA89" s="117"/>
      <c r="BB89" s="124" t="s">
        <v>129</v>
      </c>
      <c r="BC89" s="117"/>
      <c r="BD89" s="104"/>
      <c r="BE89" s="117"/>
      <c r="BF89" s="124"/>
      <c r="BG89" s="117"/>
      <c r="BH89" s="104"/>
      <c r="BI89" s="117"/>
      <c r="BJ89" s="124" t="s">
        <v>170</v>
      </c>
      <c r="BK89" s="117"/>
      <c r="BL89" s="104"/>
      <c r="BM89" s="117"/>
      <c r="BN89" s="124" t="s">
        <v>722</v>
      </c>
      <c r="BO89" s="117"/>
      <c r="BP89" s="104"/>
      <c r="BQ89" s="117"/>
      <c r="BR89" s="104"/>
      <c r="BS89" s="117"/>
      <c r="BT89" s="104"/>
      <c r="BU89" s="117"/>
      <c r="BV89" s="104" t="s">
        <v>184</v>
      </c>
      <c r="BW89" s="117"/>
      <c r="BX89" s="104"/>
      <c r="BY89" s="117"/>
      <c r="BZ89" s="104"/>
      <c r="CA89" s="117"/>
      <c r="CB89" s="104"/>
      <c r="CC89" s="117"/>
      <c r="CD89" s="124" t="s">
        <v>716</v>
      </c>
      <c r="CE89" s="117"/>
      <c r="CF89" s="104"/>
      <c r="CG89" s="117"/>
      <c r="CH89" s="124"/>
      <c r="CI89" s="117"/>
      <c r="CJ89" s="104"/>
      <c r="CK89" s="117"/>
      <c r="CL89" s="124" t="s">
        <v>129</v>
      </c>
      <c r="CM89" s="117"/>
      <c r="CN89" s="104"/>
      <c r="CO89" s="117"/>
      <c r="CP89" s="124" t="s">
        <v>723</v>
      </c>
      <c r="CQ89" s="117"/>
      <c r="CR89" s="104"/>
      <c r="CS89" s="117"/>
      <c r="CT89" s="124"/>
      <c r="CU89" s="117"/>
      <c r="CV89" s="104"/>
      <c r="CW89" s="117"/>
      <c r="CX89" s="124" t="s">
        <v>181</v>
      </c>
      <c r="CY89" s="117"/>
      <c r="CZ89" s="104"/>
      <c r="DA89" s="117"/>
      <c r="DB89" s="124"/>
      <c r="DC89" s="117"/>
      <c r="DD89" s="104"/>
    </row>
    <row r="90" spans="10:113" x14ac:dyDescent="0.25">
      <c r="J90" s="141"/>
      <c r="K90" s="146" t="str">
        <f>INDEX(TableStreams[Choose your Specialisation Stream second (drop-down list)],MATCH(L90,TableStreams[UDC],0))</f>
        <v>History Education Minor Teaching Area Stream (BEd Secondary)</v>
      </c>
      <c r="L90" s="141" t="s">
        <v>355</v>
      </c>
      <c r="N90" s="6"/>
      <c r="O90" s="6"/>
      <c r="P90" s="19">
        <v>15</v>
      </c>
      <c r="Q90" s="117"/>
      <c r="R90" s="124"/>
      <c r="S90" s="117"/>
      <c r="T90" s="104"/>
      <c r="U90" s="117"/>
      <c r="V90" s="124" t="s">
        <v>724</v>
      </c>
      <c r="W90" s="117"/>
      <c r="X90" s="104"/>
      <c r="Y90" s="117"/>
      <c r="Z90" s="124" t="s">
        <v>480</v>
      </c>
      <c r="AA90" s="117"/>
      <c r="AB90" s="104"/>
      <c r="AC90" s="117"/>
      <c r="AD90" s="104" t="s">
        <v>719</v>
      </c>
      <c r="AE90" s="117"/>
      <c r="AF90" s="104"/>
      <c r="AG90" s="117"/>
      <c r="AH90" s="124"/>
      <c r="AI90" s="117"/>
      <c r="AJ90" s="104"/>
      <c r="AK90" s="117"/>
      <c r="AL90" s="104" t="s">
        <v>171</v>
      </c>
      <c r="AM90" s="117"/>
      <c r="AN90" s="104"/>
      <c r="AO90" s="117"/>
      <c r="AP90" s="124"/>
      <c r="AQ90" s="117"/>
      <c r="AR90" s="104"/>
      <c r="AS90" s="117"/>
      <c r="AT90" s="124"/>
      <c r="AU90" s="117"/>
      <c r="AV90" s="104"/>
      <c r="AW90" s="117"/>
      <c r="AX90" s="124"/>
      <c r="AY90" s="117"/>
      <c r="AZ90" s="104"/>
      <c r="BA90" s="117"/>
      <c r="BB90" s="124"/>
      <c r="BC90" s="117"/>
      <c r="BD90" s="104"/>
      <c r="BE90" s="117"/>
      <c r="BF90" s="124"/>
      <c r="BG90" s="117"/>
      <c r="BH90" s="104"/>
      <c r="BI90" s="117"/>
      <c r="BJ90" s="124" t="s">
        <v>175</v>
      </c>
      <c r="BK90" s="117"/>
      <c r="BL90" s="104"/>
      <c r="BM90" s="117"/>
      <c r="BN90" s="124" t="s">
        <v>702</v>
      </c>
      <c r="BO90" s="117"/>
      <c r="BP90" s="104"/>
      <c r="BQ90" s="117"/>
      <c r="BR90" s="104"/>
      <c r="BS90" s="117"/>
      <c r="BT90" s="104"/>
      <c r="BU90" s="117"/>
      <c r="BV90" s="104" t="s">
        <v>170</v>
      </c>
      <c r="BW90" s="117"/>
      <c r="BX90" s="104"/>
      <c r="BY90" s="117"/>
      <c r="BZ90" s="104"/>
      <c r="CA90" s="117"/>
      <c r="CB90" s="104"/>
      <c r="CC90" s="117"/>
      <c r="CD90" s="124" t="s">
        <v>598</v>
      </c>
      <c r="CE90" s="117"/>
      <c r="CF90" s="104"/>
      <c r="CG90" s="117"/>
      <c r="CH90" s="124"/>
      <c r="CI90" s="117"/>
      <c r="CJ90" s="104"/>
      <c r="CK90" s="117"/>
      <c r="CL90" s="124"/>
      <c r="CM90" s="117"/>
      <c r="CN90" s="104"/>
      <c r="CO90" s="117"/>
      <c r="CP90" s="124" t="s">
        <v>702</v>
      </c>
      <c r="CQ90" s="117"/>
      <c r="CR90" s="104"/>
      <c r="CS90" s="117"/>
      <c r="CT90" s="124"/>
      <c r="CU90" s="117"/>
      <c r="CV90" s="104"/>
      <c r="CW90" s="117"/>
      <c r="CX90" s="124" t="s">
        <v>179</v>
      </c>
      <c r="CY90" s="117"/>
      <c r="CZ90" s="104"/>
      <c r="DA90" s="117"/>
      <c r="DB90" s="124"/>
      <c r="DC90" s="117"/>
      <c r="DD90" s="104"/>
    </row>
    <row r="91" spans="10:113" x14ac:dyDescent="0.25">
      <c r="J91" s="141"/>
      <c r="K91" s="146" t="str">
        <f>INDEX(TableStreams[Choose your Specialisation Stream second (drop-down list)],MATCH(L91,TableStreams[UDC],0))</f>
        <v>Mathematics Education Minor Teaching Area Stream (BEd Secondary)</v>
      </c>
      <c r="L91" s="141" t="s">
        <v>356</v>
      </c>
      <c r="N91" s="6"/>
      <c r="O91" s="6"/>
      <c r="P91" s="19">
        <v>16</v>
      </c>
      <c r="Q91" s="117"/>
      <c r="R91" s="124"/>
      <c r="S91" s="117"/>
      <c r="T91" s="104"/>
      <c r="U91" s="117"/>
      <c r="V91" s="124" t="s">
        <v>194</v>
      </c>
      <c r="W91" s="117"/>
      <c r="X91" s="104"/>
      <c r="Y91" s="117"/>
      <c r="Z91" s="124" t="s">
        <v>589</v>
      </c>
      <c r="AA91" s="117"/>
      <c r="AB91" s="104"/>
      <c r="AC91" s="117"/>
      <c r="AD91" s="104" t="s">
        <v>478</v>
      </c>
      <c r="AE91" s="117"/>
      <c r="AF91" s="104"/>
      <c r="AG91" s="117"/>
      <c r="AH91" s="124"/>
      <c r="AI91" s="117"/>
      <c r="AJ91" s="104"/>
      <c r="AK91" s="117"/>
      <c r="AL91" s="104" t="s">
        <v>178</v>
      </c>
      <c r="AM91" s="117"/>
      <c r="AN91" s="104"/>
      <c r="AO91" s="117"/>
      <c r="AP91" s="124"/>
      <c r="AQ91" s="117"/>
      <c r="AR91" s="104"/>
      <c r="AS91" s="117"/>
      <c r="AT91" s="124"/>
      <c r="AU91" s="117"/>
      <c r="AV91" s="104"/>
      <c r="AW91" s="117"/>
      <c r="AX91" s="124"/>
      <c r="AY91" s="117"/>
      <c r="AZ91" s="104"/>
      <c r="BA91" s="117"/>
      <c r="BB91" s="124"/>
      <c r="BC91" s="117"/>
      <c r="BD91" s="104"/>
      <c r="BE91" s="117"/>
      <c r="BF91" s="124"/>
      <c r="BG91" s="117"/>
      <c r="BH91" s="104"/>
      <c r="BI91" s="117"/>
      <c r="BJ91" s="124" t="s">
        <v>168</v>
      </c>
      <c r="BK91" s="117"/>
      <c r="BL91" s="104"/>
      <c r="BM91" s="117"/>
      <c r="BN91" s="124" t="s">
        <v>751</v>
      </c>
      <c r="BO91" s="117"/>
      <c r="BP91" s="104"/>
      <c r="BQ91" s="117"/>
      <c r="BR91" s="104"/>
      <c r="BS91" s="117"/>
      <c r="BT91" s="104"/>
      <c r="BU91" s="117"/>
      <c r="BV91" s="104" t="s">
        <v>172</v>
      </c>
      <c r="BW91" s="117"/>
      <c r="BX91" s="104"/>
      <c r="BY91" s="117"/>
      <c r="BZ91" s="104"/>
      <c r="CA91" s="117"/>
      <c r="CB91" s="104"/>
      <c r="CC91" s="117"/>
      <c r="CD91" s="124" t="s">
        <v>450</v>
      </c>
      <c r="CE91" s="117"/>
      <c r="CF91" s="104"/>
      <c r="CG91" s="117"/>
      <c r="CH91" s="124"/>
      <c r="CI91" s="117"/>
      <c r="CJ91" s="104"/>
      <c r="CK91" s="117"/>
      <c r="CL91" s="124"/>
      <c r="CM91" s="117"/>
      <c r="CN91" s="104"/>
      <c r="CO91" s="117"/>
      <c r="CP91" s="124" t="s">
        <v>751</v>
      </c>
      <c r="CQ91" s="117"/>
      <c r="CR91" s="104"/>
      <c r="CS91" s="117"/>
      <c r="CT91" s="124"/>
      <c r="CU91" s="117"/>
      <c r="CV91" s="104"/>
      <c r="CW91" s="117"/>
      <c r="CX91" s="124" t="s">
        <v>185</v>
      </c>
      <c r="CY91" s="117"/>
      <c r="CZ91" s="104"/>
      <c r="DA91" s="117"/>
      <c r="DB91" s="124"/>
      <c r="DC91" s="117"/>
      <c r="DD91" s="104"/>
    </row>
    <row r="92" spans="10:113" x14ac:dyDescent="0.25">
      <c r="J92" s="141"/>
      <c r="K92" s="146" t="str">
        <f>INDEX(TableStreams[Choose your Specialisation Stream second (drop-down list)],MATCH(L92,TableStreams[UDC],0))</f>
        <v>The Arts - Media Education Minor Teaching Area Stream (BEd Secondary)</v>
      </c>
      <c r="L92" s="141" t="s">
        <v>360</v>
      </c>
      <c r="N92" s="6"/>
      <c r="O92" s="6"/>
      <c r="P92" s="19">
        <v>17</v>
      </c>
      <c r="Q92" s="117"/>
      <c r="R92" s="124"/>
      <c r="S92" s="117"/>
      <c r="T92" s="104"/>
      <c r="U92" s="117"/>
      <c r="V92" s="124" t="s">
        <v>195</v>
      </c>
      <c r="W92" s="117"/>
      <c r="X92" s="104"/>
      <c r="Y92" s="117"/>
      <c r="Z92" s="124" t="s">
        <v>711</v>
      </c>
      <c r="AA92" s="117"/>
      <c r="AB92" s="104"/>
      <c r="AC92" s="117"/>
      <c r="AD92" s="104" t="s">
        <v>589</v>
      </c>
      <c r="AE92" s="117"/>
      <c r="AF92" s="104"/>
      <c r="AG92" s="117"/>
      <c r="AH92" s="124"/>
      <c r="AI92" s="117"/>
      <c r="AJ92" s="104"/>
      <c r="AK92" s="117"/>
      <c r="AL92" s="104" t="s">
        <v>129</v>
      </c>
      <c r="AM92" s="117"/>
      <c r="AN92" s="104"/>
      <c r="AO92" s="117"/>
      <c r="AP92" s="124"/>
      <c r="AQ92" s="117"/>
      <c r="AR92" s="104"/>
      <c r="AS92" s="117"/>
      <c r="AT92" s="124"/>
      <c r="AU92" s="117"/>
      <c r="AV92" s="104"/>
      <c r="AW92" s="117"/>
      <c r="AX92" s="124"/>
      <c r="AY92" s="117"/>
      <c r="AZ92" s="104"/>
      <c r="BA92" s="117"/>
      <c r="BB92" s="124"/>
      <c r="BC92" s="117"/>
      <c r="BD92" s="104"/>
      <c r="BE92" s="117"/>
      <c r="BF92" s="124"/>
      <c r="BG92" s="117"/>
      <c r="BH92" s="104"/>
      <c r="BI92" s="117"/>
      <c r="BJ92" s="124" t="s">
        <v>172</v>
      </c>
      <c r="BK92" s="117"/>
      <c r="BL92" s="104"/>
      <c r="BM92" s="117"/>
      <c r="BN92" s="124" t="s">
        <v>589</v>
      </c>
      <c r="BO92" s="117"/>
      <c r="BP92" s="104"/>
      <c r="BQ92" s="117"/>
      <c r="BR92" s="104"/>
      <c r="BS92" s="117"/>
      <c r="BT92" s="104"/>
      <c r="BU92" s="117"/>
      <c r="BV92" s="104" t="s">
        <v>177</v>
      </c>
      <c r="BW92" s="117"/>
      <c r="BX92" s="104"/>
      <c r="BY92" s="117"/>
      <c r="BZ92" s="104"/>
      <c r="CA92" s="117"/>
      <c r="CB92" s="104"/>
      <c r="CC92" s="117"/>
      <c r="CD92" s="124" t="s">
        <v>743</v>
      </c>
      <c r="CE92" s="117"/>
      <c r="CF92" s="104"/>
      <c r="CG92" s="117"/>
      <c r="CH92" s="124"/>
      <c r="CI92" s="117"/>
      <c r="CJ92" s="104"/>
      <c r="CK92" s="117"/>
      <c r="CL92" s="124"/>
      <c r="CM92" s="117"/>
      <c r="CN92" s="104"/>
      <c r="CO92" s="117"/>
      <c r="CP92" s="124" t="s">
        <v>589</v>
      </c>
      <c r="CQ92" s="117"/>
      <c r="CR92" s="104"/>
      <c r="CS92" s="117"/>
      <c r="CT92" s="124"/>
      <c r="CU92" s="117"/>
      <c r="CV92" s="104"/>
      <c r="CW92" s="117"/>
      <c r="CX92" s="124" t="s">
        <v>129</v>
      </c>
      <c r="CY92" s="117"/>
      <c r="CZ92" s="104"/>
      <c r="DA92" s="117"/>
      <c r="DB92" s="124"/>
      <c r="DC92" s="117"/>
      <c r="DD92" s="104"/>
    </row>
    <row r="93" spans="10:113" x14ac:dyDescent="0.25">
      <c r="J93" s="141"/>
      <c r="K93" s="146" t="str">
        <f>INDEX(TableStreams[Choose your Specialisation Stream second (drop-down list)],MATCH(L93,TableStreams[UDC],0))</f>
        <v>The Arts - Performing Arts Education Minor Teaching Area Stream (BEd Secondary)</v>
      </c>
      <c r="L93" s="141" t="s">
        <v>361</v>
      </c>
      <c r="N93" s="6"/>
      <c r="O93" s="6"/>
      <c r="P93" s="19">
        <v>18</v>
      </c>
      <c r="Q93" s="117"/>
      <c r="R93" s="124"/>
      <c r="S93" s="117"/>
      <c r="T93" s="104"/>
      <c r="U93" s="117"/>
      <c r="V93" s="124" t="s">
        <v>170</v>
      </c>
      <c r="W93" s="117"/>
      <c r="X93" s="104"/>
      <c r="Y93" s="117"/>
      <c r="Z93" s="124" t="s">
        <v>504</v>
      </c>
      <c r="AA93" s="117"/>
      <c r="AB93" s="104"/>
      <c r="AC93" s="117"/>
      <c r="AD93" s="104" t="s">
        <v>726</v>
      </c>
      <c r="AE93" s="117"/>
      <c r="AF93" s="104"/>
      <c r="AG93" s="117"/>
      <c r="AH93" s="124"/>
      <c r="AI93" s="117"/>
      <c r="AJ93" s="104"/>
      <c r="AK93" s="117"/>
      <c r="AL93" s="104"/>
      <c r="AM93" s="117"/>
      <c r="AN93" s="104"/>
      <c r="AO93" s="117"/>
      <c r="AP93" s="124"/>
      <c r="AQ93" s="117"/>
      <c r="AR93" s="104"/>
      <c r="AS93" s="117"/>
      <c r="AT93" s="124"/>
      <c r="AU93" s="117"/>
      <c r="AV93" s="104"/>
      <c r="AW93" s="117"/>
      <c r="AX93" s="124"/>
      <c r="AY93" s="117"/>
      <c r="AZ93" s="104"/>
      <c r="BA93" s="117"/>
      <c r="BB93" s="124"/>
      <c r="BC93" s="117"/>
      <c r="BD93" s="104"/>
      <c r="BE93" s="117"/>
      <c r="BF93" s="124"/>
      <c r="BG93" s="117"/>
      <c r="BH93" s="104"/>
      <c r="BI93" s="117"/>
      <c r="BJ93" s="124" t="s">
        <v>177</v>
      </c>
      <c r="BK93" s="117"/>
      <c r="BL93" s="104"/>
      <c r="BM93" s="117"/>
      <c r="BN93" s="124" t="s">
        <v>732</v>
      </c>
      <c r="BO93" s="117"/>
      <c r="BP93" s="104"/>
      <c r="BQ93" s="117"/>
      <c r="BR93" s="104"/>
      <c r="BS93" s="117"/>
      <c r="BT93" s="104"/>
      <c r="BU93" s="117"/>
      <c r="BV93" s="104" t="s">
        <v>183</v>
      </c>
      <c r="BW93" s="117"/>
      <c r="BX93" s="104"/>
      <c r="BY93" s="117"/>
      <c r="BZ93" s="104"/>
      <c r="CA93" s="117"/>
      <c r="CB93" s="104"/>
      <c r="CC93" s="117"/>
      <c r="CD93" s="124" t="s">
        <v>607</v>
      </c>
      <c r="CE93" s="117"/>
      <c r="CF93" s="104"/>
      <c r="CG93" s="117"/>
      <c r="CH93" s="124"/>
      <c r="CI93" s="117"/>
      <c r="CJ93" s="104"/>
      <c r="CK93" s="117"/>
      <c r="CL93" s="124"/>
      <c r="CM93" s="117"/>
      <c r="CN93" s="104"/>
      <c r="CO93" s="117"/>
      <c r="CP93" s="124" t="s">
        <v>736</v>
      </c>
      <c r="CQ93" s="117"/>
      <c r="CR93" s="104"/>
      <c r="CS93" s="117"/>
      <c r="CT93" s="124"/>
      <c r="CU93" s="117"/>
      <c r="CV93" s="104"/>
      <c r="CW93" s="117"/>
      <c r="CX93" s="124"/>
      <c r="CY93" s="117"/>
      <c r="CZ93" s="104"/>
      <c r="DA93" s="117"/>
      <c r="DB93" s="124"/>
      <c r="DC93" s="117"/>
      <c r="DD93" s="104"/>
    </row>
    <row r="94" spans="10:113" x14ac:dyDescent="0.25">
      <c r="J94" s="142"/>
      <c r="K94" s="147" t="str">
        <f>INDEX(TableStreams[Choose your Specialisation Stream second (drop-down list)],MATCH(L94,TableStreams[UDC],0))</f>
        <v>The Arts - Visual Arts Education Minor Teaching Area Stream (BEd Secondary)</v>
      </c>
      <c r="L94" s="142" t="s">
        <v>217</v>
      </c>
      <c r="N94" s="6"/>
      <c r="O94" s="6"/>
      <c r="P94" s="19">
        <v>19</v>
      </c>
      <c r="Q94" s="117"/>
      <c r="R94" s="124"/>
      <c r="S94" s="117"/>
      <c r="T94" s="104"/>
      <c r="U94" s="117"/>
      <c r="V94" s="124" t="s">
        <v>177</v>
      </c>
      <c r="W94" s="117"/>
      <c r="X94" s="104"/>
      <c r="Y94" s="117"/>
      <c r="Z94" s="124" t="s">
        <v>503</v>
      </c>
      <c r="AA94" s="117"/>
      <c r="AB94" s="104"/>
      <c r="AC94" s="117"/>
      <c r="AD94" s="104" t="s">
        <v>194</v>
      </c>
      <c r="AE94" s="117"/>
      <c r="AF94" s="104"/>
      <c r="AG94" s="117"/>
      <c r="AH94" s="124"/>
      <c r="AI94" s="117"/>
      <c r="AJ94" s="104"/>
      <c r="AK94" s="117"/>
      <c r="AL94" s="104"/>
      <c r="AM94" s="117"/>
      <c r="AN94" s="104"/>
      <c r="AO94" s="117"/>
      <c r="AP94" s="124"/>
      <c r="AQ94" s="117"/>
      <c r="AR94" s="104"/>
      <c r="AS94" s="117"/>
      <c r="AT94" s="124"/>
      <c r="AU94" s="117"/>
      <c r="AV94" s="104"/>
      <c r="AW94" s="117"/>
      <c r="AX94" s="124"/>
      <c r="AY94" s="117"/>
      <c r="AZ94" s="104"/>
      <c r="BA94" s="117"/>
      <c r="BB94" s="124"/>
      <c r="BC94" s="117"/>
      <c r="BD94" s="104"/>
      <c r="BE94" s="117"/>
      <c r="BF94" s="124"/>
      <c r="BG94" s="117"/>
      <c r="BH94" s="104"/>
      <c r="BI94" s="117"/>
      <c r="BJ94" s="124" t="s">
        <v>183</v>
      </c>
      <c r="BK94" s="117"/>
      <c r="BL94" s="104"/>
      <c r="BM94" s="117"/>
      <c r="BN94" s="124" t="s">
        <v>194</v>
      </c>
      <c r="BO94" s="117"/>
      <c r="BP94" s="104"/>
      <c r="BQ94" s="117"/>
      <c r="BR94" s="104"/>
      <c r="BS94" s="117"/>
      <c r="BT94" s="104"/>
      <c r="BU94" s="117"/>
      <c r="BV94" s="104" t="s">
        <v>179</v>
      </c>
      <c r="BW94" s="117"/>
      <c r="BX94" s="104"/>
      <c r="BY94" s="117"/>
      <c r="BZ94" s="104"/>
      <c r="CA94" s="117"/>
      <c r="CB94" s="104"/>
      <c r="CC94" s="117"/>
      <c r="CD94" s="124" t="s">
        <v>752</v>
      </c>
      <c r="CE94" s="117"/>
      <c r="CF94" s="104"/>
      <c r="CG94" s="117"/>
      <c r="CH94" s="124"/>
      <c r="CI94" s="117"/>
      <c r="CJ94" s="104"/>
      <c r="CK94" s="117"/>
      <c r="CL94" s="124"/>
      <c r="CM94" s="117"/>
      <c r="CN94" s="104"/>
      <c r="CO94" s="117"/>
      <c r="CP94" s="124" t="s">
        <v>194</v>
      </c>
      <c r="CQ94" s="117"/>
      <c r="CR94" s="104"/>
      <c r="CS94" s="117"/>
      <c r="CT94" s="124"/>
      <c r="CU94" s="117"/>
      <c r="CV94" s="104"/>
      <c r="CW94" s="117"/>
      <c r="CX94" s="124"/>
      <c r="CY94" s="117"/>
      <c r="CZ94" s="104"/>
      <c r="DA94" s="117"/>
      <c r="DB94" s="124"/>
      <c r="DC94" s="117"/>
      <c r="DD94" s="104"/>
    </row>
    <row r="95" spans="10:113" x14ac:dyDescent="0.25">
      <c r="J95" s="140" t="s">
        <v>347</v>
      </c>
      <c r="K95" s="145" t="s">
        <v>221</v>
      </c>
      <c r="L95" s="140"/>
      <c r="N95" s="6"/>
      <c r="O95" s="6"/>
      <c r="P95" s="19">
        <v>20</v>
      </c>
      <c r="Q95" s="117"/>
      <c r="R95" s="124"/>
      <c r="S95" s="117"/>
      <c r="T95" s="104"/>
      <c r="U95" s="117"/>
      <c r="V95" s="124" t="s">
        <v>183</v>
      </c>
      <c r="W95" s="117"/>
      <c r="X95" s="104"/>
      <c r="Y95" s="117"/>
      <c r="Z95" s="124" t="s">
        <v>589</v>
      </c>
      <c r="AA95" s="117"/>
      <c r="AB95" s="104"/>
      <c r="AC95" s="117"/>
      <c r="AD95" s="104" t="s">
        <v>195</v>
      </c>
      <c r="AE95" s="117"/>
      <c r="AF95" s="104"/>
      <c r="AG95" s="117"/>
      <c r="AH95" s="124"/>
      <c r="AI95" s="117"/>
      <c r="AJ95" s="104"/>
      <c r="AK95" s="117"/>
      <c r="AL95" s="104"/>
      <c r="AM95" s="117"/>
      <c r="AN95" s="104"/>
      <c r="AO95" s="117"/>
      <c r="AP95" s="124"/>
      <c r="AQ95" s="117"/>
      <c r="AR95" s="104"/>
      <c r="AS95" s="117"/>
      <c r="AT95" s="124"/>
      <c r="AU95" s="117"/>
      <c r="AV95" s="104"/>
      <c r="AW95" s="117"/>
      <c r="AX95" s="124"/>
      <c r="AY95" s="117"/>
      <c r="AZ95" s="104"/>
      <c r="BA95" s="117"/>
      <c r="BB95" s="124"/>
      <c r="BC95" s="117"/>
      <c r="BD95" s="104"/>
      <c r="BE95" s="117"/>
      <c r="BF95" s="124"/>
      <c r="BG95" s="117"/>
      <c r="BH95" s="104"/>
      <c r="BI95" s="117"/>
      <c r="BJ95" s="124" t="s">
        <v>181</v>
      </c>
      <c r="BK95" s="117"/>
      <c r="BL95" s="104"/>
      <c r="BM95" s="117"/>
      <c r="BN95" s="124" t="s">
        <v>195</v>
      </c>
      <c r="BO95" s="117"/>
      <c r="BP95" s="104"/>
      <c r="BQ95" s="117"/>
      <c r="BR95" s="104"/>
      <c r="BS95" s="117"/>
      <c r="BT95" s="104"/>
      <c r="BU95" s="117"/>
      <c r="BV95" s="104" t="s">
        <v>171</v>
      </c>
      <c r="BW95" s="117"/>
      <c r="BX95" s="104"/>
      <c r="BY95" s="117"/>
      <c r="BZ95" s="104"/>
      <c r="CA95" s="117"/>
      <c r="CB95" s="104"/>
      <c r="CC95" s="117"/>
      <c r="CD95" s="124" t="s">
        <v>589</v>
      </c>
      <c r="CE95" s="117"/>
      <c r="CF95" s="104"/>
      <c r="CG95" s="117"/>
      <c r="CH95" s="124"/>
      <c r="CI95" s="117"/>
      <c r="CJ95" s="104"/>
      <c r="CK95" s="117"/>
      <c r="CL95" s="124"/>
      <c r="CM95" s="117"/>
      <c r="CN95" s="104"/>
      <c r="CO95" s="117"/>
      <c r="CP95" s="124" t="s">
        <v>195</v>
      </c>
      <c r="CQ95" s="117"/>
      <c r="CR95" s="104"/>
      <c r="CS95" s="117"/>
      <c r="CT95" s="124"/>
      <c r="CU95" s="117"/>
      <c r="CV95" s="104"/>
      <c r="CW95" s="117"/>
      <c r="CX95" s="124"/>
      <c r="CY95" s="117"/>
      <c r="CZ95" s="104"/>
      <c r="DA95" s="117"/>
      <c r="DB95" s="124"/>
      <c r="DC95" s="117"/>
      <c r="DD95" s="104"/>
    </row>
    <row r="96" spans="10:113" x14ac:dyDescent="0.25">
      <c r="J96" s="141"/>
      <c r="K96" s="146" t="str">
        <f>INDEX(TableStreams[Choose your Specialisation Stream second (drop-down list)],MATCH(L96,TableStreams[UDC],0))</f>
        <v>Broadening Chemistry Teaching Area Stream (BEd Secondary)</v>
      </c>
      <c r="L96" s="141" t="s">
        <v>369</v>
      </c>
      <c r="N96" s="6"/>
      <c r="O96" s="6"/>
      <c r="P96" s="19">
        <v>21</v>
      </c>
      <c r="Q96" s="117"/>
      <c r="R96" s="124"/>
      <c r="S96" s="117"/>
      <c r="T96" s="104"/>
      <c r="U96" s="117"/>
      <c r="V96" s="124" t="s">
        <v>129</v>
      </c>
      <c r="W96" s="117"/>
      <c r="X96" s="104"/>
      <c r="Y96" s="117"/>
      <c r="Z96" s="124" t="s">
        <v>725</v>
      </c>
      <c r="AA96" s="117"/>
      <c r="AB96" s="104"/>
      <c r="AC96" s="117"/>
      <c r="AD96" s="104" t="s">
        <v>170</v>
      </c>
      <c r="AE96" s="117"/>
      <c r="AF96" s="104"/>
      <c r="AG96" s="117"/>
      <c r="AH96" s="124"/>
      <c r="AI96" s="117"/>
      <c r="AJ96" s="104"/>
      <c r="AK96" s="117"/>
      <c r="AL96" s="104"/>
      <c r="AM96" s="117"/>
      <c r="AN96" s="104"/>
      <c r="AO96" s="117"/>
      <c r="AP96" s="124"/>
      <c r="AQ96" s="117"/>
      <c r="AR96" s="104"/>
      <c r="AS96" s="117"/>
      <c r="AT96" s="124"/>
      <c r="AU96" s="117"/>
      <c r="AV96" s="104"/>
      <c r="AW96" s="117"/>
      <c r="AX96" s="124"/>
      <c r="AY96" s="117"/>
      <c r="AZ96" s="104"/>
      <c r="BA96" s="117"/>
      <c r="BB96" s="124"/>
      <c r="BC96" s="117"/>
      <c r="BD96" s="104"/>
      <c r="BE96" s="117"/>
      <c r="BF96" s="124"/>
      <c r="BG96" s="117"/>
      <c r="BH96" s="104"/>
      <c r="BI96" s="117"/>
      <c r="BJ96" s="124" t="s">
        <v>179</v>
      </c>
      <c r="BK96" s="117"/>
      <c r="BL96" s="104"/>
      <c r="BM96" s="117"/>
      <c r="BN96" s="124" t="s">
        <v>170</v>
      </c>
      <c r="BO96" s="117"/>
      <c r="BP96" s="104"/>
      <c r="BQ96" s="117"/>
      <c r="BR96" s="104"/>
      <c r="BS96" s="117"/>
      <c r="BT96" s="104"/>
      <c r="BU96" s="117"/>
      <c r="BV96" s="104" t="s">
        <v>178</v>
      </c>
      <c r="BW96" s="117"/>
      <c r="BX96" s="104"/>
      <c r="BY96" s="117"/>
      <c r="BZ96" s="104"/>
      <c r="CA96" s="117"/>
      <c r="CB96" s="104"/>
      <c r="CC96" s="117"/>
      <c r="CD96" s="124" t="s">
        <v>733</v>
      </c>
      <c r="CE96" s="117"/>
      <c r="CF96" s="104"/>
      <c r="CG96" s="117"/>
      <c r="CH96" s="124"/>
      <c r="CI96" s="117"/>
      <c r="CJ96" s="104"/>
      <c r="CK96" s="117"/>
      <c r="CL96" s="124"/>
      <c r="CM96" s="117"/>
      <c r="CN96" s="104"/>
      <c r="CO96" s="117"/>
      <c r="CP96" s="124" t="s">
        <v>170</v>
      </c>
      <c r="CQ96" s="117"/>
      <c r="CR96" s="104"/>
      <c r="CS96" s="117"/>
      <c r="CT96" s="124"/>
      <c r="CU96" s="117"/>
      <c r="CV96" s="104"/>
      <c r="CW96" s="117"/>
      <c r="CX96" s="124"/>
      <c r="CY96" s="117"/>
      <c r="CZ96" s="104"/>
      <c r="DA96" s="117"/>
      <c r="DB96" s="124"/>
      <c r="DC96" s="117"/>
      <c r="DD96" s="104"/>
    </row>
    <row r="97" spans="10:108" x14ac:dyDescent="0.25">
      <c r="J97" s="141"/>
      <c r="K97" s="146" t="str">
        <f>INDEX(TableStreams[Choose your Specialisation Stream second (drop-down list)],MATCH(L97,TableStreams[UDC],0))</f>
        <v>English Education Minor Teaching Area Stream (BEd Secondary)</v>
      </c>
      <c r="L97" s="141" t="s">
        <v>353</v>
      </c>
      <c r="N97" s="6"/>
      <c r="O97" s="6"/>
      <c r="P97" s="19">
        <v>22</v>
      </c>
      <c r="Q97" s="117"/>
      <c r="R97" s="124"/>
      <c r="S97" s="117"/>
      <c r="T97" s="104"/>
      <c r="U97" s="117"/>
      <c r="V97" s="124"/>
      <c r="W97" s="117"/>
      <c r="X97" s="104"/>
      <c r="Y97" s="117"/>
      <c r="Z97" s="124" t="s">
        <v>516</v>
      </c>
      <c r="AA97" s="117"/>
      <c r="AB97" s="104"/>
      <c r="AC97" s="117"/>
      <c r="AD97" s="104" t="s">
        <v>177</v>
      </c>
      <c r="AE97" s="117"/>
      <c r="AF97" s="104"/>
      <c r="AG97" s="117"/>
      <c r="AH97" s="124"/>
      <c r="AI97" s="117"/>
      <c r="AJ97" s="104"/>
      <c r="AK97" s="117"/>
      <c r="AL97" s="104"/>
      <c r="AM97" s="117"/>
      <c r="AN97" s="104"/>
      <c r="AO97" s="117"/>
      <c r="AP97" s="124"/>
      <c r="AQ97" s="117"/>
      <c r="AR97" s="104"/>
      <c r="AS97" s="117"/>
      <c r="AT97" s="124"/>
      <c r="AU97" s="117"/>
      <c r="AV97" s="104"/>
      <c r="AW97" s="117"/>
      <c r="AX97" s="124"/>
      <c r="AY97" s="117"/>
      <c r="AZ97" s="104"/>
      <c r="BA97" s="117"/>
      <c r="BB97" s="124"/>
      <c r="BC97" s="117"/>
      <c r="BD97" s="104"/>
      <c r="BE97" s="117"/>
      <c r="BF97" s="124"/>
      <c r="BG97" s="117"/>
      <c r="BH97" s="104"/>
      <c r="BI97" s="117"/>
      <c r="BJ97" s="124" t="s">
        <v>171</v>
      </c>
      <c r="BK97" s="117"/>
      <c r="BL97" s="104"/>
      <c r="BM97" s="117"/>
      <c r="BN97" s="124" t="s">
        <v>177</v>
      </c>
      <c r="BO97" s="117"/>
      <c r="BP97" s="104"/>
      <c r="BQ97" s="117"/>
      <c r="BR97" s="104"/>
      <c r="BS97" s="117"/>
      <c r="BT97" s="104"/>
      <c r="BU97" s="117"/>
      <c r="BV97" s="104" t="s">
        <v>185</v>
      </c>
      <c r="BW97" s="117"/>
      <c r="BX97" s="104"/>
      <c r="BY97" s="117"/>
      <c r="BZ97" s="104"/>
      <c r="CA97" s="117"/>
      <c r="CB97" s="104"/>
      <c r="CC97" s="117"/>
      <c r="CD97" s="124" t="s">
        <v>174</v>
      </c>
      <c r="CE97" s="117"/>
      <c r="CF97" s="104"/>
      <c r="CG97" s="117"/>
      <c r="CH97" s="124"/>
      <c r="CI97" s="117"/>
      <c r="CJ97" s="104"/>
      <c r="CK97" s="117"/>
      <c r="CL97" s="124"/>
      <c r="CM97" s="117"/>
      <c r="CN97" s="104"/>
      <c r="CO97" s="117"/>
      <c r="CP97" s="124" t="s">
        <v>177</v>
      </c>
      <c r="CQ97" s="117"/>
      <c r="CR97" s="104"/>
      <c r="CS97" s="117"/>
      <c r="CT97" s="124"/>
      <c r="CU97" s="117"/>
      <c r="CV97" s="104"/>
      <c r="CW97" s="117"/>
      <c r="CX97" s="124"/>
      <c r="CY97" s="117"/>
      <c r="CZ97" s="104"/>
      <c r="DA97" s="117"/>
      <c r="DB97" s="124"/>
      <c r="DC97" s="117"/>
      <c r="DD97" s="104"/>
    </row>
    <row r="98" spans="10:108" x14ac:dyDescent="0.25">
      <c r="J98" s="141"/>
      <c r="K98" s="146" t="str">
        <f>INDEX(TableStreams[Choose your Specialisation Stream second (drop-down list)],MATCH(L98,TableStreams[UDC],0))</f>
        <v>Geography Education Minor Teaching Area Stream (BEd Secondary)</v>
      </c>
      <c r="L98" s="141" t="s">
        <v>354</v>
      </c>
      <c r="N98" s="6"/>
      <c r="O98" s="6"/>
      <c r="P98" s="19">
        <v>23</v>
      </c>
      <c r="Q98" s="117"/>
      <c r="R98" s="124"/>
      <c r="S98" s="117"/>
      <c r="T98" s="104"/>
      <c r="U98" s="117"/>
      <c r="V98" s="124"/>
      <c r="W98" s="117"/>
      <c r="X98" s="104"/>
      <c r="Y98" s="117"/>
      <c r="Z98" s="124" t="s">
        <v>546</v>
      </c>
      <c r="AA98" s="117"/>
      <c r="AB98" s="104"/>
      <c r="AC98" s="117"/>
      <c r="AD98" s="104" t="s">
        <v>183</v>
      </c>
      <c r="AE98" s="117"/>
      <c r="AF98" s="104"/>
      <c r="AG98" s="117"/>
      <c r="AH98" s="124"/>
      <c r="AI98" s="117"/>
      <c r="AJ98" s="104"/>
      <c r="AK98" s="117"/>
      <c r="AL98" s="104"/>
      <c r="AM98" s="117"/>
      <c r="AN98" s="104"/>
      <c r="AO98" s="117"/>
      <c r="AP98" s="124"/>
      <c r="AQ98" s="117"/>
      <c r="AR98" s="104"/>
      <c r="AS98" s="117"/>
      <c r="AT98" s="124"/>
      <c r="AU98" s="117"/>
      <c r="AV98" s="104"/>
      <c r="AW98" s="117"/>
      <c r="AX98" s="124"/>
      <c r="AY98" s="117"/>
      <c r="AZ98" s="104"/>
      <c r="BA98" s="117"/>
      <c r="BB98" s="124"/>
      <c r="BC98" s="117"/>
      <c r="BD98" s="104"/>
      <c r="BE98" s="117"/>
      <c r="BF98" s="124"/>
      <c r="BG98" s="117"/>
      <c r="BH98" s="104"/>
      <c r="BI98" s="117"/>
      <c r="BJ98" s="124" t="s">
        <v>178</v>
      </c>
      <c r="BK98" s="117"/>
      <c r="BL98" s="104"/>
      <c r="BM98" s="117"/>
      <c r="BN98" s="124" t="s">
        <v>183</v>
      </c>
      <c r="BO98" s="117"/>
      <c r="BP98" s="104"/>
      <c r="BQ98" s="117"/>
      <c r="BR98" s="104"/>
      <c r="BS98" s="117"/>
      <c r="BT98" s="104"/>
      <c r="BU98" s="117"/>
      <c r="BV98" s="104" t="s">
        <v>129</v>
      </c>
      <c r="BW98" s="117"/>
      <c r="BX98" s="104"/>
      <c r="BY98" s="117"/>
      <c r="BZ98" s="104"/>
      <c r="CA98" s="117"/>
      <c r="CB98" s="104"/>
      <c r="CC98" s="117"/>
      <c r="CD98" s="124" t="s">
        <v>167</v>
      </c>
      <c r="CE98" s="117"/>
      <c r="CF98" s="104"/>
      <c r="CG98" s="117"/>
      <c r="CH98" s="124"/>
      <c r="CI98" s="117"/>
      <c r="CJ98" s="104"/>
      <c r="CK98" s="117"/>
      <c r="CL98" s="124"/>
      <c r="CM98" s="117"/>
      <c r="CN98" s="104"/>
      <c r="CO98" s="117"/>
      <c r="CP98" s="124" t="s">
        <v>183</v>
      </c>
      <c r="CQ98" s="117"/>
      <c r="CR98" s="104"/>
      <c r="CS98" s="117"/>
      <c r="CT98" s="124"/>
      <c r="CU98" s="117"/>
      <c r="CV98" s="104"/>
      <c r="CW98" s="117"/>
      <c r="CX98" s="124"/>
      <c r="CY98" s="117"/>
      <c r="CZ98" s="104"/>
      <c r="DA98" s="117"/>
      <c r="DB98" s="124"/>
      <c r="DC98" s="117"/>
      <c r="DD98" s="104"/>
    </row>
    <row r="99" spans="10:108" x14ac:dyDescent="0.25">
      <c r="J99" s="141"/>
      <c r="K99" s="146" t="str">
        <f>INDEX(TableStreams[Choose your Specialisation Stream second (drop-down list)],MATCH(L99,TableStreams[UDC],0))</f>
        <v>History Education Minor Teaching Area Stream (BEd Secondary)</v>
      </c>
      <c r="L99" s="141" t="s">
        <v>355</v>
      </c>
      <c r="N99" s="6"/>
      <c r="O99" s="6"/>
      <c r="P99" s="19">
        <v>24</v>
      </c>
      <c r="Q99" s="117"/>
      <c r="R99" s="124"/>
      <c r="S99" s="117"/>
      <c r="T99" s="104"/>
      <c r="U99" s="117"/>
      <c r="V99" s="124"/>
      <c r="W99" s="117"/>
      <c r="X99" s="104"/>
      <c r="Y99" s="117"/>
      <c r="Z99" s="124"/>
      <c r="AA99" s="117"/>
      <c r="AB99" s="104"/>
      <c r="AC99" s="117"/>
      <c r="AD99" s="104" t="s">
        <v>129</v>
      </c>
      <c r="AE99" s="117"/>
      <c r="AF99" s="104"/>
      <c r="AG99" s="117"/>
      <c r="AH99" s="124"/>
      <c r="AI99" s="117"/>
      <c r="AJ99" s="104"/>
      <c r="AK99" s="117"/>
      <c r="AL99" s="104"/>
      <c r="AM99" s="117"/>
      <c r="AN99" s="104"/>
      <c r="AO99" s="117"/>
      <c r="AP99" s="124"/>
      <c r="AQ99" s="117"/>
      <c r="AR99" s="104"/>
      <c r="AS99" s="117"/>
      <c r="AT99" s="124"/>
      <c r="AU99" s="117"/>
      <c r="AV99" s="104"/>
      <c r="AW99" s="117"/>
      <c r="AX99" s="124"/>
      <c r="AY99" s="117"/>
      <c r="AZ99" s="104"/>
      <c r="BA99" s="117"/>
      <c r="BB99" s="124"/>
      <c r="BC99" s="117"/>
      <c r="BD99" s="104"/>
      <c r="BE99" s="117"/>
      <c r="BF99" s="124"/>
      <c r="BG99" s="117"/>
      <c r="BH99" s="104"/>
      <c r="BI99" s="117"/>
      <c r="BJ99" s="124" t="s">
        <v>185</v>
      </c>
      <c r="BK99" s="117"/>
      <c r="BL99" s="104"/>
      <c r="BM99" s="117"/>
      <c r="BN99" s="124" t="s">
        <v>129</v>
      </c>
      <c r="BO99" s="117"/>
      <c r="BP99" s="104"/>
      <c r="BQ99" s="117"/>
      <c r="BR99" s="104"/>
      <c r="BS99" s="117"/>
      <c r="BT99" s="104"/>
      <c r="BU99" s="117"/>
      <c r="BV99" s="104"/>
      <c r="BW99" s="117"/>
      <c r="BX99" s="104"/>
      <c r="BY99" s="117"/>
      <c r="BZ99" s="104"/>
      <c r="CA99" s="117"/>
      <c r="CB99" s="104"/>
      <c r="CC99" s="117"/>
      <c r="CD99" s="124" t="s">
        <v>180</v>
      </c>
      <c r="CE99" s="117"/>
      <c r="CF99" s="104"/>
      <c r="CG99" s="117"/>
      <c r="CH99" s="124"/>
      <c r="CI99" s="117"/>
      <c r="CJ99" s="104"/>
      <c r="CK99" s="117"/>
      <c r="CL99" s="124"/>
      <c r="CM99" s="117"/>
      <c r="CN99" s="104"/>
      <c r="CO99" s="117"/>
      <c r="CP99" s="124" t="s">
        <v>129</v>
      </c>
      <c r="CQ99" s="117"/>
      <c r="CR99" s="104"/>
      <c r="CS99" s="117"/>
      <c r="CT99" s="124"/>
      <c r="CU99" s="117"/>
      <c r="CV99" s="104"/>
      <c r="CW99" s="117"/>
      <c r="CX99" s="124"/>
      <c r="CY99" s="117"/>
      <c r="CZ99" s="104"/>
      <c r="DA99" s="117"/>
      <c r="DB99" s="124"/>
      <c r="DC99" s="117"/>
      <c r="DD99" s="104"/>
    </row>
    <row r="100" spans="10:108" x14ac:dyDescent="0.25">
      <c r="J100" s="141"/>
      <c r="K100" s="146" t="str">
        <f>INDEX(TableStreams[Choose your Specialisation Stream second (drop-down list)],MATCH(L100,TableStreams[UDC],0))</f>
        <v>Mathematics Education Minor Teaching Area Stream (BEd Secondary)</v>
      </c>
      <c r="L100" s="141" t="s">
        <v>356</v>
      </c>
      <c r="N100" s="6"/>
      <c r="O100" s="6"/>
      <c r="P100" s="19">
        <v>25</v>
      </c>
      <c r="Q100" s="117"/>
      <c r="R100" s="124"/>
      <c r="S100" s="117"/>
      <c r="T100" s="104"/>
      <c r="U100" s="117"/>
      <c r="V100" s="124"/>
      <c r="W100" s="117"/>
      <c r="X100" s="104"/>
      <c r="Y100" s="117"/>
      <c r="Z100" s="124"/>
      <c r="AA100" s="117"/>
      <c r="AB100" s="104"/>
      <c r="AC100" s="117"/>
      <c r="AD100" s="104"/>
      <c r="AE100" s="117"/>
      <c r="AF100" s="104"/>
      <c r="AG100" s="117"/>
      <c r="AH100" s="124"/>
      <c r="AI100" s="117"/>
      <c r="AJ100" s="104"/>
      <c r="AK100" s="117"/>
      <c r="AL100" s="104"/>
      <c r="AM100" s="117"/>
      <c r="AN100" s="104"/>
      <c r="AO100" s="117"/>
      <c r="AP100" s="124"/>
      <c r="AQ100" s="117"/>
      <c r="AR100" s="104"/>
      <c r="AS100" s="117"/>
      <c r="AT100" s="124"/>
      <c r="AU100" s="117"/>
      <c r="AV100" s="104"/>
      <c r="AW100" s="117"/>
      <c r="AX100" s="124"/>
      <c r="AY100" s="117"/>
      <c r="AZ100" s="104"/>
      <c r="BA100" s="117"/>
      <c r="BB100" s="124"/>
      <c r="BC100" s="117"/>
      <c r="BD100" s="104"/>
      <c r="BE100" s="117"/>
      <c r="BF100" s="124"/>
      <c r="BG100" s="117"/>
      <c r="BH100" s="104"/>
      <c r="BI100" s="117"/>
      <c r="BJ100" s="124" t="s">
        <v>129</v>
      </c>
      <c r="BK100" s="117"/>
      <c r="BL100" s="104"/>
      <c r="BM100" s="117"/>
      <c r="BN100" s="124"/>
      <c r="BO100" s="117"/>
      <c r="BP100" s="104"/>
      <c r="BQ100" s="117"/>
      <c r="BR100" s="104"/>
      <c r="BS100" s="117"/>
      <c r="BT100" s="104"/>
      <c r="BU100" s="117"/>
      <c r="BV100" s="104"/>
      <c r="BW100" s="117"/>
      <c r="BX100" s="104"/>
      <c r="BY100" s="117"/>
      <c r="BZ100" s="104"/>
      <c r="CA100" s="117"/>
      <c r="CB100" s="104"/>
      <c r="CC100" s="117"/>
      <c r="CD100" s="124" t="s">
        <v>194</v>
      </c>
      <c r="CE100" s="117"/>
      <c r="CF100" s="104"/>
      <c r="CG100" s="117"/>
      <c r="CH100" s="124"/>
      <c r="CI100" s="117"/>
      <c r="CJ100" s="104"/>
      <c r="CK100" s="117"/>
      <c r="CL100" s="124"/>
      <c r="CM100" s="117"/>
      <c r="CN100" s="104"/>
      <c r="CO100" s="117"/>
      <c r="CP100" s="124"/>
      <c r="CQ100" s="117"/>
      <c r="CR100" s="104"/>
      <c r="CS100" s="117"/>
      <c r="CT100" s="124"/>
      <c r="CU100" s="117"/>
      <c r="CV100" s="104"/>
      <c r="CW100" s="117"/>
      <c r="CX100" s="124"/>
      <c r="CY100" s="117"/>
      <c r="CZ100" s="104"/>
      <c r="DA100" s="117"/>
      <c r="DB100" s="124"/>
      <c r="DC100" s="117"/>
      <c r="DD100" s="104"/>
    </row>
    <row r="101" spans="10:108" x14ac:dyDescent="0.25">
      <c r="J101" s="141"/>
      <c r="K101" s="146" t="str">
        <f>INDEX(TableStreams[Choose your Specialisation Stream second (drop-down list)],MATCH(L101,TableStreams[UDC],0))</f>
        <v>The Arts - Media Education Minor Teaching Area Stream (BEd Secondary)</v>
      </c>
      <c r="L101" s="141" t="s">
        <v>360</v>
      </c>
      <c r="N101" s="6"/>
      <c r="O101" s="6"/>
      <c r="P101" s="19">
        <v>26</v>
      </c>
      <c r="Q101" s="117"/>
      <c r="R101" s="124"/>
      <c r="S101" s="117"/>
      <c r="T101" s="104"/>
      <c r="U101" s="117"/>
      <c r="V101" s="124"/>
      <c r="W101" s="117"/>
      <c r="X101" s="104"/>
      <c r="Y101" s="117"/>
      <c r="Z101" s="124"/>
      <c r="AA101" s="117"/>
      <c r="AB101" s="104"/>
      <c r="AC101" s="117"/>
      <c r="AD101" s="104"/>
      <c r="AE101" s="117"/>
      <c r="AF101" s="104"/>
      <c r="AG101" s="117"/>
      <c r="AH101" s="124"/>
      <c r="AI101" s="117"/>
      <c r="AJ101" s="104"/>
      <c r="AK101" s="117"/>
      <c r="AL101" s="104"/>
      <c r="AM101" s="117"/>
      <c r="AN101" s="104"/>
      <c r="AO101" s="117"/>
      <c r="AP101" s="124"/>
      <c r="AQ101" s="117"/>
      <c r="AR101" s="104"/>
      <c r="AS101" s="117"/>
      <c r="AT101" s="124"/>
      <c r="AU101" s="117"/>
      <c r="AV101" s="104"/>
      <c r="AW101" s="117"/>
      <c r="AX101" s="124"/>
      <c r="AY101" s="117"/>
      <c r="AZ101" s="104"/>
      <c r="BA101" s="117"/>
      <c r="BB101" s="124"/>
      <c r="BC101" s="117"/>
      <c r="BD101" s="104"/>
      <c r="BE101" s="117"/>
      <c r="BF101" s="124"/>
      <c r="BG101" s="117"/>
      <c r="BH101" s="104"/>
      <c r="BI101" s="117"/>
      <c r="BJ101" s="124"/>
      <c r="BK101" s="117"/>
      <c r="BL101" s="104"/>
      <c r="BM101" s="117"/>
      <c r="BN101" s="124"/>
      <c r="BO101" s="117"/>
      <c r="BP101" s="104"/>
      <c r="BQ101" s="117"/>
      <c r="BR101" s="104"/>
      <c r="BS101" s="117"/>
      <c r="BT101" s="104"/>
      <c r="BU101" s="117"/>
      <c r="BV101" s="104"/>
      <c r="BW101" s="117"/>
      <c r="BX101" s="104"/>
      <c r="BY101" s="117"/>
      <c r="BZ101" s="104"/>
      <c r="CA101" s="117"/>
      <c r="CB101" s="104"/>
      <c r="CC101" s="117"/>
      <c r="CD101" s="124" t="s">
        <v>195</v>
      </c>
      <c r="CE101" s="117"/>
      <c r="CF101" s="104"/>
      <c r="CG101" s="117"/>
      <c r="CH101" s="124"/>
      <c r="CI101" s="117"/>
      <c r="CJ101" s="104"/>
      <c r="CK101" s="117"/>
      <c r="CL101" s="124"/>
      <c r="CM101" s="117"/>
      <c r="CN101" s="104"/>
      <c r="CO101" s="117"/>
      <c r="CP101" s="124"/>
      <c r="CQ101" s="117"/>
      <c r="CR101" s="104"/>
      <c r="CS101" s="117"/>
      <c r="CT101" s="124"/>
      <c r="CU101" s="117"/>
      <c r="CV101" s="104"/>
      <c r="CW101" s="117"/>
      <c r="CX101" s="124"/>
      <c r="CY101" s="117"/>
      <c r="CZ101" s="104"/>
      <c r="DA101" s="117"/>
      <c r="DB101" s="124"/>
      <c r="DC101" s="117"/>
      <c r="DD101" s="104"/>
    </row>
    <row r="102" spans="10:108" x14ac:dyDescent="0.25">
      <c r="J102" s="141"/>
      <c r="K102" s="146" t="str">
        <f>INDEX(TableStreams[Choose your Specialisation Stream second (drop-down list)],MATCH(L102,TableStreams[UDC],0))</f>
        <v>The Arts - Performing Arts Education Minor Teaching Area Stream (BEd Secondary)</v>
      </c>
      <c r="L102" s="141" t="s">
        <v>361</v>
      </c>
      <c r="N102" s="6"/>
      <c r="O102" s="6"/>
      <c r="P102" s="19">
        <v>27</v>
      </c>
      <c r="Q102" s="117"/>
      <c r="R102" s="124"/>
      <c r="S102" s="117"/>
      <c r="T102" s="104"/>
      <c r="U102" s="117"/>
      <c r="V102" s="124"/>
      <c r="W102" s="117"/>
      <c r="X102" s="104"/>
      <c r="Y102" s="117"/>
      <c r="Z102" s="124"/>
      <c r="AA102" s="117"/>
      <c r="AB102" s="104"/>
      <c r="AC102" s="117"/>
      <c r="AD102" s="104"/>
      <c r="AE102" s="117"/>
      <c r="AF102" s="104"/>
      <c r="AG102" s="117"/>
      <c r="AH102" s="124"/>
      <c r="AI102" s="117"/>
      <c r="AJ102" s="104"/>
      <c r="AK102" s="117"/>
      <c r="AL102" s="104"/>
      <c r="AM102" s="117"/>
      <c r="AN102" s="104"/>
      <c r="AO102" s="117"/>
      <c r="AP102" s="124"/>
      <c r="AQ102" s="117"/>
      <c r="AR102" s="104"/>
      <c r="AS102" s="117"/>
      <c r="AT102" s="124"/>
      <c r="AU102" s="117"/>
      <c r="AV102" s="104"/>
      <c r="AW102" s="117"/>
      <c r="AX102" s="124"/>
      <c r="AY102" s="117"/>
      <c r="AZ102" s="104"/>
      <c r="BA102" s="117"/>
      <c r="BB102" s="124"/>
      <c r="BC102" s="117"/>
      <c r="BD102" s="104"/>
      <c r="BE102" s="117"/>
      <c r="BF102" s="124"/>
      <c r="BG102" s="117"/>
      <c r="BH102" s="104"/>
      <c r="BI102" s="117"/>
      <c r="BJ102" s="124"/>
      <c r="BK102" s="117"/>
      <c r="BL102" s="104"/>
      <c r="BM102" s="117"/>
      <c r="BN102" s="124"/>
      <c r="BO102" s="117"/>
      <c r="BP102" s="104"/>
      <c r="BQ102" s="117"/>
      <c r="BR102" s="104"/>
      <c r="BS102" s="117"/>
      <c r="BT102" s="104"/>
      <c r="BU102" s="117"/>
      <c r="BV102" s="104"/>
      <c r="BW102" s="117"/>
      <c r="BX102" s="104"/>
      <c r="BY102" s="117"/>
      <c r="BZ102" s="104"/>
      <c r="CA102" s="117"/>
      <c r="CB102" s="104"/>
      <c r="CC102" s="117"/>
      <c r="CD102" s="124" t="s">
        <v>184</v>
      </c>
      <c r="CE102" s="117"/>
      <c r="CF102" s="104"/>
      <c r="CG102" s="117"/>
      <c r="CH102" s="124"/>
      <c r="CI102" s="117"/>
      <c r="CJ102" s="104"/>
      <c r="CK102" s="117"/>
      <c r="CL102" s="124"/>
      <c r="CM102" s="117"/>
      <c r="CN102" s="104"/>
      <c r="CO102" s="117"/>
      <c r="CP102" s="124"/>
      <c r="CQ102" s="117"/>
      <c r="CR102" s="104"/>
      <c r="CS102" s="117"/>
      <c r="CT102" s="124"/>
      <c r="CU102" s="117"/>
      <c r="CV102" s="104"/>
      <c r="CW102" s="117"/>
      <c r="CX102" s="124"/>
      <c r="CY102" s="117"/>
      <c r="CZ102" s="104"/>
      <c r="DA102" s="117"/>
      <c r="DB102" s="124"/>
      <c r="DC102" s="117"/>
      <c r="DD102" s="104"/>
    </row>
    <row r="103" spans="10:108" x14ac:dyDescent="0.25">
      <c r="J103" s="142"/>
      <c r="K103" s="147" t="str">
        <f>INDEX(TableStreams[Choose your Specialisation Stream second (drop-down list)],MATCH(L103,TableStreams[UDC],0))</f>
        <v>The Arts - Visual Arts Education Minor Teaching Area Stream (BEd Secondary)</v>
      </c>
      <c r="L103" s="142" t="s">
        <v>217</v>
      </c>
      <c r="N103" s="6"/>
      <c r="O103" s="6"/>
      <c r="P103" s="19">
        <v>28</v>
      </c>
      <c r="Q103" s="117"/>
      <c r="R103" s="124"/>
      <c r="S103" s="117"/>
      <c r="T103" s="104"/>
      <c r="U103" s="117"/>
      <c r="V103" s="124"/>
      <c r="W103" s="117"/>
      <c r="X103" s="104"/>
      <c r="Y103" s="117"/>
      <c r="Z103" s="124"/>
      <c r="AA103" s="117"/>
      <c r="AB103" s="104"/>
      <c r="AC103" s="117"/>
      <c r="AD103" s="104"/>
      <c r="AE103" s="117"/>
      <c r="AF103" s="104"/>
      <c r="AG103" s="117"/>
      <c r="AH103" s="124"/>
      <c r="AI103" s="117"/>
      <c r="AJ103" s="104"/>
      <c r="AK103" s="117"/>
      <c r="AL103" s="104"/>
      <c r="AM103" s="117"/>
      <c r="AN103" s="104"/>
      <c r="AO103" s="117"/>
      <c r="AP103" s="124"/>
      <c r="AQ103" s="117"/>
      <c r="AR103" s="104"/>
      <c r="AS103" s="117"/>
      <c r="AT103" s="124"/>
      <c r="AU103" s="117"/>
      <c r="AV103" s="104"/>
      <c r="AW103" s="117"/>
      <c r="AX103" s="124"/>
      <c r="AY103" s="117"/>
      <c r="AZ103" s="104"/>
      <c r="BA103" s="117"/>
      <c r="BB103" s="124"/>
      <c r="BC103" s="117"/>
      <c r="BD103" s="104"/>
      <c r="BE103" s="117"/>
      <c r="BF103" s="124"/>
      <c r="BG103" s="117"/>
      <c r="BH103" s="104"/>
      <c r="BI103" s="117"/>
      <c r="BJ103" s="124"/>
      <c r="BK103" s="117"/>
      <c r="BL103" s="104"/>
      <c r="BM103" s="117"/>
      <c r="BN103" s="124"/>
      <c r="BO103" s="117"/>
      <c r="BP103" s="104"/>
      <c r="BQ103" s="117"/>
      <c r="BR103" s="104"/>
      <c r="BS103" s="117"/>
      <c r="BT103" s="104"/>
      <c r="BU103" s="117"/>
      <c r="BV103" s="104"/>
      <c r="BW103" s="117"/>
      <c r="BX103" s="104"/>
      <c r="BY103" s="117"/>
      <c r="BZ103" s="104"/>
      <c r="CA103" s="117"/>
      <c r="CB103" s="104"/>
      <c r="CC103" s="117"/>
      <c r="CD103" s="124" t="s">
        <v>175</v>
      </c>
      <c r="CE103" s="117"/>
      <c r="CF103" s="104"/>
      <c r="CG103" s="117"/>
      <c r="CH103" s="124"/>
      <c r="CI103" s="117"/>
      <c r="CJ103" s="104"/>
      <c r="CK103" s="117"/>
      <c r="CL103" s="124"/>
      <c r="CM103" s="117"/>
      <c r="CN103" s="104"/>
      <c r="CO103" s="117"/>
      <c r="CP103" s="124"/>
      <c r="CQ103" s="117"/>
      <c r="CR103" s="104"/>
      <c r="CS103" s="117"/>
      <c r="CT103" s="124"/>
      <c r="CU103" s="117"/>
      <c r="CV103" s="104"/>
      <c r="CW103" s="117"/>
      <c r="CX103" s="124"/>
      <c r="CY103" s="117"/>
      <c r="CZ103" s="104"/>
      <c r="DA103" s="117"/>
      <c r="DB103" s="124"/>
      <c r="DC103" s="117"/>
      <c r="DD103" s="104"/>
    </row>
    <row r="104" spans="10:108" x14ac:dyDescent="0.25">
      <c r="J104" s="140" t="s">
        <v>348</v>
      </c>
      <c r="K104" s="145" t="s">
        <v>221</v>
      </c>
      <c r="L104" s="140"/>
      <c r="N104" s="6"/>
      <c r="O104" s="6"/>
      <c r="P104" s="19">
        <v>29</v>
      </c>
      <c r="Q104" s="117"/>
      <c r="R104" s="124"/>
      <c r="S104" s="117"/>
      <c r="T104" s="104"/>
      <c r="U104" s="117"/>
      <c r="V104" s="124"/>
      <c r="W104" s="117"/>
      <c r="X104" s="104"/>
      <c r="Y104" s="117"/>
      <c r="Z104" s="124"/>
      <c r="AA104" s="117"/>
      <c r="AB104" s="104"/>
      <c r="AC104" s="117"/>
      <c r="AD104" s="104"/>
      <c r="AE104" s="117"/>
      <c r="AF104" s="104"/>
      <c r="AG104" s="117"/>
      <c r="AH104" s="124"/>
      <c r="AI104" s="117"/>
      <c r="AJ104" s="104"/>
      <c r="AK104" s="117"/>
      <c r="AL104" s="104"/>
      <c r="AM104" s="117"/>
      <c r="AN104" s="104"/>
      <c r="AO104" s="117"/>
      <c r="AP104" s="124"/>
      <c r="AQ104" s="117"/>
      <c r="AR104" s="104"/>
      <c r="AS104" s="117"/>
      <c r="AT104" s="124"/>
      <c r="AU104" s="117"/>
      <c r="AV104" s="104"/>
      <c r="AW104" s="117"/>
      <c r="AX104" s="124"/>
      <c r="AY104" s="117"/>
      <c r="AZ104" s="104"/>
      <c r="BA104" s="117"/>
      <c r="BB104" s="124"/>
      <c r="BC104" s="117"/>
      <c r="BD104" s="104"/>
      <c r="BE104" s="117"/>
      <c r="BF104" s="124"/>
      <c r="BG104" s="117"/>
      <c r="BH104" s="104"/>
      <c r="BI104" s="117"/>
      <c r="BJ104" s="124"/>
      <c r="BK104" s="117"/>
      <c r="BL104" s="104"/>
      <c r="BM104" s="117"/>
      <c r="BN104" s="124"/>
      <c r="BO104" s="117"/>
      <c r="BP104" s="104"/>
      <c r="BQ104" s="117"/>
      <c r="BR104" s="104"/>
      <c r="BS104" s="117"/>
      <c r="BT104" s="104"/>
      <c r="BU104" s="117"/>
      <c r="BV104" s="104"/>
      <c r="BW104" s="117"/>
      <c r="BX104" s="104"/>
      <c r="BY104" s="117"/>
      <c r="BZ104" s="104"/>
      <c r="CA104" s="117"/>
      <c r="CB104" s="104"/>
      <c r="CC104" s="117"/>
      <c r="CD104" s="124" t="s">
        <v>168</v>
      </c>
      <c r="CE104" s="117"/>
      <c r="CF104" s="104"/>
      <c r="CG104" s="117"/>
      <c r="CH104" s="124"/>
      <c r="CI104" s="117"/>
      <c r="CJ104" s="104"/>
      <c r="CK104" s="117"/>
      <c r="CL104" s="124"/>
      <c r="CM104" s="117"/>
      <c r="CN104" s="104"/>
      <c r="CO104" s="117"/>
      <c r="CP104" s="124"/>
      <c r="CQ104" s="117"/>
      <c r="CR104" s="104"/>
      <c r="CS104" s="117"/>
      <c r="CT104" s="124"/>
      <c r="CU104" s="117"/>
      <c r="CV104" s="104"/>
      <c r="CW104" s="117"/>
      <c r="CX104" s="124"/>
      <c r="CY104" s="117"/>
      <c r="CZ104" s="104"/>
      <c r="DA104" s="117"/>
      <c r="DB104" s="124"/>
      <c r="DC104" s="117"/>
      <c r="DD104" s="104"/>
    </row>
    <row r="105" spans="10:108" x14ac:dyDescent="0.25">
      <c r="J105" s="141"/>
      <c r="K105" s="146" t="str">
        <f>INDEX(TableStreams[Choose your Specialisation Stream second (drop-down list)],MATCH(L105,TableStreams[UDC],0))</f>
        <v>Broadening Human Biology Teaching Area Stream (BEd Secondary)</v>
      </c>
      <c r="L105" s="141" t="s">
        <v>370</v>
      </c>
      <c r="N105" s="6"/>
      <c r="O105" s="6"/>
      <c r="P105" s="19">
        <v>30</v>
      </c>
      <c r="Q105" s="117"/>
      <c r="R105" s="124"/>
      <c r="S105" s="117"/>
      <c r="T105" s="104"/>
      <c r="U105" s="117"/>
      <c r="V105" s="124"/>
      <c r="W105" s="117"/>
      <c r="X105" s="104"/>
      <c r="Y105" s="117"/>
      <c r="Z105" s="124"/>
      <c r="AA105" s="117"/>
      <c r="AB105" s="104"/>
      <c r="AC105" s="117"/>
      <c r="AD105" s="104"/>
      <c r="AE105" s="117"/>
      <c r="AF105" s="104"/>
      <c r="AG105" s="117"/>
      <c r="AH105" s="124"/>
      <c r="AI105" s="117"/>
      <c r="AJ105" s="104"/>
      <c r="AK105" s="117"/>
      <c r="AL105" s="104"/>
      <c r="AM105" s="117"/>
      <c r="AN105" s="104"/>
      <c r="AO105" s="117"/>
      <c r="AP105" s="124"/>
      <c r="AQ105" s="117"/>
      <c r="AR105" s="104"/>
      <c r="AS105" s="117"/>
      <c r="AT105" s="124"/>
      <c r="AU105" s="117"/>
      <c r="AV105" s="104"/>
      <c r="AW105" s="117"/>
      <c r="AX105" s="124"/>
      <c r="AY105" s="117"/>
      <c r="AZ105" s="104"/>
      <c r="BA105" s="117"/>
      <c r="BB105" s="124"/>
      <c r="BC105" s="117"/>
      <c r="BD105" s="104"/>
      <c r="BE105" s="117"/>
      <c r="BF105" s="124"/>
      <c r="BG105" s="117"/>
      <c r="BH105" s="104"/>
      <c r="BI105" s="117"/>
      <c r="BJ105" s="124"/>
      <c r="BK105" s="117"/>
      <c r="BL105" s="104"/>
      <c r="BM105" s="117"/>
      <c r="BN105" s="124"/>
      <c r="BO105" s="117"/>
      <c r="BP105" s="104"/>
      <c r="BQ105" s="117"/>
      <c r="BR105" s="104"/>
      <c r="BS105" s="117"/>
      <c r="BT105" s="104"/>
      <c r="BU105" s="117"/>
      <c r="BV105" s="104"/>
      <c r="BW105" s="117"/>
      <c r="BX105" s="104"/>
      <c r="BY105" s="117"/>
      <c r="BZ105" s="104"/>
      <c r="CA105" s="117"/>
      <c r="CB105" s="104"/>
      <c r="CC105" s="117"/>
      <c r="CD105" s="124" t="s">
        <v>172</v>
      </c>
      <c r="CE105" s="117"/>
      <c r="CF105" s="104"/>
      <c r="CG105" s="117"/>
      <c r="CH105" s="124"/>
      <c r="CI105" s="117"/>
      <c r="CJ105" s="104"/>
      <c r="CK105" s="117"/>
      <c r="CL105" s="124"/>
      <c r="CM105" s="117"/>
      <c r="CN105" s="104"/>
      <c r="CO105" s="117"/>
      <c r="CP105" s="124"/>
      <c r="CQ105" s="117"/>
      <c r="CR105" s="104"/>
      <c r="CS105" s="117"/>
      <c r="CT105" s="124"/>
      <c r="CU105" s="117"/>
      <c r="CV105" s="104"/>
      <c r="CW105" s="117"/>
      <c r="CX105" s="124"/>
      <c r="CY105" s="117"/>
      <c r="CZ105" s="104"/>
      <c r="DA105" s="117"/>
      <c r="DB105" s="124"/>
      <c r="DC105" s="117"/>
      <c r="DD105" s="104"/>
    </row>
    <row r="106" spans="10:108" x14ac:dyDescent="0.25">
      <c r="J106" s="141"/>
      <c r="K106" s="146" t="str">
        <f>INDEX(TableStreams[Choose your Specialisation Stream second (drop-down list)],MATCH(L106,TableStreams[UDC],0))</f>
        <v>English Education Minor Teaching Area Stream (BEd Secondary)</v>
      </c>
      <c r="L106" s="141" t="s">
        <v>353</v>
      </c>
      <c r="N106" s="6"/>
      <c r="O106" s="6"/>
      <c r="P106" s="19">
        <v>31</v>
      </c>
      <c r="Q106" s="117"/>
      <c r="R106" s="124"/>
      <c r="S106" s="117"/>
      <c r="T106" s="104"/>
      <c r="U106" s="117"/>
      <c r="V106" s="124"/>
      <c r="W106" s="117"/>
      <c r="X106" s="104"/>
      <c r="Y106" s="117"/>
      <c r="Z106" s="124"/>
      <c r="AA106" s="117"/>
      <c r="AB106" s="104"/>
      <c r="AC106" s="117"/>
      <c r="AD106" s="104"/>
      <c r="AE106" s="117"/>
      <c r="AF106" s="104"/>
      <c r="AG106" s="117"/>
      <c r="AH106" s="124"/>
      <c r="AI106" s="117"/>
      <c r="AJ106" s="104"/>
      <c r="AK106" s="117"/>
      <c r="AL106" s="104"/>
      <c r="AM106" s="117"/>
      <c r="AN106" s="104"/>
      <c r="AO106" s="117"/>
      <c r="AP106" s="124"/>
      <c r="AQ106" s="117"/>
      <c r="AR106" s="104"/>
      <c r="AS106" s="117"/>
      <c r="AT106" s="124"/>
      <c r="AU106" s="117"/>
      <c r="AV106" s="104"/>
      <c r="AW106" s="117"/>
      <c r="AX106" s="124"/>
      <c r="AY106" s="117"/>
      <c r="AZ106" s="104"/>
      <c r="BA106" s="117"/>
      <c r="BB106" s="124"/>
      <c r="BC106" s="117"/>
      <c r="BD106" s="104"/>
      <c r="BE106" s="117"/>
      <c r="BF106" s="124"/>
      <c r="BG106" s="117"/>
      <c r="BH106" s="104"/>
      <c r="BI106" s="117"/>
      <c r="BJ106" s="124"/>
      <c r="BK106" s="117"/>
      <c r="BL106" s="104"/>
      <c r="BM106" s="117"/>
      <c r="BN106" s="124"/>
      <c r="BO106" s="117"/>
      <c r="BP106" s="104"/>
      <c r="BQ106" s="117"/>
      <c r="BR106" s="104"/>
      <c r="BS106" s="117"/>
      <c r="BT106" s="104"/>
      <c r="BU106" s="117"/>
      <c r="BV106" s="104"/>
      <c r="BW106" s="117"/>
      <c r="BX106" s="104"/>
      <c r="BY106" s="117"/>
      <c r="BZ106" s="104"/>
      <c r="CA106" s="117"/>
      <c r="CB106" s="104"/>
      <c r="CC106" s="117"/>
      <c r="CD106" s="124" t="s">
        <v>181</v>
      </c>
      <c r="CE106" s="117"/>
      <c r="CF106" s="104"/>
      <c r="CG106" s="117"/>
      <c r="CH106" s="124"/>
      <c r="CI106" s="117"/>
      <c r="CJ106" s="104"/>
      <c r="CK106" s="117"/>
      <c r="CL106" s="124"/>
      <c r="CM106" s="117"/>
      <c r="CN106" s="104"/>
      <c r="CO106" s="117"/>
      <c r="CP106" s="124"/>
      <c r="CQ106" s="117"/>
      <c r="CR106" s="104"/>
      <c r="CS106" s="117"/>
      <c r="CT106" s="124"/>
      <c r="CU106" s="117"/>
      <c r="CV106" s="104"/>
      <c r="CW106" s="117"/>
      <c r="CX106" s="124"/>
      <c r="CY106" s="117"/>
      <c r="CZ106" s="104"/>
      <c r="DA106" s="117"/>
      <c r="DB106" s="124"/>
      <c r="DC106" s="117"/>
      <c r="DD106" s="104"/>
    </row>
    <row r="107" spans="10:108" x14ac:dyDescent="0.25">
      <c r="J107" s="141"/>
      <c r="K107" s="146" t="str">
        <f>INDEX(TableStreams[Choose your Specialisation Stream second (drop-down list)],MATCH(L107,TableStreams[UDC],0))</f>
        <v>Geography Education Minor Teaching Area Stream (BEd Secondary)</v>
      </c>
      <c r="L107" s="141" t="s">
        <v>354</v>
      </c>
      <c r="N107" s="6"/>
      <c r="O107" s="6"/>
      <c r="P107" s="19">
        <v>32</v>
      </c>
      <c r="Q107" s="117"/>
      <c r="R107" s="124"/>
      <c r="S107" s="117"/>
      <c r="T107" s="104"/>
      <c r="U107" s="117"/>
      <c r="V107" s="124"/>
      <c r="W107" s="117"/>
      <c r="X107" s="104"/>
      <c r="Y107" s="117"/>
      <c r="Z107" s="124"/>
      <c r="AA107" s="117"/>
      <c r="AB107" s="104"/>
      <c r="AC107" s="117"/>
      <c r="AD107" s="104"/>
      <c r="AE107" s="117"/>
      <c r="AF107" s="104"/>
      <c r="AG107" s="117"/>
      <c r="AH107" s="124"/>
      <c r="AI107" s="117"/>
      <c r="AJ107" s="104"/>
      <c r="AK107" s="117"/>
      <c r="AL107" s="104"/>
      <c r="AM107" s="117"/>
      <c r="AN107" s="104"/>
      <c r="AO107" s="117"/>
      <c r="AP107" s="124"/>
      <c r="AQ107" s="117"/>
      <c r="AR107" s="104"/>
      <c r="AS107" s="117"/>
      <c r="AT107" s="124"/>
      <c r="AU107" s="117"/>
      <c r="AV107" s="104"/>
      <c r="AW107" s="117"/>
      <c r="AX107" s="124"/>
      <c r="AY107" s="117"/>
      <c r="AZ107" s="104"/>
      <c r="BA107" s="117"/>
      <c r="BB107" s="124"/>
      <c r="BC107" s="117"/>
      <c r="BD107" s="104"/>
      <c r="BE107" s="117"/>
      <c r="BF107" s="124"/>
      <c r="BG107" s="117"/>
      <c r="BH107" s="104"/>
      <c r="BI107" s="117"/>
      <c r="BJ107" s="124"/>
      <c r="BK107" s="117"/>
      <c r="BL107" s="104"/>
      <c r="BM107" s="117"/>
      <c r="BN107" s="124"/>
      <c r="BO107" s="117"/>
      <c r="BP107" s="104"/>
      <c r="BQ107" s="117"/>
      <c r="BR107" s="104"/>
      <c r="BS107" s="117"/>
      <c r="BT107" s="104"/>
      <c r="BU107" s="117"/>
      <c r="BV107" s="104"/>
      <c r="BW107" s="117"/>
      <c r="BX107" s="104"/>
      <c r="BY107" s="117"/>
      <c r="BZ107" s="104"/>
      <c r="CA107" s="117"/>
      <c r="CB107" s="104"/>
      <c r="CC107" s="117"/>
      <c r="CD107" s="124" t="s">
        <v>179</v>
      </c>
      <c r="CE107" s="117"/>
      <c r="CF107" s="104"/>
      <c r="CG107" s="117"/>
      <c r="CH107" s="124"/>
      <c r="CI107" s="117"/>
      <c r="CJ107" s="104"/>
      <c r="CK107" s="117"/>
      <c r="CL107" s="124"/>
      <c r="CM107" s="117"/>
      <c r="CN107" s="104"/>
      <c r="CO107" s="117"/>
      <c r="CP107" s="124"/>
      <c r="CQ107" s="117"/>
      <c r="CR107" s="104"/>
      <c r="CS107" s="117"/>
      <c r="CT107" s="124"/>
      <c r="CU107" s="117"/>
      <c r="CV107" s="104"/>
      <c r="CW107" s="117"/>
      <c r="CX107" s="124"/>
      <c r="CY107" s="117"/>
      <c r="CZ107" s="104"/>
      <c r="DA107" s="117"/>
      <c r="DB107" s="124"/>
      <c r="DC107" s="117"/>
      <c r="DD107" s="104"/>
    </row>
    <row r="108" spans="10:108" x14ac:dyDescent="0.25">
      <c r="J108" s="141"/>
      <c r="K108" s="146" t="str">
        <f>INDEX(TableStreams[Choose your Specialisation Stream second (drop-down list)],MATCH(L108,TableStreams[UDC],0))</f>
        <v>History Education Minor Teaching Area Stream (BEd Secondary)</v>
      </c>
      <c r="L108" s="141" t="s">
        <v>355</v>
      </c>
      <c r="N108" s="6"/>
      <c r="O108" s="6"/>
      <c r="P108" s="19">
        <v>33</v>
      </c>
      <c r="Q108" s="117"/>
      <c r="R108" s="124"/>
      <c r="S108" s="117"/>
      <c r="T108" s="104"/>
      <c r="U108" s="117"/>
      <c r="V108" s="124"/>
      <c r="W108" s="117"/>
      <c r="X108" s="104"/>
      <c r="Y108" s="117"/>
      <c r="Z108" s="124"/>
      <c r="AA108" s="117"/>
      <c r="AB108" s="104"/>
      <c r="AC108" s="117"/>
      <c r="AD108" s="104"/>
      <c r="AE108" s="117"/>
      <c r="AF108" s="104"/>
      <c r="AG108" s="117"/>
      <c r="AH108" s="124"/>
      <c r="AI108" s="117"/>
      <c r="AJ108" s="104"/>
      <c r="AK108" s="117"/>
      <c r="AL108" s="104"/>
      <c r="AM108" s="117"/>
      <c r="AN108" s="104"/>
      <c r="AO108" s="117"/>
      <c r="AP108" s="124"/>
      <c r="AQ108" s="117"/>
      <c r="AR108" s="104"/>
      <c r="AS108" s="117"/>
      <c r="AT108" s="124"/>
      <c r="AU108" s="117"/>
      <c r="AV108" s="104"/>
      <c r="AW108" s="117"/>
      <c r="AX108" s="124"/>
      <c r="AY108" s="117"/>
      <c r="AZ108" s="104"/>
      <c r="BA108" s="117"/>
      <c r="BB108" s="124"/>
      <c r="BC108" s="117"/>
      <c r="BD108" s="104"/>
      <c r="BE108" s="117"/>
      <c r="BF108" s="124"/>
      <c r="BG108" s="117"/>
      <c r="BH108" s="104"/>
      <c r="BI108" s="117"/>
      <c r="BJ108" s="124"/>
      <c r="BK108" s="117"/>
      <c r="BL108" s="104"/>
      <c r="BM108" s="117"/>
      <c r="BN108" s="124"/>
      <c r="BO108" s="117"/>
      <c r="BP108" s="104"/>
      <c r="BQ108" s="117"/>
      <c r="BR108" s="104"/>
      <c r="BS108" s="117"/>
      <c r="BT108" s="104"/>
      <c r="BU108" s="117"/>
      <c r="BV108" s="104"/>
      <c r="BW108" s="117"/>
      <c r="BX108" s="104"/>
      <c r="BY108" s="117"/>
      <c r="BZ108" s="104"/>
      <c r="CA108" s="117"/>
      <c r="CB108" s="104"/>
      <c r="CC108" s="117"/>
      <c r="CD108" s="124" t="s">
        <v>171</v>
      </c>
      <c r="CE108" s="117"/>
      <c r="CF108" s="104"/>
      <c r="CG108" s="117"/>
      <c r="CH108" s="124"/>
      <c r="CI108" s="117"/>
      <c r="CJ108" s="104"/>
      <c r="CK108" s="117"/>
      <c r="CL108" s="124"/>
      <c r="CM108" s="117"/>
      <c r="CN108" s="104"/>
      <c r="CO108" s="117"/>
      <c r="CP108" s="124"/>
      <c r="CQ108" s="117"/>
      <c r="CR108" s="104"/>
      <c r="CS108" s="117"/>
      <c r="CT108" s="124"/>
      <c r="CU108" s="117"/>
      <c r="CV108" s="104"/>
      <c r="CW108" s="117"/>
      <c r="CX108" s="124"/>
      <c r="CY108" s="117"/>
      <c r="CZ108" s="104"/>
      <c r="DA108" s="117"/>
      <c r="DB108" s="124"/>
      <c r="DC108" s="117"/>
      <c r="DD108" s="104"/>
    </row>
    <row r="109" spans="10:108" x14ac:dyDescent="0.25">
      <c r="J109" s="141"/>
      <c r="K109" s="146" t="str">
        <f>INDEX(TableStreams[Choose your Specialisation Stream second (drop-down list)],MATCH(L109,TableStreams[UDC],0))</f>
        <v>Mathematics Education Minor Teaching Area Stream (BEd Secondary)</v>
      </c>
      <c r="L109" s="141" t="s">
        <v>356</v>
      </c>
      <c r="N109" s="6"/>
      <c r="O109" s="6"/>
      <c r="P109" s="19">
        <v>34</v>
      </c>
      <c r="Q109" s="117"/>
      <c r="R109" s="124"/>
      <c r="S109" s="117"/>
      <c r="T109" s="104"/>
      <c r="U109" s="117"/>
      <c r="V109" s="124"/>
      <c r="W109" s="117"/>
      <c r="X109" s="104"/>
      <c r="Y109" s="117"/>
      <c r="Z109" s="124"/>
      <c r="AA109" s="117"/>
      <c r="AB109" s="104"/>
      <c r="AC109" s="117"/>
      <c r="AD109" s="104"/>
      <c r="AE109" s="117"/>
      <c r="AF109" s="104"/>
      <c r="AG109" s="117"/>
      <c r="AH109" s="124"/>
      <c r="AI109" s="117"/>
      <c r="AJ109" s="104"/>
      <c r="AK109" s="117"/>
      <c r="AL109" s="104"/>
      <c r="AM109" s="117"/>
      <c r="AN109" s="104"/>
      <c r="AO109" s="117"/>
      <c r="AP109" s="124"/>
      <c r="AQ109" s="117"/>
      <c r="AR109" s="104"/>
      <c r="AS109" s="117"/>
      <c r="AT109" s="124"/>
      <c r="AU109" s="117"/>
      <c r="AV109" s="104"/>
      <c r="AW109" s="117"/>
      <c r="AX109" s="124"/>
      <c r="AY109" s="117"/>
      <c r="AZ109" s="104"/>
      <c r="BA109" s="117"/>
      <c r="BB109" s="124"/>
      <c r="BC109" s="117"/>
      <c r="BD109" s="104"/>
      <c r="BE109" s="117"/>
      <c r="BF109" s="124"/>
      <c r="BG109" s="117"/>
      <c r="BH109" s="104"/>
      <c r="BI109" s="117"/>
      <c r="BJ109" s="124"/>
      <c r="BK109" s="117"/>
      <c r="BL109" s="104"/>
      <c r="BM109" s="117"/>
      <c r="BN109" s="124"/>
      <c r="BO109" s="117"/>
      <c r="BP109" s="104"/>
      <c r="BQ109" s="117"/>
      <c r="BR109" s="104"/>
      <c r="BS109" s="117"/>
      <c r="BT109" s="104"/>
      <c r="BU109" s="117"/>
      <c r="BV109" s="104"/>
      <c r="BW109" s="117"/>
      <c r="BX109" s="104"/>
      <c r="BY109" s="117"/>
      <c r="BZ109" s="104"/>
      <c r="CA109" s="117"/>
      <c r="CB109" s="104"/>
      <c r="CC109" s="117"/>
      <c r="CD109" s="124" t="s">
        <v>178</v>
      </c>
      <c r="CE109" s="117"/>
      <c r="CF109" s="104"/>
      <c r="CG109" s="117"/>
      <c r="CH109" s="124"/>
      <c r="CI109" s="117"/>
      <c r="CJ109" s="104"/>
      <c r="CK109" s="117"/>
      <c r="CL109" s="124"/>
      <c r="CM109" s="117"/>
      <c r="CN109" s="104"/>
      <c r="CO109" s="117"/>
      <c r="CP109" s="124"/>
      <c r="CQ109" s="117"/>
      <c r="CR109" s="104"/>
      <c r="CS109" s="117"/>
      <c r="CT109" s="124"/>
      <c r="CU109" s="117"/>
      <c r="CV109" s="104"/>
      <c r="CW109" s="117"/>
      <c r="CX109" s="124"/>
      <c r="CY109" s="117"/>
      <c r="CZ109" s="104"/>
      <c r="DA109" s="117"/>
      <c r="DB109" s="124"/>
      <c r="DC109" s="117"/>
      <c r="DD109" s="104"/>
    </row>
    <row r="110" spans="10:108" x14ac:dyDescent="0.25">
      <c r="J110" s="141"/>
      <c r="K110" s="146" t="str">
        <f>INDEX(TableStreams[Choose your Specialisation Stream second (drop-down list)],MATCH(L110,TableStreams[UDC],0))</f>
        <v>The Arts - Media Education Minor Teaching Area Stream (BEd Secondary)</v>
      </c>
      <c r="L110" s="141" t="s">
        <v>360</v>
      </c>
      <c r="N110" s="6"/>
      <c r="O110" s="6"/>
      <c r="P110" s="19">
        <v>35</v>
      </c>
      <c r="Q110" s="117"/>
      <c r="R110" s="104"/>
      <c r="S110" s="117"/>
      <c r="T110" s="104"/>
      <c r="U110" s="117"/>
      <c r="V110" s="104"/>
      <c r="W110" s="117"/>
      <c r="X110" s="104"/>
      <c r="Y110" s="117"/>
      <c r="Z110" s="104"/>
      <c r="AA110" s="117"/>
      <c r="AB110" s="104"/>
      <c r="AC110" s="117"/>
      <c r="AD110" s="104"/>
      <c r="AE110" s="117"/>
      <c r="AF110" s="104"/>
      <c r="AG110" s="117"/>
      <c r="AH110" s="104"/>
      <c r="AI110" s="117"/>
      <c r="AJ110" s="104"/>
      <c r="AK110" s="117"/>
      <c r="AL110" s="104"/>
      <c r="AM110" s="117"/>
      <c r="AN110" s="104"/>
      <c r="AO110" s="117"/>
      <c r="AP110" s="104"/>
      <c r="AQ110" s="117"/>
      <c r="AR110" s="104"/>
      <c r="AS110" s="117"/>
      <c r="AT110" s="104"/>
      <c r="AU110" s="117"/>
      <c r="AV110" s="104"/>
      <c r="AW110" s="117"/>
      <c r="AX110" s="104"/>
      <c r="AY110" s="117"/>
      <c r="AZ110" s="104"/>
      <c r="BA110" s="117"/>
      <c r="BB110" s="104"/>
      <c r="BC110" s="117"/>
      <c r="BD110" s="104"/>
      <c r="BE110" s="117"/>
      <c r="BF110" s="104"/>
      <c r="BG110" s="117"/>
      <c r="BH110" s="104"/>
      <c r="BI110" s="117"/>
      <c r="BJ110" s="104"/>
      <c r="BK110" s="117"/>
      <c r="BL110" s="104"/>
      <c r="BM110" s="117"/>
      <c r="BN110" s="104"/>
      <c r="BO110" s="117"/>
      <c r="BP110" s="104"/>
      <c r="BQ110" s="117"/>
      <c r="BR110" s="104"/>
      <c r="BS110" s="117"/>
      <c r="BT110" s="104"/>
      <c r="BU110" s="117"/>
      <c r="BV110" s="104"/>
      <c r="BW110" s="117"/>
      <c r="BX110" s="104"/>
      <c r="BY110" s="117"/>
      <c r="BZ110" s="104"/>
      <c r="CA110" s="117"/>
      <c r="CB110" s="104"/>
      <c r="CC110" s="117"/>
      <c r="CD110" s="104" t="s">
        <v>185</v>
      </c>
      <c r="CE110" s="117"/>
      <c r="CF110" s="104"/>
      <c r="CG110" s="117"/>
      <c r="CH110" s="104"/>
      <c r="CI110" s="117"/>
      <c r="CJ110" s="104"/>
      <c r="CK110" s="117"/>
      <c r="CL110" s="104"/>
      <c r="CM110" s="117"/>
      <c r="CN110" s="104"/>
      <c r="CO110" s="117"/>
      <c r="CP110" s="104"/>
      <c r="CQ110" s="117"/>
      <c r="CR110" s="104"/>
      <c r="CS110" s="117"/>
      <c r="CT110" s="104"/>
      <c r="CU110" s="117"/>
      <c r="CV110" s="104"/>
      <c r="CW110" s="117"/>
      <c r="CX110" s="104"/>
      <c r="CY110" s="117"/>
      <c r="CZ110" s="104"/>
      <c r="DA110" s="117"/>
      <c r="DB110" s="104"/>
      <c r="DC110" s="117"/>
      <c r="DD110" s="104"/>
    </row>
    <row r="111" spans="10:108" x14ac:dyDescent="0.25">
      <c r="J111" s="141"/>
      <c r="K111" s="146" t="str">
        <f>INDEX(TableStreams[Choose your Specialisation Stream second (drop-down list)],MATCH(L111,TableStreams[UDC],0))</f>
        <v>The Arts - Performing Arts Education Minor Teaching Area Stream (BEd Secondary)</v>
      </c>
      <c r="L111" s="141" t="s">
        <v>361</v>
      </c>
      <c r="N111" s="6"/>
      <c r="O111" s="6"/>
      <c r="P111" s="19">
        <v>36</v>
      </c>
      <c r="Q111" s="118"/>
      <c r="R111" s="103"/>
      <c r="S111" s="118"/>
      <c r="T111" s="103"/>
      <c r="U111" s="118"/>
      <c r="V111" s="103"/>
      <c r="W111" s="118"/>
      <c r="X111" s="103"/>
      <c r="Y111" s="118"/>
      <c r="Z111" s="103"/>
      <c r="AA111" s="118"/>
      <c r="AB111" s="103"/>
      <c r="AC111" s="118"/>
      <c r="AD111" s="103"/>
      <c r="AE111" s="118"/>
      <c r="AF111" s="103"/>
      <c r="AG111" s="118"/>
      <c r="AH111" s="103"/>
      <c r="AI111" s="118"/>
      <c r="AJ111" s="103"/>
      <c r="AK111" s="118"/>
      <c r="AL111" s="103"/>
      <c r="AM111" s="118"/>
      <c r="AN111" s="103"/>
      <c r="AO111" s="118"/>
      <c r="AP111" s="103"/>
      <c r="AQ111" s="118"/>
      <c r="AR111" s="103"/>
      <c r="AS111" s="118"/>
      <c r="AT111" s="103"/>
      <c r="AU111" s="118"/>
      <c r="AV111" s="103"/>
      <c r="AW111" s="118"/>
      <c r="AX111" s="103"/>
      <c r="AY111" s="118"/>
      <c r="AZ111" s="103"/>
      <c r="BA111" s="118"/>
      <c r="BB111" s="103"/>
      <c r="BC111" s="118"/>
      <c r="BD111" s="103"/>
      <c r="BE111" s="118"/>
      <c r="BF111" s="103"/>
      <c r="BG111" s="118"/>
      <c r="BH111" s="103"/>
      <c r="BI111" s="118"/>
      <c r="BJ111" s="103"/>
      <c r="BK111" s="118"/>
      <c r="BL111" s="103"/>
      <c r="BM111" s="118"/>
      <c r="BN111" s="103"/>
      <c r="BO111" s="118"/>
      <c r="BP111" s="103"/>
      <c r="BQ111" s="118"/>
      <c r="BR111" s="103"/>
      <c r="BS111" s="118"/>
      <c r="BT111" s="103"/>
      <c r="BU111" s="118"/>
      <c r="BV111" s="103"/>
      <c r="BW111" s="118"/>
      <c r="BX111" s="103"/>
      <c r="BY111" s="118"/>
      <c r="BZ111" s="103"/>
      <c r="CA111" s="118"/>
      <c r="CB111" s="103"/>
      <c r="CC111" s="118"/>
      <c r="CD111" s="103" t="s">
        <v>129</v>
      </c>
      <c r="CE111" s="118"/>
      <c r="CF111" s="103"/>
      <c r="CG111" s="118"/>
      <c r="CH111" s="103"/>
      <c r="CI111" s="118"/>
      <c r="CJ111" s="103"/>
      <c r="CK111" s="118"/>
      <c r="CL111" s="103"/>
      <c r="CM111" s="118"/>
      <c r="CN111" s="103"/>
      <c r="CO111" s="118"/>
      <c r="CP111" s="103"/>
      <c r="CQ111" s="118"/>
      <c r="CR111" s="103"/>
      <c r="CS111" s="118"/>
      <c r="CT111" s="103"/>
      <c r="CU111" s="118"/>
      <c r="CV111" s="103"/>
      <c r="CW111" s="118"/>
      <c r="CX111" s="103"/>
      <c r="CY111" s="118"/>
      <c r="CZ111" s="103"/>
      <c r="DA111" s="118"/>
      <c r="DB111" s="103"/>
      <c r="DC111" s="118"/>
      <c r="DD111" s="103"/>
    </row>
    <row r="112" spans="10:108" x14ac:dyDescent="0.25">
      <c r="J112" s="142"/>
      <c r="K112" s="147" t="str">
        <f>INDEX(TableStreams[Choose your Specialisation Stream second (drop-down list)],MATCH(L112,TableStreams[UDC],0))</f>
        <v>The Arts - Visual Arts Education Minor Teaching Area Stream (BEd Secondary)</v>
      </c>
      <c r="L112" s="142" t="s">
        <v>217</v>
      </c>
      <c r="DB112" s="368" t="s">
        <v>1468</v>
      </c>
    </row>
    <row r="113" spans="10:34" x14ac:dyDescent="0.25">
      <c r="J113" s="143" t="s">
        <v>336</v>
      </c>
      <c r="K113" s="148" t="s">
        <v>753</v>
      </c>
      <c r="L113" s="143" t="s">
        <v>351</v>
      </c>
      <c r="AH113" s="82"/>
    </row>
    <row r="114" spans="10:34" x14ac:dyDescent="0.25">
      <c r="J114" s="140" t="s">
        <v>349</v>
      </c>
      <c r="K114" s="145" t="s">
        <v>221</v>
      </c>
      <c r="L114" s="140"/>
      <c r="AH114" s="82"/>
    </row>
    <row r="115" spans="10:34" x14ac:dyDescent="0.25">
      <c r="J115" s="141"/>
      <c r="K115" s="146" t="str">
        <f>INDEX(TableStreams[Choose your Specialisation Stream second (drop-down list)],MATCH(L115,TableStreams[UDC],0))</f>
        <v>Broadening Psychology Teaching Area Stream (BEd Secondary)</v>
      </c>
      <c r="L115" s="141" t="s">
        <v>371</v>
      </c>
      <c r="AH115" s="82"/>
    </row>
    <row r="116" spans="10:34" x14ac:dyDescent="0.25">
      <c r="J116" s="141"/>
      <c r="K116" s="146" t="str">
        <f>INDEX(TableStreams[Choose your Specialisation Stream second (drop-down list)],MATCH(L116,TableStreams[UDC],0))</f>
        <v>English Education Minor Teaching Area Stream (BEd Secondary)</v>
      </c>
      <c r="L116" s="141" t="s">
        <v>353</v>
      </c>
    </row>
    <row r="117" spans="10:34" x14ac:dyDescent="0.25">
      <c r="J117" s="141"/>
      <c r="K117" s="146" t="str">
        <f>INDEX(TableStreams[Choose your Specialisation Stream second (drop-down list)],MATCH(L117,TableStreams[UDC],0))</f>
        <v>Geography Education Minor Teaching Area Stream (BEd Secondary)</v>
      </c>
      <c r="L117" s="141" t="s">
        <v>354</v>
      </c>
      <c r="N117" s="87" t="s">
        <v>754</v>
      </c>
      <c r="O117" s="87"/>
      <c r="P117" s="3">
        <v>1</v>
      </c>
      <c r="Q117" s="155"/>
      <c r="R117" s="156" t="s">
        <v>676</v>
      </c>
      <c r="S117" s="157"/>
      <c r="T117" s="156" t="s">
        <v>677</v>
      </c>
    </row>
    <row r="118" spans="10:34" x14ac:dyDescent="0.25">
      <c r="J118" s="141"/>
      <c r="K118" s="146" t="str">
        <f>INDEX(TableStreams[Choose your Specialisation Stream second (drop-down list)],MATCH(L118,TableStreams[UDC],0))</f>
        <v>History Education Minor Teaching Area Stream (BEd Secondary)</v>
      </c>
      <c r="L118" s="141" t="s">
        <v>355</v>
      </c>
      <c r="N118" s="6"/>
      <c r="O118" s="6"/>
      <c r="P118" s="19">
        <v>2</v>
      </c>
      <c r="Q118" s="116" t="s">
        <v>56</v>
      </c>
      <c r="R118" s="115" t="s">
        <v>588</v>
      </c>
      <c r="S118" s="116"/>
      <c r="T118" s="115"/>
      <c r="U118" s="3"/>
      <c r="V118" s="3"/>
      <c r="W118" s="3"/>
      <c r="X118" s="3"/>
    </row>
    <row r="119" spans="10:34" x14ac:dyDescent="0.25">
      <c r="J119" s="141"/>
      <c r="K119" s="146" t="str">
        <f>INDEX(TableStreams[Choose your Specialisation Stream second (drop-down list)],MATCH(L119,TableStreams[UDC],0))</f>
        <v>Mathematics Education Minor Teaching Area Stream (BEd Secondary)</v>
      </c>
      <c r="L119" s="141" t="s">
        <v>356</v>
      </c>
      <c r="N119" s="6"/>
      <c r="O119" s="6"/>
      <c r="P119" s="19">
        <v>3</v>
      </c>
      <c r="Q119" s="117" t="s">
        <v>87</v>
      </c>
      <c r="R119" s="104" t="s">
        <v>446</v>
      </c>
      <c r="S119" s="117"/>
      <c r="T119" s="104"/>
      <c r="U119" s="3"/>
      <c r="V119" s="3"/>
      <c r="W119" s="3"/>
      <c r="X119" s="3"/>
    </row>
    <row r="120" spans="10:34" x14ac:dyDescent="0.25">
      <c r="J120" s="141"/>
      <c r="K120" s="146" t="str">
        <f>INDEX(TableStreams[Choose your Specialisation Stream second (drop-down list)],MATCH(L120,TableStreams[UDC],0))</f>
        <v>The Arts - Media Education Minor Teaching Area Stream (BEd Secondary)</v>
      </c>
      <c r="L120" s="141" t="s">
        <v>360</v>
      </c>
      <c r="N120" s="6"/>
      <c r="O120" s="6"/>
      <c r="P120" s="19">
        <v>4</v>
      </c>
      <c r="Q120" s="117" t="s">
        <v>89</v>
      </c>
      <c r="R120" s="104" t="s">
        <v>748</v>
      </c>
      <c r="S120" s="117"/>
      <c r="T120" s="104"/>
      <c r="U120" s="3"/>
      <c r="V120" s="3"/>
      <c r="W120" s="3"/>
      <c r="X120" s="3"/>
    </row>
    <row r="121" spans="10:34" x14ac:dyDescent="0.25">
      <c r="J121" s="141"/>
      <c r="K121" s="146" t="str">
        <f>INDEX(TableStreams[Choose your Specialisation Stream second (drop-down list)],MATCH(L121,TableStreams[UDC],0))</f>
        <v>The Arts - Performing Arts Education Minor Teaching Area Stream (BEd Secondary)</v>
      </c>
      <c r="L121" s="141" t="s">
        <v>361</v>
      </c>
      <c r="N121" s="6"/>
      <c r="O121" s="6"/>
      <c r="P121" s="19">
        <v>5</v>
      </c>
      <c r="Q121" s="117" t="s">
        <v>121</v>
      </c>
      <c r="R121" s="104" t="s">
        <v>571</v>
      </c>
      <c r="S121" s="117"/>
      <c r="T121" s="104"/>
      <c r="U121" s="3"/>
      <c r="V121" s="3"/>
      <c r="W121" s="3"/>
      <c r="X121" s="3"/>
    </row>
    <row r="122" spans="10:34" x14ac:dyDescent="0.25">
      <c r="J122" s="142"/>
      <c r="K122" s="147" t="str">
        <f>INDEX(TableStreams[Choose your Specialisation Stream second (drop-down list)],MATCH(L122,TableStreams[UDC],0))</f>
        <v>The Arts - Visual Arts Education Minor Teaching Area Stream (BEd Secondary)</v>
      </c>
      <c r="L122" s="142" t="s">
        <v>217</v>
      </c>
      <c r="N122" s="6"/>
      <c r="O122" s="6"/>
      <c r="P122" s="19">
        <v>6</v>
      </c>
      <c r="Q122" s="117" t="s">
        <v>121</v>
      </c>
      <c r="R122" s="104" t="s">
        <v>466</v>
      </c>
      <c r="S122" s="117"/>
      <c r="T122" s="104"/>
      <c r="U122" s="3"/>
      <c r="V122" s="3"/>
      <c r="W122" s="3"/>
      <c r="X122" s="3"/>
    </row>
    <row r="123" spans="10:34" x14ac:dyDescent="0.25">
      <c r="J123" s="159" t="s">
        <v>755</v>
      </c>
      <c r="K123" s="158" t="s">
        <v>756</v>
      </c>
      <c r="L123" s="159"/>
      <c r="N123" s="6"/>
      <c r="O123" s="6"/>
      <c r="P123" s="19">
        <v>7</v>
      </c>
      <c r="Q123" s="117" t="s">
        <v>123</v>
      </c>
      <c r="R123" s="104" t="s">
        <v>487</v>
      </c>
      <c r="S123" s="117"/>
      <c r="T123" s="104"/>
      <c r="U123" s="3"/>
      <c r="V123" s="3"/>
      <c r="W123" s="3"/>
      <c r="X123" s="3"/>
    </row>
    <row r="124" spans="10:34" x14ac:dyDescent="0.25">
      <c r="J124" s="141"/>
      <c r="K124" s="146" t="str">
        <f>INDEX(TableMajors[Choose your Major first (drop-down list)],MATCH(L124,TableMajors[UDC],0))</f>
        <v>English Education Major (BEd Secondary)</v>
      </c>
      <c r="L124" s="141" t="s">
        <v>339</v>
      </c>
      <c r="P124" s="19">
        <v>8</v>
      </c>
      <c r="Q124" s="118" t="s">
        <v>148</v>
      </c>
      <c r="R124" s="103" t="s">
        <v>476</v>
      </c>
      <c r="S124" s="118"/>
      <c r="T124" s="103"/>
      <c r="U124" s="3"/>
      <c r="V124" s="3"/>
      <c r="W124" s="3"/>
      <c r="X124" s="3"/>
    </row>
    <row r="125" spans="10:34" x14ac:dyDescent="0.25">
      <c r="J125" s="141"/>
      <c r="K125" s="146" t="str">
        <f>INDEX(TableMajors[Choose your Major first (drop-down list)],MATCH(L125,TableMajors[UDC],0))</f>
        <v>Humanities and Social Sciences Education Major (Economics) (BEd Secondary)</v>
      </c>
      <c r="L125" s="194" t="s">
        <v>340</v>
      </c>
    </row>
    <row r="126" spans="10:34" x14ac:dyDescent="0.25">
      <c r="J126" s="141"/>
      <c r="K126" s="146" t="str">
        <f>INDEX(TableMajors[Choose your Major first (drop-down list)],MATCH(L126,TableMajors[UDC],0))</f>
        <v>Humanities and Social Sciences Education Major (Geography) (BEd Secondary)</v>
      </c>
      <c r="L126" s="141" t="s">
        <v>341</v>
      </c>
    </row>
    <row r="127" spans="10:34" x14ac:dyDescent="0.25">
      <c r="J127" s="141"/>
      <c r="K127" s="146" t="str">
        <f>INDEX(TableMajors[Choose your Major first (drop-down list)],MATCH(L127,TableMajors[UDC],0))</f>
        <v>Humanities and Social Sciences Education Major (History) (BEd Secondary)</v>
      </c>
      <c r="L127" s="141" t="s">
        <v>342</v>
      </c>
    </row>
    <row r="128" spans="10:34" x14ac:dyDescent="0.25">
      <c r="J128" s="141"/>
      <c r="K128" s="146" t="str">
        <f>INDEX(TableMajors[Choose your Major first (drop-down list)],MATCH(L128,TableMajors[UDC],0))</f>
        <v>Humanities and Social Sciences Education Major (Politics and Law) (BEd Secondary)</v>
      </c>
      <c r="L128" s="141" t="s">
        <v>343</v>
      </c>
    </row>
    <row r="129" spans="10:12" x14ac:dyDescent="0.25">
      <c r="J129" s="141"/>
      <c r="K129" s="146" t="str">
        <f>INDEX(TableMajors[Choose your Major first (drop-down list)],MATCH(L129,TableMajors[UDC],0))</f>
        <v>Science Education Major (Biology) (BEd Secondary)</v>
      </c>
      <c r="L129" s="141" t="s">
        <v>346</v>
      </c>
    </row>
    <row r="130" spans="10:12" x14ac:dyDescent="0.25">
      <c r="J130" s="141"/>
      <c r="K130" s="146" t="str">
        <f>INDEX(TableMajors[Choose your Major first (drop-down list)],MATCH(L130,TableMajors[UDC],0))</f>
        <v>Science Education Major (Chemistry) (BEd Secondary)</v>
      </c>
      <c r="L130" s="141" t="s">
        <v>347</v>
      </c>
    </row>
    <row r="131" spans="10:12" x14ac:dyDescent="0.25">
      <c r="J131" s="141"/>
      <c r="K131" s="146" t="str">
        <f>INDEX(TableMajors[Choose your Major first (drop-down list)],MATCH(L131,TableMajors[UDC],0))</f>
        <v>Science Education Major (Human Biology) (BEd Secondary)</v>
      </c>
      <c r="L131" s="141" t="s">
        <v>348</v>
      </c>
    </row>
    <row r="132" spans="10:12" x14ac:dyDescent="0.25">
      <c r="J132" s="141"/>
      <c r="K132" s="146" t="s">
        <v>390</v>
      </c>
      <c r="L132" s="141" t="s">
        <v>349</v>
      </c>
    </row>
    <row r="133" spans="10:12" x14ac:dyDescent="0.25">
      <c r="J133" s="141"/>
      <c r="K133" s="146" t="str">
        <f>INDEX(TableMajors[Choose your Major first (drop-down list)],MATCH(L133,TableMajors[UDC],0))</f>
        <v>The Arts Education Major (Drama) (BEd Secondary)</v>
      </c>
      <c r="L133" s="141" t="s">
        <v>335</v>
      </c>
    </row>
    <row r="134" spans="10:12" x14ac:dyDescent="0.25">
      <c r="J134" s="141"/>
      <c r="K134" s="146" t="str">
        <f>INDEX(TableMajors[Choose your Major first (drop-down list)],MATCH(L134,TableMajors[UDC],0))</f>
        <v>The Arts Education Major (Media Production and Analysis) (BEd Secondary)</v>
      </c>
      <c r="L134" s="141" t="s">
        <v>337</v>
      </c>
    </row>
    <row r="135" spans="10:12" x14ac:dyDescent="0.25">
      <c r="J135" s="142"/>
      <c r="K135" s="147" t="s">
        <v>394</v>
      </c>
      <c r="L135" s="142" t="s">
        <v>338</v>
      </c>
    </row>
    <row r="136" spans="10:12" x14ac:dyDescent="0.25">
      <c r="J136" s="325"/>
      <c r="K136" s="327" t="s">
        <v>389</v>
      </c>
      <c r="L136" s="328" t="s">
        <v>336</v>
      </c>
    </row>
    <row r="137" spans="10:12" x14ac:dyDescent="0.25">
      <c r="J137" s="325"/>
      <c r="K137" s="327" t="s">
        <v>382</v>
      </c>
      <c r="L137" s="328" t="s">
        <v>344</v>
      </c>
    </row>
    <row r="138" spans="10:12" x14ac:dyDescent="0.25">
      <c r="J138" s="326"/>
      <c r="K138" s="195" t="s">
        <v>207</v>
      </c>
      <c r="L138" s="196" t="s">
        <v>345</v>
      </c>
    </row>
  </sheetData>
  <sortState xmlns:xlrd2="http://schemas.microsoft.com/office/spreadsheetml/2017/richdata2" ref="K124:L137">
    <sortCondition ref="K124"/>
  </sortState>
  <conditionalFormatting sqref="B26:B48">
    <cfRule type="duplicateValues" dxfId="168" priority="1699"/>
  </conditionalFormatting>
  <conditionalFormatting sqref="Q42:CB74 Q77:DD111">
    <cfRule type="containsText" dxfId="167" priority="850" operator="containsText" text="Opt-">
      <formula>NOT(ISERROR(SEARCH("Opt-",Q42)))</formula>
    </cfRule>
    <cfRule type="containsText" dxfId="166" priority="851" operator="containsText" text="AC-">
      <formula>NOT(ISERROR(SEARCH("AC-",Q42)))</formula>
    </cfRule>
  </conditionalFormatting>
  <conditionalFormatting sqref="R83">
    <cfRule type="containsText" dxfId="165" priority="1079" operator="containsText" text="AltCore">
      <formula>NOT(ISERROR(SEARCH("AltCore",R83)))</formula>
    </cfRule>
  </conditionalFormatting>
  <conditionalFormatting sqref="V83">
    <cfRule type="containsText" dxfId="164" priority="870" operator="containsText" text="AltCore">
      <formula>NOT(ISERROR(SEARCH("AltCore",V83)))</formula>
    </cfRule>
  </conditionalFormatting>
  <conditionalFormatting sqref="Z83">
    <cfRule type="containsText" dxfId="163" priority="1077" operator="containsText" text="AltCore">
      <formula>NOT(ISERROR(SEARCH("AltCore",Z83)))</formula>
    </cfRule>
  </conditionalFormatting>
  <conditionalFormatting sqref="AH83">
    <cfRule type="containsText" dxfId="162" priority="1073" operator="containsText" text="AltCore">
      <formula>NOT(ISERROR(SEARCH("AltCore",AH83)))</formula>
    </cfRule>
  </conditionalFormatting>
  <conditionalFormatting sqref="AK83:AK111">
    <cfRule type="containsText" dxfId="161" priority="1071" operator="containsText" text="Option">
      <formula>NOT(ISERROR(SEARCH("Option",AK83)))</formula>
    </cfRule>
    <cfRule type="containsText" dxfId="160" priority="1072" operator="containsText" text="AltCore">
      <formula>NOT(ISERROR(SEARCH("AltCore",AK83)))</formula>
    </cfRule>
  </conditionalFormatting>
  <conditionalFormatting sqref="AP83">
    <cfRule type="containsText" dxfId="159" priority="1070" operator="containsText" text="AltCore">
      <formula>NOT(ISERROR(SEARCH("AltCore",AP83)))</formula>
    </cfRule>
  </conditionalFormatting>
  <conditionalFormatting sqref="AT83">
    <cfRule type="containsText" dxfId="158" priority="1069" operator="containsText" text="AltCore">
      <formula>NOT(ISERROR(SEARCH("AltCore",AT83)))</formula>
    </cfRule>
  </conditionalFormatting>
  <conditionalFormatting sqref="AX83">
    <cfRule type="containsText" dxfId="157" priority="1068" operator="containsText" text="AltCore">
      <formula>NOT(ISERROR(SEARCH("AltCore",AX83)))</formula>
    </cfRule>
  </conditionalFormatting>
  <conditionalFormatting sqref="BB83">
    <cfRule type="containsText" dxfId="156" priority="1067" operator="containsText" text="AltCore">
      <formula>NOT(ISERROR(SEARCH("AltCore",BB83)))</formula>
    </cfRule>
  </conditionalFormatting>
  <conditionalFormatting sqref="BF83">
    <cfRule type="containsText" dxfId="155" priority="1066" operator="containsText" text="AltCore">
      <formula>NOT(ISERROR(SEARCH("AltCore",BF83)))</formula>
    </cfRule>
  </conditionalFormatting>
  <conditionalFormatting sqref="BJ83">
    <cfRule type="containsText" dxfId="154" priority="1065" operator="containsText" text="AltCore">
      <formula>NOT(ISERROR(SEARCH("AltCore",BJ83)))</formula>
    </cfRule>
  </conditionalFormatting>
  <conditionalFormatting sqref="BN83">
    <cfRule type="containsText" dxfId="153" priority="1064" operator="containsText" text="AltCore">
      <formula>NOT(ISERROR(SEARCH("AltCore",BN83)))</formula>
    </cfRule>
  </conditionalFormatting>
  <conditionalFormatting sqref="CD83">
    <cfRule type="containsText" dxfId="152" priority="999" operator="containsText" text="AltCore">
      <formula>NOT(ISERROR(SEARCH("AltCore",CD83)))</formula>
    </cfRule>
  </conditionalFormatting>
  <conditionalFormatting sqref="CH83">
    <cfRule type="containsText" dxfId="151" priority="998" operator="containsText" text="AltCore">
      <formula>NOT(ISERROR(SEARCH("AltCore",CH83)))</formula>
    </cfRule>
  </conditionalFormatting>
  <conditionalFormatting sqref="CL83">
    <cfRule type="containsText" dxfId="150" priority="997" operator="containsText" text="AltCore">
      <formula>NOT(ISERROR(SEARCH("AltCore",CL83)))</formula>
    </cfRule>
  </conditionalFormatting>
  <conditionalFormatting sqref="CP83">
    <cfRule type="containsText" dxfId="149" priority="996" operator="containsText" text="AltCore">
      <formula>NOT(ISERROR(SEARCH("AltCore",CP83)))</formula>
    </cfRule>
  </conditionalFormatting>
  <conditionalFormatting sqref="CT83">
    <cfRule type="containsText" dxfId="148" priority="995" operator="containsText" text="AltCore">
      <formula>NOT(ISERROR(SEARCH("AltCore",CT83)))</formula>
    </cfRule>
  </conditionalFormatting>
  <conditionalFormatting sqref="CX83">
    <cfRule type="containsText" dxfId="147" priority="994" operator="containsText" text="AltCore">
      <formula>NOT(ISERROR(SEARCH("AltCore",CX83)))</formula>
    </cfRule>
  </conditionalFormatting>
  <conditionalFormatting sqref="DB83">
    <cfRule type="containsText" dxfId="146" priority="993" operator="containsText" text="AltCore">
      <formula>NOT(ISERROR(SEARCH("AltCore",DB83)))</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BH393"/>
  <sheetViews>
    <sheetView zoomScale="70" zoomScaleNormal="70" workbookViewId="0">
      <pane xSplit="5" ySplit="2" topLeftCell="F251" activePane="bottomRight" state="frozen"/>
      <selection activeCell="AF118" sqref="AF118"/>
      <selection pane="topRight" activeCell="AF118" sqref="AF118"/>
      <selection pane="bottomLeft" activeCell="AF118" sqref="AF118"/>
      <selection pane="bottomRight" activeCell="AF118" sqref="AF118"/>
    </sheetView>
  </sheetViews>
  <sheetFormatPr defaultRowHeight="15.75" x14ac:dyDescent="0.25"/>
  <cols>
    <col min="1" max="1" width="18.75" bestFit="1" customWidth="1"/>
    <col min="2" max="2" width="7.5" style="5" bestFit="1" customWidth="1"/>
    <col min="3" max="3" width="11.5" bestFit="1" customWidth="1"/>
    <col min="4" max="4" width="63.875" customWidth="1"/>
    <col min="5" max="5" width="11" style="5" bestFit="1" customWidth="1"/>
    <col min="6" max="6" width="43.5" bestFit="1" customWidth="1"/>
    <col min="7" max="12" width="7.125" style="5" bestFit="1" customWidth="1"/>
    <col min="13" max="13" width="51.75" customWidth="1"/>
    <col min="14" max="61" width="7.125" bestFit="1" customWidth="1"/>
  </cols>
  <sheetData>
    <row r="1" spans="1:60" x14ac:dyDescent="0.25">
      <c r="A1" s="206">
        <f>COLUMN()</f>
        <v>1</v>
      </c>
      <c r="B1" s="206">
        <f>COLUMN()</f>
        <v>2</v>
      </c>
      <c r="C1" s="206">
        <f>COLUMN()</f>
        <v>3</v>
      </c>
      <c r="D1" s="206">
        <f>COLUMN()</f>
        <v>4</v>
      </c>
      <c r="E1" s="206">
        <f>COLUMN()</f>
        <v>5</v>
      </c>
      <c r="F1" s="206">
        <f>COLUMN()</f>
        <v>6</v>
      </c>
      <c r="G1" s="206">
        <f>COLUMN()</f>
        <v>7</v>
      </c>
      <c r="H1" s="206">
        <f>COLUMN()</f>
        <v>8</v>
      </c>
      <c r="I1" s="206">
        <f>COLUMN()</f>
        <v>9</v>
      </c>
      <c r="J1" s="206">
        <f>COLUMN()</f>
        <v>10</v>
      </c>
      <c r="K1" s="206">
        <f>COLUMN()</f>
        <v>11</v>
      </c>
      <c r="L1" s="206">
        <f>COLUMN()</f>
        <v>12</v>
      </c>
      <c r="M1" s="206">
        <f>COLUMN()</f>
        <v>13</v>
      </c>
      <c r="N1" s="206">
        <f>COLUMN()</f>
        <v>14</v>
      </c>
      <c r="O1" s="206">
        <f>COLUMN()</f>
        <v>15</v>
      </c>
      <c r="P1" s="206">
        <f>COLUMN()</f>
        <v>16</v>
      </c>
      <c r="Q1" s="206">
        <f>COLUMN()</f>
        <v>17</v>
      </c>
      <c r="R1" s="206">
        <f>COLUMN()</f>
        <v>18</v>
      </c>
      <c r="S1" s="206">
        <f>COLUMN()</f>
        <v>19</v>
      </c>
      <c r="T1" s="206">
        <f>COLUMN()</f>
        <v>20</v>
      </c>
      <c r="U1" s="206">
        <f>COLUMN()</f>
        <v>21</v>
      </c>
      <c r="V1" s="206">
        <f>COLUMN()</f>
        <v>22</v>
      </c>
      <c r="W1" s="206">
        <f>COLUMN()</f>
        <v>23</v>
      </c>
      <c r="X1" s="206">
        <f>COLUMN()</f>
        <v>24</v>
      </c>
      <c r="Y1" s="206">
        <f>COLUMN()</f>
        <v>25</v>
      </c>
      <c r="Z1" s="206">
        <f>COLUMN()</f>
        <v>26</v>
      </c>
      <c r="AA1" s="206">
        <f>COLUMN()</f>
        <v>27</v>
      </c>
      <c r="AB1" s="206">
        <f>COLUMN()</f>
        <v>28</v>
      </c>
      <c r="AC1" s="206">
        <f>COLUMN()</f>
        <v>29</v>
      </c>
      <c r="AD1" s="206">
        <f>COLUMN()</f>
        <v>30</v>
      </c>
      <c r="AE1" s="206">
        <f>COLUMN()</f>
        <v>31</v>
      </c>
      <c r="AF1" s="206">
        <f>COLUMN()</f>
        <v>32</v>
      </c>
      <c r="AG1" s="206">
        <f>COLUMN()</f>
        <v>33</v>
      </c>
      <c r="AH1" s="206">
        <f>COLUMN()</f>
        <v>34</v>
      </c>
      <c r="AI1" s="206">
        <f>COLUMN()</f>
        <v>35</v>
      </c>
      <c r="AJ1" s="206">
        <f>COLUMN()</f>
        <v>36</v>
      </c>
      <c r="AK1" s="206">
        <f>COLUMN()</f>
        <v>37</v>
      </c>
      <c r="AL1" s="206">
        <f>COLUMN()</f>
        <v>38</v>
      </c>
      <c r="AM1" s="206">
        <f>COLUMN()</f>
        <v>39</v>
      </c>
      <c r="AN1" s="206">
        <f>COLUMN()</f>
        <v>40</v>
      </c>
      <c r="AO1" s="206">
        <f>COLUMN()</f>
        <v>41</v>
      </c>
      <c r="AP1" s="206">
        <f>COLUMN()</f>
        <v>42</v>
      </c>
      <c r="AQ1" s="206">
        <f>COLUMN()</f>
        <v>43</v>
      </c>
      <c r="AR1" s="206">
        <f>COLUMN()</f>
        <v>44</v>
      </c>
      <c r="AS1" s="206">
        <f>COLUMN()</f>
        <v>45</v>
      </c>
      <c r="AT1" s="206">
        <f>COLUMN()</f>
        <v>46</v>
      </c>
      <c r="AU1" s="206">
        <f>COLUMN()</f>
        <v>47</v>
      </c>
      <c r="AV1" s="206">
        <f>COLUMN()</f>
        <v>48</v>
      </c>
      <c r="AW1" s="206">
        <f>COLUMN()</f>
        <v>49</v>
      </c>
      <c r="AX1" s="206">
        <f>COLUMN()</f>
        <v>50</v>
      </c>
      <c r="AY1" s="206">
        <f>COLUMN()</f>
        <v>51</v>
      </c>
      <c r="AZ1" s="206">
        <f>COLUMN()</f>
        <v>52</v>
      </c>
      <c r="BA1" s="206">
        <f>COLUMN()</f>
        <v>53</v>
      </c>
      <c r="BB1" s="206">
        <f>COLUMN()</f>
        <v>54</v>
      </c>
      <c r="BC1" s="206">
        <f>COLUMN()</f>
        <v>55</v>
      </c>
      <c r="BD1" s="206">
        <f>COLUMN()</f>
        <v>56</v>
      </c>
      <c r="BE1" s="206">
        <f>COLUMN()</f>
        <v>57</v>
      </c>
      <c r="BF1" s="206">
        <f>COLUMN()</f>
        <v>58</v>
      </c>
      <c r="BG1" s="206">
        <f>COLUMN()</f>
        <v>59</v>
      </c>
      <c r="BH1" s="206">
        <f>COLUMN()</f>
        <v>60</v>
      </c>
    </row>
    <row r="2" spans="1:60" ht="72" x14ac:dyDescent="0.25">
      <c r="A2" s="14" t="s">
        <v>0</v>
      </c>
      <c r="B2" s="14" t="s">
        <v>1</v>
      </c>
      <c r="C2" s="14" t="s">
        <v>2</v>
      </c>
      <c r="D2" s="14" t="s">
        <v>757</v>
      </c>
      <c r="E2" s="14" t="s">
        <v>5</v>
      </c>
      <c r="F2" s="14" t="s">
        <v>4</v>
      </c>
      <c r="G2" s="208" t="s">
        <v>758</v>
      </c>
      <c r="H2" s="208" t="s">
        <v>759</v>
      </c>
      <c r="I2" s="208" t="s">
        <v>760</v>
      </c>
      <c r="J2" s="208" t="s">
        <v>761</v>
      </c>
      <c r="K2" s="208" t="s">
        <v>762</v>
      </c>
      <c r="L2" s="208" t="s">
        <v>763</v>
      </c>
      <c r="M2" s="14" t="s">
        <v>764</v>
      </c>
      <c r="N2" s="208" t="s">
        <v>71</v>
      </c>
      <c r="O2" s="208" t="s">
        <v>76</v>
      </c>
      <c r="P2" s="210" t="s">
        <v>80</v>
      </c>
      <c r="Q2" s="208" t="s">
        <v>99</v>
      </c>
      <c r="R2" s="208" t="s">
        <v>106</v>
      </c>
      <c r="S2" s="208" t="s">
        <v>111</v>
      </c>
      <c r="T2" s="208" t="s">
        <v>113</v>
      </c>
      <c r="U2" s="208" t="s">
        <v>115</v>
      </c>
      <c r="V2" s="208" t="s">
        <v>118</v>
      </c>
      <c r="W2" s="210" t="s">
        <v>83</v>
      </c>
      <c r="X2" s="210" t="s">
        <v>335</v>
      </c>
      <c r="Y2" s="208" t="s">
        <v>337</v>
      </c>
      <c r="Z2" s="208" t="s">
        <v>338</v>
      </c>
      <c r="AA2" s="208" t="s">
        <v>339</v>
      </c>
      <c r="AB2" s="208" t="s">
        <v>340</v>
      </c>
      <c r="AC2" s="208" t="s">
        <v>341</v>
      </c>
      <c r="AD2" s="208" t="s">
        <v>342</v>
      </c>
      <c r="AE2" s="208" t="s">
        <v>343</v>
      </c>
      <c r="AF2" s="208" t="s">
        <v>344</v>
      </c>
      <c r="AG2" s="208" t="s">
        <v>345</v>
      </c>
      <c r="AH2" s="208" t="s">
        <v>346</v>
      </c>
      <c r="AI2" s="208" t="s">
        <v>347</v>
      </c>
      <c r="AJ2" s="208" t="s">
        <v>348</v>
      </c>
      <c r="AK2" s="208" t="s">
        <v>336</v>
      </c>
      <c r="AL2" s="208" t="s">
        <v>349</v>
      </c>
      <c r="AM2" s="210" t="s">
        <v>368</v>
      </c>
      <c r="AN2" s="208" t="s">
        <v>350</v>
      </c>
      <c r="AO2" s="208" t="s">
        <v>369</v>
      </c>
      <c r="AP2" s="208" t="s">
        <v>362</v>
      </c>
      <c r="AQ2" s="208" t="s">
        <v>359</v>
      </c>
      <c r="AR2" s="208" t="s">
        <v>353</v>
      </c>
      <c r="AS2" s="208" t="s">
        <v>363</v>
      </c>
      <c r="AT2" s="208" t="s">
        <v>354</v>
      </c>
      <c r="AU2" s="208" t="s">
        <v>364</v>
      </c>
      <c r="AV2" s="208" t="s">
        <v>355</v>
      </c>
      <c r="AW2" s="208" t="s">
        <v>367</v>
      </c>
      <c r="AX2" s="208" t="s">
        <v>370</v>
      </c>
      <c r="AY2" s="208" t="s">
        <v>360</v>
      </c>
      <c r="AZ2" s="208" t="s">
        <v>366</v>
      </c>
      <c r="BA2" s="208" t="s">
        <v>356</v>
      </c>
      <c r="BB2" s="208" t="s">
        <v>352</v>
      </c>
      <c r="BC2" s="208" t="s">
        <v>361</v>
      </c>
      <c r="BD2" s="208" t="s">
        <v>365</v>
      </c>
      <c r="BE2" s="208" t="s">
        <v>371</v>
      </c>
      <c r="BF2" s="208" t="s">
        <v>357</v>
      </c>
      <c r="BG2" s="208" t="s">
        <v>358</v>
      </c>
      <c r="BH2" s="208" t="s">
        <v>217</v>
      </c>
    </row>
    <row r="3" spans="1:60" x14ac:dyDescent="0.25">
      <c r="A3" s="6" t="s">
        <v>447</v>
      </c>
      <c r="B3" s="7"/>
      <c r="C3" s="7"/>
      <c r="D3" s="207" t="s">
        <v>765</v>
      </c>
      <c r="E3" s="7"/>
      <c r="F3" s="84" t="s">
        <v>590</v>
      </c>
      <c r="G3" s="75" t="str">
        <f>IFERROR(IF(VLOOKUP(TableHandbook[[#This Row],[UDC]],TableAvailabilities[],2,FALSE)&gt;0,"Y",""),"")</f>
        <v/>
      </c>
      <c r="H3" s="75" t="str">
        <f>IFERROR(IF(VLOOKUP(TableHandbook[[#This Row],[UDC]],TableAvailabilities[],3,FALSE)&gt;0,"Y",""),"")</f>
        <v/>
      </c>
      <c r="I3" s="75" t="str">
        <f>IFERROR(IF(VLOOKUP(TableHandbook[[#This Row],[UDC]],TableAvailabilities[],4,FALSE)&gt;0,"Y",""),"")</f>
        <v/>
      </c>
      <c r="J3" s="75" t="str">
        <f>IFERROR(IF(VLOOKUP(TableHandbook[[#This Row],[UDC]],TableAvailabilities[],5,FALSE)&gt;0,"Y",""),"")</f>
        <v/>
      </c>
      <c r="K3" s="75" t="str">
        <f>IFERROR(IF(VLOOKUP(TableHandbook[[#This Row],[UDC]],TableAvailabilities[],6,FALSE)&gt;0,"Y",""),"")</f>
        <v/>
      </c>
      <c r="L3" s="75" t="str">
        <f>IFERROR(IF(VLOOKUP(TableHandbook[[#This Row],[UDC]],TableAvailabilities[],7,FALSE)&gt;0,"Y",""),"")</f>
        <v/>
      </c>
      <c r="M3" s="207"/>
      <c r="N3" s="209" t="str">
        <f>IFERROR(VLOOKUP(TableHandbook[[#This Row],[UDC]],TableBEDUC[],7,FALSE),"")</f>
        <v/>
      </c>
      <c r="O3" s="209" t="str">
        <f>IFERROR(VLOOKUP(TableHandbook[[#This Row],[UDC]],TableBEDEC[],7,FALSE),"")</f>
        <v/>
      </c>
      <c r="P3" s="211" t="str">
        <f>IFERROR(VLOOKUP(TableHandbook[[#This Row],[UDC]],TableBEDPR[],7,FALSE),"")</f>
        <v/>
      </c>
      <c r="Q3" s="209" t="str">
        <f>IFERROR(VLOOKUP(TableHandbook[[#This Row],[UDC]],TableSTRUCATHL[],7,FALSE),"")</f>
        <v/>
      </c>
      <c r="R3" s="209" t="str">
        <f>IFERROR(VLOOKUP(TableHandbook[[#This Row],[UDC]],TableSTRUENGLL[],7,FALSE),"")</f>
        <v/>
      </c>
      <c r="S3" s="209" t="str">
        <f>IFERROR(VLOOKUP(TableHandbook[[#This Row],[UDC]],TableSTRUHLTPE[],7,FALSE),"")</f>
        <v/>
      </c>
      <c r="T3" s="209" t="str">
        <f>IFERROR(VLOOKUP(TableHandbook[[#This Row],[UDC]],TableSTRUISTEM[],7,FALSE),"")</f>
        <v/>
      </c>
      <c r="U3" s="209" t="str">
        <f>IFERROR(VLOOKUP(TableHandbook[[#This Row],[UDC]],TableSTRULITNU[],7,FALSE),"")</f>
        <v/>
      </c>
      <c r="V3" s="209" t="str">
        <f>IFERROR(VLOOKUP(TableHandbook[[#This Row],[UDC]],TableSTRUTECHS[],7,FALSE),"")</f>
        <v/>
      </c>
      <c r="W3" s="211" t="str">
        <f>IFERROR(VLOOKUP(TableHandbook[[#This Row],[UDC]],TableBEDSC[],7,FALSE),"")</f>
        <v/>
      </c>
      <c r="X3" s="211" t="str">
        <f>IFERROR(VLOOKUP(TableHandbook[[#This Row],[UDC]],TableMJRUARDR1[],7,FALSE),"")</f>
        <v/>
      </c>
      <c r="Y3" s="209" t="str">
        <f>IFERROR(VLOOKUP(TableHandbook[[#This Row],[UDC]],TableMJRUARME1[],7,FALSE),"")</f>
        <v/>
      </c>
      <c r="Z3" s="209" t="str">
        <f>IFERROR(VLOOKUP(TableHandbook[[#This Row],[UDC]],TableMJRUARVA1[],7,FALSE),"")</f>
        <v/>
      </c>
      <c r="AA3" s="209" t="str">
        <f>IFERROR(VLOOKUP(TableHandbook[[#This Row],[UDC]],TableMJRUENGL1[],7,FALSE),"")</f>
        <v/>
      </c>
      <c r="AB3" s="209" t="str">
        <f>IFERROR(VLOOKUP(TableHandbook[[#This Row],[UDC]],TableMJRUHSEC1[],7,FALSE),"")</f>
        <v/>
      </c>
      <c r="AC3" s="209" t="str">
        <f>IFERROR(VLOOKUP(TableHandbook[[#This Row],[UDC]],TableMJRUHSGE1[],7,FALSE),"")</f>
        <v/>
      </c>
      <c r="AD3" s="209" t="str">
        <f>IFERROR(VLOOKUP(TableHandbook[[#This Row],[UDC]],TableMJRUHSHI1[],7,FALSE),"")</f>
        <v/>
      </c>
      <c r="AE3" s="209" t="str">
        <f>IFERROR(VLOOKUP(TableHandbook[[#This Row],[UDC]],TableMJRUHSPL1[],7,FALSE),"")</f>
        <v/>
      </c>
      <c r="AF3" s="209" t="str">
        <f>IFERROR(VLOOKUP(TableHandbook[[#This Row],[UDC]],TableMJRUMATH1[],7,FALSE),"")</f>
        <v/>
      </c>
      <c r="AG3" s="209" t="str">
        <f>IFERROR(VLOOKUP(TableHandbook[[#This Row],[UDC]],TableMJRUPHYSE[],7,FALSE),"")</f>
        <v/>
      </c>
      <c r="AH3" s="209" t="str">
        <f>IFERROR(VLOOKUP(TableHandbook[[#This Row],[UDC]],TableMJRUSCBI1[],7,FALSE),"")</f>
        <v/>
      </c>
      <c r="AI3" s="209" t="str">
        <f>IFERROR(VLOOKUP(TableHandbook[[#This Row],[UDC]],TableMJRUSCCH1[],7,FALSE),"")</f>
        <v/>
      </c>
      <c r="AJ3" s="209" t="str">
        <f>IFERROR(VLOOKUP(TableHandbook[[#This Row],[UDC]],TableMJRUSCHB1[],7,FALSE),"")</f>
        <v/>
      </c>
      <c r="AK3" s="209" t="str">
        <f>IFERROR(VLOOKUP(TableHandbook[[#This Row],[UDC]],TableMJRUSCPH1[],7,FALSE),"")</f>
        <v/>
      </c>
      <c r="AL3" s="209" t="str">
        <f>IFERROR(VLOOKUP(TableHandbook[[#This Row],[UDC]],TableMJRUSCPS1[],7,FALSE),"")</f>
        <v/>
      </c>
      <c r="AM3" s="211" t="str">
        <f>IFERROR(VLOOKUP(TableHandbook[[#This Row],[UDC]],TableSTRUBIOLB[],7,FALSE),"")</f>
        <v/>
      </c>
      <c r="AN3" s="209" t="str">
        <f>IFERROR(VLOOKUP(TableHandbook[[#This Row],[UDC]],TableSTRUBSCIM[],7,FALSE),"")</f>
        <v/>
      </c>
      <c r="AO3" s="209" t="str">
        <f>IFERROR(VLOOKUP(TableHandbook[[#This Row],[UDC]],TableSTRUCHEMB[],7,FALSE),"")</f>
        <v/>
      </c>
      <c r="AP3" s="209" t="str">
        <f>IFERROR(VLOOKUP(TableHandbook[[#This Row],[UDC]],TableSTRUECOB1[],7,FALSE),"")</f>
        <v/>
      </c>
      <c r="AQ3" s="209" t="str">
        <f>IFERROR(VLOOKUP(TableHandbook[[#This Row],[UDC]],TableSTRUENGLB[],7,FALSE),"")</f>
        <v/>
      </c>
      <c r="AR3" s="209" t="str">
        <f>IFERROR(VLOOKUP(TableHandbook[[#This Row],[UDC]],TableSTRUENGLM[],7,FALSE),"")</f>
        <v/>
      </c>
      <c r="AS3" s="209" t="str">
        <f>IFERROR(VLOOKUP(TableHandbook[[#This Row],[UDC]],TableSTRUGEOB1[],7,FALSE),"")</f>
        <v/>
      </c>
      <c r="AT3" s="209" t="str">
        <f>IFERROR(VLOOKUP(TableHandbook[[#This Row],[UDC]],TableSTRUGEOGM[],7,FALSE),"")</f>
        <v/>
      </c>
      <c r="AU3" s="209" t="str">
        <f>IFERROR(VLOOKUP(TableHandbook[[#This Row],[UDC]],TableSTRUHISB1[],7,FALSE),"")</f>
        <v/>
      </c>
      <c r="AV3" s="209" t="str">
        <f>IFERROR(VLOOKUP(TableHandbook[[#This Row],[UDC]],TableSTRUHISTM[],7,FALSE),"")</f>
        <v/>
      </c>
      <c r="AW3" s="209" t="str">
        <f>IFERROR(VLOOKUP(TableHandbook[[#This Row],[UDC]],TableSTRUHPEB1[],7,FALSE),"")</f>
        <v/>
      </c>
      <c r="AX3" s="209" t="str">
        <f>IFERROR(VLOOKUP(TableHandbook[[#This Row],[UDC]],TableSTRUHUMBB[],7,FALSE),"")</f>
        <v/>
      </c>
      <c r="AY3" s="209" t="str">
        <f>IFERROR(VLOOKUP(TableHandbook[[#This Row],[UDC]],TableSTRUMARTM[],7,FALSE),"")</f>
        <v/>
      </c>
      <c r="AZ3" s="209" t="str">
        <f>IFERROR(VLOOKUP(TableHandbook[[#This Row],[UDC]],TableSTRUMATHB[],7,FALSE),"")</f>
        <v/>
      </c>
      <c r="BA3" s="209" t="str">
        <f>IFERROR(VLOOKUP(TableHandbook[[#This Row],[UDC]],TableSTRUMATHM[],7,FALSE),"")</f>
        <v/>
      </c>
      <c r="BB3" s="209" t="str">
        <f>IFERROR(VLOOKUP(TableHandbook[[#This Row],[UDC]],TableSTRUPARTB[],7,FALSE),"")</f>
        <v/>
      </c>
      <c r="BC3" s="209" t="str">
        <f>IFERROR(VLOOKUP(TableHandbook[[#This Row],[UDC]],TableSTRUPARTM[],7,FALSE),"")</f>
        <v/>
      </c>
      <c r="BD3" s="209" t="str">
        <f>IFERROR(VLOOKUP(TableHandbook[[#This Row],[UDC]],TableSTRUPOLB1[],7,FALSE),"")</f>
        <v/>
      </c>
      <c r="BE3" s="209" t="str">
        <f>IFERROR(VLOOKUP(TableHandbook[[#This Row],[UDC]],TableSTRUPSYCB[],7,FALSE),"")</f>
        <v/>
      </c>
      <c r="BF3" s="209" t="str">
        <f>IFERROR(VLOOKUP(TableHandbook[[#This Row],[UDC]],TableSTRUPSYCM[],7,FALSE),"")</f>
        <v/>
      </c>
      <c r="BG3" s="209" t="str">
        <f>IFERROR(VLOOKUP(TableHandbook[[#This Row],[UDC]],TableSTRUVARTB[],7,FALSE),"")</f>
        <v/>
      </c>
      <c r="BH3" s="209" t="str">
        <f>IFERROR(VLOOKUP(TableHandbook[[#This Row],[UDC]],TableSTRUVARTM[],7,FALSE),"")</f>
        <v/>
      </c>
    </row>
    <row r="4" spans="1:60" x14ac:dyDescent="0.25">
      <c r="A4" s="6" t="s">
        <v>159</v>
      </c>
      <c r="B4" s="7"/>
      <c r="C4" s="7"/>
      <c r="D4" s="207" t="s">
        <v>766</v>
      </c>
      <c r="E4" s="7"/>
      <c r="F4" s="84" t="s">
        <v>590</v>
      </c>
      <c r="G4" s="75" t="str">
        <f>IFERROR(IF(VLOOKUP(TableHandbook[[#This Row],[UDC]],TableAvailabilities[],2,FALSE)&gt;0,"Y",""),"")</f>
        <v/>
      </c>
      <c r="H4" s="75" t="str">
        <f>IFERROR(IF(VLOOKUP(TableHandbook[[#This Row],[UDC]],TableAvailabilities[],3,FALSE)&gt;0,"Y",""),"")</f>
        <v/>
      </c>
      <c r="I4" s="75" t="str">
        <f>IFERROR(IF(VLOOKUP(TableHandbook[[#This Row],[UDC]],TableAvailabilities[],4,FALSE)&gt;0,"Y",""),"")</f>
        <v/>
      </c>
      <c r="J4" s="75" t="str">
        <f>IFERROR(IF(VLOOKUP(TableHandbook[[#This Row],[UDC]],TableAvailabilities[],5,FALSE)&gt;0,"Y",""),"")</f>
        <v/>
      </c>
      <c r="K4" s="75" t="str">
        <f>IFERROR(IF(VLOOKUP(TableHandbook[[#This Row],[UDC]],TableAvailabilities[],6,FALSE)&gt;0,"Y",""),"")</f>
        <v/>
      </c>
      <c r="L4" s="75" t="str">
        <f>IFERROR(IF(VLOOKUP(TableHandbook[[#This Row],[UDC]],TableAvailabilities[],7,FALSE)&gt;0,"Y",""),"")</f>
        <v/>
      </c>
      <c r="M4" s="207"/>
      <c r="N4" s="209" t="str">
        <f>IFERROR(VLOOKUP(TableHandbook[[#This Row],[UDC]],TableBEDUC[],7,FALSE),"")</f>
        <v/>
      </c>
      <c r="O4" s="209" t="str">
        <f>IFERROR(VLOOKUP(TableHandbook[[#This Row],[UDC]],TableBEDEC[],7,FALSE),"")</f>
        <v/>
      </c>
      <c r="P4" s="211" t="str">
        <f>IFERROR(VLOOKUP(TableHandbook[[#This Row],[UDC]],TableBEDPR[],7,FALSE),"")</f>
        <v/>
      </c>
      <c r="Q4" s="209" t="str">
        <f>IFERROR(VLOOKUP(TableHandbook[[#This Row],[UDC]],TableSTRUCATHL[],7,FALSE),"")</f>
        <v/>
      </c>
      <c r="R4" s="209" t="str">
        <f>IFERROR(VLOOKUP(TableHandbook[[#This Row],[UDC]],TableSTRUENGLL[],7,FALSE),"")</f>
        <v/>
      </c>
      <c r="S4" s="209" t="str">
        <f>IFERROR(VLOOKUP(TableHandbook[[#This Row],[UDC]],TableSTRUHLTPE[],7,FALSE),"")</f>
        <v/>
      </c>
      <c r="T4" s="209" t="str">
        <f>IFERROR(VLOOKUP(TableHandbook[[#This Row],[UDC]],TableSTRUISTEM[],7,FALSE),"")</f>
        <v/>
      </c>
      <c r="U4" s="209" t="str">
        <f>IFERROR(VLOOKUP(TableHandbook[[#This Row],[UDC]],TableSTRULITNU[],7,FALSE),"")</f>
        <v/>
      </c>
      <c r="V4" s="209" t="str">
        <f>IFERROR(VLOOKUP(TableHandbook[[#This Row],[UDC]],TableSTRUTECHS[],7,FALSE),"")</f>
        <v/>
      </c>
      <c r="W4" s="211" t="str">
        <f>IFERROR(VLOOKUP(TableHandbook[[#This Row],[UDC]],TableBEDSC[],7,FALSE),"")</f>
        <v/>
      </c>
      <c r="X4" s="211" t="str">
        <f>IFERROR(VLOOKUP(TableHandbook[[#This Row],[UDC]],TableMJRUARDR1[],7,FALSE),"")</f>
        <v/>
      </c>
      <c r="Y4" s="209" t="str">
        <f>IFERROR(VLOOKUP(TableHandbook[[#This Row],[UDC]],TableMJRUARME1[],7,FALSE),"")</f>
        <v/>
      </c>
      <c r="Z4" s="209" t="str">
        <f>IFERROR(VLOOKUP(TableHandbook[[#This Row],[UDC]],TableMJRUARVA1[],7,FALSE),"")</f>
        <v/>
      </c>
      <c r="AA4" s="209" t="str">
        <f>IFERROR(VLOOKUP(TableHandbook[[#This Row],[UDC]],TableMJRUENGL1[],7,FALSE),"")</f>
        <v/>
      </c>
      <c r="AB4" s="209" t="str">
        <f>IFERROR(VLOOKUP(TableHandbook[[#This Row],[UDC]],TableMJRUHSEC1[],7,FALSE),"")</f>
        <v/>
      </c>
      <c r="AC4" s="209" t="str">
        <f>IFERROR(VLOOKUP(TableHandbook[[#This Row],[UDC]],TableMJRUHSGE1[],7,FALSE),"")</f>
        <v/>
      </c>
      <c r="AD4" s="209" t="str">
        <f>IFERROR(VLOOKUP(TableHandbook[[#This Row],[UDC]],TableMJRUHSHI1[],7,FALSE),"")</f>
        <v/>
      </c>
      <c r="AE4" s="209" t="str">
        <f>IFERROR(VLOOKUP(TableHandbook[[#This Row],[UDC]],TableMJRUHSPL1[],7,FALSE),"")</f>
        <v/>
      </c>
      <c r="AF4" s="209" t="str">
        <f>IFERROR(VLOOKUP(TableHandbook[[#This Row],[UDC]],TableMJRUMATH1[],7,FALSE),"")</f>
        <v/>
      </c>
      <c r="AG4" s="209" t="str">
        <f>IFERROR(VLOOKUP(TableHandbook[[#This Row],[UDC]],TableMJRUPHYSE[],7,FALSE),"")</f>
        <v/>
      </c>
      <c r="AH4" s="209" t="str">
        <f>IFERROR(VLOOKUP(TableHandbook[[#This Row],[UDC]],TableMJRUSCBI1[],7,FALSE),"")</f>
        <v/>
      </c>
      <c r="AI4" s="209" t="str">
        <f>IFERROR(VLOOKUP(TableHandbook[[#This Row],[UDC]],TableMJRUSCCH1[],7,FALSE),"")</f>
        <v/>
      </c>
      <c r="AJ4" s="209" t="str">
        <f>IFERROR(VLOOKUP(TableHandbook[[#This Row],[UDC]],TableMJRUSCHB1[],7,FALSE),"")</f>
        <v/>
      </c>
      <c r="AK4" s="209" t="str">
        <f>IFERROR(VLOOKUP(TableHandbook[[#This Row],[UDC]],TableMJRUSCPH1[],7,FALSE),"")</f>
        <v/>
      </c>
      <c r="AL4" s="209" t="str">
        <f>IFERROR(VLOOKUP(TableHandbook[[#This Row],[UDC]],TableMJRUSCPS1[],7,FALSE),"")</f>
        <v/>
      </c>
      <c r="AM4" s="211" t="str">
        <f>IFERROR(VLOOKUP(TableHandbook[[#This Row],[UDC]],TableSTRUBIOLB[],7,FALSE),"")</f>
        <v/>
      </c>
      <c r="AN4" s="209" t="str">
        <f>IFERROR(VLOOKUP(TableHandbook[[#This Row],[UDC]],TableSTRUBSCIM[],7,FALSE),"")</f>
        <v/>
      </c>
      <c r="AO4" s="209" t="str">
        <f>IFERROR(VLOOKUP(TableHandbook[[#This Row],[UDC]],TableSTRUCHEMB[],7,FALSE),"")</f>
        <v/>
      </c>
      <c r="AP4" s="209" t="str">
        <f>IFERROR(VLOOKUP(TableHandbook[[#This Row],[UDC]],TableSTRUECOB1[],7,FALSE),"")</f>
        <v/>
      </c>
      <c r="AQ4" s="209" t="str">
        <f>IFERROR(VLOOKUP(TableHandbook[[#This Row],[UDC]],TableSTRUENGLB[],7,FALSE),"")</f>
        <v/>
      </c>
      <c r="AR4" s="209" t="str">
        <f>IFERROR(VLOOKUP(TableHandbook[[#This Row],[UDC]],TableSTRUENGLM[],7,FALSE),"")</f>
        <v/>
      </c>
      <c r="AS4" s="209" t="str">
        <f>IFERROR(VLOOKUP(TableHandbook[[#This Row],[UDC]],TableSTRUGEOB1[],7,FALSE),"")</f>
        <v/>
      </c>
      <c r="AT4" s="209" t="str">
        <f>IFERROR(VLOOKUP(TableHandbook[[#This Row],[UDC]],TableSTRUGEOGM[],7,FALSE),"")</f>
        <v/>
      </c>
      <c r="AU4" s="209" t="str">
        <f>IFERROR(VLOOKUP(TableHandbook[[#This Row],[UDC]],TableSTRUHISB1[],7,FALSE),"")</f>
        <v/>
      </c>
      <c r="AV4" s="209" t="str">
        <f>IFERROR(VLOOKUP(TableHandbook[[#This Row],[UDC]],TableSTRUHISTM[],7,FALSE),"")</f>
        <v/>
      </c>
      <c r="AW4" s="209" t="str">
        <f>IFERROR(VLOOKUP(TableHandbook[[#This Row],[UDC]],TableSTRUHPEB1[],7,FALSE),"")</f>
        <v/>
      </c>
      <c r="AX4" s="209" t="str">
        <f>IFERROR(VLOOKUP(TableHandbook[[#This Row],[UDC]],TableSTRUHUMBB[],7,FALSE),"")</f>
        <v/>
      </c>
      <c r="AY4" s="209" t="str">
        <f>IFERROR(VLOOKUP(TableHandbook[[#This Row],[UDC]],TableSTRUMARTM[],7,FALSE),"")</f>
        <v/>
      </c>
      <c r="AZ4" s="209" t="str">
        <f>IFERROR(VLOOKUP(TableHandbook[[#This Row],[UDC]],TableSTRUMATHB[],7,FALSE),"")</f>
        <v/>
      </c>
      <c r="BA4" s="209" t="str">
        <f>IFERROR(VLOOKUP(TableHandbook[[#This Row],[UDC]],TableSTRUMATHM[],7,FALSE),"")</f>
        <v/>
      </c>
      <c r="BB4" s="209" t="str">
        <f>IFERROR(VLOOKUP(TableHandbook[[#This Row],[UDC]],TableSTRUPARTB[],7,FALSE),"")</f>
        <v/>
      </c>
      <c r="BC4" s="209" t="str">
        <f>IFERROR(VLOOKUP(TableHandbook[[#This Row],[UDC]],TableSTRUPARTM[],7,FALSE),"")</f>
        <v/>
      </c>
      <c r="BD4" s="209" t="str">
        <f>IFERROR(VLOOKUP(TableHandbook[[#This Row],[UDC]],TableSTRUPOLB1[],7,FALSE),"")</f>
        <v/>
      </c>
      <c r="BE4" s="209" t="str">
        <f>IFERROR(VLOOKUP(TableHandbook[[#This Row],[UDC]],TableSTRUPSYCB[],7,FALSE),"")</f>
        <v/>
      </c>
      <c r="BF4" s="209" t="str">
        <f>IFERROR(VLOOKUP(TableHandbook[[#This Row],[UDC]],TableSTRUPSYCM[],7,FALSE),"")</f>
        <v/>
      </c>
      <c r="BG4" s="209" t="str">
        <f>IFERROR(VLOOKUP(TableHandbook[[#This Row],[UDC]],TableSTRUVARTB[],7,FALSE),"")</f>
        <v/>
      </c>
      <c r="BH4" s="209" t="str">
        <f>IFERROR(VLOOKUP(TableHandbook[[#This Row],[UDC]],TableSTRUVARTM[],7,FALSE),"")</f>
        <v/>
      </c>
    </row>
    <row r="5" spans="1:60" x14ac:dyDescent="0.25">
      <c r="A5" s="6" t="s">
        <v>158</v>
      </c>
      <c r="B5" s="7"/>
      <c r="C5" s="7"/>
      <c r="D5" s="207" t="s">
        <v>767</v>
      </c>
      <c r="E5" s="7"/>
      <c r="F5" s="84" t="s">
        <v>590</v>
      </c>
      <c r="G5" s="75" t="str">
        <f>IFERROR(IF(VLOOKUP(TableHandbook[[#This Row],[UDC]],TableAvailabilities[],2,FALSE)&gt;0,"Y",""),"")</f>
        <v/>
      </c>
      <c r="H5" s="75" t="str">
        <f>IFERROR(IF(VLOOKUP(TableHandbook[[#This Row],[UDC]],TableAvailabilities[],3,FALSE)&gt;0,"Y",""),"")</f>
        <v/>
      </c>
      <c r="I5" s="75" t="str">
        <f>IFERROR(IF(VLOOKUP(TableHandbook[[#This Row],[UDC]],TableAvailabilities[],4,FALSE)&gt;0,"Y",""),"")</f>
        <v/>
      </c>
      <c r="J5" s="75" t="str">
        <f>IFERROR(IF(VLOOKUP(TableHandbook[[#This Row],[UDC]],TableAvailabilities[],5,FALSE)&gt;0,"Y",""),"")</f>
        <v/>
      </c>
      <c r="K5" s="75" t="str">
        <f>IFERROR(IF(VLOOKUP(TableHandbook[[#This Row],[UDC]],TableAvailabilities[],6,FALSE)&gt;0,"Y",""),"")</f>
        <v/>
      </c>
      <c r="L5" s="75" t="str">
        <f>IFERROR(IF(VLOOKUP(TableHandbook[[#This Row],[UDC]],TableAvailabilities[],7,FALSE)&gt;0,"Y",""),"")</f>
        <v/>
      </c>
      <c r="M5" s="207"/>
      <c r="N5" s="209" t="str">
        <f>IFERROR(VLOOKUP(TableHandbook[[#This Row],[UDC]],TableBEDUC[],7,FALSE),"")</f>
        <v/>
      </c>
      <c r="O5" s="209" t="str">
        <f>IFERROR(VLOOKUP(TableHandbook[[#This Row],[UDC]],TableBEDEC[],7,FALSE),"")</f>
        <v/>
      </c>
      <c r="P5" s="211" t="str">
        <f>IFERROR(VLOOKUP(TableHandbook[[#This Row],[UDC]],TableBEDPR[],7,FALSE),"")</f>
        <v/>
      </c>
      <c r="Q5" s="209" t="str">
        <f>IFERROR(VLOOKUP(TableHandbook[[#This Row],[UDC]],TableSTRUCATHL[],7,FALSE),"")</f>
        <v/>
      </c>
      <c r="R5" s="209" t="str">
        <f>IFERROR(VLOOKUP(TableHandbook[[#This Row],[UDC]],TableSTRUENGLL[],7,FALSE),"")</f>
        <v/>
      </c>
      <c r="S5" s="209" t="str">
        <f>IFERROR(VLOOKUP(TableHandbook[[#This Row],[UDC]],TableSTRUHLTPE[],7,FALSE),"")</f>
        <v/>
      </c>
      <c r="T5" s="209" t="str">
        <f>IFERROR(VLOOKUP(TableHandbook[[#This Row],[UDC]],TableSTRUISTEM[],7,FALSE),"")</f>
        <v/>
      </c>
      <c r="U5" s="209" t="str">
        <f>IFERROR(VLOOKUP(TableHandbook[[#This Row],[UDC]],TableSTRULITNU[],7,FALSE),"")</f>
        <v/>
      </c>
      <c r="V5" s="209" t="str">
        <f>IFERROR(VLOOKUP(TableHandbook[[#This Row],[UDC]],TableSTRUTECHS[],7,FALSE),"")</f>
        <v/>
      </c>
      <c r="W5" s="211" t="str">
        <f>IFERROR(VLOOKUP(TableHandbook[[#This Row],[UDC]],TableBEDSC[],7,FALSE),"")</f>
        <v/>
      </c>
      <c r="X5" s="211" t="str">
        <f>IFERROR(VLOOKUP(TableHandbook[[#This Row],[UDC]],TableMJRUARDR1[],7,FALSE),"")</f>
        <v/>
      </c>
      <c r="Y5" s="209" t="str">
        <f>IFERROR(VLOOKUP(TableHandbook[[#This Row],[UDC]],TableMJRUARME1[],7,FALSE),"")</f>
        <v/>
      </c>
      <c r="Z5" s="209" t="str">
        <f>IFERROR(VLOOKUP(TableHandbook[[#This Row],[UDC]],TableMJRUARVA1[],7,FALSE),"")</f>
        <v/>
      </c>
      <c r="AA5" s="209" t="str">
        <f>IFERROR(VLOOKUP(TableHandbook[[#This Row],[UDC]],TableMJRUENGL1[],7,FALSE),"")</f>
        <v/>
      </c>
      <c r="AB5" s="209" t="str">
        <f>IFERROR(VLOOKUP(TableHandbook[[#This Row],[UDC]],TableMJRUHSEC1[],7,FALSE),"")</f>
        <v/>
      </c>
      <c r="AC5" s="209" t="str">
        <f>IFERROR(VLOOKUP(TableHandbook[[#This Row],[UDC]],TableMJRUHSGE1[],7,FALSE),"")</f>
        <v/>
      </c>
      <c r="AD5" s="209" t="str">
        <f>IFERROR(VLOOKUP(TableHandbook[[#This Row],[UDC]],TableMJRUHSHI1[],7,FALSE),"")</f>
        <v/>
      </c>
      <c r="AE5" s="209" t="str">
        <f>IFERROR(VLOOKUP(TableHandbook[[#This Row],[UDC]],TableMJRUHSPL1[],7,FALSE),"")</f>
        <v/>
      </c>
      <c r="AF5" s="209" t="str">
        <f>IFERROR(VLOOKUP(TableHandbook[[#This Row],[UDC]],TableMJRUMATH1[],7,FALSE),"")</f>
        <v/>
      </c>
      <c r="AG5" s="209" t="str">
        <f>IFERROR(VLOOKUP(TableHandbook[[#This Row],[UDC]],TableMJRUPHYSE[],7,FALSE),"")</f>
        <v/>
      </c>
      <c r="AH5" s="209" t="str">
        <f>IFERROR(VLOOKUP(TableHandbook[[#This Row],[UDC]],TableMJRUSCBI1[],7,FALSE),"")</f>
        <v/>
      </c>
      <c r="AI5" s="209" t="str">
        <f>IFERROR(VLOOKUP(TableHandbook[[#This Row],[UDC]],TableMJRUSCCH1[],7,FALSE),"")</f>
        <v/>
      </c>
      <c r="AJ5" s="209" t="str">
        <f>IFERROR(VLOOKUP(TableHandbook[[#This Row],[UDC]],TableMJRUSCHB1[],7,FALSE),"")</f>
        <v/>
      </c>
      <c r="AK5" s="209" t="str">
        <f>IFERROR(VLOOKUP(TableHandbook[[#This Row],[UDC]],TableMJRUSCPH1[],7,FALSE),"")</f>
        <v/>
      </c>
      <c r="AL5" s="209" t="str">
        <f>IFERROR(VLOOKUP(TableHandbook[[#This Row],[UDC]],TableMJRUSCPS1[],7,FALSE),"")</f>
        <v/>
      </c>
      <c r="AM5" s="211" t="str">
        <f>IFERROR(VLOOKUP(TableHandbook[[#This Row],[UDC]],TableSTRUBIOLB[],7,FALSE),"")</f>
        <v/>
      </c>
      <c r="AN5" s="209" t="str">
        <f>IFERROR(VLOOKUP(TableHandbook[[#This Row],[UDC]],TableSTRUBSCIM[],7,FALSE),"")</f>
        <v/>
      </c>
      <c r="AO5" s="209" t="str">
        <f>IFERROR(VLOOKUP(TableHandbook[[#This Row],[UDC]],TableSTRUCHEMB[],7,FALSE),"")</f>
        <v/>
      </c>
      <c r="AP5" s="209" t="str">
        <f>IFERROR(VLOOKUP(TableHandbook[[#This Row],[UDC]],TableSTRUECOB1[],7,FALSE),"")</f>
        <v/>
      </c>
      <c r="AQ5" s="209" t="str">
        <f>IFERROR(VLOOKUP(TableHandbook[[#This Row],[UDC]],TableSTRUENGLB[],7,FALSE),"")</f>
        <v/>
      </c>
      <c r="AR5" s="209" t="str">
        <f>IFERROR(VLOOKUP(TableHandbook[[#This Row],[UDC]],TableSTRUENGLM[],7,FALSE),"")</f>
        <v/>
      </c>
      <c r="AS5" s="209" t="str">
        <f>IFERROR(VLOOKUP(TableHandbook[[#This Row],[UDC]],TableSTRUGEOB1[],7,FALSE),"")</f>
        <v/>
      </c>
      <c r="AT5" s="209" t="str">
        <f>IFERROR(VLOOKUP(TableHandbook[[#This Row],[UDC]],TableSTRUGEOGM[],7,FALSE),"")</f>
        <v/>
      </c>
      <c r="AU5" s="209" t="str">
        <f>IFERROR(VLOOKUP(TableHandbook[[#This Row],[UDC]],TableSTRUHISB1[],7,FALSE),"")</f>
        <v/>
      </c>
      <c r="AV5" s="209" t="str">
        <f>IFERROR(VLOOKUP(TableHandbook[[#This Row],[UDC]],TableSTRUHISTM[],7,FALSE),"")</f>
        <v/>
      </c>
      <c r="AW5" s="209" t="str">
        <f>IFERROR(VLOOKUP(TableHandbook[[#This Row],[UDC]],TableSTRUHPEB1[],7,FALSE),"")</f>
        <v/>
      </c>
      <c r="AX5" s="209" t="str">
        <f>IFERROR(VLOOKUP(TableHandbook[[#This Row],[UDC]],TableSTRUHUMBB[],7,FALSE),"")</f>
        <v/>
      </c>
      <c r="AY5" s="209" t="str">
        <f>IFERROR(VLOOKUP(TableHandbook[[#This Row],[UDC]],TableSTRUMARTM[],7,FALSE),"")</f>
        <v/>
      </c>
      <c r="AZ5" s="209" t="str">
        <f>IFERROR(VLOOKUP(TableHandbook[[#This Row],[UDC]],TableSTRUMATHB[],7,FALSE),"")</f>
        <v/>
      </c>
      <c r="BA5" s="209" t="str">
        <f>IFERROR(VLOOKUP(TableHandbook[[#This Row],[UDC]],TableSTRUMATHM[],7,FALSE),"")</f>
        <v/>
      </c>
      <c r="BB5" s="209" t="str">
        <f>IFERROR(VLOOKUP(TableHandbook[[#This Row],[UDC]],TableSTRUPARTB[],7,FALSE),"")</f>
        <v/>
      </c>
      <c r="BC5" s="209" t="str">
        <f>IFERROR(VLOOKUP(TableHandbook[[#This Row],[UDC]],TableSTRUPARTM[],7,FALSE),"")</f>
        <v/>
      </c>
      <c r="BD5" s="209" t="str">
        <f>IFERROR(VLOOKUP(TableHandbook[[#This Row],[UDC]],TableSTRUPOLB1[],7,FALSE),"")</f>
        <v/>
      </c>
      <c r="BE5" s="209" t="str">
        <f>IFERROR(VLOOKUP(TableHandbook[[#This Row],[UDC]],TableSTRUPSYCB[],7,FALSE),"")</f>
        <v/>
      </c>
      <c r="BF5" s="209" t="str">
        <f>IFERROR(VLOOKUP(TableHandbook[[#This Row],[UDC]],TableSTRUPSYCM[],7,FALSE),"")</f>
        <v/>
      </c>
      <c r="BG5" s="209" t="str">
        <f>IFERROR(VLOOKUP(TableHandbook[[#This Row],[UDC]],TableSTRUVARTB[],7,FALSE),"")</f>
        <v/>
      </c>
      <c r="BH5" s="209" t="str">
        <f>IFERROR(VLOOKUP(TableHandbook[[#This Row],[UDC]],TableSTRUVARTM[],7,FALSE),"")</f>
        <v/>
      </c>
    </row>
    <row r="6" spans="1:60" x14ac:dyDescent="0.25">
      <c r="A6" s="296" t="s">
        <v>449</v>
      </c>
      <c r="B6" s="7">
        <v>0</v>
      </c>
      <c r="C6" s="7"/>
      <c r="D6" s="207" t="s">
        <v>768</v>
      </c>
      <c r="E6" s="7">
        <v>25</v>
      </c>
      <c r="F6" s="84" t="s">
        <v>769</v>
      </c>
      <c r="G6" s="75" t="str">
        <f>IFERROR(IF(VLOOKUP(TableHandbook[[#This Row],[UDC]],TableAvailabilities[],2,FALSE)&gt;0,"Y",""),"")</f>
        <v/>
      </c>
      <c r="H6" s="75" t="str">
        <f>IFERROR(IF(VLOOKUP(TableHandbook[[#This Row],[UDC]],TableAvailabilities[],3,FALSE)&gt;0,"Y",""),"")</f>
        <v/>
      </c>
      <c r="I6" s="75" t="str">
        <f>IFERROR(IF(VLOOKUP(TableHandbook[[#This Row],[UDC]],TableAvailabilities[],4,FALSE)&gt;0,"Y",""),"")</f>
        <v/>
      </c>
      <c r="J6" s="75" t="str">
        <f>IFERROR(IF(VLOOKUP(TableHandbook[[#This Row],[UDC]],TableAvailabilities[],5,FALSE)&gt;0,"Y",""),"")</f>
        <v/>
      </c>
      <c r="K6" s="75" t="str">
        <f>IFERROR(IF(VLOOKUP(TableHandbook[[#This Row],[UDC]],TableAvailabilities[],6,FALSE)&gt;0,"Y",""),"")</f>
        <v/>
      </c>
      <c r="L6" s="75" t="str">
        <f>IFERROR(IF(VLOOKUP(TableHandbook[[#This Row],[UDC]],TableAvailabilities[],7,FALSE)&gt;0,"Y",""),"")</f>
        <v/>
      </c>
      <c r="M6" s="207"/>
      <c r="N6" s="209" t="str">
        <f>IFERROR(VLOOKUP(TableHandbook[[#This Row],[UDC]],TableBEDUC[],7,FALSE),"")</f>
        <v/>
      </c>
      <c r="O6" s="209" t="str">
        <f>IFERROR(VLOOKUP(TableHandbook[[#This Row],[UDC]],TableBEDEC[],7,FALSE),"")</f>
        <v/>
      </c>
      <c r="P6" s="211" t="str">
        <f>IFERROR(VLOOKUP(TableHandbook[[#This Row],[UDC]],TableBEDPR[],7,FALSE),"")</f>
        <v/>
      </c>
      <c r="Q6" s="209" t="str">
        <f>IFERROR(VLOOKUP(TableHandbook[[#This Row],[UDC]],TableSTRUCATHL[],7,FALSE),"")</f>
        <v/>
      </c>
      <c r="R6" s="209" t="str">
        <f>IFERROR(VLOOKUP(TableHandbook[[#This Row],[UDC]],TableSTRUENGLL[],7,FALSE),"")</f>
        <v/>
      </c>
      <c r="S6" s="209" t="str">
        <f>IFERROR(VLOOKUP(TableHandbook[[#This Row],[UDC]],TableSTRUHLTPE[],7,FALSE),"")</f>
        <v/>
      </c>
      <c r="T6" s="209" t="str">
        <f>IFERROR(VLOOKUP(TableHandbook[[#This Row],[UDC]],TableSTRUISTEM[],7,FALSE),"")</f>
        <v/>
      </c>
      <c r="U6" s="209" t="str">
        <f>IFERROR(VLOOKUP(TableHandbook[[#This Row],[UDC]],TableSTRULITNU[],7,FALSE),"")</f>
        <v/>
      </c>
      <c r="V6" s="209" t="str">
        <f>IFERROR(VLOOKUP(TableHandbook[[#This Row],[UDC]],TableSTRUTECHS[],7,FALSE),"")</f>
        <v/>
      </c>
      <c r="W6" s="211" t="str">
        <f>IFERROR(VLOOKUP(TableHandbook[[#This Row],[UDC]],TableBEDSC[],7,FALSE),"")</f>
        <v/>
      </c>
      <c r="X6" s="211" t="str">
        <f>IFERROR(VLOOKUP(TableHandbook[[#This Row],[UDC]],TableMJRUARDR1[],7,FALSE),"")</f>
        <v/>
      </c>
      <c r="Y6" s="209" t="str">
        <f>IFERROR(VLOOKUP(TableHandbook[[#This Row],[UDC]],TableMJRUARME1[],7,FALSE),"")</f>
        <v>AltCore</v>
      </c>
      <c r="Z6" s="209" t="str">
        <f>IFERROR(VLOOKUP(TableHandbook[[#This Row],[UDC]],TableMJRUARVA1[],7,FALSE),"")</f>
        <v/>
      </c>
      <c r="AA6" s="209" t="str">
        <f>IFERROR(VLOOKUP(TableHandbook[[#This Row],[UDC]],TableMJRUENGL1[],7,FALSE),"")</f>
        <v/>
      </c>
      <c r="AB6" s="209" t="str">
        <f>IFERROR(VLOOKUP(TableHandbook[[#This Row],[UDC]],TableMJRUHSEC1[],7,FALSE),"")</f>
        <v/>
      </c>
      <c r="AC6" s="209" t="str">
        <f>IFERROR(VLOOKUP(TableHandbook[[#This Row],[UDC]],TableMJRUHSGE1[],7,FALSE),"")</f>
        <v/>
      </c>
      <c r="AD6" s="209" t="str">
        <f>IFERROR(VLOOKUP(TableHandbook[[#This Row],[UDC]],TableMJRUHSHI1[],7,FALSE),"")</f>
        <v/>
      </c>
      <c r="AE6" s="209" t="str">
        <f>IFERROR(VLOOKUP(TableHandbook[[#This Row],[UDC]],TableMJRUHSPL1[],7,FALSE),"")</f>
        <v/>
      </c>
      <c r="AF6" s="209" t="str">
        <f>IFERROR(VLOOKUP(TableHandbook[[#This Row],[UDC]],TableMJRUMATH1[],7,FALSE),"")</f>
        <v/>
      </c>
      <c r="AG6" s="209" t="str">
        <f>IFERROR(VLOOKUP(TableHandbook[[#This Row],[UDC]],TableMJRUPHYSE[],7,FALSE),"")</f>
        <v/>
      </c>
      <c r="AH6" s="209" t="str">
        <f>IFERROR(VLOOKUP(TableHandbook[[#This Row],[UDC]],TableMJRUSCBI1[],7,FALSE),"")</f>
        <v/>
      </c>
      <c r="AI6" s="209" t="str">
        <f>IFERROR(VLOOKUP(TableHandbook[[#This Row],[UDC]],TableMJRUSCCH1[],7,FALSE),"")</f>
        <v/>
      </c>
      <c r="AJ6" s="209" t="str">
        <f>IFERROR(VLOOKUP(TableHandbook[[#This Row],[UDC]],TableMJRUSCHB1[],7,FALSE),"")</f>
        <v/>
      </c>
      <c r="AK6" s="209" t="str">
        <f>IFERROR(VLOOKUP(TableHandbook[[#This Row],[UDC]],TableMJRUSCPH1[],7,FALSE),"")</f>
        <v/>
      </c>
      <c r="AL6" s="209" t="str">
        <f>IFERROR(VLOOKUP(TableHandbook[[#This Row],[UDC]],TableMJRUSCPS1[],7,FALSE),"")</f>
        <v/>
      </c>
      <c r="AM6" s="211" t="str">
        <f>IFERROR(VLOOKUP(TableHandbook[[#This Row],[UDC]],TableSTRUBIOLB[],7,FALSE),"")</f>
        <v/>
      </c>
      <c r="AN6" s="209" t="str">
        <f>IFERROR(VLOOKUP(TableHandbook[[#This Row],[UDC]],TableSTRUBSCIM[],7,FALSE),"")</f>
        <v/>
      </c>
      <c r="AO6" s="209" t="str">
        <f>IFERROR(VLOOKUP(TableHandbook[[#This Row],[UDC]],TableSTRUCHEMB[],7,FALSE),"")</f>
        <v/>
      </c>
      <c r="AP6" s="209" t="str">
        <f>IFERROR(VLOOKUP(TableHandbook[[#This Row],[UDC]],TableSTRUECOB1[],7,FALSE),"")</f>
        <v/>
      </c>
      <c r="AQ6" s="209" t="str">
        <f>IFERROR(VLOOKUP(TableHandbook[[#This Row],[UDC]],TableSTRUENGLB[],7,FALSE),"")</f>
        <v/>
      </c>
      <c r="AR6" s="209" t="str">
        <f>IFERROR(VLOOKUP(TableHandbook[[#This Row],[UDC]],TableSTRUENGLM[],7,FALSE),"")</f>
        <v/>
      </c>
      <c r="AS6" s="209" t="str">
        <f>IFERROR(VLOOKUP(TableHandbook[[#This Row],[UDC]],TableSTRUGEOB1[],7,FALSE),"")</f>
        <v/>
      </c>
      <c r="AT6" s="209" t="str">
        <f>IFERROR(VLOOKUP(TableHandbook[[#This Row],[UDC]],TableSTRUGEOGM[],7,FALSE),"")</f>
        <v/>
      </c>
      <c r="AU6" s="209" t="str">
        <f>IFERROR(VLOOKUP(TableHandbook[[#This Row],[UDC]],TableSTRUHISB1[],7,FALSE),"")</f>
        <v/>
      </c>
      <c r="AV6" s="209" t="str">
        <f>IFERROR(VLOOKUP(TableHandbook[[#This Row],[UDC]],TableSTRUHISTM[],7,FALSE),"")</f>
        <v/>
      </c>
      <c r="AW6" s="209" t="str">
        <f>IFERROR(VLOOKUP(TableHandbook[[#This Row],[UDC]],TableSTRUHPEB1[],7,FALSE),"")</f>
        <v/>
      </c>
      <c r="AX6" s="209" t="str">
        <f>IFERROR(VLOOKUP(TableHandbook[[#This Row],[UDC]],TableSTRUHUMBB[],7,FALSE),"")</f>
        <v/>
      </c>
      <c r="AY6" s="209" t="str">
        <f>IFERROR(VLOOKUP(TableHandbook[[#This Row],[UDC]],TableSTRUMARTM[],7,FALSE),"")</f>
        <v/>
      </c>
      <c r="AZ6" s="209" t="str">
        <f>IFERROR(VLOOKUP(TableHandbook[[#This Row],[UDC]],TableSTRUMATHB[],7,FALSE),"")</f>
        <v/>
      </c>
      <c r="BA6" s="209" t="str">
        <f>IFERROR(VLOOKUP(TableHandbook[[#This Row],[UDC]],TableSTRUMATHM[],7,FALSE),"")</f>
        <v/>
      </c>
      <c r="BB6" s="209" t="str">
        <f>IFERROR(VLOOKUP(TableHandbook[[#This Row],[UDC]],TableSTRUPARTB[],7,FALSE),"")</f>
        <v/>
      </c>
      <c r="BC6" s="209" t="str">
        <f>IFERROR(VLOOKUP(TableHandbook[[#This Row],[UDC]],TableSTRUPARTM[],7,FALSE),"")</f>
        <v/>
      </c>
      <c r="BD6" s="209" t="str">
        <f>IFERROR(VLOOKUP(TableHandbook[[#This Row],[UDC]],TableSTRUPOLB1[],7,FALSE),"")</f>
        <v/>
      </c>
      <c r="BE6" s="209" t="str">
        <f>IFERROR(VLOOKUP(TableHandbook[[#This Row],[UDC]],TableSTRUPSYCB[],7,FALSE),"")</f>
        <v/>
      </c>
      <c r="BF6" s="209" t="str">
        <f>IFERROR(VLOOKUP(TableHandbook[[#This Row],[UDC]],TableSTRUPSYCM[],7,FALSE),"")</f>
        <v/>
      </c>
      <c r="BG6" s="209" t="str">
        <f>IFERROR(VLOOKUP(TableHandbook[[#This Row],[UDC]],TableSTRUVARTB[],7,FALSE),"")</f>
        <v/>
      </c>
      <c r="BH6" s="209" t="str">
        <f>IFERROR(VLOOKUP(TableHandbook[[#This Row],[UDC]],TableSTRUVARTM[],7,FALSE),"")</f>
        <v/>
      </c>
    </row>
    <row r="7" spans="1:60" x14ac:dyDescent="0.25">
      <c r="A7" s="296" t="s">
        <v>470</v>
      </c>
      <c r="B7" s="7">
        <v>0</v>
      </c>
      <c r="C7" s="7"/>
      <c r="D7" s="207" t="s">
        <v>770</v>
      </c>
      <c r="E7" s="7">
        <v>25</v>
      </c>
      <c r="F7" s="84" t="s">
        <v>769</v>
      </c>
      <c r="G7" s="75" t="str">
        <f>IFERROR(IF(VLOOKUP(TableHandbook[[#This Row],[UDC]],TableAvailabilities[],2,FALSE)&gt;0,"Y",""),"")</f>
        <v/>
      </c>
      <c r="H7" s="75" t="str">
        <f>IFERROR(IF(VLOOKUP(TableHandbook[[#This Row],[UDC]],TableAvailabilities[],3,FALSE)&gt;0,"Y",""),"")</f>
        <v/>
      </c>
      <c r="I7" s="75" t="str">
        <f>IFERROR(IF(VLOOKUP(TableHandbook[[#This Row],[UDC]],TableAvailabilities[],4,FALSE)&gt;0,"Y",""),"")</f>
        <v/>
      </c>
      <c r="J7" s="75" t="str">
        <f>IFERROR(IF(VLOOKUP(TableHandbook[[#This Row],[UDC]],TableAvailabilities[],5,FALSE)&gt;0,"Y",""),"")</f>
        <v/>
      </c>
      <c r="K7" s="75" t="str">
        <f>IFERROR(IF(VLOOKUP(TableHandbook[[#This Row],[UDC]],TableAvailabilities[],6,FALSE)&gt;0,"Y",""),"")</f>
        <v/>
      </c>
      <c r="L7" s="75" t="str">
        <f>IFERROR(IF(VLOOKUP(TableHandbook[[#This Row],[UDC]],TableAvailabilities[],7,FALSE)&gt;0,"Y",""),"")</f>
        <v/>
      </c>
      <c r="M7" s="207"/>
      <c r="N7" s="209" t="str">
        <f>IFERROR(VLOOKUP(TableHandbook[[#This Row],[UDC]],TableBEDUC[],7,FALSE),"")</f>
        <v/>
      </c>
      <c r="O7" s="209" t="str">
        <f>IFERROR(VLOOKUP(TableHandbook[[#This Row],[UDC]],TableBEDEC[],7,FALSE),"")</f>
        <v/>
      </c>
      <c r="P7" s="211" t="str">
        <f>IFERROR(VLOOKUP(TableHandbook[[#This Row],[UDC]],TableBEDPR[],7,FALSE),"")</f>
        <v/>
      </c>
      <c r="Q7" s="209" t="str">
        <f>IFERROR(VLOOKUP(TableHandbook[[#This Row],[UDC]],TableSTRUCATHL[],7,FALSE),"")</f>
        <v/>
      </c>
      <c r="R7" s="209" t="str">
        <f>IFERROR(VLOOKUP(TableHandbook[[#This Row],[UDC]],TableSTRUENGLL[],7,FALSE),"")</f>
        <v/>
      </c>
      <c r="S7" s="209" t="str">
        <f>IFERROR(VLOOKUP(TableHandbook[[#This Row],[UDC]],TableSTRUHLTPE[],7,FALSE),"")</f>
        <v/>
      </c>
      <c r="T7" s="209" t="str">
        <f>IFERROR(VLOOKUP(TableHandbook[[#This Row],[UDC]],TableSTRUISTEM[],7,FALSE),"")</f>
        <v/>
      </c>
      <c r="U7" s="209" t="str">
        <f>IFERROR(VLOOKUP(TableHandbook[[#This Row],[UDC]],TableSTRULITNU[],7,FALSE),"")</f>
        <v/>
      </c>
      <c r="V7" s="209" t="str">
        <f>IFERROR(VLOOKUP(TableHandbook[[#This Row],[UDC]],TableSTRUTECHS[],7,FALSE),"")</f>
        <v/>
      </c>
      <c r="W7" s="211" t="str">
        <f>IFERROR(VLOOKUP(TableHandbook[[#This Row],[UDC]],TableBEDSC[],7,FALSE),"")</f>
        <v/>
      </c>
      <c r="X7" s="211" t="str">
        <f>IFERROR(VLOOKUP(TableHandbook[[#This Row],[UDC]],TableMJRUARDR1[],7,FALSE),"")</f>
        <v/>
      </c>
      <c r="Y7" s="209" t="str">
        <f>IFERROR(VLOOKUP(TableHandbook[[#This Row],[UDC]],TableMJRUARME1[],7,FALSE),"")</f>
        <v/>
      </c>
      <c r="Z7" s="209" t="str">
        <f>IFERROR(VLOOKUP(TableHandbook[[#This Row],[UDC]],TableMJRUARVA1[],7,FALSE),"")</f>
        <v>AltCore</v>
      </c>
      <c r="AA7" s="209" t="str">
        <f>IFERROR(VLOOKUP(TableHandbook[[#This Row],[UDC]],TableMJRUENGL1[],7,FALSE),"")</f>
        <v/>
      </c>
      <c r="AB7" s="209" t="str">
        <f>IFERROR(VLOOKUP(TableHandbook[[#This Row],[UDC]],TableMJRUHSEC1[],7,FALSE),"")</f>
        <v/>
      </c>
      <c r="AC7" s="209" t="str">
        <f>IFERROR(VLOOKUP(TableHandbook[[#This Row],[UDC]],TableMJRUHSGE1[],7,FALSE),"")</f>
        <v/>
      </c>
      <c r="AD7" s="209" t="str">
        <f>IFERROR(VLOOKUP(TableHandbook[[#This Row],[UDC]],TableMJRUHSHI1[],7,FALSE),"")</f>
        <v/>
      </c>
      <c r="AE7" s="209" t="str">
        <f>IFERROR(VLOOKUP(TableHandbook[[#This Row],[UDC]],TableMJRUHSPL1[],7,FALSE),"")</f>
        <v/>
      </c>
      <c r="AF7" s="209" t="str">
        <f>IFERROR(VLOOKUP(TableHandbook[[#This Row],[UDC]],TableMJRUMATH1[],7,FALSE),"")</f>
        <v/>
      </c>
      <c r="AG7" s="209" t="str">
        <f>IFERROR(VLOOKUP(TableHandbook[[#This Row],[UDC]],TableMJRUPHYSE[],7,FALSE),"")</f>
        <v/>
      </c>
      <c r="AH7" s="209" t="str">
        <f>IFERROR(VLOOKUP(TableHandbook[[#This Row],[UDC]],TableMJRUSCBI1[],7,FALSE),"")</f>
        <v/>
      </c>
      <c r="AI7" s="209" t="str">
        <f>IFERROR(VLOOKUP(TableHandbook[[#This Row],[UDC]],TableMJRUSCCH1[],7,FALSE),"")</f>
        <v/>
      </c>
      <c r="AJ7" s="209" t="str">
        <f>IFERROR(VLOOKUP(TableHandbook[[#This Row],[UDC]],TableMJRUSCHB1[],7,FALSE),"")</f>
        <v/>
      </c>
      <c r="AK7" s="209" t="str">
        <f>IFERROR(VLOOKUP(TableHandbook[[#This Row],[UDC]],TableMJRUSCPH1[],7,FALSE),"")</f>
        <v/>
      </c>
      <c r="AL7" s="209" t="str">
        <f>IFERROR(VLOOKUP(TableHandbook[[#This Row],[UDC]],TableMJRUSCPS1[],7,FALSE),"")</f>
        <v/>
      </c>
      <c r="AM7" s="211" t="str">
        <f>IFERROR(VLOOKUP(TableHandbook[[#This Row],[UDC]],TableSTRUBIOLB[],7,FALSE),"")</f>
        <v/>
      </c>
      <c r="AN7" s="209" t="str">
        <f>IFERROR(VLOOKUP(TableHandbook[[#This Row],[UDC]],TableSTRUBSCIM[],7,FALSE),"")</f>
        <v/>
      </c>
      <c r="AO7" s="209" t="str">
        <f>IFERROR(VLOOKUP(TableHandbook[[#This Row],[UDC]],TableSTRUCHEMB[],7,FALSE),"")</f>
        <v/>
      </c>
      <c r="AP7" s="209" t="str">
        <f>IFERROR(VLOOKUP(TableHandbook[[#This Row],[UDC]],TableSTRUECOB1[],7,FALSE),"")</f>
        <v/>
      </c>
      <c r="AQ7" s="209" t="str">
        <f>IFERROR(VLOOKUP(TableHandbook[[#This Row],[UDC]],TableSTRUENGLB[],7,FALSE),"")</f>
        <v/>
      </c>
      <c r="AR7" s="209" t="str">
        <f>IFERROR(VLOOKUP(TableHandbook[[#This Row],[UDC]],TableSTRUENGLM[],7,FALSE),"")</f>
        <v/>
      </c>
      <c r="AS7" s="209" t="str">
        <f>IFERROR(VLOOKUP(TableHandbook[[#This Row],[UDC]],TableSTRUGEOB1[],7,FALSE),"")</f>
        <v/>
      </c>
      <c r="AT7" s="209" t="str">
        <f>IFERROR(VLOOKUP(TableHandbook[[#This Row],[UDC]],TableSTRUGEOGM[],7,FALSE),"")</f>
        <v/>
      </c>
      <c r="AU7" s="209" t="str">
        <f>IFERROR(VLOOKUP(TableHandbook[[#This Row],[UDC]],TableSTRUHISB1[],7,FALSE),"")</f>
        <v/>
      </c>
      <c r="AV7" s="209" t="str">
        <f>IFERROR(VLOOKUP(TableHandbook[[#This Row],[UDC]],TableSTRUHISTM[],7,FALSE),"")</f>
        <v/>
      </c>
      <c r="AW7" s="209" t="str">
        <f>IFERROR(VLOOKUP(TableHandbook[[#This Row],[UDC]],TableSTRUHPEB1[],7,FALSE),"")</f>
        <v/>
      </c>
      <c r="AX7" s="209" t="str">
        <f>IFERROR(VLOOKUP(TableHandbook[[#This Row],[UDC]],TableSTRUHUMBB[],7,FALSE),"")</f>
        <v/>
      </c>
      <c r="AY7" s="209" t="str">
        <f>IFERROR(VLOOKUP(TableHandbook[[#This Row],[UDC]],TableSTRUMARTM[],7,FALSE),"")</f>
        <v/>
      </c>
      <c r="AZ7" s="209" t="str">
        <f>IFERROR(VLOOKUP(TableHandbook[[#This Row],[UDC]],TableSTRUMATHB[],7,FALSE),"")</f>
        <v/>
      </c>
      <c r="BA7" s="209" t="str">
        <f>IFERROR(VLOOKUP(TableHandbook[[#This Row],[UDC]],TableSTRUMATHM[],7,FALSE),"")</f>
        <v/>
      </c>
      <c r="BB7" s="209" t="str">
        <f>IFERROR(VLOOKUP(TableHandbook[[#This Row],[UDC]],TableSTRUPARTB[],7,FALSE),"")</f>
        <v/>
      </c>
      <c r="BC7" s="209" t="str">
        <f>IFERROR(VLOOKUP(TableHandbook[[#This Row],[UDC]],TableSTRUPARTM[],7,FALSE),"")</f>
        <v/>
      </c>
      <c r="BD7" s="209" t="str">
        <f>IFERROR(VLOOKUP(TableHandbook[[#This Row],[UDC]],TableSTRUPOLB1[],7,FALSE),"")</f>
        <v/>
      </c>
      <c r="BE7" s="209" t="str">
        <f>IFERROR(VLOOKUP(TableHandbook[[#This Row],[UDC]],TableSTRUPSYCB[],7,FALSE),"")</f>
        <v/>
      </c>
      <c r="BF7" s="209" t="str">
        <f>IFERROR(VLOOKUP(TableHandbook[[#This Row],[UDC]],TableSTRUPSYCM[],7,FALSE),"")</f>
        <v/>
      </c>
      <c r="BG7" s="209" t="str">
        <f>IFERROR(VLOOKUP(TableHandbook[[#This Row],[UDC]],TableSTRUVARTB[],7,FALSE),"")</f>
        <v/>
      </c>
      <c r="BH7" s="209" t="str">
        <f>IFERROR(VLOOKUP(TableHandbook[[#This Row],[UDC]],TableSTRUVARTM[],7,FALSE),"")</f>
        <v/>
      </c>
    </row>
    <row r="8" spans="1:60" x14ac:dyDescent="0.25">
      <c r="A8" s="296" t="s">
        <v>771</v>
      </c>
      <c r="B8" s="7">
        <v>0</v>
      </c>
      <c r="C8" s="7"/>
      <c r="D8" s="207" t="s">
        <v>772</v>
      </c>
      <c r="E8" s="7">
        <v>375</v>
      </c>
      <c r="F8" s="84"/>
      <c r="G8" s="75" t="str">
        <f>IFERROR(IF(VLOOKUP(TableHandbook[[#This Row],[UDC]],TableAvailabilities[],2,FALSE)&gt;0,"Y",""),"")</f>
        <v/>
      </c>
      <c r="H8" s="75" t="str">
        <f>IFERROR(IF(VLOOKUP(TableHandbook[[#This Row],[UDC]],TableAvailabilities[],3,FALSE)&gt;0,"Y",""),"")</f>
        <v/>
      </c>
      <c r="I8" s="75" t="str">
        <f>IFERROR(IF(VLOOKUP(TableHandbook[[#This Row],[UDC]],TableAvailabilities[],4,FALSE)&gt;0,"Y",""),"")</f>
        <v/>
      </c>
      <c r="J8" s="75" t="str">
        <f>IFERROR(IF(VLOOKUP(TableHandbook[[#This Row],[UDC]],TableAvailabilities[],5,FALSE)&gt;0,"Y",""),"")</f>
        <v/>
      </c>
      <c r="K8" s="75" t="str">
        <f>IFERROR(IF(VLOOKUP(TableHandbook[[#This Row],[UDC]],TableAvailabilities[],6,FALSE)&gt;0,"Y",""),"")</f>
        <v/>
      </c>
      <c r="L8" s="75" t="str">
        <f>IFERROR(IF(VLOOKUP(TableHandbook[[#This Row],[UDC]],TableAvailabilities[],7,FALSE)&gt;0,"Y",""),"")</f>
        <v/>
      </c>
      <c r="M8" s="207"/>
      <c r="N8" s="209" t="str">
        <f>IFERROR(VLOOKUP(TableHandbook[[#This Row],[UDC]],TableBEDUC[],7,FALSE),"")</f>
        <v/>
      </c>
      <c r="O8" s="209" t="str">
        <f>IFERROR(VLOOKUP(TableHandbook[[#This Row],[UDC]],TableBEDEC[],7,FALSE),"")</f>
        <v/>
      </c>
      <c r="P8" s="211" t="str">
        <f>IFERROR(VLOOKUP(TableHandbook[[#This Row],[UDC]],TableBEDPR[],7,FALSE),"")</f>
        <v/>
      </c>
      <c r="Q8" s="209" t="str">
        <f>IFERROR(VLOOKUP(TableHandbook[[#This Row],[UDC]],TableSTRUCATHL[],7,FALSE),"")</f>
        <v/>
      </c>
      <c r="R8" s="209" t="str">
        <f>IFERROR(VLOOKUP(TableHandbook[[#This Row],[UDC]],TableSTRUENGLL[],7,FALSE),"")</f>
        <v/>
      </c>
      <c r="S8" s="209" t="str">
        <f>IFERROR(VLOOKUP(TableHandbook[[#This Row],[UDC]],TableSTRUHLTPE[],7,FALSE),"")</f>
        <v/>
      </c>
      <c r="T8" s="209" t="str">
        <f>IFERROR(VLOOKUP(TableHandbook[[#This Row],[UDC]],TableSTRUISTEM[],7,FALSE),"")</f>
        <v/>
      </c>
      <c r="U8" s="209" t="str">
        <f>IFERROR(VLOOKUP(TableHandbook[[#This Row],[UDC]],TableSTRULITNU[],7,FALSE),"")</f>
        <v/>
      </c>
      <c r="V8" s="209" t="str">
        <f>IFERROR(VLOOKUP(TableHandbook[[#This Row],[UDC]],TableSTRUTECHS[],7,FALSE),"")</f>
        <v/>
      </c>
      <c r="W8" s="211" t="str">
        <f>IFERROR(VLOOKUP(TableHandbook[[#This Row],[UDC]],TableBEDSC[],7,FALSE),"")</f>
        <v>AltCore</v>
      </c>
      <c r="X8" s="211" t="str">
        <f>IFERROR(VLOOKUP(TableHandbook[[#This Row],[UDC]],TableMJRUARDR1[],7,FALSE),"")</f>
        <v/>
      </c>
      <c r="Y8" s="209" t="str">
        <f>IFERROR(VLOOKUP(TableHandbook[[#This Row],[UDC]],TableMJRUARME1[],7,FALSE),"")</f>
        <v/>
      </c>
      <c r="Z8" s="209" t="str">
        <f>IFERROR(VLOOKUP(TableHandbook[[#This Row],[UDC]],TableMJRUARVA1[],7,FALSE),"")</f>
        <v/>
      </c>
      <c r="AA8" s="209" t="str">
        <f>IFERROR(VLOOKUP(TableHandbook[[#This Row],[UDC]],TableMJRUENGL1[],7,FALSE),"")</f>
        <v/>
      </c>
      <c r="AB8" s="209" t="str">
        <f>IFERROR(VLOOKUP(TableHandbook[[#This Row],[UDC]],TableMJRUHSEC1[],7,FALSE),"")</f>
        <v/>
      </c>
      <c r="AC8" s="209" t="str">
        <f>IFERROR(VLOOKUP(TableHandbook[[#This Row],[UDC]],TableMJRUHSGE1[],7,FALSE),"")</f>
        <v/>
      </c>
      <c r="AD8" s="209" t="str">
        <f>IFERROR(VLOOKUP(TableHandbook[[#This Row],[UDC]],TableMJRUHSHI1[],7,FALSE),"")</f>
        <v/>
      </c>
      <c r="AE8" s="209" t="str">
        <f>IFERROR(VLOOKUP(TableHandbook[[#This Row],[UDC]],TableMJRUHSPL1[],7,FALSE),"")</f>
        <v/>
      </c>
      <c r="AF8" s="209" t="str">
        <f>IFERROR(VLOOKUP(TableHandbook[[#This Row],[UDC]],TableMJRUMATH1[],7,FALSE),"")</f>
        <v/>
      </c>
      <c r="AG8" s="209" t="str">
        <f>IFERROR(VLOOKUP(TableHandbook[[#This Row],[UDC]],TableMJRUPHYSE[],7,FALSE),"")</f>
        <v/>
      </c>
      <c r="AH8" s="209" t="str">
        <f>IFERROR(VLOOKUP(TableHandbook[[#This Row],[UDC]],TableMJRUSCBI1[],7,FALSE),"")</f>
        <v/>
      </c>
      <c r="AI8" s="209" t="str">
        <f>IFERROR(VLOOKUP(TableHandbook[[#This Row],[UDC]],TableMJRUSCCH1[],7,FALSE),"")</f>
        <v/>
      </c>
      <c r="AJ8" s="209" t="str">
        <f>IFERROR(VLOOKUP(TableHandbook[[#This Row],[UDC]],TableMJRUSCHB1[],7,FALSE),"")</f>
        <v/>
      </c>
      <c r="AK8" s="209" t="str">
        <f>IFERROR(VLOOKUP(TableHandbook[[#This Row],[UDC]],TableMJRUSCPH1[],7,FALSE),"")</f>
        <v/>
      </c>
      <c r="AL8" s="209" t="str">
        <f>IFERROR(VLOOKUP(TableHandbook[[#This Row],[UDC]],TableMJRUSCPS1[],7,FALSE),"")</f>
        <v/>
      </c>
      <c r="AM8" s="211" t="str">
        <f>IFERROR(VLOOKUP(TableHandbook[[#This Row],[UDC]],TableSTRUBIOLB[],7,FALSE),"")</f>
        <v/>
      </c>
      <c r="AN8" s="209" t="str">
        <f>IFERROR(VLOOKUP(TableHandbook[[#This Row],[UDC]],TableSTRUBSCIM[],7,FALSE),"")</f>
        <v/>
      </c>
      <c r="AO8" s="209" t="str">
        <f>IFERROR(VLOOKUP(TableHandbook[[#This Row],[UDC]],TableSTRUCHEMB[],7,FALSE),"")</f>
        <v/>
      </c>
      <c r="AP8" s="209" t="str">
        <f>IFERROR(VLOOKUP(TableHandbook[[#This Row],[UDC]],TableSTRUECOB1[],7,FALSE),"")</f>
        <v/>
      </c>
      <c r="AQ8" s="209" t="str">
        <f>IFERROR(VLOOKUP(TableHandbook[[#This Row],[UDC]],TableSTRUENGLB[],7,FALSE),"")</f>
        <v/>
      </c>
      <c r="AR8" s="209" t="str">
        <f>IFERROR(VLOOKUP(TableHandbook[[#This Row],[UDC]],TableSTRUENGLM[],7,FALSE),"")</f>
        <v/>
      </c>
      <c r="AS8" s="209" t="str">
        <f>IFERROR(VLOOKUP(TableHandbook[[#This Row],[UDC]],TableSTRUGEOB1[],7,FALSE),"")</f>
        <v/>
      </c>
      <c r="AT8" s="209" t="str">
        <f>IFERROR(VLOOKUP(TableHandbook[[#This Row],[UDC]],TableSTRUGEOGM[],7,FALSE),"")</f>
        <v/>
      </c>
      <c r="AU8" s="209" t="str">
        <f>IFERROR(VLOOKUP(TableHandbook[[#This Row],[UDC]],TableSTRUHISB1[],7,FALSE),"")</f>
        <v/>
      </c>
      <c r="AV8" s="209" t="str">
        <f>IFERROR(VLOOKUP(TableHandbook[[#This Row],[UDC]],TableSTRUHISTM[],7,FALSE),"")</f>
        <v/>
      </c>
      <c r="AW8" s="209" t="str">
        <f>IFERROR(VLOOKUP(TableHandbook[[#This Row],[UDC]],TableSTRUHPEB1[],7,FALSE),"")</f>
        <v/>
      </c>
      <c r="AX8" s="209" t="str">
        <f>IFERROR(VLOOKUP(TableHandbook[[#This Row],[UDC]],TableSTRUHUMBB[],7,FALSE),"")</f>
        <v/>
      </c>
      <c r="AY8" s="209" t="str">
        <f>IFERROR(VLOOKUP(TableHandbook[[#This Row],[UDC]],TableSTRUMARTM[],7,FALSE),"")</f>
        <v/>
      </c>
      <c r="AZ8" s="209" t="str">
        <f>IFERROR(VLOOKUP(TableHandbook[[#This Row],[UDC]],TableSTRUMATHB[],7,FALSE),"")</f>
        <v/>
      </c>
      <c r="BA8" s="209" t="str">
        <f>IFERROR(VLOOKUP(TableHandbook[[#This Row],[UDC]],TableSTRUMATHM[],7,FALSE),"")</f>
        <v/>
      </c>
      <c r="BB8" s="209" t="str">
        <f>IFERROR(VLOOKUP(TableHandbook[[#This Row],[UDC]],TableSTRUPARTB[],7,FALSE),"")</f>
        <v/>
      </c>
      <c r="BC8" s="209" t="str">
        <f>IFERROR(VLOOKUP(TableHandbook[[#This Row],[UDC]],TableSTRUPARTM[],7,FALSE),"")</f>
        <v/>
      </c>
      <c r="BD8" s="209" t="str">
        <f>IFERROR(VLOOKUP(TableHandbook[[#This Row],[UDC]],TableSTRUPOLB1[],7,FALSE),"")</f>
        <v/>
      </c>
      <c r="BE8" s="209" t="str">
        <f>IFERROR(VLOOKUP(TableHandbook[[#This Row],[UDC]],TableSTRUPSYCB[],7,FALSE),"")</f>
        <v/>
      </c>
      <c r="BF8" s="209" t="str">
        <f>IFERROR(VLOOKUP(TableHandbook[[#This Row],[UDC]],TableSTRUPSYCM[],7,FALSE),"")</f>
        <v/>
      </c>
      <c r="BG8" s="209" t="str">
        <f>IFERROR(VLOOKUP(TableHandbook[[#This Row],[UDC]],TableSTRUVARTB[],7,FALSE),"")</f>
        <v/>
      </c>
      <c r="BH8" s="209" t="str">
        <f>IFERROR(VLOOKUP(TableHandbook[[#This Row],[UDC]],TableSTRUVARTM[],7,FALSE),"")</f>
        <v/>
      </c>
    </row>
    <row r="9" spans="1:60" x14ac:dyDescent="0.25">
      <c r="A9" s="6" t="s">
        <v>128</v>
      </c>
      <c r="B9" s="7"/>
      <c r="C9" s="7"/>
      <c r="D9" s="207" t="s">
        <v>773</v>
      </c>
      <c r="E9" s="7">
        <v>25</v>
      </c>
      <c r="F9" s="84" t="s">
        <v>769</v>
      </c>
      <c r="G9" s="75" t="str">
        <f>IFERROR(IF(VLOOKUP(TableHandbook[[#This Row],[UDC]],TableAvailabilities[],2,FALSE)&gt;0,"Y",""),"")</f>
        <v/>
      </c>
      <c r="H9" s="75" t="str">
        <f>IFERROR(IF(VLOOKUP(TableHandbook[[#This Row],[UDC]],TableAvailabilities[],3,FALSE)&gt;0,"Y",""),"")</f>
        <v/>
      </c>
      <c r="I9" s="75" t="str">
        <f>IFERROR(IF(VLOOKUP(TableHandbook[[#This Row],[UDC]],TableAvailabilities[],4,FALSE)&gt;0,"Y",""),"")</f>
        <v/>
      </c>
      <c r="J9" s="75" t="str">
        <f>IFERROR(IF(VLOOKUP(TableHandbook[[#This Row],[UDC]],TableAvailabilities[],5,FALSE)&gt;0,"Y",""),"")</f>
        <v/>
      </c>
      <c r="K9" s="75" t="str">
        <f>IFERROR(IF(VLOOKUP(TableHandbook[[#This Row],[UDC]],TableAvailabilities[],6,FALSE)&gt;0,"Y",""),"")</f>
        <v/>
      </c>
      <c r="L9" s="75" t="str">
        <f>IFERROR(IF(VLOOKUP(TableHandbook[[#This Row],[UDC]],TableAvailabilities[],7,FALSE)&gt;0,"Y",""),"")</f>
        <v/>
      </c>
      <c r="M9" s="207"/>
      <c r="N9" s="209" t="str">
        <f>IFERROR(VLOOKUP(TableHandbook[[#This Row],[UDC]],TableBEDUC[],7,FALSE),"")</f>
        <v>AltCore</v>
      </c>
      <c r="O9" s="209" t="str">
        <f>IFERROR(VLOOKUP(TableHandbook[[#This Row],[UDC]],TableBEDEC[],7,FALSE),"")</f>
        <v/>
      </c>
      <c r="P9" s="211" t="str">
        <f>IFERROR(VLOOKUP(TableHandbook[[#This Row],[UDC]],TableBEDPR[],7,FALSE),"")</f>
        <v/>
      </c>
      <c r="Q9" s="209" t="str">
        <f>IFERROR(VLOOKUP(TableHandbook[[#This Row],[UDC]],TableSTRUCATHL[],7,FALSE),"")</f>
        <v/>
      </c>
      <c r="R9" s="209" t="str">
        <f>IFERROR(VLOOKUP(TableHandbook[[#This Row],[UDC]],TableSTRUENGLL[],7,FALSE),"")</f>
        <v/>
      </c>
      <c r="S9" s="209" t="str">
        <f>IFERROR(VLOOKUP(TableHandbook[[#This Row],[UDC]],TableSTRUHLTPE[],7,FALSE),"")</f>
        <v/>
      </c>
      <c r="T9" s="209" t="str">
        <f>IFERROR(VLOOKUP(TableHandbook[[#This Row],[UDC]],TableSTRUISTEM[],7,FALSE),"")</f>
        <v/>
      </c>
      <c r="U9" s="209" t="str">
        <f>IFERROR(VLOOKUP(TableHandbook[[#This Row],[UDC]],TableSTRULITNU[],7,FALSE),"")</f>
        <v/>
      </c>
      <c r="V9" s="209" t="str">
        <f>IFERROR(VLOOKUP(TableHandbook[[#This Row],[UDC]],TableSTRUTECHS[],7,FALSE),"")</f>
        <v/>
      </c>
      <c r="W9" s="211" t="str">
        <f>IFERROR(VLOOKUP(TableHandbook[[#This Row],[UDC]],TableBEDSC[],7,FALSE),"")</f>
        <v/>
      </c>
      <c r="X9" s="211" t="str">
        <f>IFERROR(VLOOKUP(TableHandbook[[#This Row],[UDC]],TableMJRUARDR1[],7,FALSE),"")</f>
        <v/>
      </c>
      <c r="Y9" s="209" t="str">
        <f>IFERROR(VLOOKUP(TableHandbook[[#This Row],[UDC]],TableMJRUARME1[],7,FALSE),"")</f>
        <v/>
      </c>
      <c r="Z9" s="209" t="str">
        <f>IFERROR(VLOOKUP(TableHandbook[[#This Row],[UDC]],TableMJRUARVA1[],7,FALSE),"")</f>
        <v/>
      </c>
      <c r="AA9" s="209" t="str">
        <f>IFERROR(VLOOKUP(TableHandbook[[#This Row],[UDC]],TableMJRUENGL1[],7,FALSE),"")</f>
        <v/>
      </c>
      <c r="AB9" s="209" t="str">
        <f>IFERROR(VLOOKUP(TableHandbook[[#This Row],[UDC]],TableMJRUHSEC1[],7,FALSE),"")</f>
        <v/>
      </c>
      <c r="AC9" s="209" t="str">
        <f>IFERROR(VLOOKUP(TableHandbook[[#This Row],[UDC]],TableMJRUHSGE1[],7,FALSE),"")</f>
        <v/>
      </c>
      <c r="AD9" s="209" t="str">
        <f>IFERROR(VLOOKUP(TableHandbook[[#This Row],[UDC]],TableMJRUHSHI1[],7,FALSE),"")</f>
        <v/>
      </c>
      <c r="AE9" s="209" t="str">
        <f>IFERROR(VLOOKUP(TableHandbook[[#This Row],[UDC]],TableMJRUHSPL1[],7,FALSE),"")</f>
        <v/>
      </c>
      <c r="AF9" s="209" t="str">
        <f>IFERROR(VLOOKUP(TableHandbook[[#This Row],[UDC]],TableMJRUMATH1[],7,FALSE),"")</f>
        <v/>
      </c>
      <c r="AG9" s="209" t="str">
        <f>IFERROR(VLOOKUP(TableHandbook[[#This Row],[UDC]],TableMJRUPHYSE[],7,FALSE),"")</f>
        <v/>
      </c>
      <c r="AH9" s="209" t="str">
        <f>IFERROR(VLOOKUP(TableHandbook[[#This Row],[UDC]],TableMJRUSCBI1[],7,FALSE),"")</f>
        <v/>
      </c>
      <c r="AI9" s="209" t="str">
        <f>IFERROR(VLOOKUP(TableHandbook[[#This Row],[UDC]],TableMJRUSCCH1[],7,FALSE),"")</f>
        <v/>
      </c>
      <c r="AJ9" s="209" t="str">
        <f>IFERROR(VLOOKUP(TableHandbook[[#This Row],[UDC]],TableMJRUSCHB1[],7,FALSE),"")</f>
        <v/>
      </c>
      <c r="AK9" s="209" t="str">
        <f>IFERROR(VLOOKUP(TableHandbook[[#This Row],[UDC]],TableMJRUSCPH1[],7,FALSE),"")</f>
        <v/>
      </c>
      <c r="AL9" s="209" t="str">
        <f>IFERROR(VLOOKUP(TableHandbook[[#This Row],[UDC]],TableMJRUSCPS1[],7,FALSE),"")</f>
        <v/>
      </c>
      <c r="AM9" s="211" t="str">
        <f>IFERROR(VLOOKUP(TableHandbook[[#This Row],[UDC]],TableSTRUBIOLB[],7,FALSE),"")</f>
        <v/>
      </c>
      <c r="AN9" s="209" t="str">
        <f>IFERROR(VLOOKUP(TableHandbook[[#This Row],[UDC]],TableSTRUBSCIM[],7,FALSE),"")</f>
        <v/>
      </c>
      <c r="AO9" s="209" t="str">
        <f>IFERROR(VLOOKUP(TableHandbook[[#This Row],[UDC]],TableSTRUCHEMB[],7,FALSE),"")</f>
        <v/>
      </c>
      <c r="AP9" s="209" t="str">
        <f>IFERROR(VLOOKUP(TableHandbook[[#This Row],[UDC]],TableSTRUECOB1[],7,FALSE),"")</f>
        <v/>
      </c>
      <c r="AQ9" s="209" t="str">
        <f>IFERROR(VLOOKUP(TableHandbook[[#This Row],[UDC]],TableSTRUENGLB[],7,FALSE),"")</f>
        <v/>
      </c>
      <c r="AR9" s="209" t="str">
        <f>IFERROR(VLOOKUP(TableHandbook[[#This Row],[UDC]],TableSTRUENGLM[],7,FALSE),"")</f>
        <v/>
      </c>
      <c r="AS9" s="209" t="str">
        <f>IFERROR(VLOOKUP(TableHandbook[[#This Row],[UDC]],TableSTRUGEOB1[],7,FALSE),"")</f>
        <v/>
      </c>
      <c r="AT9" s="209" t="str">
        <f>IFERROR(VLOOKUP(TableHandbook[[#This Row],[UDC]],TableSTRUGEOGM[],7,FALSE),"")</f>
        <v/>
      </c>
      <c r="AU9" s="209" t="str">
        <f>IFERROR(VLOOKUP(TableHandbook[[#This Row],[UDC]],TableSTRUHISB1[],7,FALSE),"")</f>
        <v/>
      </c>
      <c r="AV9" s="209" t="str">
        <f>IFERROR(VLOOKUP(TableHandbook[[#This Row],[UDC]],TableSTRUHISTM[],7,FALSE),"")</f>
        <v/>
      </c>
      <c r="AW9" s="209" t="str">
        <f>IFERROR(VLOOKUP(TableHandbook[[#This Row],[UDC]],TableSTRUHPEB1[],7,FALSE),"")</f>
        <v/>
      </c>
      <c r="AX9" s="209" t="str">
        <f>IFERROR(VLOOKUP(TableHandbook[[#This Row],[UDC]],TableSTRUHUMBB[],7,FALSE),"")</f>
        <v/>
      </c>
      <c r="AY9" s="209" t="str">
        <f>IFERROR(VLOOKUP(TableHandbook[[#This Row],[UDC]],TableSTRUMARTM[],7,FALSE),"")</f>
        <v/>
      </c>
      <c r="AZ9" s="209" t="str">
        <f>IFERROR(VLOOKUP(TableHandbook[[#This Row],[UDC]],TableSTRUMATHB[],7,FALSE),"")</f>
        <v/>
      </c>
      <c r="BA9" s="209" t="str">
        <f>IFERROR(VLOOKUP(TableHandbook[[#This Row],[UDC]],TableSTRUMATHM[],7,FALSE),"")</f>
        <v/>
      </c>
      <c r="BB9" s="209" t="str">
        <f>IFERROR(VLOOKUP(TableHandbook[[#This Row],[UDC]],TableSTRUPARTB[],7,FALSE),"")</f>
        <v/>
      </c>
      <c r="BC9" s="209" t="str">
        <f>IFERROR(VLOOKUP(TableHandbook[[#This Row],[UDC]],TableSTRUPARTM[],7,FALSE),"")</f>
        <v/>
      </c>
      <c r="BD9" s="209" t="str">
        <f>IFERROR(VLOOKUP(TableHandbook[[#This Row],[UDC]],TableSTRUPOLB1[],7,FALSE),"")</f>
        <v/>
      </c>
      <c r="BE9" s="209" t="str">
        <f>IFERROR(VLOOKUP(TableHandbook[[#This Row],[UDC]],TableSTRUPSYCB[],7,FALSE),"")</f>
        <v/>
      </c>
      <c r="BF9" s="209" t="str">
        <f>IFERROR(VLOOKUP(TableHandbook[[#This Row],[UDC]],TableSTRUPSYCM[],7,FALSE),"")</f>
        <v/>
      </c>
      <c r="BG9" s="209" t="str">
        <f>IFERROR(VLOOKUP(TableHandbook[[#This Row],[UDC]],TableSTRUVARTB[],7,FALSE),"")</f>
        <v/>
      </c>
      <c r="BH9" s="209" t="str">
        <f>IFERROR(VLOOKUP(TableHandbook[[#This Row],[UDC]],TableSTRUVARTM[],7,FALSE),"")</f>
        <v/>
      </c>
    </row>
    <row r="10" spans="1:60" x14ac:dyDescent="0.25">
      <c r="A10" s="305" t="s">
        <v>692</v>
      </c>
      <c r="B10" s="7">
        <v>0</v>
      </c>
      <c r="C10" s="7"/>
      <c r="D10" s="207" t="s">
        <v>774</v>
      </c>
      <c r="E10" s="7">
        <v>25</v>
      </c>
      <c r="F10" s="84" t="s">
        <v>769</v>
      </c>
      <c r="G10" s="75" t="str">
        <f>IFERROR(IF(VLOOKUP(TableHandbook[[#This Row],[UDC]],TableAvailabilities[],2,FALSE)&gt;0,"Y",""),"")</f>
        <v/>
      </c>
      <c r="H10" s="75" t="str">
        <f>IFERROR(IF(VLOOKUP(TableHandbook[[#This Row],[UDC]],TableAvailabilities[],3,FALSE)&gt;0,"Y",""),"")</f>
        <v/>
      </c>
      <c r="I10" s="75" t="str">
        <f>IFERROR(IF(VLOOKUP(TableHandbook[[#This Row],[UDC]],TableAvailabilities[],4,FALSE)&gt;0,"Y",""),"")</f>
        <v/>
      </c>
      <c r="J10" s="75" t="str">
        <f>IFERROR(IF(VLOOKUP(TableHandbook[[#This Row],[UDC]],TableAvailabilities[],5,FALSE)&gt;0,"Y",""),"")</f>
        <v/>
      </c>
      <c r="K10" s="75" t="str">
        <f>IFERROR(IF(VLOOKUP(TableHandbook[[#This Row],[UDC]],TableAvailabilities[],6,FALSE)&gt;0,"Y",""),"")</f>
        <v/>
      </c>
      <c r="L10" s="75" t="str">
        <f>IFERROR(IF(VLOOKUP(TableHandbook[[#This Row],[UDC]],TableAvailabilities[],7,FALSE)&gt;0,"Y",""),"")</f>
        <v/>
      </c>
      <c r="M10" s="207"/>
      <c r="N10" s="209" t="str">
        <f>IFERROR(VLOOKUP(TableHandbook[[#This Row],[UDC]],TableBEDUC[],7,FALSE),"")</f>
        <v/>
      </c>
      <c r="O10" s="209" t="str">
        <f>IFERROR(VLOOKUP(TableHandbook[[#This Row],[UDC]],TableBEDEC[],7,FALSE),"")</f>
        <v/>
      </c>
      <c r="P10" s="211" t="str">
        <f>IFERROR(VLOOKUP(TableHandbook[[#This Row],[UDC]],TableBEDPR[],7,FALSE),"")</f>
        <v/>
      </c>
      <c r="Q10" s="209" t="str">
        <f>IFERROR(VLOOKUP(TableHandbook[[#This Row],[UDC]],TableSTRUCATHL[],7,FALSE),"")</f>
        <v/>
      </c>
      <c r="R10" s="209" t="str">
        <f>IFERROR(VLOOKUP(TableHandbook[[#This Row],[UDC]],TableSTRUENGLL[],7,FALSE),"")</f>
        <v/>
      </c>
      <c r="S10" s="209" t="str">
        <f>IFERROR(VLOOKUP(TableHandbook[[#This Row],[UDC]],TableSTRUHLTPE[],7,FALSE),"")</f>
        <v/>
      </c>
      <c r="T10" s="209" t="str">
        <f>IFERROR(VLOOKUP(TableHandbook[[#This Row],[UDC]],TableSTRUISTEM[],7,FALSE),"")</f>
        <v/>
      </c>
      <c r="U10" s="209" t="str">
        <f>IFERROR(VLOOKUP(TableHandbook[[#This Row],[UDC]],TableSTRULITNU[],7,FALSE),"")</f>
        <v/>
      </c>
      <c r="V10" s="209" t="str">
        <f>IFERROR(VLOOKUP(TableHandbook[[#This Row],[UDC]],TableSTRUTECHS[],7,FALSE),"")</f>
        <v/>
      </c>
      <c r="W10" s="211" t="str">
        <f>IFERROR(VLOOKUP(TableHandbook[[#This Row],[UDC]],TableBEDSC[],7,FALSE),"")</f>
        <v/>
      </c>
      <c r="X10" s="211" t="str">
        <f>IFERROR(VLOOKUP(TableHandbook[[#This Row],[UDC]],TableMJRUARDR1[],7,FALSE),"")</f>
        <v/>
      </c>
      <c r="Y10" s="209" t="str">
        <f>IFERROR(VLOOKUP(TableHandbook[[#This Row],[UDC]],TableMJRUARME1[],7,FALSE),"")</f>
        <v/>
      </c>
      <c r="Z10" s="209" t="str">
        <f>IFERROR(VLOOKUP(TableHandbook[[#This Row],[UDC]],TableMJRUARVA1[],7,FALSE),"")</f>
        <v/>
      </c>
      <c r="AA10" s="209" t="str">
        <f>IFERROR(VLOOKUP(TableHandbook[[#This Row],[UDC]],TableMJRUENGL1[],7,FALSE),"")</f>
        <v/>
      </c>
      <c r="AB10" s="209" t="str">
        <f>IFERROR(VLOOKUP(TableHandbook[[#This Row],[UDC]],TableMJRUHSEC1[],7,FALSE),"")</f>
        <v/>
      </c>
      <c r="AC10" s="209" t="str">
        <f>IFERROR(VLOOKUP(TableHandbook[[#This Row],[UDC]],TableMJRUHSGE1[],7,FALSE),"")</f>
        <v/>
      </c>
      <c r="AD10" s="209" t="str">
        <f>IFERROR(VLOOKUP(TableHandbook[[#This Row],[UDC]],TableMJRUHSHI1[],7,FALSE),"")</f>
        <v/>
      </c>
      <c r="AE10" s="209" t="str">
        <f>IFERROR(VLOOKUP(TableHandbook[[#This Row],[UDC]],TableMJRUHSPL1[],7,FALSE),"")</f>
        <v/>
      </c>
      <c r="AF10" s="209" t="str">
        <f>IFERROR(VLOOKUP(TableHandbook[[#This Row],[UDC]],TableMJRUMATH1[],7,FALSE),"")</f>
        <v/>
      </c>
      <c r="AG10" s="209" t="str">
        <f>IFERROR(VLOOKUP(TableHandbook[[#This Row],[UDC]],TableMJRUPHYSE[],7,FALSE),"")</f>
        <v/>
      </c>
      <c r="AH10" s="209" t="str">
        <f>IFERROR(VLOOKUP(TableHandbook[[#This Row],[UDC]],TableMJRUSCBI1[],7,FALSE),"")</f>
        <v/>
      </c>
      <c r="AI10" s="209" t="str">
        <f>IFERROR(VLOOKUP(TableHandbook[[#This Row],[UDC]],TableMJRUSCCH1[],7,FALSE),"")</f>
        <v/>
      </c>
      <c r="AJ10" s="209" t="str">
        <f>IFERROR(VLOOKUP(TableHandbook[[#This Row],[UDC]],TableMJRUSCHB1[],7,FALSE),"")</f>
        <v/>
      </c>
      <c r="AK10" s="209" t="str">
        <f>IFERROR(VLOOKUP(TableHandbook[[#This Row],[UDC]],TableMJRUSCPH1[],7,FALSE),"")</f>
        <v/>
      </c>
      <c r="AL10" s="209" t="str">
        <f>IFERROR(VLOOKUP(TableHandbook[[#This Row],[UDC]],TableMJRUSCPS1[],7,FALSE),"")</f>
        <v/>
      </c>
      <c r="AM10" s="211" t="str">
        <f>IFERROR(VLOOKUP(TableHandbook[[#This Row],[UDC]],TableSTRUBIOLB[],7,FALSE),"")</f>
        <v>AltCore</v>
      </c>
      <c r="AN10" s="209" t="str">
        <f>IFERROR(VLOOKUP(TableHandbook[[#This Row],[UDC]],TableSTRUBSCIM[],7,FALSE),"")</f>
        <v/>
      </c>
      <c r="AO10" s="209" t="str">
        <f>IFERROR(VLOOKUP(TableHandbook[[#This Row],[UDC]],TableSTRUCHEMB[],7,FALSE),"")</f>
        <v/>
      </c>
      <c r="AP10" s="209" t="str">
        <f>IFERROR(VLOOKUP(TableHandbook[[#This Row],[UDC]],TableSTRUECOB1[],7,FALSE),"")</f>
        <v/>
      </c>
      <c r="AQ10" s="209" t="str">
        <f>IFERROR(VLOOKUP(TableHandbook[[#This Row],[UDC]],TableSTRUENGLB[],7,FALSE),"")</f>
        <v/>
      </c>
      <c r="AR10" s="209" t="str">
        <f>IFERROR(VLOOKUP(TableHandbook[[#This Row],[UDC]],TableSTRUENGLM[],7,FALSE),"")</f>
        <v/>
      </c>
      <c r="AS10" s="209" t="str">
        <f>IFERROR(VLOOKUP(TableHandbook[[#This Row],[UDC]],TableSTRUGEOB1[],7,FALSE),"")</f>
        <v/>
      </c>
      <c r="AT10" s="209" t="str">
        <f>IFERROR(VLOOKUP(TableHandbook[[#This Row],[UDC]],TableSTRUGEOGM[],7,FALSE),"")</f>
        <v/>
      </c>
      <c r="AU10" s="209" t="str">
        <f>IFERROR(VLOOKUP(TableHandbook[[#This Row],[UDC]],TableSTRUHISB1[],7,FALSE),"")</f>
        <v/>
      </c>
      <c r="AV10" s="209" t="str">
        <f>IFERROR(VLOOKUP(TableHandbook[[#This Row],[UDC]],TableSTRUHISTM[],7,FALSE),"")</f>
        <v/>
      </c>
      <c r="AW10" s="209" t="str">
        <f>IFERROR(VLOOKUP(TableHandbook[[#This Row],[UDC]],TableSTRUHPEB1[],7,FALSE),"")</f>
        <v/>
      </c>
      <c r="AX10" s="209" t="str">
        <f>IFERROR(VLOOKUP(TableHandbook[[#This Row],[UDC]],TableSTRUHUMBB[],7,FALSE),"")</f>
        <v/>
      </c>
      <c r="AY10" s="209" t="str">
        <f>IFERROR(VLOOKUP(TableHandbook[[#This Row],[UDC]],TableSTRUMARTM[],7,FALSE),"")</f>
        <v/>
      </c>
      <c r="AZ10" s="209" t="str">
        <f>IFERROR(VLOOKUP(TableHandbook[[#This Row],[UDC]],TableSTRUMATHB[],7,FALSE),"")</f>
        <v/>
      </c>
      <c r="BA10" s="209" t="str">
        <f>IFERROR(VLOOKUP(TableHandbook[[#This Row],[UDC]],TableSTRUMATHM[],7,FALSE),"")</f>
        <v/>
      </c>
      <c r="BB10" s="209" t="str">
        <f>IFERROR(VLOOKUP(TableHandbook[[#This Row],[UDC]],TableSTRUPARTB[],7,FALSE),"")</f>
        <v/>
      </c>
      <c r="BC10" s="209" t="str">
        <f>IFERROR(VLOOKUP(TableHandbook[[#This Row],[UDC]],TableSTRUPARTM[],7,FALSE),"")</f>
        <v/>
      </c>
      <c r="BD10" s="209" t="str">
        <f>IFERROR(VLOOKUP(TableHandbook[[#This Row],[UDC]],TableSTRUPOLB1[],7,FALSE),"")</f>
        <v/>
      </c>
      <c r="BE10" s="209" t="str">
        <f>IFERROR(VLOOKUP(TableHandbook[[#This Row],[UDC]],TableSTRUPSYCB[],7,FALSE),"")</f>
        <v/>
      </c>
      <c r="BF10" s="209" t="str">
        <f>IFERROR(VLOOKUP(TableHandbook[[#This Row],[UDC]],TableSTRUPSYCM[],7,FALSE),"")</f>
        <v/>
      </c>
      <c r="BG10" s="209" t="str">
        <f>IFERROR(VLOOKUP(TableHandbook[[#This Row],[UDC]],TableSTRUVARTB[],7,FALSE),"")</f>
        <v/>
      </c>
      <c r="BH10" s="209" t="str">
        <f>IFERROR(VLOOKUP(TableHandbook[[#This Row],[UDC]],TableSTRUVARTM[],7,FALSE),"")</f>
        <v/>
      </c>
    </row>
    <row r="11" spans="1:60" x14ac:dyDescent="0.25">
      <c r="A11" s="305" t="s">
        <v>703</v>
      </c>
      <c r="B11" s="7">
        <v>0</v>
      </c>
      <c r="C11" s="7"/>
      <c r="D11" s="207" t="s">
        <v>775</v>
      </c>
      <c r="E11" s="7">
        <v>25</v>
      </c>
      <c r="F11" s="84" t="s">
        <v>769</v>
      </c>
      <c r="G11" s="75" t="str">
        <f>IFERROR(IF(VLOOKUP(TableHandbook[[#This Row],[UDC]],TableAvailabilities[],2,FALSE)&gt;0,"Y",""),"")</f>
        <v/>
      </c>
      <c r="H11" s="75" t="str">
        <f>IFERROR(IF(VLOOKUP(TableHandbook[[#This Row],[UDC]],TableAvailabilities[],3,FALSE)&gt;0,"Y",""),"")</f>
        <v/>
      </c>
      <c r="I11" s="75" t="str">
        <f>IFERROR(IF(VLOOKUP(TableHandbook[[#This Row],[UDC]],TableAvailabilities[],4,FALSE)&gt;0,"Y",""),"")</f>
        <v/>
      </c>
      <c r="J11" s="75" t="str">
        <f>IFERROR(IF(VLOOKUP(TableHandbook[[#This Row],[UDC]],TableAvailabilities[],5,FALSE)&gt;0,"Y",""),"")</f>
        <v/>
      </c>
      <c r="K11" s="75" t="str">
        <f>IFERROR(IF(VLOOKUP(TableHandbook[[#This Row],[UDC]],TableAvailabilities[],6,FALSE)&gt;0,"Y",""),"")</f>
        <v/>
      </c>
      <c r="L11" s="75" t="str">
        <f>IFERROR(IF(VLOOKUP(TableHandbook[[#This Row],[UDC]],TableAvailabilities[],7,FALSE)&gt;0,"Y",""),"")</f>
        <v/>
      </c>
      <c r="M11" s="207"/>
      <c r="N11" s="209" t="str">
        <f>IFERROR(VLOOKUP(TableHandbook[[#This Row],[UDC]],TableBEDUC[],7,FALSE),"")</f>
        <v/>
      </c>
      <c r="O11" s="209" t="str">
        <f>IFERROR(VLOOKUP(TableHandbook[[#This Row],[UDC]],TableBEDEC[],7,FALSE),"")</f>
        <v/>
      </c>
      <c r="P11" s="211" t="str">
        <f>IFERROR(VLOOKUP(TableHandbook[[#This Row],[UDC]],TableBEDPR[],7,FALSE),"")</f>
        <v/>
      </c>
      <c r="Q11" s="209" t="str">
        <f>IFERROR(VLOOKUP(TableHandbook[[#This Row],[UDC]],TableSTRUCATHL[],7,FALSE),"")</f>
        <v/>
      </c>
      <c r="R11" s="209" t="str">
        <f>IFERROR(VLOOKUP(TableHandbook[[#This Row],[UDC]],TableSTRUENGLL[],7,FALSE),"")</f>
        <v/>
      </c>
      <c r="S11" s="209" t="str">
        <f>IFERROR(VLOOKUP(TableHandbook[[#This Row],[UDC]],TableSTRUHLTPE[],7,FALSE),"")</f>
        <v/>
      </c>
      <c r="T11" s="209" t="str">
        <f>IFERROR(VLOOKUP(TableHandbook[[#This Row],[UDC]],TableSTRUISTEM[],7,FALSE),"")</f>
        <v/>
      </c>
      <c r="U11" s="209" t="str">
        <f>IFERROR(VLOOKUP(TableHandbook[[#This Row],[UDC]],TableSTRULITNU[],7,FALSE),"")</f>
        <v/>
      </c>
      <c r="V11" s="209" t="str">
        <f>IFERROR(VLOOKUP(TableHandbook[[#This Row],[UDC]],TableSTRUTECHS[],7,FALSE),"")</f>
        <v/>
      </c>
      <c r="W11" s="211" t="str">
        <f>IFERROR(VLOOKUP(TableHandbook[[#This Row],[UDC]],TableBEDSC[],7,FALSE),"")</f>
        <v/>
      </c>
      <c r="X11" s="211" t="str">
        <f>IFERROR(VLOOKUP(TableHandbook[[#This Row],[UDC]],TableMJRUARDR1[],7,FALSE),"")</f>
        <v/>
      </c>
      <c r="Y11" s="209" t="str">
        <f>IFERROR(VLOOKUP(TableHandbook[[#This Row],[UDC]],TableMJRUARME1[],7,FALSE),"")</f>
        <v/>
      </c>
      <c r="Z11" s="209" t="str">
        <f>IFERROR(VLOOKUP(TableHandbook[[#This Row],[UDC]],TableMJRUARVA1[],7,FALSE),"")</f>
        <v/>
      </c>
      <c r="AA11" s="209" t="str">
        <f>IFERROR(VLOOKUP(TableHandbook[[#This Row],[UDC]],TableMJRUENGL1[],7,FALSE),"")</f>
        <v/>
      </c>
      <c r="AB11" s="209" t="str">
        <f>IFERROR(VLOOKUP(TableHandbook[[#This Row],[UDC]],TableMJRUHSEC1[],7,FALSE),"")</f>
        <v/>
      </c>
      <c r="AC11" s="209" t="str">
        <f>IFERROR(VLOOKUP(TableHandbook[[#This Row],[UDC]],TableMJRUHSGE1[],7,FALSE),"")</f>
        <v/>
      </c>
      <c r="AD11" s="209" t="str">
        <f>IFERROR(VLOOKUP(TableHandbook[[#This Row],[UDC]],TableMJRUHSHI1[],7,FALSE),"")</f>
        <v/>
      </c>
      <c r="AE11" s="209" t="str">
        <f>IFERROR(VLOOKUP(TableHandbook[[#This Row],[UDC]],TableMJRUHSPL1[],7,FALSE),"")</f>
        <v/>
      </c>
      <c r="AF11" s="209" t="str">
        <f>IFERROR(VLOOKUP(TableHandbook[[#This Row],[UDC]],TableMJRUMATH1[],7,FALSE),"")</f>
        <v/>
      </c>
      <c r="AG11" s="209" t="str">
        <f>IFERROR(VLOOKUP(TableHandbook[[#This Row],[UDC]],TableMJRUPHYSE[],7,FALSE),"")</f>
        <v/>
      </c>
      <c r="AH11" s="209" t="str">
        <f>IFERROR(VLOOKUP(TableHandbook[[#This Row],[UDC]],TableMJRUSCBI1[],7,FALSE),"")</f>
        <v/>
      </c>
      <c r="AI11" s="209" t="str">
        <f>IFERROR(VLOOKUP(TableHandbook[[#This Row],[UDC]],TableMJRUSCCH1[],7,FALSE),"")</f>
        <v/>
      </c>
      <c r="AJ11" s="209" t="str">
        <f>IFERROR(VLOOKUP(TableHandbook[[#This Row],[UDC]],TableMJRUSCHB1[],7,FALSE),"")</f>
        <v/>
      </c>
      <c r="AK11" s="209" t="str">
        <f>IFERROR(VLOOKUP(TableHandbook[[#This Row],[UDC]],TableMJRUSCPH1[],7,FALSE),"")</f>
        <v/>
      </c>
      <c r="AL11" s="209" t="str">
        <f>IFERROR(VLOOKUP(TableHandbook[[#This Row],[UDC]],TableMJRUSCPS1[],7,FALSE),"")</f>
        <v/>
      </c>
      <c r="AM11" s="211" t="str">
        <f>IFERROR(VLOOKUP(TableHandbook[[#This Row],[UDC]],TableSTRUBIOLB[],7,FALSE),"")</f>
        <v>AltCore</v>
      </c>
      <c r="AN11" s="209" t="str">
        <f>IFERROR(VLOOKUP(TableHandbook[[#This Row],[UDC]],TableSTRUBSCIM[],7,FALSE),"")</f>
        <v/>
      </c>
      <c r="AO11" s="209" t="str">
        <f>IFERROR(VLOOKUP(TableHandbook[[#This Row],[UDC]],TableSTRUCHEMB[],7,FALSE),"")</f>
        <v/>
      </c>
      <c r="AP11" s="209" t="str">
        <f>IFERROR(VLOOKUP(TableHandbook[[#This Row],[UDC]],TableSTRUECOB1[],7,FALSE),"")</f>
        <v/>
      </c>
      <c r="AQ11" s="209" t="str">
        <f>IFERROR(VLOOKUP(TableHandbook[[#This Row],[UDC]],TableSTRUENGLB[],7,FALSE),"")</f>
        <v/>
      </c>
      <c r="AR11" s="209" t="str">
        <f>IFERROR(VLOOKUP(TableHandbook[[#This Row],[UDC]],TableSTRUENGLM[],7,FALSE),"")</f>
        <v/>
      </c>
      <c r="AS11" s="209" t="str">
        <f>IFERROR(VLOOKUP(TableHandbook[[#This Row],[UDC]],TableSTRUGEOB1[],7,FALSE),"")</f>
        <v/>
      </c>
      <c r="AT11" s="209" t="str">
        <f>IFERROR(VLOOKUP(TableHandbook[[#This Row],[UDC]],TableSTRUGEOGM[],7,FALSE),"")</f>
        <v/>
      </c>
      <c r="AU11" s="209" t="str">
        <f>IFERROR(VLOOKUP(TableHandbook[[#This Row],[UDC]],TableSTRUHISB1[],7,FALSE),"")</f>
        <v/>
      </c>
      <c r="AV11" s="209" t="str">
        <f>IFERROR(VLOOKUP(TableHandbook[[#This Row],[UDC]],TableSTRUHISTM[],7,FALSE),"")</f>
        <v/>
      </c>
      <c r="AW11" s="209" t="str">
        <f>IFERROR(VLOOKUP(TableHandbook[[#This Row],[UDC]],TableSTRUHPEB1[],7,FALSE),"")</f>
        <v/>
      </c>
      <c r="AX11" s="209" t="str">
        <f>IFERROR(VLOOKUP(TableHandbook[[#This Row],[UDC]],TableSTRUHUMBB[],7,FALSE),"")</f>
        <v/>
      </c>
      <c r="AY11" s="209" t="str">
        <f>IFERROR(VLOOKUP(TableHandbook[[#This Row],[UDC]],TableSTRUMARTM[],7,FALSE),"")</f>
        <v/>
      </c>
      <c r="AZ11" s="209" t="str">
        <f>IFERROR(VLOOKUP(TableHandbook[[#This Row],[UDC]],TableSTRUMATHB[],7,FALSE),"")</f>
        <v/>
      </c>
      <c r="BA11" s="209" t="str">
        <f>IFERROR(VLOOKUP(TableHandbook[[#This Row],[UDC]],TableSTRUMATHM[],7,FALSE),"")</f>
        <v/>
      </c>
      <c r="BB11" s="209" t="str">
        <f>IFERROR(VLOOKUP(TableHandbook[[#This Row],[UDC]],TableSTRUPARTB[],7,FALSE),"")</f>
        <v/>
      </c>
      <c r="BC11" s="209" t="str">
        <f>IFERROR(VLOOKUP(TableHandbook[[#This Row],[UDC]],TableSTRUPARTM[],7,FALSE),"")</f>
        <v/>
      </c>
      <c r="BD11" s="209" t="str">
        <f>IFERROR(VLOOKUP(TableHandbook[[#This Row],[UDC]],TableSTRUPOLB1[],7,FALSE),"")</f>
        <v/>
      </c>
      <c r="BE11" s="209" t="str">
        <f>IFERROR(VLOOKUP(TableHandbook[[#This Row],[UDC]],TableSTRUPSYCB[],7,FALSE),"")</f>
        <v/>
      </c>
      <c r="BF11" s="209" t="str">
        <f>IFERROR(VLOOKUP(TableHandbook[[#This Row],[UDC]],TableSTRUPSYCM[],7,FALSE),"")</f>
        <v/>
      </c>
      <c r="BG11" s="209" t="str">
        <f>IFERROR(VLOOKUP(TableHandbook[[#This Row],[UDC]],TableSTRUVARTB[],7,FALSE),"")</f>
        <v/>
      </c>
      <c r="BH11" s="209" t="str">
        <f>IFERROR(VLOOKUP(TableHandbook[[#This Row],[UDC]],TableSTRUVARTM[],7,FALSE),"")</f>
        <v/>
      </c>
    </row>
    <row r="12" spans="1:60" x14ac:dyDescent="0.25">
      <c r="A12" s="305" t="s">
        <v>693</v>
      </c>
      <c r="B12" s="7">
        <v>0</v>
      </c>
      <c r="C12" s="7"/>
      <c r="D12" s="207" t="s">
        <v>776</v>
      </c>
      <c r="E12" s="7">
        <v>25</v>
      </c>
      <c r="F12" s="84" t="s">
        <v>769</v>
      </c>
      <c r="G12" s="75" t="str">
        <f>IFERROR(IF(VLOOKUP(TableHandbook[[#This Row],[UDC]],TableAvailabilities[],2,FALSE)&gt;0,"Y",""),"")</f>
        <v/>
      </c>
      <c r="H12" s="75" t="str">
        <f>IFERROR(IF(VLOOKUP(TableHandbook[[#This Row],[UDC]],TableAvailabilities[],3,FALSE)&gt;0,"Y",""),"")</f>
        <v/>
      </c>
      <c r="I12" s="75" t="str">
        <f>IFERROR(IF(VLOOKUP(TableHandbook[[#This Row],[UDC]],TableAvailabilities[],4,FALSE)&gt;0,"Y",""),"")</f>
        <v/>
      </c>
      <c r="J12" s="75" t="str">
        <f>IFERROR(IF(VLOOKUP(TableHandbook[[#This Row],[UDC]],TableAvailabilities[],5,FALSE)&gt;0,"Y",""),"")</f>
        <v/>
      </c>
      <c r="K12" s="75" t="str">
        <f>IFERROR(IF(VLOOKUP(TableHandbook[[#This Row],[UDC]],TableAvailabilities[],6,FALSE)&gt;0,"Y",""),"")</f>
        <v/>
      </c>
      <c r="L12" s="75" t="str">
        <f>IFERROR(IF(VLOOKUP(TableHandbook[[#This Row],[UDC]],TableAvailabilities[],7,FALSE)&gt;0,"Y",""),"")</f>
        <v/>
      </c>
      <c r="M12" s="207"/>
      <c r="N12" s="209" t="str">
        <f>IFERROR(VLOOKUP(TableHandbook[[#This Row],[UDC]],TableBEDUC[],7,FALSE),"")</f>
        <v/>
      </c>
      <c r="O12" s="209" t="str">
        <f>IFERROR(VLOOKUP(TableHandbook[[#This Row],[UDC]],TableBEDEC[],7,FALSE),"")</f>
        <v/>
      </c>
      <c r="P12" s="211" t="str">
        <f>IFERROR(VLOOKUP(TableHandbook[[#This Row],[UDC]],TableBEDPR[],7,FALSE),"")</f>
        <v/>
      </c>
      <c r="Q12" s="209" t="str">
        <f>IFERROR(VLOOKUP(TableHandbook[[#This Row],[UDC]],TableSTRUCATHL[],7,FALSE),"")</f>
        <v/>
      </c>
      <c r="R12" s="209" t="str">
        <f>IFERROR(VLOOKUP(TableHandbook[[#This Row],[UDC]],TableSTRUENGLL[],7,FALSE),"")</f>
        <v/>
      </c>
      <c r="S12" s="209" t="str">
        <f>IFERROR(VLOOKUP(TableHandbook[[#This Row],[UDC]],TableSTRUHLTPE[],7,FALSE),"")</f>
        <v/>
      </c>
      <c r="T12" s="209" t="str">
        <f>IFERROR(VLOOKUP(TableHandbook[[#This Row],[UDC]],TableSTRUISTEM[],7,FALSE),"")</f>
        <v/>
      </c>
      <c r="U12" s="209" t="str">
        <f>IFERROR(VLOOKUP(TableHandbook[[#This Row],[UDC]],TableSTRULITNU[],7,FALSE),"")</f>
        <v/>
      </c>
      <c r="V12" s="209" t="str">
        <f>IFERROR(VLOOKUP(TableHandbook[[#This Row],[UDC]],TableSTRUTECHS[],7,FALSE),"")</f>
        <v/>
      </c>
      <c r="W12" s="211" t="str">
        <f>IFERROR(VLOOKUP(TableHandbook[[#This Row],[UDC]],TableBEDSC[],7,FALSE),"")</f>
        <v/>
      </c>
      <c r="X12" s="211" t="str">
        <f>IFERROR(VLOOKUP(TableHandbook[[#This Row],[UDC]],TableMJRUARDR1[],7,FALSE),"")</f>
        <v/>
      </c>
      <c r="Y12" s="209" t="str">
        <f>IFERROR(VLOOKUP(TableHandbook[[#This Row],[UDC]],TableMJRUARME1[],7,FALSE),"")</f>
        <v/>
      </c>
      <c r="Z12" s="209" t="str">
        <f>IFERROR(VLOOKUP(TableHandbook[[#This Row],[UDC]],TableMJRUARVA1[],7,FALSE),"")</f>
        <v/>
      </c>
      <c r="AA12" s="209" t="str">
        <f>IFERROR(VLOOKUP(TableHandbook[[#This Row],[UDC]],TableMJRUENGL1[],7,FALSE),"")</f>
        <v/>
      </c>
      <c r="AB12" s="209" t="str">
        <f>IFERROR(VLOOKUP(TableHandbook[[#This Row],[UDC]],TableMJRUHSEC1[],7,FALSE),"")</f>
        <v/>
      </c>
      <c r="AC12" s="209" t="str">
        <f>IFERROR(VLOOKUP(TableHandbook[[#This Row],[UDC]],TableMJRUHSGE1[],7,FALSE),"")</f>
        <v/>
      </c>
      <c r="AD12" s="209" t="str">
        <f>IFERROR(VLOOKUP(TableHandbook[[#This Row],[UDC]],TableMJRUHSHI1[],7,FALSE),"")</f>
        <v/>
      </c>
      <c r="AE12" s="209" t="str">
        <f>IFERROR(VLOOKUP(TableHandbook[[#This Row],[UDC]],TableMJRUHSPL1[],7,FALSE),"")</f>
        <v/>
      </c>
      <c r="AF12" s="209" t="str">
        <f>IFERROR(VLOOKUP(TableHandbook[[#This Row],[UDC]],TableMJRUMATH1[],7,FALSE),"")</f>
        <v/>
      </c>
      <c r="AG12" s="209" t="str">
        <f>IFERROR(VLOOKUP(TableHandbook[[#This Row],[UDC]],TableMJRUPHYSE[],7,FALSE),"")</f>
        <v/>
      </c>
      <c r="AH12" s="209" t="str">
        <f>IFERROR(VLOOKUP(TableHandbook[[#This Row],[UDC]],TableMJRUSCBI1[],7,FALSE),"")</f>
        <v/>
      </c>
      <c r="AI12" s="209" t="str">
        <f>IFERROR(VLOOKUP(TableHandbook[[#This Row],[UDC]],TableMJRUSCCH1[],7,FALSE),"")</f>
        <v/>
      </c>
      <c r="AJ12" s="209" t="str">
        <f>IFERROR(VLOOKUP(TableHandbook[[#This Row],[UDC]],TableMJRUSCHB1[],7,FALSE),"")</f>
        <v/>
      </c>
      <c r="AK12" s="209" t="str">
        <f>IFERROR(VLOOKUP(TableHandbook[[#This Row],[UDC]],TableMJRUSCPH1[],7,FALSE),"")</f>
        <v/>
      </c>
      <c r="AL12" s="209" t="str">
        <f>IFERROR(VLOOKUP(TableHandbook[[#This Row],[UDC]],TableMJRUSCPS1[],7,FALSE),"")</f>
        <v/>
      </c>
      <c r="AM12" s="211" t="str">
        <f>IFERROR(VLOOKUP(TableHandbook[[#This Row],[UDC]],TableSTRUBIOLB[],7,FALSE),"")</f>
        <v/>
      </c>
      <c r="AN12" s="209" t="str">
        <f>IFERROR(VLOOKUP(TableHandbook[[#This Row],[UDC]],TableSTRUBSCIM[],7,FALSE),"")</f>
        <v>AltCore</v>
      </c>
      <c r="AO12" s="209" t="str">
        <f>IFERROR(VLOOKUP(TableHandbook[[#This Row],[UDC]],TableSTRUCHEMB[],7,FALSE),"")</f>
        <v/>
      </c>
      <c r="AP12" s="209" t="str">
        <f>IFERROR(VLOOKUP(TableHandbook[[#This Row],[UDC]],TableSTRUECOB1[],7,FALSE),"")</f>
        <v/>
      </c>
      <c r="AQ12" s="209" t="str">
        <f>IFERROR(VLOOKUP(TableHandbook[[#This Row],[UDC]],TableSTRUENGLB[],7,FALSE),"")</f>
        <v/>
      </c>
      <c r="AR12" s="209" t="str">
        <f>IFERROR(VLOOKUP(TableHandbook[[#This Row],[UDC]],TableSTRUENGLM[],7,FALSE),"")</f>
        <v/>
      </c>
      <c r="AS12" s="209" t="str">
        <f>IFERROR(VLOOKUP(TableHandbook[[#This Row],[UDC]],TableSTRUGEOB1[],7,FALSE),"")</f>
        <v/>
      </c>
      <c r="AT12" s="209" t="str">
        <f>IFERROR(VLOOKUP(TableHandbook[[#This Row],[UDC]],TableSTRUGEOGM[],7,FALSE),"")</f>
        <v/>
      </c>
      <c r="AU12" s="209" t="str">
        <f>IFERROR(VLOOKUP(TableHandbook[[#This Row],[UDC]],TableSTRUHISB1[],7,FALSE),"")</f>
        <v/>
      </c>
      <c r="AV12" s="209" t="str">
        <f>IFERROR(VLOOKUP(TableHandbook[[#This Row],[UDC]],TableSTRUHISTM[],7,FALSE),"")</f>
        <v/>
      </c>
      <c r="AW12" s="209" t="str">
        <f>IFERROR(VLOOKUP(TableHandbook[[#This Row],[UDC]],TableSTRUHPEB1[],7,FALSE),"")</f>
        <v/>
      </c>
      <c r="AX12" s="209" t="str">
        <f>IFERROR(VLOOKUP(TableHandbook[[#This Row],[UDC]],TableSTRUHUMBB[],7,FALSE),"")</f>
        <v/>
      </c>
      <c r="AY12" s="209" t="str">
        <f>IFERROR(VLOOKUP(TableHandbook[[#This Row],[UDC]],TableSTRUMARTM[],7,FALSE),"")</f>
        <v/>
      </c>
      <c r="AZ12" s="209" t="str">
        <f>IFERROR(VLOOKUP(TableHandbook[[#This Row],[UDC]],TableSTRUMATHB[],7,FALSE),"")</f>
        <v/>
      </c>
      <c r="BA12" s="209" t="str">
        <f>IFERROR(VLOOKUP(TableHandbook[[#This Row],[UDC]],TableSTRUMATHM[],7,FALSE),"")</f>
        <v/>
      </c>
      <c r="BB12" s="209" t="str">
        <f>IFERROR(VLOOKUP(TableHandbook[[#This Row],[UDC]],TableSTRUPARTB[],7,FALSE),"")</f>
        <v/>
      </c>
      <c r="BC12" s="209" t="str">
        <f>IFERROR(VLOOKUP(TableHandbook[[#This Row],[UDC]],TableSTRUPARTM[],7,FALSE),"")</f>
        <v/>
      </c>
      <c r="BD12" s="209" t="str">
        <f>IFERROR(VLOOKUP(TableHandbook[[#This Row],[UDC]],TableSTRUPOLB1[],7,FALSE),"")</f>
        <v/>
      </c>
      <c r="BE12" s="209" t="str">
        <f>IFERROR(VLOOKUP(TableHandbook[[#This Row],[UDC]],TableSTRUPSYCB[],7,FALSE),"")</f>
        <v/>
      </c>
      <c r="BF12" s="209" t="str">
        <f>IFERROR(VLOOKUP(TableHandbook[[#This Row],[UDC]],TableSTRUPSYCM[],7,FALSE),"")</f>
        <v/>
      </c>
      <c r="BG12" s="209" t="str">
        <f>IFERROR(VLOOKUP(TableHandbook[[#This Row],[UDC]],TableSTRUVARTB[],7,FALSE),"")</f>
        <v/>
      </c>
      <c r="BH12" s="209" t="str">
        <f>IFERROR(VLOOKUP(TableHandbook[[#This Row],[UDC]],TableSTRUVARTM[],7,FALSE),"")</f>
        <v/>
      </c>
    </row>
    <row r="13" spans="1:60" x14ac:dyDescent="0.25">
      <c r="A13" s="305" t="s">
        <v>704</v>
      </c>
      <c r="B13" s="7">
        <v>0</v>
      </c>
      <c r="C13" s="7"/>
      <c r="D13" s="207" t="s">
        <v>777</v>
      </c>
      <c r="E13" s="7">
        <v>25</v>
      </c>
      <c r="F13" s="84" t="s">
        <v>769</v>
      </c>
      <c r="G13" s="75" t="str">
        <f>IFERROR(IF(VLOOKUP(TableHandbook[[#This Row],[UDC]],TableAvailabilities[],2,FALSE)&gt;0,"Y",""),"")</f>
        <v/>
      </c>
      <c r="H13" s="75" t="str">
        <f>IFERROR(IF(VLOOKUP(TableHandbook[[#This Row],[UDC]],TableAvailabilities[],3,FALSE)&gt;0,"Y",""),"")</f>
        <v/>
      </c>
      <c r="I13" s="75" t="str">
        <f>IFERROR(IF(VLOOKUP(TableHandbook[[#This Row],[UDC]],TableAvailabilities[],4,FALSE)&gt;0,"Y",""),"")</f>
        <v/>
      </c>
      <c r="J13" s="75" t="str">
        <f>IFERROR(IF(VLOOKUP(TableHandbook[[#This Row],[UDC]],TableAvailabilities[],5,FALSE)&gt;0,"Y",""),"")</f>
        <v/>
      </c>
      <c r="K13" s="75" t="str">
        <f>IFERROR(IF(VLOOKUP(TableHandbook[[#This Row],[UDC]],TableAvailabilities[],6,FALSE)&gt;0,"Y",""),"")</f>
        <v/>
      </c>
      <c r="L13" s="75" t="str">
        <f>IFERROR(IF(VLOOKUP(TableHandbook[[#This Row],[UDC]],TableAvailabilities[],7,FALSE)&gt;0,"Y",""),"")</f>
        <v/>
      </c>
      <c r="M13" s="207"/>
      <c r="N13" s="209" t="str">
        <f>IFERROR(VLOOKUP(TableHandbook[[#This Row],[UDC]],TableBEDUC[],7,FALSE),"")</f>
        <v/>
      </c>
      <c r="O13" s="209" t="str">
        <f>IFERROR(VLOOKUP(TableHandbook[[#This Row],[UDC]],TableBEDEC[],7,FALSE),"")</f>
        <v/>
      </c>
      <c r="P13" s="211" t="str">
        <f>IFERROR(VLOOKUP(TableHandbook[[#This Row],[UDC]],TableBEDPR[],7,FALSE),"")</f>
        <v/>
      </c>
      <c r="Q13" s="209" t="str">
        <f>IFERROR(VLOOKUP(TableHandbook[[#This Row],[UDC]],TableSTRUCATHL[],7,FALSE),"")</f>
        <v/>
      </c>
      <c r="R13" s="209" t="str">
        <f>IFERROR(VLOOKUP(TableHandbook[[#This Row],[UDC]],TableSTRUENGLL[],7,FALSE),"")</f>
        <v/>
      </c>
      <c r="S13" s="209" t="str">
        <f>IFERROR(VLOOKUP(TableHandbook[[#This Row],[UDC]],TableSTRUHLTPE[],7,FALSE),"")</f>
        <v/>
      </c>
      <c r="T13" s="209" t="str">
        <f>IFERROR(VLOOKUP(TableHandbook[[#This Row],[UDC]],TableSTRUISTEM[],7,FALSE),"")</f>
        <v/>
      </c>
      <c r="U13" s="209" t="str">
        <f>IFERROR(VLOOKUP(TableHandbook[[#This Row],[UDC]],TableSTRULITNU[],7,FALSE),"")</f>
        <v/>
      </c>
      <c r="V13" s="209" t="str">
        <f>IFERROR(VLOOKUP(TableHandbook[[#This Row],[UDC]],TableSTRUTECHS[],7,FALSE),"")</f>
        <v/>
      </c>
      <c r="W13" s="211" t="str">
        <f>IFERROR(VLOOKUP(TableHandbook[[#This Row],[UDC]],TableBEDSC[],7,FALSE),"")</f>
        <v/>
      </c>
      <c r="X13" s="211" t="str">
        <f>IFERROR(VLOOKUP(TableHandbook[[#This Row],[UDC]],TableMJRUARDR1[],7,FALSE),"")</f>
        <v/>
      </c>
      <c r="Y13" s="209" t="str">
        <f>IFERROR(VLOOKUP(TableHandbook[[#This Row],[UDC]],TableMJRUARME1[],7,FALSE),"")</f>
        <v/>
      </c>
      <c r="Z13" s="209" t="str">
        <f>IFERROR(VLOOKUP(TableHandbook[[#This Row],[UDC]],TableMJRUARVA1[],7,FALSE),"")</f>
        <v/>
      </c>
      <c r="AA13" s="209" t="str">
        <f>IFERROR(VLOOKUP(TableHandbook[[#This Row],[UDC]],TableMJRUENGL1[],7,FALSE),"")</f>
        <v/>
      </c>
      <c r="AB13" s="209" t="str">
        <f>IFERROR(VLOOKUP(TableHandbook[[#This Row],[UDC]],TableMJRUHSEC1[],7,FALSE),"")</f>
        <v/>
      </c>
      <c r="AC13" s="209" t="str">
        <f>IFERROR(VLOOKUP(TableHandbook[[#This Row],[UDC]],TableMJRUHSGE1[],7,FALSE),"")</f>
        <v/>
      </c>
      <c r="AD13" s="209" t="str">
        <f>IFERROR(VLOOKUP(TableHandbook[[#This Row],[UDC]],TableMJRUHSHI1[],7,FALSE),"")</f>
        <v/>
      </c>
      <c r="AE13" s="209" t="str">
        <f>IFERROR(VLOOKUP(TableHandbook[[#This Row],[UDC]],TableMJRUHSPL1[],7,FALSE),"")</f>
        <v/>
      </c>
      <c r="AF13" s="209" t="str">
        <f>IFERROR(VLOOKUP(TableHandbook[[#This Row],[UDC]],TableMJRUMATH1[],7,FALSE),"")</f>
        <v/>
      </c>
      <c r="AG13" s="209" t="str">
        <f>IFERROR(VLOOKUP(TableHandbook[[#This Row],[UDC]],TableMJRUPHYSE[],7,FALSE),"")</f>
        <v/>
      </c>
      <c r="AH13" s="209" t="str">
        <f>IFERROR(VLOOKUP(TableHandbook[[#This Row],[UDC]],TableMJRUSCBI1[],7,FALSE),"")</f>
        <v/>
      </c>
      <c r="AI13" s="209" t="str">
        <f>IFERROR(VLOOKUP(TableHandbook[[#This Row],[UDC]],TableMJRUSCCH1[],7,FALSE),"")</f>
        <v/>
      </c>
      <c r="AJ13" s="209" t="str">
        <f>IFERROR(VLOOKUP(TableHandbook[[#This Row],[UDC]],TableMJRUSCHB1[],7,FALSE),"")</f>
        <v/>
      </c>
      <c r="AK13" s="209" t="str">
        <f>IFERROR(VLOOKUP(TableHandbook[[#This Row],[UDC]],TableMJRUSCPH1[],7,FALSE),"")</f>
        <v/>
      </c>
      <c r="AL13" s="209" t="str">
        <f>IFERROR(VLOOKUP(TableHandbook[[#This Row],[UDC]],TableMJRUSCPS1[],7,FALSE),"")</f>
        <v/>
      </c>
      <c r="AM13" s="211" t="str">
        <f>IFERROR(VLOOKUP(TableHandbook[[#This Row],[UDC]],TableSTRUBIOLB[],7,FALSE),"")</f>
        <v/>
      </c>
      <c r="AN13" s="209" t="str">
        <f>IFERROR(VLOOKUP(TableHandbook[[#This Row],[UDC]],TableSTRUBSCIM[],7,FALSE),"")</f>
        <v>AltCore</v>
      </c>
      <c r="AO13" s="209" t="str">
        <f>IFERROR(VLOOKUP(TableHandbook[[#This Row],[UDC]],TableSTRUCHEMB[],7,FALSE),"")</f>
        <v/>
      </c>
      <c r="AP13" s="209" t="str">
        <f>IFERROR(VLOOKUP(TableHandbook[[#This Row],[UDC]],TableSTRUECOB1[],7,FALSE),"")</f>
        <v/>
      </c>
      <c r="AQ13" s="209" t="str">
        <f>IFERROR(VLOOKUP(TableHandbook[[#This Row],[UDC]],TableSTRUENGLB[],7,FALSE),"")</f>
        <v/>
      </c>
      <c r="AR13" s="209" t="str">
        <f>IFERROR(VLOOKUP(TableHandbook[[#This Row],[UDC]],TableSTRUENGLM[],7,FALSE),"")</f>
        <v/>
      </c>
      <c r="AS13" s="209" t="str">
        <f>IFERROR(VLOOKUP(TableHandbook[[#This Row],[UDC]],TableSTRUGEOB1[],7,FALSE),"")</f>
        <v/>
      </c>
      <c r="AT13" s="209" t="str">
        <f>IFERROR(VLOOKUP(TableHandbook[[#This Row],[UDC]],TableSTRUGEOGM[],7,FALSE),"")</f>
        <v/>
      </c>
      <c r="AU13" s="209" t="str">
        <f>IFERROR(VLOOKUP(TableHandbook[[#This Row],[UDC]],TableSTRUHISB1[],7,FALSE),"")</f>
        <v/>
      </c>
      <c r="AV13" s="209" t="str">
        <f>IFERROR(VLOOKUP(TableHandbook[[#This Row],[UDC]],TableSTRUHISTM[],7,FALSE),"")</f>
        <v/>
      </c>
      <c r="AW13" s="209" t="str">
        <f>IFERROR(VLOOKUP(TableHandbook[[#This Row],[UDC]],TableSTRUHPEB1[],7,FALSE),"")</f>
        <v/>
      </c>
      <c r="AX13" s="209" t="str">
        <f>IFERROR(VLOOKUP(TableHandbook[[#This Row],[UDC]],TableSTRUHUMBB[],7,FALSE),"")</f>
        <v/>
      </c>
      <c r="AY13" s="209" t="str">
        <f>IFERROR(VLOOKUP(TableHandbook[[#This Row],[UDC]],TableSTRUMARTM[],7,FALSE),"")</f>
        <v/>
      </c>
      <c r="AZ13" s="209" t="str">
        <f>IFERROR(VLOOKUP(TableHandbook[[#This Row],[UDC]],TableSTRUMATHB[],7,FALSE),"")</f>
        <v/>
      </c>
      <c r="BA13" s="209" t="str">
        <f>IFERROR(VLOOKUP(TableHandbook[[#This Row],[UDC]],TableSTRUMATHM[],7,FALSE),"")</f>
        <v/>
      </c>
      <c r="BB13" s="209" t="str">
        <f>IFERROR(VLOOKUP(TableHandbook[[#This Row],[UDC]],TableSTRUPARTB[],7,FALSE),"")</f>
        <v/>
      </c>
      <c r="BC13" s="209" t="str">
        <f>IFERROR(VLOOKUP(TableHandbook[[#This Row],[UDC]],TableSTRUPARTM[],7,FALSE),"")</f>
        <v/>
      </c>
      <c r="BD13" s="209" t="str">
        <f>IFERROR(VLOOKUP(TableHandbook[[#This Row],[UDC]],TableSTRUPOLB1[],7,FALSE),"")</f>
        <v/>
      </c>
      <c r="BE13" s="209" t="str">
        <f>IFERROR(VLOOKUP(TableHandbook[[#This Row],[UDC]],TableSTRUPSYCB[],7,FALSE),"")</f>
        <v/>
      </c>
      <c r="BF13" s="209" t="str">
        <f>IFERROR(VLOOKUP(TableHandbook[[#This Row],[UDC]],TableSTRUPSYCM[],7,FALSE),"")</f>
        <v/>
      </c>
      <c r="BG13" s="209" t="str">
        <f>IFERROR(VLOOKUP(TableHandbook[[#This Row],[UDC]],TableSTRUVARTB[],7,FALSE),"")</f>
        <v/>
      </c>
      <c r="BH13" s="209" t="str">
        <f>IFERROR(VLOOKUP(TableHandbook[[#This Row],[UDC]],TableSTRUVARTM[],7,FALSE),"")</f>
        <v/>
      </c>
    </row>
    <row r="14" spans="1:60" x14ac:dyDescent="0.25">
      <c r="A14" s="305" t="s">
        <v>711</v>
      </c>
      <c r="B14" s="7">
        <v>0</v>
      </c>
      <c r="C14" s="7"/>
      <c r="D14" s="207" t="s">
        <v>778</v>
      </c>
      <c r="E14" s="7">
        <v>25</v>
      </c>
      <c r="F14" s="84" t="s">
        <v>769</v>
      </c>
      <c r="G14" s="75" t="str">
        <f>IFERROR(IF(VLOOKUP(TableHandbook[[#This Row],[UDC]],TableAvailabilities[],2,FALSE)&gt;0,"Y",""),"")</f>
        <v/>
      </c>
      <c r="H14" s="75" t="str">
        <f>IFERROR(IF(VLOOKUP(TableHandbook[[#This Row],[UDC]],TableAvailabilities[],3,FALSE)&gt;0,"Y",""),"")</f>
        <v/>
      </c>
      <c r="I14" s="75" t="str">
        <f>IFERROR(IF(VLOOKUP(TableHandbook[[#This Row],[UDC]],TableAvailabilities[],4,FALSE)&gt;0,"Y",""),"")</f>
        <v/>
      </c>
      <c r="J14" s="75" t="str">
        <f>IFERROR(IF(VLOOKUP(TableHandbook[[#This Row],[UDC]],TableAvailabilities[],5,FALSE)&gt;0,"Y",""),"")</f>
        <v/>
      </c>
      <c r="K14" s="75" t="str">
        <f>IFERROR(IF(VLOOKUP(TableHandbook[[#This Row],[UDC]],TableAvailabilities[],6,FALSE)&gt;0,"Y",""),"")</f>
        <v/>
      </c>
      <c r="L14" s="75" t="str">
        <f>IFERROR(IF(VLOOKUP(TableHandbook[[#This Row],[UDC]],TableAvailabilities[],7,FALSE)&gt;0,"Y",""),"")</f>
        <v/>
      </c>
      <c r="M14" s="207"/>
      <c r="N14" s="209" t="str">
        <f>IFERROR(VLOOKUP(TableHandbook[[#This Row],[UDC]],TableBEDUC[],7,FALSE),"")</f>
        <v/>
      </c>
      <c r="O14" s="209" t="str">
        <f>IFERROR(VLOOKUP(TableHandbook[[#This Row],[UDC]],TableBEDEC[],7,FALSE),"")</f>
        <v/>
      </c>
      <c r="P14" s="211" t="str">
        <f>IFERROR(VLOOKUP(TableHandbook[[#This Row],[UDC]],TableBEDPR[],7,FALSE),"")</f>
        <v/>
      </c>
      <c r="Q14" s="209" t="str">
        <f>IFERROR(VLOOKUP(TableHandbook[[#This Row],[UDC]],TableSTRUCATHL[],7,FALSE),"")</f>
        <v/>
      </c>
      <c r="R14" s="209" t="str">
        <f>IFERROR(VLOOKUP(TableHandbook[[#This Row],[UDC]],TableSTRUENGLL[],7,FALSE),"")</f>
        <v/>
      </c>
      <c r="S14" s="209" t="str">
        <f>IFERROR(VLOOKUP(TableHandbook[[#This Row],[UDC]],TableSTRUHLTPE[],7,FALSE),"")</f>
        <v/>
      </c>
      <c r="T14" s="209" t="str">
        <f>IFERROR(VLOOKUP(TableHandbook[[#This Row],[UDC]],TableSTRUISTEM[],7,FALSE),"")</f>
        <v/>
      </c>
      <c r="U14" s="209" t="str">
        <f>IFERROR(VLOOKUP(TableHandbook[[#This Row],[UDC]],TableSTRULITNU[],7,FALSE),"")</f>
        <v/>
      </c>
      <c r="V14" s="209" t="str">
        <f>IFERROR(VLOOKUP(TableHandbook[[#This Row],[UDC]],TableSTRUTECHS[],7,FALSE),"")</f>
        <v/>
      </c>
      <c r="W14" s="211" t="str">
        <f>IFERROR(VLOOKUP(TableHandbook[[#This Row],[UDC]],TableBEDSC[],7,FALSE),"")</f>
        <v/>
      </c>
      <c r="X14" s="211" t="str">
        <f>IFERROR(VLOOKUP(TableHandbook[[#This Row],[UDC]],TableMJRUARDR1[],7,FALSE),"")</f>
        <v/>
      </c>
      <c r="Y14" s="209" t="str">
        <f>IFERROR(VLOOKUP(TableHandbook[[#This Row],[UDC]],TableMJRUARME1[],7,FALSE),"")</f>
        <v/>
      </c>
      <c r="Z14" s="209" t="str">
        <f>IFERROR(VLOOKUP(TableHandbook[[#This Row],[UDC]],TableMJRUARVA1[],7,FALSE),"")</f>
        <v/>
      </c>
      <c r="AA14" s="209" t="str">
        <f>IFERROR(VLOOKUP(TableHandbook[[#This Row],[UDC]],TableMJRUENGL1[],7,FALSE),"")</f>
        <v/>
      </c>
      <c r="AB14" s="209" t="str">
        <f>IFERROR(VLOOKUP(TableHandbook[[#This Row],[UDC]],TableMJRUHSEC1[],7,FALSE),"")</f>
        <v/>
      </c>
      <c r="AC14" s="209" t="str">
        <f>IFERROR(VLOOKUP(TableHandbook[[#This Row],[UDC]],TableMJRUHSGE1[],7,FALSE),"")</f>
        <v/>
      </c>
      <c r="AD14" s="209" t="str">
        <f>IFERROR(VLOOKUP(TableHandbook[[#This Row],[UDC]],TableMJRUHSHI1[],7,FALSE),"")</f>
        <v/>
      </c>
      <c r="AE14" s="209" t="str">
        <f>IFERROR(VLOOKUP(TableHandbook[[#This Row],[UDC]],TableMJRUHSPL1[],7,FALSE),"")</f>
        <v/>
      </c>
      <c r="AF14" s="209" t="str">
        <f>IFERROR(VLOOKUP(TableHandbook[[#This Row],[UDC]],TableMJRUMATH1[],7,FALSE),"")</f>
        <v/>
      </c>
      <c r="AG14" s="209" t="str">
        <f>IFERROR(VLOOKUP(TableHandbook[[#This Row],[UDC]],TableMJRUPHYSE[],7,FALSE),"")</f>
        <v/>
      </c>
      <c r="AH14" s="209" t="str">
        <f>IFERROR(VLOOKUP(TableHandbook[[#This Row],[UDC]],TableMJRUSCBI1[],7,FALSE),"")</f>
        <v/>
      </c>
      <c r="AI14" s="209" t="str">
        <f>IFERROR(VLOOKUP(TableHandbook[[#This Row],[UDC]],TableMJRUSCCH1[],7,FALSE),"")</f>
        <v/>
      </c>
      <c r="AJ14" s="209" t="str">
        <f>IFERROR(VLOOKUP(TableHandbook[[#This Row],[UDC]],TableMJRUSCHB1[],7,FALSE),"")</f>
        <v/>
      </c>
      <c r="AK14" s="209" t="str">
        <f>IFERROR(VLOOKUP(TableHandbook[[#This Row],[UDC]],TableMJRUSCPH1[],7,FALSE),"")</f>
        <v/>
      </c>
      <c r="AL14" s="209" t="str">
        <f>IFERROR(VLOOKUP(TableHandbook[[#This Row],[UDC]],TableMJRUSCPS1[],7,FALSE),"")</f>
        <v/>
      </c>
      <c r="AM14" s="211" t="str">
        <f>IFERROR(VLOOKUP(TableHandbook[[#This Row],[UDC]],TableSTRUBIOLB[],7,FALSE),"")</f>
        <v/>
      </c>
      <c r="AN14" s="209" t="str">
        <f>IFERROR(VLOOKUP(TableHandbook[[#This Row],[UDC]],TableSTRUBSCIM[],7,FALSE),"")</f>
        <v>AltCore</v>
      </c>
      <c r="AO14" s="209" t="str">
        <f>IFERROR(VLOOKUP(TableHandbook[[#This Row],[UDC]],TableSTRUCHEMB[],7,FALSE),"")</f>
        <v/>
      </c>
      <c r="AP14" s="209" t="str">
        <f>IFERROR(VLOOKUP(TableHandbook[[#This Row],[UDC]],TableSTRUECOB1[],7,FALSE),"")</f>
        <v/>
      </c>
      <c r="AQ14" s="209" t="str">
        <f>IFERROR(VLOOKUP(TableHandbook[[#This Row],[UDC]],TableSTRUENGLB[],7,FALSE),"")</f>
        <v/>
      </c>
      <c r="AR14" s="209" t="str">
        <f>IFERROR(VLOOKUP(TableHandbook[[#This Row],[UDC]],TableSTRUENGLM[],7,FALSE),"")</f>
        <v/>
      </c>
      <c r="AS14" s="209" t="str">
        <f>IFERROR(VLOOKUP(TableHandbook[[#This Row],[UDC]],TableSTRUGEOB1[],7,FALSE),"")</f>
        <v/>
      </c>
      <c r="AT14" s="209" t="str">
        <f>IFERROR(VLOOKUP(TableHandbook[[#This Row],[UDC]],TableSTRUGEOGM[],7,FALSE),"")</f>
        <v/>
      </c>
      <c r="AU14" s="209" t="str">
        <f>IFERROR(VLOOKUP(TableHandbook[[#This Row],[UDC]],TableSTRUHISB1[],7,FALSE),"")</f>
        <v/>
      </c>
      <c r="AV14" s="209" t="str">
        <f>IFERROR(VLOOKUP(TableHandbook[[#This Row],[UDC]],TableSTRUHISTM[],7,FALSE),"")</f>
        <v/>
      </c>
      <c r="AW14" s="209" t="str">
        <f>IFERROR(VLOOKUP(TableHandbook[[#This Row],[UDC]],TableSTRUHPEB1[],7,FALSE),"")</f>
        <v/>
      </c>
      <c r="AX14" s="209" t="str">
        <f>IFERROR(VLOOKUP(TableHandbook[[#This Row],[UDC]],TableSTRUHUMBB[],7,FALSE),"")</f>
        <v/>
      </c>
      <c r="AY14" s="209" t="str">
        <f>IFERROR(VLOOKUP(TableHandbook[[#This Row],[UDC]],TableSTRUMARTM[],7,FALSE),"")</f>
        <v/>
      </c>
      <c r="AZ14" s="209" t="str">
        <f>IFERROR(VLOOKUP(TableHandbook[[#This Row],[UDC]],TableSTRUMATHB[],7,FALSE),"")</f>
        <v/>
      </c>
      <c r="BA14" s="209" t="str">
        <f>IFERROR(VLOOKUP(TableHandbook[[#This Row],[UDC]],TableSTRUMATHM[],7,FALSE),"")</f>
        <v/>
      </c>
      <c r="BB14" s="209" t="str">
        <f>IFERROR(VLOOKUP(TableHandbook[[#This Row],[UDC]],TableSTRUPARTB[],7,FALSE),"")</f>
        <v/>
      </c>
      <c r="BC14" s="209" t="str">
        <f>IFERROR(VLOOKUP(TableHandbook[[#This Row],[UDC]],TableSTRUPARTM[],7,FALSE),"")</f>
        <v/>
      </c>
      <c r="BD14" s="209" t="str">
        <f>IFERROR(VLOOKUP(TableHandbook[[#This Row],[UDC]],TableSTRUPOLB1[],7,FALSE),"")</f>
        <v/>
      </c>
      <c r="BE14" s="209" t="str">
        <f>IFERROR(VLOOKUP(TableHandbook[[#This Row],[UDC]],TableSTRUPSYCB[],7,FALSE),"")</f>
        <v/>
      </c>
      <c r="BF14" s="209" t="str">
        <f>IFERROR(VLOOKUP(TableHandbook[[#This Row],[UDC]],TableSTRUPSYCM[],7,FALSE),"")</f>
        <v/>
      </c>
      <c r="BG14" s="209" t="str">
        <f>IFERROR(VLOOKUP(TableHandbook[[#This Row],[UDC]],TableSTRUVARTB[],7,FALSE),"")</f>
        <v/>
      </c>
      <c r="BH14" s="209" t="str">
        <f>IFERROR(VLOOKUP(TableHandbook[[#This Row],[UDC]],TableSTRUVARTM[],7,FALSE),"")</f>
        <v/>
      </c>
    </row>
    <row r="15" spans="1:60" x14ac:dyDescent="0.25">
      <c r="A15" s="305" t="s">
        <v>725</v>
      </c>
      <c r="B15" s="7">
        <v>0</v>
      </c>
      <c r="C15" s="7"/>
      <c r="D15" s="207" t="s">
        <v>779</v>
      </c>
      <c r="E15" s="7">
        <v>25</v>
      </c>
      <c r="F15" s="84" t="s">
        <v>769</v>
      </c>
      <c r="G15" s="75" t="str">
        <f>IFERROR(IF(VLOOKUP(TableHandbook[[#This Row],[UDC]],TableAvailabilities[],2,FALSE)&gt;0,"Y",""),"")</f>
        <v/>
      </c>
      <c r="H15" s="75" t="str">
        <f>IFERROR(IF(VLOOKUP(TableHandbook[[#This Row],[UDC]],TableAvailabilities[],3,FALSE)&gt;0,"Y",""),"")</f>
        <v/>
      </c>
      <c r="I15" s="75" t="str">
        <f>IFERROR(IF(VLOOKUP(TableHandbook[[#This Row],[UDC]],TableAvailabilities[],4,FALSE)&gt;0,"Y",""),"")</f>
        <v/>
      </c>
      <c r="J15" s="75" t="str">
        <f>IFERROR(IF(VLOOKUP(TableHandbook[[#This Row],[UDC]],TableAvailabilities[],5,FALSE)&gt;0,"Y",""),"")</f>
        <v/>
      </c>
      <c r="K15" s="75" t="str">
        <f>IFERROR(IF(VLOOKUP(TableHandbook[[#This Row],[UDC]],TableAvailabilities[],6,FALSE)&gt;0,"Y",""),"")</f>
        <v/>
      </c>
      <c r="L15" s="75" t="str">
        <f>IFERROR(IF(VLOOKUP(TableHandbook[[#This Row],[UDC]],TableAvailabilities[],7,FALSE)&gt;0,"Y",""),"")</f>
        <v/>
      </c>
      <c r="M15" s="207"/>
      <c r="N15" s="209" t="str">
        <f>IFERROR(VLOOKUP(TableHandbook[[#This Row],[UDC]],TableBEDUC[],7,FALSE),"")</f>
        <v/>
      </c>
      <c r="O15" s="209" t="str">
        <f>IFERROR(VLOOKUP(TableHandbook[[#This Row],[UDC]],TableBEDEC[],7,FALSE),"")</f>
        <v/>
      </c>
      <c r="P15" s="211" t="str">
        <f>IFERROR(VLOOKUP(TableHandbook[[#This Row],[UDC]],TableBEDPR[],7,FALSE),"")</f>
        <v/>
      </c>
      <c r="Q15" s="209" t="str">
        <f>IFERROR(VLOOKUP(TableHandbook[[#This Row],[UDC]],TableSTRUCATHL[],7,FALSE),"")</f>
        <v/>
      </c>
      <c r="R15" s="209" t="str">
        <f>IFERROR(VLOOKUP(TableHandbook[[#This Row],[UDC]],TableSTRUENGLL[],7,FALSE),"")</f>
        <v/>
      </c>
      <c r="S15" s="209" t="str">
        <f>IFERROR(VLOOKUP(TableHandbook[[#This Row],[UDC]],TableSTRUHLTPE[],7,FALSE),"")</f>
        <v/>
      </c>
      <c r="T15" s="209" t="str">
        <f>IFERROR(VLOOKUP(TableHandbook[[#This Row],[UDC]],TableSTRUISTEM[],7,FALSE),"")</f>
        <v/>
      </c>
      <c r="U15" s="209" t="str">
        <f>IFERROR(VLOOKUP(TableHandbook[[#This Row],[UDC]],TableSTRULITNU[],7,FALSE),"")</f>
        <v/>
      </c>
      <c r="V15" s="209" t="str">
        <f>IFERROR(VLOOKUP(TableHandbook[[#This Row],[UDC]],TableSTRUTECHS[],7,FALSE),"")</f>
        <v/>
      </c>
      <c r="W15" s="211" t="str">
        <f>IFERROR(VLOOKUP(TableHandbook[[#This Row],[UDC]],TableBEDSC[],7,FALSE),"")</f>
        <v/>
      </c>
      <c r="X15" s="211" t="str">
        <f>IFERROR(VLOOKUP(TableHandbook[[#This Row],[UDC]],TableMJRUARDR1[],7,FALSE),"")</f>
        <v/>
      </c>
      <c r="Y15" s="209" t="str">
        <f>IFERROR(VLOOKUP(TableHandbook[[#This Row],[UDC]],TableMJRUARME1[],7,FALSE),"")</f>
        <v/>
      </c>
      <c r="Z15" s="209" t="str">
        <f>IFERROR(VLOOKUP(TableHandbook[[#This Row],[UDC]],TableMJRUARVA1[],7,FALSE),"")</f>
        <v/>
      </c>
      <c r="AA15" s="209" t="str">
        <f>IFERROR(VLOOKUP(TableHandbook[[#This Row],[UDC]],TableMJRUENGL1[],7,FALSE),"")</f>
        <v/>
      </c>
      <c r="AB15" s="209" t="str">
        <f>IFERROR(VLOOKUP(TableHandbook[[#This Row],[UDC]],TableMJRUHSEC1[],7,FALSE),"")</f>
        <v/>
      </c>
      <c r="AC15" s="209" t="str">
        <f>IFERROR(VLOOKUP(TableHandbook[[#This Row],[UDC]],TableMJRUHSGE1[],7,FALSE),"")</f>
        <v/>
      </c>
      <c r="AD15" s="209" t="str">
        <f>IFERROR(VLOOKUP(TableHandbook[[#This Row],[UDC]],TableMJRUHSHI1[],7,FALSE),"")</f>
        <v/>
      </c>
      <c r="AE15" s="209" t="str">
        <f>IFERROR(VLOOKUP(TableHandbook[[#This Row],[UDC]],TableMJRUHSPL1[],7,FALSE),"")</f>
        <v/>
      </c>
      <c r="AF15" s="209" t="str">
        <f>IFERROR(VLOOKUP(TableHandbook[[#This Row],[UDC]],TableMJRUMATH1[],7,FALSE),"")</f>
        <v/>
      </c>
      <c r="AG15" s="209" t="str">
        <f>IFERROR(VLOOKUP(TableHandbook[[#This Row],[UDC]],TableMJRUPHYSE[],7,FALSE),"")</f>
        <v/>
      </c>
      <c r="AH15" s="209" t="str">
        <f>IFERROR(VLOOKUP(TableHandbook[[#This Row],[UDC]],TableMJRUSCBI1[],7,FALSE),"")</f>
        <v/>
      </c>
      <c r="AI15" s="209" t="str">
        <f>IFERROR(VLOOKUP(TableHandbook[[#This Row],[UDC]],TableMJRUSCCH1[],7,FALSE),"")</f>
        <v/>
      </c>
      <c r="AJ15" s="209" t="str">
        <f>IFERROR(VLOOKUP(TableHandbook[[#This Row],[UDC]],TableMJRUSCHB1[],7,FALSE),"")</f>
        <v/>
      </c>
      <c r="AK15" s="209" t="str">
        <f>IFERROR(VLOOKUP(TableHandbook[[#This Row],[UDC]],TableMJRUSCPH1[],7,FALSE),"")</f>
        <v/>
      </c>
      <c r="AL15" s="209" t="str">
        <f>IFERROR(VLOOKUP(TableHandbook[[#This Row],[UDC]],TableMJRUSCPS1[],7,FALSE),"")</f>
        <v/>
      </c>
      <c r="AM15" s="211" t="str">
        <f>IFERROR(VLOOKUP(TableHandbook[[#This Row],[UDC]],TableSTRUBIOLB[],7,FALSE),"")</f>
        <v/>
      </c>
      <c r="AN15" s="209" t="str">
        <f>IFERROR(VLOOKUP(TableHandbook[[#This Row],[UDC]],TableSTRUBSCIM[],7,FALSE),"")</f>
        <v>AltCore</v>
      </c>
      <c r="AO15" s="209" t="str">
        <f>IFERROR(VLOOKUP(TableHandbook[[#This Row],[UDC]],TableSTRUCHEMB[],7,FALSE),"")</f>
        <v/>
      </c>
      <c r="AP15" s="209" t="str">
        <f>IFERROR(VLOOKUP(TableHandbook[[#This Row],[UDC]],TableSTRUECOB1[],7,FALSE),"")</f>
        <v/>
      </c>
      <c r="AQ15" s="209" t="str">
        <f>IFERROR(VLOOKUP(TableHandbook[[#This Row],[UDC]],TableSTRUENGLB[],7,FALSE),"")</f>
        <v/>
      </c>
      <c r="AR15" s="209" t="str">
        <f>IFERROR(VLOOKUP(TableHandbook[[#This Row],[UDC]],TableSTRUENGLM[],7,FALSE),"")</f>
        <v/>
      </c>
      <c r="AS15" s="209" t="str">
        <f>IFERROR(VLOOKUP(TableHandbook[[#This Row],[UDC]],TableSTRUGEOB1[],7,FALSE),"")</f>
        <v/>
      </c>
      <c r="AT15" s="209" t="str">
        <f>IFERROR(VLOOKUP(TableHandbook[[#This Row],[UDC]],TableSTRUGEOGM[],7,FALSE),"")</f>
        <v/>
      </c>
      <c r="AU15" s="209" t="str">
        <f>IFERROR(VLOOKUP(TableHandbook[[#This Row],[UDC]],TableSTRUHISB1[],7,FALSE),"")</f>
        <v/>
      </c>
      <c r="AV15" s="209" t="str">
        <f>IFERROR(VLOOKUP(TableHandbook[[#This Row],[UDC]],TableSTRUHISTM[],7,FALSE),"")</f>
        <v/>
      </c>
      <c r="AW15" s="209" t="str">
        <f>IFERROR(VLOOKUP(TableHandbook[[#This Row],[UDC]],TableSTRUHPEB1[],7,FALSE),"")</f>
        <v/>
      </c>
      <c r="AX15" s="209" t="str">
        <f>IFERROR(VLOOKUP(TableHandbook[[#This Row],[UDC]],TableSTRUHUMBB[],7,FALSE),"")</f>
        <v/>
      </c>
      <c r="AY15" s="209" t="str">
        <f>IFERROR(VLOOKUP(TableHandbook[[#This Row],[UDC]],TableSTRUMARTM[],7,FALSE),"")</f>
        <v/>
      </c>
      <c r="AZ15" s="209" t="str">
        <f>IFERROR(VLOOKUP(TableHandbook[[#This Row],[UDC]],TableSTRUMATHB[],7,FALSE),"")</f>
        <v/>
      </c>
      <c r="BA15" s="209" t="str">
        <f>IFERROR(VLOOKUP(TableHandbook[[#This Row],[UDC]],TableSTRUMATHM[],7,FALSE),"")</f>
        <v/>
      </c>
      <c r="BB15" s="209" t="str">
        <f>IFERROR(VLOOKUP(TableHandbook[[#This Row],[UDC]],TableSTRUPARTB[],7,FALSE),"")</f>
        <v/>
      </c>
      <c r="BC15" s="209" t="str">
        <f>IFERROR(VLOOKUP(TableHandbook[[#This Row],[UDC]],TableSTRUPARTM[],7,FALSE),"")</f>
        <v/>
      </c>
      <c r="BD15" s="209" t="str">
        <f>IFERROR(VLOOKUP(TableHandbook[[#This Row],[UDC]],TableSTRUPOLB1[],7,FALSE),"")</f>
        <v/>
      </c>
      <c r="BE15" s="209" t="str">
        <f>IFERROR(VLOOKUP(TableHandbook[[#This Row],[UDC]],TableSTRUPSYCB[],7,FALSE),"")</f>
        <v/>
      </c>
      <c r="BF15" s="209" t="str">
        <f>IFERROR(VLOOKUP(TableHandbook[[#This Row],[UDC]],TableSTRUPSYCM[],7,FALSE),"")</f>
        <v/>
      </c>
      <c r="BG15" s="209" t="str">
        <f>IFERROR(VLOOKUP(TableHandbook[[#This Row],[UDC]],TableSTRUVARTB[],7,FALSE),"")</f>
        <v/>
      </c>
      <c r="BH15" s="209" t="str">
        <f>IFERROR(VLOOKUP(TableHandbook[[#This Row],[UDC]],TableSTRUVARTM[],7,FALSE),"")</f>
        <v/>
      </c>
    </row>
    <row r="16" spans="1:60" x14ac:dyDescent="0.25">
      <c r="A16" s="305" t="s">
        <v>694</v>
      </c>
      <c r="B16" s="7">
        <v>0</v>
      </c>
      <c r="C16" s="7"/>
      <c r="D16" s="207" t="s">
        <v>780</v>
      </c>
      <c r="E16" s="7">
        <v>25</v>
      </c>
      <c r="F16" s="84" t="s">
        <v>769</v>
      </c>
      <c r="G16" s="75" t="str">
        <f>IFERROR(IF(VLOOKUP(TableHandbook[[#This Row],[UDC]],TableAvailabilities[],2,FALSE)&gt;0,"Y",""),"")</f>
        <v/>
      </c>
      <c r="H16" s="75" t="str">
        <f>IFERROR(IF(VLOOKUP(TableHandbook[[#This Row],[UDC]],TableAvailabilities[],3,FALSE)&gt;0,"Y",""),"")</f>
        <v/>
      </c>
      <c r="I16" s="75" t="str">
        <f>IFERROR(IF(VLOOKUP(TableHandbook[[#This Row],[UDC]],TableAvailabilities[],4,FALSE)&gt;0,"Y",""),"")</f>
        <v/>
      </c>
      <c r="J16" s="75" t="str">
        <f>IFERROR(IF(VLOOKUP(TableHandbook[[#This Row],[UDC]],TableAvailabilities[],5,FALSE)&gt;0,"Y",""),"")</f>
        <v/>
      </c>
      <c r="K16" s="75" t="str">
        <f>IFERROR(IF(VLOOKUP(TableHandbook[[#This Row],[UDC]],TableAvailabilities[],6,FALSE)&gt;0,"Y",""),"")</f>
        <v/>
      </c>
      <c r="L16" s="75" t="str">
        <f>IFERROR(IF(VLOOKUP(TableHandbook[[#This Row],[UDC]],TableAvailabilities[],7,FALSE)&gt;0,"Y",""),"")</f>
        <v/>
      </c>
      <c r="M16" s="207"/>
      <c r="N16" s="209" t="str">
        <f>IFERROR(VLOOKUP(TableHandbook[[#This Row],[UDC]],TableBEDUC[],7,FALSE),"")</f>
        <v/>
      </c>
      <c r="O16" s="209" t="str">
        <f>IFERROR(VLOOKUP(TableHandbook[[#This Row],[UDC]],TableBEDEC[],7,FALSE),"")</f>
        <v/>
      </c>
      <c r="P16" s="211" t="str">
        <f>IFERROR(VLOOKUP(TableHandbook[[#This Row],[UDC]],TableBEDPR[],7,FALSE),"")</f>
        <v/>
      </c>
      <c r="Q16" s="209" t="str">
        <f>IFERROR(VLOOKUP(TableHandbook[[#This Row],[UDC]],TableSTRUCATHL[],7,FALSE),"")</f>
        <v/>
      </c>
      <c r="R16" s="209" t="str">
        <f>IFERROR(VLOOKUP(TableHandbook[[#This Row],[UDC]],TableSTRUENGLL[],7,FALSE),"")</f>
        <v/>
      </c>
      <c r="S16" s="209" t="str">
        <f>IFERROR(VLOOKUP(TableHandbook[[#This Row],[UDC]],TableSTRUHLTPE[],7,FALSE),"")</f>
        <v/>
      </c>
      <c r="T16" s="209" t="str">
        <f>IFERROR(VLOOKUP(TableHandbook[[#This Row],[UDC]],TableSTRUISTEM[],7,FALSE),"")</f>
        <v/>
      </c>
      <c r="U16" s="209" t="str">
        <f>IFERROR(VLOOKUP(TableHandbook[[#This Row],[UDC]],TableSTRULITNU[],7,FALSE),"")</f>
        <v/>
      </c>
      <c r="V16" s="209" t="str">
        <f>IFERROR(VLOOKUP(TableHandbook[[#This Row],[UDC]],TableSTRUTECHS[],7,FALSE),"")</f>
        <v/>
      </c>
      <c r="W16" s="211" t="str">
        <f>IFERROR(VLOOKUP(TableHandbook[[#This Row],[UDC]],TableBEDSC[],7,FALSE),"")</f>
        <v/>
      </c>
      <c r="X16" s="211" t="str">
        <f>IFERROR(VLOOKUP(TableHandbook[[#This Row],[UDC]],TableMJRUARDR1[],7,FALSE),"")</f>
        <v/>
      </c>
      <c r="Y16" s="209" t="str">
        <f>IFERROR(VLOOKUP(TableHandbook[[#This Row],[UDC]],TableMJRUARME1[],7,FALSE),"")</f>
        <v/>
      </c>
      <c r="Z16" s="209" t="str">
        <f>IFERROR(VLOOKUP(TableHandbook[[#This Row],[UDC]],TableMJRUARVA1[],7,FALSE),"")</f>
        <v/>
      </c>
      <c r="AA16" s="209" t="str">
        <f>IFERROR(VLOOKUP(TableHandbook[[#This Row],[UDC]],TableMJRUENGL1[],7,FALSE),"")</f>
        <v/>
      </c>
      <c r="AB16" s="209" t="str">
        <f>IFERROR(VLOOKUP(TableHandbook[[#This Row],[UDC]],TableMJRUHSEC1[],7,FALSE),"")</f>
        <v/>
      </c>
      <c r="AC16" s="209" t="str">
        <f>IFERROR(VLOOKUP(TableHandbook[[#This Row],[UDC]],TableMJRUHSGE1[],7,FALSE),"")</f>
        <v/>
      </c>
      <c r="AD16" s="209" t="str">
        <f>IFERROR(VLOOKUP(TableHandbook[[#This Row],[UDC]],TableMJRUHSHI1[],7,FALSE),"")</f>
        <v/>
      </c>
      <c r="AE16" s="209" t="str">
        <f>IFERROR(VLOOKUP(TableHandbook[[#This Row],[UDC]],TableMJRUHSPL1[],7,FALSE),"")</f>
        <v/>
      </c>
      <c r="AF16" s="209" t="str">
        <f>IFERROR(VLOOKUP(TableHandbook[[#This Row],[UDC]],TableMJRUMATH1[],7,FALSE),"")</f>
        <v/>
      </c>
      <c r="AG16" s="209" t="str">
        <f>IFERROR(VLOOKUP(TableHandbook[[#This Row],[UDC]],TableMJRUPHYSE[],7,FALSE),"")</f>
        <v/>
      </c>
      <c r="AH16" s="209" t="str">
        <f>IFERROR(VLOOKUP(TableHandbook[[#This Row],[UDC]],TableMJRUSCBI1[],7,FALSE),"")</f>
        <v/>
      </c>
      <c r="AI16" s="209" t="str">
        <f>IFERROR(VLOOKUP(TableHandbook[[#This Row],[UDC]],TableMJRUSCCH1[],7,FALSE),"")</f>
        <v/>
      </c>
      <c r="AJ16" s="209" t="str">
        <f>IFERROR(VLOOKUP(TableHandbook[[#This Row],[UDC]],TableMJRUSCHB1[],7,FALSE),"")</f>
        <v/>
      </c>
      <c r="AK16" s="209" t="str">
        <f>IFERROR(VLOOKUP(TableHandbook[[#This Row],[UDC]],TableMJRUSCPH1[],7,FALSE),"")</f>
        <v/>
      </c>
      <c r="AL16" s="209" t="str">
        <f>IFERROR(VLOOKUP(TableHandbook[[#This Row],[UDC]],TableMJRUSCPS1[],7,FALSE),"")</f>
        <v/>
      </c>
      <c r="AM16" s="211" t="str">
        <f>IFERROR(VLOOKUP(TableHandbook[[#This Row],[UDC]],TableSTRUBIOLB[],7,FALSE),"")</f>
        <v/>
      </c>
      <c r="AN16" s="209" t="str">
        <f>IFERROR(VLOOKUP(TableHandbook[[#This Row],[UDC]],TableSTRUBSCIM[],7,FALSE),"")</f>
        <v/>
      </c>
      <c r="AO16" s="209" t="str">
        <f>IFERROR(VLOOKUP(TableHandbook[[#This Row],[UDC]],TableSTRUCHEMB[],7,FALSE),"")</f>
        <v>AltCore</v>
      </c>
      <c r="AP16" s="209" t="str">
        <f>IFERROR(VLOOKUP(TableHandbook[[#This Row],[UDC]],TableSTRUECOB1[],7,FALSE),"")</f>
        <v/>
      </c>
      <c r="AQ16" s="209" t="str">
        <f>IFERROR(VLOOKUP(TableHandbook[[#This Row],[UDC]],TableSTRUENGLB[],7,FALSE),"")</f>
        <v/>
      </c>
      <c r="AR16" s="209" t="str">
        <f>IFERROR(VLOOKUP(TableHandbook[[#This Row],[UDC]],TableSTRUENGLM[],7,FALSE),"")</f>
        <v/>
      </c>
      <c r="AS16" s="209" t="str">
        <f>IFERROR(VLOOKUP(TableHandbook[[#This Row],[UDC]],TableSTRUGEOB1[],7,FALSE),"")</f>
        <v/>
      </c>
      <c r="AT16" s="209" t="str">
        <f>IFERROR(VLOOKUP(TableHandbook[[#This Row],[UDC]],TableSTRUGEOGM[],7,FALSE),"")</f>
        <v/>
      </c>
      <c r="AU16" s="209" t="str">
        <f>IFERROR(VLOOKUP(TableHandbook[[#This Row],[UDC]],TableSTRUHISB1[],7,FALSE),"")</f>
        <v/>
      </c>
      <c r="AV16" s="209" t="str">
        <f>IFERROR(VLOOKUP(TableHandbook[[#This Row],[UDC]],TableSTRUHISTM[],7,FALSE),"")</f>
        <v/>
      </c>
      <c r="AW16" s="209" t="str">
        <f>IFERROR(VLOOKUP(TableHandbook[[#This Row],[UDC]],TableSTRUHPEB1[],7,FALSE),"")</f>
        <v/>
      </c>
      <c r="AX16" s="209" t="str">
        <f>IFERROR(VLOOKUP(TableHandbook[[#This Row],[UDC]],TableSTRUHUMBB[],7,FALSE),"")</f>
        <v/>
      </c>
      <c r="AY16" s="209" t="str">
        <f>IFERROR(VLOOKUP(TableHandbook[[#This Row],[UDC]],TableSTRUMARTM[],7,FALSE),"")</f>
        <v/>
      </c>
      <c r="AZ16" s="209" t="str">
        <f>IFERROR(VLOOKUP(TableHandbook[[#This Row],[UDC]],TableSTRUMATHB[],7,FALSE),"")</f>
        <v/>
      </c>
      <c r="BA16" s="209" t="str">
        <f>IFERROR(VLOOKUP(TableHandbook[[#This Row],[UDC]],TableSTRUMATHM[],7,FALSE),"")</f>
        <v/>
      </c>
      <c r="BB16" s="209" t="str">
        <f>IFERROR(VLOOKUP(TableHandbook[[#This Row],[UDC]],TableSTRUPARTB[],7,FALSE),"")</f>
        <v/>
      </c>
      <c r="BC16" s="209" t="str">
        <f>IFERROR(VLOOKUP(TableHandbook[[#This Row],[UDC]],TableSTRUPARTM[],7,FALSE),"")</f>
        <v/>
      </c>
      <c r="BD16" s="209" t="str">
        <f>IFERROR(VLOOKUP(TableHandbook[[#This Row],[UDC]],TableSTRUPOLB1[],7,FALSE),"")</f>
        <v/>
      </c>
      <c r="BE16" s="209" t="str">
        <f>IFERROR(VLOOKUP(TableHandbook[[#This Row],[UDC]],TableSTRUPSYCB[],7,FALSE),"")</f>
        <v/>
      </c>
      <c r="BF16" s="209" t="str">
        <f>IFERROR(VLOOKUP(TableHandbook[[#This Row],[UDC]],TableSTRUPSYCM[],7,FALSE),"")</f>
        <v/>
      </c>
      <c r="BG16" s="209" t="str">
        <f>IFERROR(VLOOKUP(TableHandbook[[#This Row],[UDC]],TableSTRUVARTB[],7,FALSE),"")</f>
        <v/>
      </c>
      <c r="BH16" s="209" t="str">
        <f>IFERROR(VLOOKUP(TableHandbook[[#This Row],[UDC]],TableSTRUVARTM[],7,FALSE),"")</f>
        <v/>
      </c>
    </row>
    <row r="17" spans="1:60" x14ac:dyDescent="0.25">
      <c r="A17" s="305" t="s">
        <v>705</v>
      </c>
      <c r="B17" s="7">
        <v>0</v>
      </c>
      <c r="C17" s="7"/>
      <c r="D17" s="207" t="s">
        <v>775</v>
      </c>
      <c r="E17" s="7">
        <v>25</v>
      </c>
      <c r="F17" s="84" t="s">
        <v>769</v>
      </c>
      <c r="G17" s="75" t="str">
        <f>IFERROR(IF(VLOOKUP(TableHandbook[[#This Row],[UDC]],TableAvailabilities[],2,FALSE)&gt;0,"Y",""),"")</f>
        <v/>
      </c>
      <c r="H17" s="75" t="str">
        <f>IFERROR(IF(VLOOKUP(TableHandbook[[#This Row],[UDC]],TableAvailabilities[],3,FALSE)&gt;0,"Y",""),"")</f>
        <v/>
      </c>
      <c r="I17" s="75" t="str">
        <f>IFERROR(IF(VLOOKUP(TableHandbook[[#This Row],[UDC]],TableAvailabilities[],4,FALSE)&gt;0,"Y",""),"")</f>
        <v/>
      </c>
      <c r="J17" s="75" t="str">
        <f>IFERROR(IF(VLOOKUP(TableHandbook[[#This Row],[UDC]],TableAvailabilities[],5,FALSE)&gt;0,"Y",""),"")</f>
        <v/>
      </c>
      <c r="K17" s="75" t="str">
        <f>IFERROR(IF(VLOOKUP(TableHandbook[[#This Row],[UDC]],TableAvailabilities[],6,FALSE)&gt;0,"Y",""),"")</f>
        <v/>
      </c>
      <c r="L17" s="75" t="str">
        <f>IFERROR(IF(VLOOKUP(TableHandbook[[#This Row],[UDC]],TableAvailabilities[],7,FALSE)&gt;0,"Y",""),"")</f>
        <v/>
      </c>
      <c r="M17" s="207"/>
      <c r="N17" s="209" t="str">
        <f>IFERROR(VLOOKUP(TableHandbook[[#This Row],[UDC]],TableBEDUC[],7,FALSE),"")</f>
        <v/>
      </c>
      <c r="O17" s="209" t="str">
        <f>IFERROR(VLOOKUP(TableHandbook[[#This Row],[UDC]],TableBEDEC[],7,FALSE),"")</f>
        <v/>
      </c>
      <c r="P17" s="211" t="str">
        <f>IFERROR(VLOOKUP(TableHandbook[[#This Row],[UDC]],TableBEDPR[],7,FALSE),"")</f>
        <v/>
      </c>
      <c r="Q17" s="209" t="str">
        <f>IFERROR(VLOOKUP(TableHandbook[[#This Row],[UDC]],TableSTRUCATHL[],7,FALSE),"")</f>
        <v/>
      </c>
      <c r="R17" s="209" t="str">
        <f>IFERROR(VLOOKUP(TableHandbook[[#This Row],[UDC]],TableSTRUENGLL[],7,FALSE),"")</f>
        <v/>
      </c>
      <c r="S17" s="209" t="str">
        <f>IFERROR(VLOOKUP(TableHandbook[[#This Row],[UDC]],TableSTRUHLTPE[],7,FALSE),"")</f>
        <v/>
      </c>
      <c r="T17" s="209" t="str">
        <f>IFERROR(VLOOKUP(TableHandbook[[#This Row],[UDC]],TableSTRUISTEM[],7,FALSE),"")</f>
        <v/>
      </c>
      <c r="U17" s="209" t="str">
        <f>IFERROR(VLOOKUP(TableHandbook[[#This Row],[UDC]],TableSTRULITNU[],7,FALSE),"")</f>
        <v/>
      </c>
      <c r="V17" s="209" t="str">
        <f>IFERROR(VLOOKUP(TableHandbook[[#This Row],[UDC]],TableSTRUTECHS[],7,FALSE),"")</f>
        <v/>
      </c>
      <c r="W17" s="211" t="str">
        <f>IFERROR(VLOOKUP(TableHandbook[[#This Row],[UDC]],TableBEDSC[],7,FALSE),"")</f>
        <v/>
      </c>
      <c r="X17" s="211" t="str">
        <f>IFERROR(VLOOKUP(TableHandbook[[#This Row],[UDC]],TableMJRUARDR1[],7,FALSE),"")</f>
        <v/>
      </c>
      <c r="Y17" s="209" t="str">
        <f>IFERROR(VLOOKUP(TableHandbook[[#This Row],[UDC]],TableMJRUARME1[],7,FALSE),"")</f>
        <v/>
      </c>
      <c r="Z17" s="209" t="str">
        <f>IFERROR(VLOOKUP(TableHandbook[[#This Row],[UDC]],TableMJRUARVA1[],7,FALSE),"")</f>
        <v/>
      </c>
      <c r="AA17" s="209" t="str">
        <f>IFERROR(VLOOKUP(TableHandbook[[#This Row],[UDC]],TableMJRUENGL1[],7,FALSE),"")</f>
        <v/>
      </c>
      <c r="AB17" s="209" t="str">
        <f>IFERROR(VLOOKUP(TableHandbook[[#This Row],[UDC]],TableMJRUHSEC1[],7,FALSE),"")</f>
        <v/>
      </c>
      <c r="AC17" s="209" t="str">
        <f>IFERROR(VLOOKUP(TableHandbook[[#This Row],[UDC]],TableMJRUHSGE1[],7,FALSE),"")</f>
        <v/>
      </c>
      <c r="AD17" s="209" t="str">
        <f>IFERROR(VLOOKUP(TableHandbook[[#This Row],[UDC]],TableMJRUHSHI1[],7,FALSE),"")</f>
        <v/>
      </c>
      <c r="AE17" s="209" t="str">
        <f>IFERROR(VLOOKUP(TableHandbook[[#This Row],[UDC]],TableMJRUHSPL1[],7,FALSE),"")</f>
        <v/>
      </c>
      <c r="AF17" s="209" t="str">
        <f>IFERROR(VLOOKUP(TableHandbook[[#This Row],[UDC]],TableMJRUMATH1[],7,FALSE),"")</f>
        <v/>
      </c>
      <c r="AG17" s="209" t="str">
        <f>IFERROR(VLOOKUP(TableHandbook[[#This Row],[UDC]],TableMJRUPHYSE[],7,FALSE),"")</f>
        <v/>
      </c>
      <c r="AH17" s="209" t="str">
        <f>IFERROR(VLOOKUP(TableHandbook[[#This Row],[UDC]],TableMJRUSCBI1[],7,FALSE),"")</f>
        <v/>
      </c>
      <c r="AI17" s="209" t="str">
        <f>IFERROR(VLOOKUP(TableHandbook[[#This Row],[UDC]],TableMJRUSCCH1[],7,FALSE),"")</f>
        <v/>
      </c>
      <c r="AJ17" s="209" t="str">
        <f>IFERROR(VLOOKUP(TableHandbook[[#This Row],[UDC]],TableMJRUSCHB1[],7,FALSE),"")</f>
        <v/>
      </c>
      <c r="AK17" s="209" t="str">
        <f>IFERROR(VLOOKUP(TableHandbook[[#This Row],[UDC]],TableMJRUSCPH1[],7,FALSE),"")</f>
        <v/>
      </c>
      <c r="AL17" s="209" t="str">
        <f>IFERROR(VLOOKUP(TableHandbook[[#This Row],[UDC]],TableMJRUSCPS1[],7,FALSE),"")</f>
        <v/>
      </c>
      <c r="AM17" s="211" t="str">
        <f>IFERROR(VLOOKUP(TableHandbook[[#This Row],[UDC]],TableSTRUBIOLB[],7,FALSE),"")</f>
        <v/>
      </c>
      <c r="AN17" s="209" t="str">
        <f>IFERROR(VLOOKUP(TableHandbook[[#This Row],[UDC]],TableSTRUBSCIM[],7,FALSE),"")</f>
        <v/>
      </c>
      <c r="AO17" s="209" t="str">
        <f>IFERROR(VLOOKUP(TableHandbook[[#This Row],[UDC]],TableSTRUCHEMB[],7,FALSE),"")</f>
        <v>AltCore</v>
      </c>
      <c r="AP17" s="209" t="str">
        <f>IFERROR(VLOOKUP(TableHandbook[[#This Row],[UDC]],TableSTRUECOB1[],7,FALSE),"")</f>
        <v/>
      </c>
      <c r="AQ17" s="209" t="str">
        <f>IFERROR(VLOOKUP(TableHandbook[[#This Row],[UDC]],TableSTRUENGLB[],7,FALSE),"")</f>
        <v/>
      </c>
      <c r="AR17" s="209" t="str">
        <f>IFERROR(VLOOKUP(TableHandbook[[#This Row],[UDC]],TableSTRUENGLM[],7,FALSE),"")</f>
        <v/>
      </c>
      <c r="AS17" s="209" t="str">
        <f>IFERROR(VLOOKUP(TableHandbook[[#This Row],[UDC]],TableSTRUGEOB1[],7,FALSE),"")</f>
        <v/>
      </c>
      <c r="AT17" s="209" t="str">
        <f>IFERROR(VLOOKUP(TableHandbook[[#This Row],[UDC]],TableSTRUGEOGM[],7,FALSE),"")</f>
        <v/>
      </c>
      <c r="AU17" s="209" t="str">
        <f>IFERROR(VLOOKUP(TableHandbook[[#This Row],[UDC]],TableSTRUHISB1[],7,FALSE),"")</f>
        <v/>
      </c>
      <c r="AV17" s="209" t="str">
        <f>IFERROR(VLOOKUP(TableHandbook[[#This Row],[UDC]],TableSTRUHISTM[],7,FALSE),"")</f>
        <v/>
      </c>
      <c r="AW17" s="209" t="str">
        <f>IFERROR(VLOOKUP(TableHandbook[[#This Row],[UDC]],TableSTRUHPEB1[],7,FALSE),"")</f>
        <v/>
      </c>
      <c r="AX17" s="209" t="str">
        <f>IFERROR(VLOOKUP(TableHandbook[[#This Row],[UDC]],TableSTRUHUMBB[],7,FALSE),"")</f>
        <v/>
      </c>
      <c r="AY17" s="209" t="str">
        <f>IFERROR(VLOOKUP(TableHandbook[[#This Row],[UDC]],TableSTRUMARTM[],7,FALSE),"")</f>
        <v/>
      </c>
      <c r="AZ17" s="209" t="str">
        <f>IFERROR(VLOOKUP(TableHandbook[[#This Row],[UDC]],TableSTRUMATHB[],7,FALSE),"")</f>
        <v/>
      </c>
      <c r="BA17" s="209" t="str">
        <f>IFERROR(VLOOKUP(TableHandbook[[#This Row],[UDC]],TableSTRUMATHM[],7,FALSE),"")</f>
        <v/>
      </c>
      <c r="BB17" s="209" t="str">
        <f>IFERROR(VLOOKUP(TableHandbook[[#This Row],[UDC]],TableSTRUPARTB[],7,FALSE),"")</f>
        <v/>
      </c>
      <c r="BC17" s="209" t="str">
        <f>IFERROR(VLOOKUP(TableHandbook[[#This Row],[UDC]],TableSTRUPARTM[],7,FALSE),"")</f>
        <v/>
      </c>
      <c r="BD17" s="209" t="str">
        <f>IFERROR(VLOOKUP(TableHandbook[[#This Row],[UDC]],TableSTRUPOLB1[],7,FALSE),"")</f>
        <v/>
      </c>
      <c r="BE17" s="209" t="str">
        <f>IFERROR(VLOOKUP(TableHandbook[[#This Row],[UDC]],TableSTRUPSYCB[],7,FALSE),"")</f>
        <v/>
      </c>
      <c r="BF17" s="209" t="str">
        <f>IFERROR(VLOOKUP(TableHandbook[[#This Row],[UDC]],TableSTRUPSYCM[],7,FALSE),"")</f>
        <v/>
      </c>
      <c r="BG17" s="209" t="str">
        <f>IFERROR(VLOOKUP(TableHandbook[[#This Row],[UDC]],TableSTRUVARTB[],7,FALSE),"")</f>
        <v/>
      </c>
      <c r="BH17" s="209" t="str">
        <f>IFERROR(VLOOKUP(TableHandbook[[#This Row],[UDC]],TableSTRUVARTM[],7,FALSE),"")</f>
        <v/>
      </c>
    </row>
    <row r="18" spans="1:60" x14ac:dyDescent="0.25">
      <c r="A18" s="305" t="s">
        <v>720</v>
      </c>
      <c r="B18" s="7">
        <v>0</v>
      </c>
      <c r="C18" s="7"/>
      <c r="D18" s="207" t="s">
        <v>781</v>
      </c>
      <c r="E18" s="7">
        <v>25</v>
      </c>
      <c r="F18" s="84" t="s">
        <v>769</v>
      </c>
      <c r="G18" s="75" t="str">
        <f>IFERROR(IF(VLOOKUP(TableHandbook[[#This Row],[UDC]],TableAvailabilities[],2,FALSE)&gt;0,"Y",""),"")</f>
        <v/>
      </c>
      <c r="H18" s="75" t="str">
        <f>IFERROR(IF(VLOOKUP(TableHandbook[[#This Row],[UDC]],TableAvailabilities[],3,FALSE)&gt;0,"Y",""),"")</f>
        <v/>
      </c>
      <c r="I18" s="75" t="str">
        <f>IFERROR(IF(VLOOKUP(TableHandbook[[#This Row],[UDC]],TableAvailabilities[],4,FALSE)&gt;0,"Y",""),"")</f>
        <v/>
      </c>
      <c r="J18" s="75" t="str">
        <f>IFERROR(IF(VLOOKUP(TableHandbook[[#This Row],[UDC]],TableAvailabilities[],5,FALSE)&gt;0,"Y",""),"")</f>
        <v/>
      </c>
      <c r="K18" s="75" t="str">
        <f>IFERROR(IF(VLOOKUP(TableHandbook[[#This Row],[UDC]],TableAvailabilities[],6,FALSE)&gt;0,"Y",""),"")</f>
        <v/>
      </c>
      <c r="L18" s="75" t="str">
        <f>IFERROR(IF(VLOOKUP(TableHandbook[[#This Row],[UDC]],TableAvailabilities[],7,FALSE)&gt;0,"Y",""),"")</f>
        <v/>
      </c>
      <c r="M18" s="207"/>
      <c r="N18" s="209" t="str">
        <f>IFERROR(VLOOKUP(TableHandbook[[#This Row],[UDC]],TableBEDUC[],7,FALSE),"")</f>
        <v/>
      </c>
      <c r="O18" s="209" t="str">
        <f>IFERROR(VLOOKUP(TableHandbook[[#This Row],[UDC]],TableBEDEC[],7,FALSE),"")</f>
        <v/>
      </c>
      <c r="P18" s="211" t="str">
        <f>IFERROR(VLOOKUP(TableHandbook[[#This Row],[UDC]],TableBEDPR[],7,FALSE),"")</f>
        <v/>
      </c>
      <c r="Q18" s="209" t="str">
        <f>IFERROR(VLOOKUP(TableHandbook[[#This Row],[UDC]],TableSTRUCATHL[],7,FALSE),"")</f>
        <v/>
      </c>
      <c r="R18" s="209" t="str">
        <f>IFERROR(VLOOKUP(TableHandbook[[#This Row],[UDC]],TableSTRUENGLL[],7,FALSE),"")</f>
        <v/>
      </c>
      <c r="S18" s="209" t="str">
        <f>IFERROR(VLOOKUP(TableHandbook[[#This Row],[UDC]],TableSTRUHLTPE[],7,FALSE),"")</f>
        <v/>
      </c>
      <c r="T18" s="209" t="str">
        <f>IFERROR(VLOOKUP(TableHandbook[[#This Row],[UDC]],TableSTRUISTEM[],7,FALSE),"")</f>
        <v/>
      </c>
      <c r="U18" s="209" t="str">
        <f>IFERROR(VLOOKUP(TableHandbook[[#This Row],[UDC]],TableSTRULITNU[],7,FALSE),"")</f>
        <v/>
      </c>
      <c r="V18" s="209" t="str">
        <f>IFERROR(VLOOKUP(TableHandbook[[#This Row],[UDC]],TableSTRUTECHS[],7,FALSE),"")</f>
        <v/>
      </c>
      <c r="W18" s="211" t="str">
        <f>IFERROR(VLOOKUP(TableHandbook[[#This Row],[UDC]],TableBEDSC[],7,FALSE),"")</f>
        <v/>
      </c>
      <c r="X18" s="211" t="str">
        <f>IFERROR(VLOOKUP(TableHandbook[[#This Row],[UDC]],TableMJRUARDR1[],7,FALSE),"")</f>
        <v/>
      </c>
      <c r="Y18" s="209" t="str">
        <f>IFERROR(VLOOKUP(TableHandbook[[#This Row],[UDC]],TableMJRUARME1[],7,FALSE),"")</f>
        <v/>
      </c>
      <c r="Z18" s="209" t="str">
        <f>IFERROR(VLOOKUP(TableHandbook[[#This Row],[UDC]],TableMJRUARVA1[],7,FALSE),"")</f>
        <v/>
      </c>
      <c r="AA18" s="209" t="str">
        <f>IFERROR(VLOOKUP(TableHandbook[[#This Row],[UDC]],TableMJRUENGL1[],7,FALSE),"")</f>
        <v/>
      </c>
      <c r="AB18" s="209" t="str">
        <f>IFERROR(VLOOKUP(TableHandbook[[#This Row],[UDC]],TableMJRUHSEC1[],7,FALSE),"")</f>
        <v/>
      </c>
      <c r="AC18" s="209" t="str">
        <f>IFERROR(VLOOKUP(TableHandbook[[#This Row],[UDC]],TableMJRUHSGE1[],7,FALSE),"")</f>
        <v/>
      </c>
      <c r="AD18" s="209" t="str">
        <f>IFERROR(VLOOKUP(TableHandbook[[#This Row],[UDC]],TableMJRUHSHI1[],7,FALSE),"")</f>
        <v/>
      </c>
      <c r="AE18" s="209" t="str">
        <f>IFERROR(VLOOKUP(TableHandbook[[#This Row],[UDC]],TableMJRUHSPL1[],7,FALSE),"")</f>
        <v/>
      </c>
      <c r="AF18" s="209" t="str">
        <f>IFERROR(VLOOKUP(TableHandbook[[#This Row],[UDC]],TableMJRUMATH1[],7,FALSE),"")</f>
        <v/>
      </c>
      <c r="AG18" s="209" t="str">
        <f>IFERROR(VLOOKUP(TableHandbook[[#This Row],[UDC]],TableMJRUPHYSE[],7,FALSE),"")</f>
        <v/>
      </c>
      <c r="AH18" s="209" t="str">
        <f>IFERROR(VLOOKUP(TableHandbook[[#This Row],[UDC]],TableMJRUSCBI1[],7,FALSE),"")</f>
        <v/>
      </c>
      <c r="AI18" s="209" t="str">
        <f>IFERROR(VLOOKUP(TableHandbook[[#This Row],[UDC]],TableMJRUSCCH1[],7,FALSE),"")</f>
        <v/>
      </c>
      <c r="AJ18" s="209" t="str">
        <f>IFERROR(VLOOKUP(TableHandbook[[#This Row],[UDC]],TableMJRUSCHB1[],7,FALSE),"")</f>
        <v/>
      </c>
      <c r="AK18" s="209" t="str">
        <f>IFERROR(VLOOKUP(TableHandbook[[#This Row],[UDC]],TableMJRUSCPH1[],7,FALSE),"")</f>
        <v/>
      </c>
      <c r="AL18" s="209" t="str">
        <f>IFERROR(VLOOKUP(TableHandbook[[#This Row],[UDC]],TableMJRUSCPS1[],7,FALSE),"")</f>
        <v/>
      </c>
      <c r="AM18" s="211" t="str">
        <f>IFERROR(VLOOKUP(TableHandbook[[#This Row],[UDC]],TableSTRUBIOLB[],7,FALSE),"")</f>
        <v/>
      </c>
      <c r="AN18" s="209" t="str">
        <f>IFERROR(VLOOKUP(TableHandbook[[#This Row],[UDC]],TableSTRUBSCIM[],7,FALSE),"")</f>
        <v/>
      </c>
      <c r="AO18" s="209" t="str">
        <f>IFERROR(VLOOKUP(TableHandbook[[#This Row],[UDC]],TableSTRUCHEMB[],7,FALSE),"")</f>
        <v>AltCore</v>
      </c>
      <c r="AP18" s="209" t="str">
        <f>IFERROR(VLOOKUP(TableHandbook[[#This Row],[UDC]],TableSTRUECOB1[],7,FALSE),"")</f>
        <v/>
      </c>
      <c r="AQ18" s="209" t="str">
        <f>IFERROR(VLOOKUP(TableHandbook[[#This Row],[UDC]],TableSTRUENGLB[],7,FALSE),"")</f>
        <v/>
      </c>
      <c r="AR18" s="209" t="str">
        <f>IFERROR(VLOOKUP(TableHandbook[[#This Row],[UDC]],TableSTRUENGLM[],7,FALSE),"")</f>
        <v/>
      </c>
      <c r="AS18" s="209" t="str">
        <f>IFERROR(VLOOKUP(TableHandbook[[#This Row],[UDC]],TableSTRUGEOB1[],7,FALSE),"")</f>
        <v/>
      </c>
      <c r="AT18" s="209" t="str">
        <f>IFERROR(VLOOKUP(TableHandbook[[#This Row],[UDC]],TableSTRUGEOGM[],7,FALSE),"")</f>
        <v/>
      </c>
      <c r="AU18" s="209" t="str">
        <f>IFERROR(VLOOKUP(TableHandbook[[#This Row],[UDC]],TableSTRUHISB1[],7,FALSE),"")</f>
        <v/>
      </c>
      <c r="AV18" s="209" t="str">
        <f>IFERROR(VLOOKUP(TableHandbook[[#This Row],[UDC]],TableSTRUHISTM[],7,FALSE),"")</f>
        <v/>
      </c>
      <c r="AW18" s="209" t="str">
        <f>IFERROR(VLOOKUP(TableHandbook[[#This Row],[UDC]],TableSTRUHPEB1[],7,FALSE),"")</f>
        <v/>
      </c>
      <c r="AX18" s="209" t="str">
        <f>IFERROR(VLOOKUP(TableHandbook[[#This Row],[UDC]],TableSTRUHUMBB[],7,FALSE),"")</f>
        <v/>
      </c>
      <c r="AY18" s="209" t="str">
        <f>IFERROR(VLOOKUP(TableHandbook[[#This Row],[UDC]],TableSTRUMARTM[],7,FALSE),"")</f>
        <v/>
      </c>
      <c r="AZ18" s="209" t="str">
        <f>IFERROR(VLOOKUP(TableHandbook[[#This Row],[UDC]],TableSTRUMATHB[],7,FALSE),"")</f>
        <v/>
      </c>
      <c r="BA18" s="209" t="str">
        <f>IFERROR(VLOOKUP(TableHandbook[[#This Row],[UDC]],TableSTRUMATHM[],7,FALSE),"")</f>
        <v/>
      </c>
      <c r="BB18" s="209" t="str">
        <f>IFERROR(VLOOKUP(TableHandbook[[#This Row],[UDC]],TableSTRUPARTB[],7,FALSE),"")</f>
        <v/>
      </c>
      <c r="BC18" s="209" t="str">
        <f>IFERROR(VLOOKUP(TableHandbook[[#This Row],[UDC]],TableSTRUPARTM[],7,FALSE),"")</f>
        <v/>
      </c>
      <c r="BD18" s="209" t="str">
        <f>IFERROR(VLOOKUP(TableHandbook[[#This Row],[UDC]],TableSTRUPOLB1[],7,FALSE),"")</f>
        <v/>
      </c>
      <c r="BE18" s="209" t="str">
        <f>IFERROR(VLOOKUP(TableHandbook[[#This Row],[UDC]],TableSTRUPSYCB[],7,FALSE),"")</f>
        <v/>
      </c>
      <c r="BF18" s="209" t="str">
        <f>IFERROR(VLOOKUP(TableHandbook[[#This Row],[UDC]],TableSTRUPSYCM[],7,FALSE),"")</f>
        <v/>
      </c>
      <c r="BG18" s="209" t="str">
        <f>IFERROR(VLOOKUP(TableHandbook[[#This Row],[UDC]],TableSTRUVARTB[],7,FALSE),"")</f>
        <v/>
      </c>
      <c r="BH18" s="209" t="str">
        <f>IFERROR(VLOOKUP(TableHandbook[[#This Row],[UDC]],TableSTRUVARTM[],7,FALSE),"")</f>
        <v/>
      </c>
    </row>
    <row r="19" spans="1:60" x14ac:dyDescent="0.25">
      <c r="A19" s="296" t="s">
        <v>629</v>
      </c>
      <c r="B19" s="7">
        <v>1</v>
      </c>
      <c r="C19" s="7"/>
      <c r="D19" s="207" t="s">
        <v>782</v>
      </c>
      <c r="E19" s="7">
        <v>25</v>
      </c>
      <c r="F19" s="84" t="s">
        <v>783</v>
      </c>
      <c r="G19" s="75" t="str">
        <f>IFERROR(IF(VLOOKUP(TableHandbook[[#This Row],[UDC]],TableAvailabilities[],2,FALSE)&gt;0,"Y",""),"")</f>
        <v>Y</v>
      </c>
      <c r="H19" s="75" t="str">
        <f>IFERROR(IF(VLOOKUP(TableHandbook[[#This Row],[UDC]],TableAvailabilities[],3,FALSE)&gt;0,"Y",""),"")</f>
        <v>Y</v>
      </c>
      <c r="I19" s="75" t="str">
        <f>IFERROR(IF(VLOOKUP(TableHandbook[[#This Row],[UDC]],TableAvailabilities[],4,FALSE)&gt;0,"Y",""),"")</f>
        <v>Y</v>
      </c>
      <c r="J19" s="75" t="str">
        <f>IFERROR(IF(VLOOKUP(TableHandbook[[#This Row],[UDC]],TableAvailabilities[],5,FALSE)&gt;0,"Y",""),"")</f>
        <v>Y</v>
      </c>
      <c r="K19" s="75" t="str">
        <f>IFERROR(IF(VLOOKUP(TableHandbook[[#This Row],[UDC]],TableAvailabilities[],6,FALSE)&gt;0,"Y",""),"")</f>
        <v>Y</v>
      </c>
      <c r="L19" s="75" t="str">
        <f>IFERROR(IF(VLOOKUP(TableHandbook[[#This Row],[UDC]],TableAvailabilities[],7,FALSE)&gt;0,"Y",""),"")</f>
        <v>Y</v>
      </c>
      <c r="M19" s="207"/>
      <c r="N19" s="209" t="str">
        <f>IFERROR(VLOOKUP(TableHandbook[[#This Row],[UDC]],TableBEDUC[],7,FALSE),"")</f>
        <v/>
      </c>
      <c r="O19" s="209" t="str">
        <f>IFERROR(VLOOKUP(TableHandbook[[#This Row],[UDC]],TableBEDEC[],7,FALSE),"")</f>
        <v/>
      </c>
      <c r="P19" s="211" t="str">
        <f>IFERROR(VLOOKUP(TableHandbook[[#This Row],[UDC]],TableBEDPR[],7,FALSE),"")</f>
        <v/>
      </c>
      <c r="Q19" s="209" t="str">
        <f>IFERROR(VLOOKUP(TableHandbook[[#This Row],[UDC]],TableSTRUCATHL[],7,FALSE),"")</f>
        <v/>
      </c>
      <c r="R19" s="209" t="str">
        <f>IFERROR(VLOOKUP(TableHandbook[[#This Row],[UDC]],TableSTRUENGLL[],7,FALSE),"")</f>
        <v/>
      </c>
      <c r="S19" s="209" t="str">
        <f>IFERROR(VLOOKUP(TableHandbook[[#This Row],[UDC]],TableSTRUHLTPE[],7,FALSE),"")</f>
        <v/>
      </c>
      <c r="T19" s="209" t="str">
        <f>IFERROR(VLOOKUP(TableHandbook[[#This Row],[UDC]],TableSTRUISTEM[],7,FALSE),"")</f>
        <v/>
      </c>
      <c r="U19" s="209" t="str">
        <f>IFERROR(VLOOKUP(TableHandbook[[#This Row],[UDC]],TableSTRULITNU[],7,FALSE),"")</f>
        <v/>
      </c>
      <c r="V19" s="209" t="str">
        <f>IFERROR(VLOOKUP(TableHandbook[[#This Row],[UDC]],TableSTRUTECHS[],7,FALSE),"")</f>
        <v/>
      </c>
      <c r="W19" s="211" t="str">
        <f>IFERROR(VLOOKUP(TableHandbook[[#This Row],[UDC]],TableBEDSC[],7,FALSE),"")</f>
        <v/>
      </c>
      <c r="X19" s="211" t="str">
        <f>IFERROR(VLOOKUP(TableHandbook[[#This Row],[UDC]],TableMJRUARDR1[],7,FALSE),"")</f>
        <v/>
      </c>
      <c r="Y19" s="209" t="str">
        <f>IFERROR(VLOOKUP(TableHandbook[[#This Row],[UDC]],TableMJRUARME1[],7,FALSE),"")</f>
        <v/>
      </c>
      <c r="Z19" s="209" t="str">
        <f>IFERROR(VLOOKUP(TableHandbook[[#This Row],[UDC]],TableMJRUARVA1[],7,FALSE),"")</f>
        <v/>
      </c>
      <c r="AA19" s="209" t="str">
        <f>IFERROR(VLOOKUP(TableHandbook[[#This Row],[UDC]],TableMJRUENGL1[],7,FALSE),"")</f>
        <v/>
      </c>
      <c r="AB19" s="209" t="str">
        <f>IFERROR(VLOOKUP(TableHandbook[[#This Row],[UDC]],TableMJRUHSEC1[],7,FALSE),"")</f>
        <v>Option</v>
      </c>
      <c r="AC19" s="209" t="str">
        <f>IFERROR(VLOOKUP(TableHandbook[[#This Row],[UDC]],TableMJRUHSGE1[],7,FALSE),"")</f>
        <v/>
      </c>
      <c r="AD19" s="209" t="str">
        <f>IFERROR(VLOOKUP(TableHandbook[[#This Row],[UDC]],TableMJRUHSHI1[],7,FALSE),"")</f>
        <v/>
      </c>
      <c r="AE19" s="209" t="str">
        <f>IFERROR(VLOOKUP(TableHandbook[[#This Row],[UDC]],TableMJRUHSPL1[],7,FALSE),"")</f>
        <v/>
      </c>
      <c r="AF19" s="209" t="str">
        <f>IFERROR(VLOOKUP(TableHandbook[[#This Row],[UDC]],TableMJRUMATH1[],7,FALSE),"")</f>
        <v/>
      </c>
      <c r="AG19" s="209" t="str">
        <f>IFERROR(VLOOKUP(TableHandbook[[#This Row],[UDC]],TableMJRUPHYSE[],7,FALSE),"")</f>
        <v/>
      </c>
      <c r="AH19" s="209" t="str">
        <f>IFERROR(VLOOKUP(TableHandbook[[#This Row],[UDC]],TableMJRUSCBI1[],7,FALSE),"")</f>
        <v/>
      </c>
      <c r="AI19" s="209" t="str">
        <f>IFERROR(VLOOKUP(TableHandbook[[#This Row],[UDC]],TableMJRUSCCH1[],7,FALSE),"")</f>
        <v/>
      </c>
      <c r="AJ19" s="209" t="str">
        <f>IFERROR(VLOOKUP(TableHandbook[[#This Row],[UDC]],TableMJRUSCHB1[],7,FALSE),"")</f>
        <v/>
      </c>
      <c r="AK19" s="209" t="str">
        <f>IFERROR(VLOOKUP(TableHandbook[[#This Row],[UDC]],TableMJRUSCPH1[],7,FALSE),"")</f>
        <v/>
      </c>
      <c r="AL19" s="209" t="str">
        <f>IFERROR(VLOOKUP(TableHandbook[[#This Row],[UDC]],TableMJRUSCPS1[],7,FALSE),"")</f>
        <v/>
      </c>
      <c r="AM19" s="211" t="str">
        <f>IFERROR(VLOOKUP(TableHandbook[[#This Row],[UDC]],TableSTRUBIOLB[],7,FALSE),"")</f>
        <v/>
      </c>
      <c r="AN19" s="209" t="str">
        <f>IFERROR(VLOOKUP(TableHandbook[[#This Row],[UDC]],TableSTRUBSCIM[],7,FALSE),"")</f>
        <v/>
      </c>
      <c r="AO19" s="209" t="str">
        <f>IFERROR(VLOOKUP(TableHandbook[[#This Row],[UDC]],TableSTRUCHEMB[],7,FALSE),"")</f>
        <v/>
      </c>
      <c r="AP19" s="209" t="str">
        <f>IFERROR(VLOOKUP(TableHandbook[[#This Row],[UDC]],TableSTRUECOB1[],7,FALSE),"")</f>
        <v/>
      </c>
      <c r="AQ19" s="209" t="str">
        <f>IFERROR(VLOOKUP(TableHandbook[[#This Row],[UDC]],TableSTRUENGLB[],7,FALSE),"")</f>
        <v/>
      </c>
      <c r="AR19" s="209" t="str">
        <f>IFERROR(VLOOKUP(TableHandbook[[#This Row],[UDC]],TableSTRUENGLM[],7,FALSE),"")</f>
        <v/>
      </c>
      <c r="AS19" s="209" t="str">
        <f>IFERROR(VLOOKUP(TableHandbook[[#This Row],[UDC]],TableSTRUGEOB1[],7,FALSE),"")</f>
        <v/>
      </c>
      <c r="AT19" s="209" t="str">
        <f>IFERROR(VLOOKUP(TableHandbook[[#This Row],[UDC]],TableSTRUGEOGM[],7,FALSE),"")</f>
        <v/>
      </c>
      <c r="AU19" s="209" t="str">
        <f>IFERROR(VLOOKUP(TableHandbook[[#This Row],[UDC]],TableSTRUHISB1[],7,FALSE),"")</f>
        <v/>
      </c>
      <c r="AV19" s="209" t="str">
        <f>IFERROR(VLOOKUP(TableHandbook[[#This Row],[UDC]],TableSTRUHISTM[],7,FALSE),"")</f>
        <v/>
      </c>
      <c r="AW19" s="209" t="str">
        <f>IFERROR(VLOOKUP(TableHandbook[[#This Row],[UDC]],TableSTRUHPEB1[],7,FALSE),"")</f>
        <v/>
      </c>
      <c r="AX19" s="209" t="str">
        <f>IFERROR(VLOOKUP(TableHandbook[[#This Row],[UDC]],TableSTRUHUMBB[],7,FALSE),"")</f>
        <v/>
      </c>
      <c r="AY19" s="209" t="str">
        <f>IFERROR(VLOOKUP(TableHandbook[[#This Row],[UDC]],TableSTRUMARTM[],7,FALSE),"")</f>
        <v/>
      </c>
      <c r="AZ19" s="209" t="str">
        <f>IFERROR(VLOOKUP(TableHandbook[[#This Row],[UDC]],TableSTRUMATHB[],7,FALSE),"")</f>
        <v/>
      </c>
      <c r="BA19" s="209" t="str">
        <f>IFERROR(VLOOKUP(TableHandbook[[#This Row],[UDC]],TableSTRUMATHM[],7,FALSE),"")</f>
        <v/>
      </c>
      <c r="BB19" s="209" t="str">
        <f>IFERROR(VLOOKUP(TableHandbook[[#This Row],[UDC]],TableSTRUPARTB[],7,FALSE),"")</f>
        <v/>
      </c>
      <c r="BC19" s="209" t="str">
        <f>IFERROR(VLOOKUP(TableHandbook[[#This Row],[UDC]],TableSTRUPARTM[],7,FALSE),"")</f>
        <v/>
      </c>
      <c r="BD19" s="209" t="str">
        <f>IFERROR(VLOOKUP(TableHandbook[[#This Row],[UDC]],TableSTRUPOLB1[],7,FALSE),"")</f>
        <v/>
      </c>
      <c r="BE19" s="209" t="str">
        <f>IFERROR(VLOOKUP(TableHandbook[[#This Row],[UDC]],TableSTRUPSYCB[],7,FALSE),"")</f>
        <v/>
      </c>
      <c r="BF19" s="209" t="str">
        <f>IFERROR(VLOOKUP(TableHandbook[[#This Row],[UDC]],TableSTRUPSYCM[],7,FALSE),"")</f>
        <v/>
      </c>
      <c r="BG19" s="209" t="str">
        <f>IFERROR(VLOOKUP(TableHandbook[[#This Row],[UDC]],TableSTRUVARTB[],7,FALSE),"")</f>
        <v/>
      </c>
      <c r="BH19" s="209" t="str">
        <f>IFERROR(VLOOKUP(TableHandbook[[#This Row],[UDC]],TableSTRUVARTM[],7,FALSE),"")</f>
        <v/>
      </c>
    </row>
    <row r="20" spans="1:60" x14ac:dyDescent="0.25">
      <c r="A20" s="296" t="s">
        <v>471</v>
      </c>
      <c r="B20" s="7">
        <v>0</v>
      </c>
      <c r="C20" s="7"/>
      <c r="D20" s="207" t="s">
        <v>784</v>
      </c>
      <c r="E20" s="7">
        <v>25</v>
      </c>
      <c r="F20" s="84" t="s">
        <v>769</v>
      </c>
      <c r="G20" s="75" t="str">
        <f>IFERROR(IF(VLOOKUP(TableHandbook[[#This Row],[UDC]],TableAvailabilities[],2,FALSE)&gt;0,"Y",""),"")</f>
        <v/>
      </c>
      <c r="H20" s="75" t="str">
        <f>IFERROR(IF(VLOOKUP(TableHandbook[[#This Row],[UDC]],TableAvailabilities[],3,FALSE)&gt;0,"Y",""),"")</f>
        <v/>
      </c>
      <c r="I20" s="75" t="str">
        <f>IFERROR(IF(VLOOKUP(TableHandbook[[#This Row],[UDC]],TableAvailabilities[],4,FALSE)&gt;0,"Y",""),"")</f>
        <v/>
      </c>
      <c r="J20" s="75" t="str">
        <f>IFERROR(IF(VLOOKUP(TableHandbook[[#This Row],[UDC]],TableAvailabilities[],5,FALSE)&gt;0,"Y",""),"")</f>
        <v/>
      </c>
      <c r="K20" s="75" t="str">
        <f>IFERROR(IF(VLOOKUP(TableHandbook[[#This Row],[UDC]],TableAvailabilities[],6,FALSE)&gt;0,"Y",""),"")</f>
        <v/>
      </c>
      <c r="L20" s="75" t="str">
        <f>IFERROR(IF(VLOOKUP(TableHandbook[[#This Row],[UDC]],TableAvailabilities[],7,FALSE)&gt;0,"Y",""),"")</f>
        <v/>
      </c>
      <c r="M20" s="207"/>
      <c r="N20" s="209" t="str">
        <f>IFERROR(VLOOKUP(TableHandbook[[#This Row],[UDC]],TableBEDUC[],7,FALSE),"")</f>
        <v/>
      </c>
      <c r="O20" s="209" t="str">
        <f>IFERROR(VLOOKUP(TableHandbook[[#This Row],[UDC]],TableBEDEC[],7,FALSE),"")</f>
        <v/>
      </c>
      <c r="P20" s="211" t="str">
        <f>IFERROR(VLOOKUP(TableHandbook[[#This Row],[UDC]],TableBEDPR[],7,FALSE),"")</f>
        <v/>
      </c>
      <c r="Q20" s="209" t="str">
        <f>IFERROR(VLOOKUP(TableHandbook[[#This Row],[UDC]],TableSTRUCATHL[],7,FALSE),"")</f>
        <v/>
      </c>
      <c r="R20" s="209" t="str">
        <f>IFERROR(VLOOKUP(TableHandbook[[#This Row],[UDC]],TableSTRUENGLL[],7,FALSE),"")</f>
        <v/>
      </c>
      <c r="S20" s="209" t="str">
        <f>IFERROR(VLOOKUP(TableHandbook[[#This Row],[UDC]],TableSTRUHLTPE[],7,FALSE),"")</f>
        <v/>
      </c>
      <c r="T20" s="209" t="str">
        <f>IFERROR(VLOOKUP(TableHandbook[[#This Row],[UDC]],TableSTRUISTEM[],7,FALSE),"")</f>
        <v/>
      </c>
      <c r="U20" s="209" t="str">
        <f>IFERROR(VLOOKUP(TableHandbook[[#This Row],[UDC]],TableSTRULITNU[],7,FALSE),"")</f>
        <v/>
      </c>
      <c r="V20" s="209" t="str">
        <f>IFERROR(VLOOKUP(TableHandbook[[#This Row],[UDC]],TableSTRUTECHS[],7,FALSE),"")</f>
        <v/>
      </c>
      <c r="W20" s="211" t="str">
        <f>IFERROR(VLOOKUP(TableHandbook[[#This Row],[UDC]],TableBEDSC[],7,FALSE),"")</f>
        <v/>
      </c>
      <c r="X20" s="211" t="str">
        <f>IFERROR(VLOOKUP(TableHandbook[[#This Row],[UDC]],TableMJRUARDR1[],7,FALSE),"")</f>
        <v/>
      </c>
      <c r="Y20" s="209" t="str">
        <f>IFERROR(VLOOKUP(TableHandbook[[#This Row],[UDC]],TableMJRUARME1[],7,FALSE),"")</f>
        <v/>
      </c>
      <c r="Z20" s="209" t="str">
        <f>IFERROR(VLOOKUP(TableHandbook[[#This Row],[UDC]],TableMJRUARVA1[],7,FALSE),"")</f>
        <v/>
      </c>
      <c r="AA20" s="209" t="str">
        <f>IFERROR(VLOOKUP(TableHandbook[[#This Row],[UDC]],TableMJRUENGL1[],7,FALSE),"")</f>
        <v>AltCore</v>
      </c>
      <c r="AB20" s="209" t="str">
        <f>IFERROR(VLOOKUP(TableHandbook[[#This Row],[UDC]],TableMJRUHSEC1[],7,FALSE),"")</f>
        <v/>
      </c>
      <c r="AC20" s="209" t="str">
        <f>IFERROR(VLOOKUP(TableHandbook[[#This Row],[UDC]],TableMJRUHSGE1[],7,FALSE),"")</f>
        <v/>
      </c>
      <c r="AD20" s="209" t="str">
        <f>IFERROR(VLOOKUP(TableHandbook[[#This Row],[UDC]],TableMJRUHSHI1[],7,FALSE),"")</f>
        <v/>
      </c>
      <c r="AE20" s="209" t="str">
        <f>IFERROR(VLOOKUP(TableHandbook[[#This Row],[UDC]],TableMJRUHSPL1[],7,FALSE),"")</f>
        <v/>
      </c>
      <c r="AF20" s="209" t="str">
        <f>IFERROR(VLOOKUP(TableHandbook[[#This Row],[UDC]],TableMJRUMATH1[],7,FALSE),"")</f>
        <v/>
      </c>
      <c r="AG20" s="209" t="str">
        <f>IFERROR(VLOOKUP(TableHandbook[[#This Row],[UDC]],TableMJRUPHYSE[],7,FALSE),"")</f>
        <v/>
      </c>
      <c r="AH20" s="209" t="str">
        <f>IFERROR(VLOOKUP(TableHandbook[[#This Row],[UDC]],TableMJRUSCBI1[],7,FALSE),"")</f>
        <v/>
      </c>
      <c r="AI20" s="209" t="str">
        <f>IFERROR(VLOOKUP(TableHandbook[[#This Row],[UDC]],TableMJRUSCCH1[],7,FALSE),"")</f>
        <v/>
      </c>
      <c r="AJ20" s="209" t="str">
        <f>IFERROR(VLOOKUP(TableHandbook[[#This Row],[UDC]],TableMJRUSCHB1[],7,FALSE),"")</f>
        <v/>
      </c>
      <c r="AK20" s="209" t="str">
        <f>IFERROR(VLOOKUP(TableHandbook[[#This Row],[UDC]],TableMJRUSCPH1[],7,FALSE),"")</f>
        <v/>
      </c>
      <c r="AL20" s="209" t="str">
        <f>IFERROR(VLOOKUP(TableHandbook[[#This Row],[UDC]],TableMJRUSCPS1[],7,FALSE),"")</f>
        <v/>
      </c>
      <c r="AM20" s="211" t="str">
        <f>IFERROR(VLOOKUP(TableHandbook[[#This Row],[UDC]],TableSTRUBIOLB[],7,FALSE),"")</f>
        <v/>
      </c>
      <c r="AN20" s="209" t="str">
        <f>IFERROR(VLOOKUP(TableHandbook[[#This Row],[UDC]],TableSTRUBSCIM[],7,FALSE),"")</f>
        <v/>
      </c>
      <c r="AO20" s="209" t="str">
        <f>IFERROR(VLOOKUP(TableHandbook[[#This Row],[UDC]],TableSTRUCHEMB[],7,FALSE),"")</f>
        <v/>
      </c>
      <c r="AP20" s="209" t="str">
        <f>IFERROR(VLOOKUP(TableHandbook[[#This Row],[UDC]],TableSTRUECOB1[],7,FALSE),"")</f>
        <v/>
      </c>
      <c r="AQ20" s="209" t="str">
        <f>IFERROR(VLOOKUP(TableHandbook[[#This Row],[UDC]],TableSTRUENGLB[],7,FALSE),"")</f>
        <v/>
      </c>
      <c r="AR20" s="209" t="str">
        <f>IFERROR(VLOOKUP(TableHandbook[[#This Row],[UDC]],TableSTRUENGLM[],7,FALSE),"")</f>
        <v/>
      </c>
      <c r="AS20" s="209" t="str">
        <f>IFERROR(VLOOKUP(TableHandbook[[#This Row],[UDC]],TableSTRUGEOB1[],7,FALSE),"")</f>
        <v/>
      </c>
      <c r="AT20" s="209" t="str">
        <f>IFERROR(VLOOKUP(TableHandbook[[#This Row],[UDC]],TableSTRUGEOGM[],7,FALSE),"")</f>
        <v/>
      </c>
      <c r="AU20" s="209" t="str">
        <f>IFERROR(VLOOKUP(TableHandbook[[#This Row],[UDC]],TableSTRUHISB1[],7,FALSE),"")</f>
        <v/>
      </c>
      <c r="AV20" s="209" t="str">
        <f>IFERROR(VLOOKUP(TableHandbook[[#This Row],[UDC]],TableSTRUHISTM[],7,FALSE),"")</f>
        <v/>
      </c>
      <c r="AW20" s="209" t="str">
        <f>IFERROR(VLOOKUP(TableHandbook[[#This Row],[UDC]],TableSTRUHPEB1[],7,FALSE),"")</f>
        <v/>
      </c>
      <c r="AX20" s="209" t="str">
        <f>IFERROR(VLOOKUP(TableHandbook[[#This Row],[UDC]],TableSTRUHUMBB[],7,FALSE),"")</f>
        <v/>
      </c>
      <c r="AY20" s="209" t="str">
        <f>IFERROR(VLOOKUP(TableHandbook[[#This Row],[UDC]],TableSTRUMARTM[],7,FALSE),"")</f>
        <v/>
      </c>
      <c r="AZ20" s="209" t="str">
        <f>IFERROR(VLOOKUP(TableHandbook[[#This Row],[UDC]],TableSTRUMATHB[],7,FALSE),"")</f>
        <v/>
      </c>
      <c r="BA20" s="209" t="str">
        <f>IFERROR(VLOOKUP(TableHandbook[[#This Row],[UDC]],TableSTRUMATHM[],7,FALSE),"")</f>
        <v/>
      </c>
      <c r="BB20" s="209" t="str">
        <f>IFERROR(VLOOKUP(TableHandbook[[#This Row],[UDC]],TableSTRUPARTB[],7,FALSE),"")</f>
        <v/>
      </c>
      <c r="BC20" s="209" t="str">
        <f>IFERROR(VLOOKUP(TableHandbook[[#This Row],[UDC]],TableSTRUPARTM[],7,FALSE),"")</f>
        <v/>
      </c>
      <c r="BD20" s="209" t="str">
        <f>IFERROR(VLOOKUP(TableHandbook[[#This Row],[UDC]],TableSTRUPOLB1[],7,FALSE),"")</f>
        <v/>
      </c>
      <c r="BE20" s="209" t="str">
        <f>IFERROR(VLOOKUP(TableHandbook[[#This Row],[UDC]],TableSTRUPSYCB[],7,FALSE),"")</f>
        <v/>
      </c>
      <c r="BF20" s="209" t="str">
        <f>IFERROR(VLOOKUP(TableHandbook[[#This Row],[UDC]],TableSTRUPSYCM[],7,FALSE),"")</f>
        <v/>
      </c>
      <c r="BG20" s="209" t="str">
        <f>IFERROR(VLOOKUP(TableHandbook[[#This Row],[UDC]],TableSTRUVARTB[],7,FALSE),"")</f>
        <v/>
      </c>
      <c r="BH20" s="209" t="str">
        <f>IFERROR(VLOOKUP(TableHandbook[[#This Row],[UDC]],TableSTRUVARTM[],7,FALSE),"")</f>
        <v/>
      </c>
    </row>
    <row r="21" spans="1:60" x14ac:dyDescent="0.25">
      <c r="A21" s="296" t="s">
        <v>472</v>
      </c>
      <c r="B21" s="7">
        <v>0</v>
      </c>
      <c r="C21" s="7"/>
      <c r="D21" s="207" t="s">
        <v>785</v>
      </c>
      <c r="E21" s="7">
        <v>25</v>
      </c>
      <c r="F21" s="84" t="s">
        <v>769</v>
      </c>
      <c r="G21" s="75" t="str">
        <f>IFERROR(IF(VLOOKUP(TableHandbook[[#This Row],[UDC]],TableAvailabilities[],2,FALSE)&gt;0,"Y",""),"")</f>
        <v/>
      </c>
      <c r="H21" s="75" t="str">
        <f>IFERROR(IF(VLOOKUP(TableHandbook[[#This Row],[UDC]],TableAvailabilities[],3,FALSE)&gt;0,"Y",""),"")</f>
        <v/>
      </c>
      <c r="I21" s="75" t="str">
        <f>IFERROR(IF(VLOOKUP(TableHandbook[[#This Row],[UDC]],TableAvailabilities[],4,FALSE)&gt;0,"Y",""),"")</f>
        <v/>
      </c>
      <c r="J21" s="75" t="str">
        <f>IFERROR(IF(VLOOKUP(TableHandbook[[#This Row],[UDC]],TableAvailabilities[],5,FALSE)&gt;0,"Y",""),"")</f>
        <v/>
      </c>
      <c r="K21" s="75" t="str">
        <f>IFERROR(IF(VLOOKUP(TableHandbook[[#This Row],[UDC]],TableAvailabilities[],6,FALSE)&gt;0,"Y",""),"")</f>
        <v/>
      </c>
      <c r="L21" s="75" t="str">
        <f>IFERROR(IF(VLOOKUP(TableHandbook[[#This Row],[UDC]],TableAvailabilities[],7,FALSE)&gt;0,"Y",""),"")</f>
        <v/>
      </c>
      <c r="M21" s="207"/>
      <c r="N21" s="209" t="str">
        <f>IFERROR(VLOOKUP(TableHandbook[[#This Row],[UDC]],TableBEDUC[],7,FALSE),"")</f>
        <v/>
      </c>
      <c r="O21" s="209" t="str">
        <f>IFERROR(VLOOKUP(TableHandbook[[#This Row],[UDC]],TableBEDEC[],7,FALSE),"")</f>
        <v/>
      </c>
      <c r="P21" s="211" t="str">
        <f>IFERROR(VLOOKUP(TableHandbook[[#This Row],[UDC]],TableBEDPR[],7,FALSE),"")</f>
        <v/>
      </c>
      <c r="Q21" s="209" t="str">
        <f>IFERROR(VLOOKUP(TableHandbook[[#This Row],[UDC]],TableSTRUCATHL[],7,FALSE),"")</f>
        <v/>
      </c>
      <c r="R21" s="209" t="str">
        <f>IFERROR(VLOOKUP(TableHandbook[[#This Row],[UDC]],TableSTRUENGLL[],7,FALSE),"")</f>
        <v/>
      </c>
      <c r="S21" s="209" t="str">
        <f>IFERROR(VLOOKUP(TableHandbook[[#This Row],[UDC]],TableSTRUHLTPE[],7,FALSE),"")</f>
        <v/>
      </c>
      <c r="T21" s="209" t="str">
        <f>IFERROR(VLOOKUP(TableHandbook[[#This Row],[UDC]],TableSTRUISTEM[],7,FALSE),"")</f>
        <v/>
      </c>
      <c r="U21" s="209" t="str">
        <f>IFERROR(VLOOKUP(TableHandbook[[#This Row],[UDC]],TableSTRULITNU[],7,FALSE),"")</f>
        <v/>
      </c>
      <c r="V21" s="209" t="str">
        <f>IFERROR(VLOOKUP(TableHandbook[[#This Row],[UDC]],TableSTRUTECHS[],7,FALSE),"")</f>
        <v/>
      </c>
      <c r="W21" s="211" t="str">
        <f>IFERROR(VLOOKUP(TableHandbook[[#This Row],[UDC]],TableBEDSC[],7,FALSE),"")</f>
        <v/>
      </c>
      <c r="X21" s="211" t="str">
        <f>IFERROR(VLOOKUP(TableHandbook[[#This Row],[UDC]],TableMJRUARDR1[],7,FALSE),"")</f>
        <v/>
      </c>
      <c r="Y21" s="209" t="str">
        <f>IFERROR(VLOOKUP(TableHandbook[[#This Row],[UDC]],TableMJRUARME1[],7,FALSE),"")</f>
        <v/>
      </c>
      <c r="Z21" s="209" t="str">
        <f>IFERROR(VLOOKUP(TableHandbook[[#This Row],[UDC]],TableMJRUARVA1[],7,FALSE),"")</f>
        <v/>
      </c>
      <c r="AA21" s="209" t="str">
        <f>IFERROR(VLOOKUP(TableHandbook[[#This Row],[UDC]],TableMJRUENGL1[],7,FALSE),"")</f>
        <v/>
      </c>
      <c r="AB21" s="209" t="str">
        <f>IFERROR(VLOOKUP(TableHandbook[[#This Row],[UDC]],TableMJRUHSEC1[],7,FALSE),"")</f>
        <v>AltCore</v>
      </c>
      <c r="AC21" s="209" t="str">
        <f>IFERROR(VLOOKUP(TableHandbook[[#This Row],[UDC]],TableMJRUHSGE1[],7,FALSE),"")</f>
        <v/>
      </c>
      <c r="AD21" s="209" t="str">
        <f>IFERROR(VLOOKUP(TableHandbook[[#This Row],[UDC]],TableMJRUHSHI1[],7,FALSE),"")</f>
        <v/>
      </c>
      <c r="AE21" s="209" t="str">
        <f>IFERROR(VLOOKUP(TableHandbook[[#This Row],[UDC]],TableMJRUHSPL1[],7,FALSE),"")</f>
        <v/>
      </c>
      <c r="AF21" s="209" t="str">
        <f>IFERROR(VLOOKUP(TableHandbook[[#This Row],[UDC]],TableMJRUMATH1[],7,FALSE),"")</f>
        <v/>
      </c>
      <c r="AG21" s="209" t="str">
        <f>IFERROR(VLOOKUP(TableHandbook[[#This Row],[UDC]],TableMJRUPHYSE[],7,FALSE),"")</f>
        <v/>
      </c>
      <c r="AH21" s="209" t="str">
        <f>IFERROR(VLOOKUP(TableHandbook[[#This Row],[UDC]],TableMJRUSCBI1[],7,FALSE),"")</f>
        <v/>
      </c>
      <c r="AI21" s="209" t="str">
        <f>IFERROR(VLOOKUP(TableHandbook[[#This Row],[UDC]],TableMJRUSCCH1[],7,FALSE),"")</f>
        <v/>
      </c>
      <c r="AJ21" s="209" t="str">
        <f>IFERROR(VLOOKUP(TableHandbook[[#This Row],[UDC]],TableMJRUSCHB1[],7,FALSE),"")</f>
        <v/>
      </c>
      <c r="AK21" s="209" t="str">
        <f>IFERROR(VLOOKUP(TableHandbook[[#This Row],[UDC]],TableMJRUSCPH1[],7,FALSE),"")</f>
        <v/>
      </c>
      <c r="AL21" s="209" t="str">
        <f>IFERROR(VLOOKUP(TableHandbook[[#This Row],[UDC]],TableMJRUSCPS1[],7,FALSE),"")</f>
        <v/>
      </c>
      <c r="AM21" s="211" t="str">
        <f>IFERROR(VLOOKUP(TableHandbook[[#This Row],[UDC]],TableSTRUBIOLB[],7,FALSE),"")</f>
        <v/>
      </c>
      <c r="AN21" s="209" t="str">
        <f>IFERROR(VLOOKUP(TableHandbook[[#This Row],[UDC]],TableSTRUBSCIM[],7,FALSE),"")</f>
        <v/>
      </c>
      <c r="AO21" s="209" t="str">
        <f>IFERROR(VLOOKUP(TableHandbook[[#This Row],[UDC]],TableSTRUCHEMB[],7,FALSE),"")</f>
        <v/>
      </c>
      <c r="AP21" s="209" t="str">
        <f>IFERROR(VLOOKUP(TableHandbook[[#This Row],[UDC]],TableSTRUECOB1[],7,FALSE),"")</f>
        <v/>
      </c>
      <c r="AQ21" s="209" t="str">
        <f>IFERROR(VLOOKUP(TableHandbook[[#This Row],[UDC]],TableSTRUENGLB[],7,FALSE),"")</f>
        <v/>
      </c>
      <c r="AR21" s="209" t="str">
        <f>IFERROR(VLOOKUP(TableHandbook[[#This Row],[UDC]],TableSTRUENGLM[],7,FALSE),"")</f>
        <v/>
      </c>
      <c r="AS21" s="209" t="str">
        <f>IFERROR(VLOOKUP(TableHandbook[[#This Row],[UDC]],TableSTRUGEOB1[],7,FALSE),"")</f>
        <v/>
      </c>
      <c r="AT21" s="209" t="str">
        <f>IFERROR(VLOOKUP(TableHandbook[[#This Row],[UDC]],TableSTRUGEOGM[],7,FALSE),"")</f>
        <v/>
      </c>
      <c r="AU21" s="209" t="str">
        <f>IFERROR(VLOOKUP(TableHandbook[[#This Row],[UDC]],TableSTRUHISB1[],7,FALSE),"")</f>
        <v/>
      </c>
      <c r="AV21" s="209" t="str">
        <f>IFERROR(VLOOKUP(TableHandbook[[#This Row],[UDC]],TableSTRUHISTM[],7,FALSE),"")</f>
        <v/>
      </c>
      <c r="AW21" s="209" t="str">
        <f>IFERROR(VLOOKUP(TableHandbook[[#This Row],[UDC]],TableSTRUHPEB1[],7,FALSE),"")</f>
        <v/>
      </c>
      <c r="AX21" s="209" t="str">
        <f>IFERROR(VLOOKUP(TableHandbook[[#This Row],[UDC]],TableSTRUHUMBB[],7,FALSE),"")</f>
        <v/>
      </c>
      <c r="AY21" s="209" t="str">
        <f>IFERROR(VLOOKUP(TableHandbook[[#This Row],[UDC]],TableSTRUMARTM[],7,FALSE),"")</f>
        <v/>
      </c>
      <c r="AZ21" s="209" t="str">
        <f>IFERROR(VLOOKUP(TableHandbook[[#This Row],[UDC]],TableSTRUMATHB[],7,FALSE),"")</f>
        <v/>
      </c>
      <c r="BA21" s="209" t="str">
        <f>IFERROR(VLOOKUP(TableHandbook[[#This Row],[UDC]],TableSTRUMATHM[],7,FALSE),"")</f>
        <v/>
      </c>
      <c r="BB21" s="209" t="str">
        <f>IFERROR(VLOOKUP(TableHandbook[[#This Row],[UDC]],TableSTRUPARTB[],7,FALSE),"")</f>
        <v/>
      </c>
      <c r="BC21" s="209" t="str">
        <f>IFERROR(VLOOKUP(TableHandbook[[#This Row],[UDC]],TableSTRUPARTM[],7,FALSE),"")</f>
        <v/>
      </c>
      <c r="BD21" s="209" t="str">
        <f>IFERROR(VLOOKUP(TableHandbook[[#This Row],[UDC]],TableSTRUPOLB1[],7,FALSE),"")</f>
        <v/>
      </c>
      <c r="BE21" s="209" t="str">
        <f>IFERROR(VLOOKUP(TableHandbook[[#This Row],[UDC]],TableSTRUPSYCB[],7,FALSE),"")</f>
        <v/>
      </c>
      <c r="BF21" s="209" t="str">
        <f>IFERROR(VLOOKUP(TableHandbook[[#This Row],[UDC]],TableSTRUPSYCM[],7,FALSE),"")</f>
        <v/>
      </c>
      <c r="BG21" s="209" t="str">
        <f>IFERROR(VLOOKUP(TableHandbook[[#This Row],[UDC]],TableSTRUVARTB[],7,FALSE),"")</f>
        <v/>
      </c>
      <c r="BH21" s="209" t="str">
        <f>IFERROR(VLOOKUP(TableHandbook[[#This Row],[UDC]],TableSTRUVARTM[],7,FALSE),"")</f>
        <v/>
      </c>
    </row>
    <row r="22" spans="1:60" x14ac:dyDescent="0.25">
      <c r="A22" s="296" t="s">
        <v>510</v>
      </c>
      <c r="B22" s="7">
        <v>0</v>
      </c>
      <c r="C22" s="7"/>
      <c r="D22" s="207" t="s">
        <v>786</v>
      </c>
      <c r="E22" s="7">
        <v>25</v>
      </c>
      <c r="F22" s="84" t="s">
        <v>769</v>
      </c>
      <c r="G22" s="75" t="str">
        <f>IFERROR(IF(VLOOKUP(TableHandbook[[#This Row],[UDC]],TableAvailabilities[],2,FALSE)&gt;0,"Y",""),"")</f>
        <v/>
      </c>
      <c r="H22" s="75" t="str">
        <f>IFERROR(IF(VLOOKUP(TableHandbook[[#This Row],[UDC]],TableAvailabilities[],3,FALSE)&gt;0,"Y",""),"")</f>
        <v/>
      </c>
      <c r="I22" s="75" t="str">
        <f>IFERROR(IF(VLOOKUP(TableHandbook[[#This Row],[UDC]],TableAvailabilities[],4,FALSE)&gt;0,"Y",""),"")</f>
        <v/>
      </c>
      <c r="J22" s="75" t="str">
        <f>IFERROR(IF(VLOOKUP(TableHandbook[[#This Row],[UDC]],TableAvailabilities[],5,FALSE)&gt;0,"Y",""),"")</f>
        <v/>
      </c>
      <c r="K22" s="75" t="str">
        <f>IFERROR(IF(VLOOKUP(TableHandbook[[#This Row],[UDC]],TableAvailabilities[],6,FALSE)&gt;0,"Y",""),"")</f>
        <v/>
      </c>
      <c r="L22" s="75" t="str">
        <f>IFERROR(IF(VLOOKUP(TableHandbook[[#This Row],[UDC]],TableAvailabilities[],7,FALSE)&gt;0,"Y",""),"")</f>
        <v/>
      </c>
      <c r="M22" s="207"/>
      <c r="N22" s="209" t="str">
        <f>IFERROR(VLOOKUP(TableHandbook[[#This Row],[UDC]],TableBEDUC[],7,FALSE),"")</f>
        <v/>
      </c>
      <c r="O22" s="209" t="str">
        <f>IFERROR(VLOOKUP(TableHandbook[[#This Row],[UDC]],TableBEDEC[],7,FALSE),"")</f>
        <v/>
      </c>
      <c r="P22" s="211" t="str">
        <f>IFERROR(VLOOKUP(TableHandbook[[#This Row],[UDC]],TableBEDPR[],7,FALSE),"")</f>
        <v/>
      </c>
      <c r="Q22" s="209" t="str">
        <f>IFERROR(VLOOKUP(TableHandbook[[#This Row],[UDC]],TableSTRUCATHL[],7,FALSE),"")</f>
        <v/>
      </c>
      <c r="R22" s="209" t="str">
        <f>IFERROR(VLOOKUP(TableHandbook[[#This Row],[UDC]],TableSTRUENGLL[],7,FALSE),"")</f>
        <v/>
      </c>
      <c r="S22" s="209" t="str">
        <f>IFERROR(VLOOKUP(TableHandbook[[#This Row],[UDC]],TableSTRUHLTPE[],7,FALSE),"")</f>
        <v/>
      </c>
      <c r="T22" s="209" t="str">
        <f>IFERROR(VLOOKUP(TableHandbook[[#This Row],[UDC]],TableSTRUISTEM[],7,FALSE),"")</f>
        <v/>
      </c>
      <c r="U22" s="209" t="str">
        <f>IFERROR(VLOOKUP(TableHandbook[[#This Row],[UDC]],TableSTRULITNU[],7,FALSE),"")</f>
        <v/>
      </c>
      <c r="V22" s="209" t="str">
        <f>IFERROR(VLOOKUP(TableHandbook[[#This Row],[UDC]],TableSTRUTECHS[],7,FALSE),"")</f>
        <v/>
      </c>
      <c r="W22" s="211" t="str">
        <f>IFERROR(VLOOKUP(TableHandbook[[#This Row],[UDC]],TableBEDSC[],7,FALSE),"")</f>
        <v/>
      </c>
      <c r="X22" s="211" t="str">
        <f>IFERROR(VLOOKUP(TableHandbook[[#This Row],[UDC]],TableMJRUARDR1[],7,FALSE),"")</f>
        <v/>
      </c>
      <c r="Y22" s="209" t="str">
        <f>IFERROR(VLOOKUP(TableHandbook[[#This Row],[UDC]],TableMJRUARME1[],7,FALSE),"")</f>
        <v/>
      </c>
      <c r="Z22" s="209" t="str">
        <f>IFERROR(VLOOKUP(TableHandbook[[#This Row],[UDC]],TableMJRUARVA1[],7,FALSE),"")</f>
        <v/>
      </c>
      <c r="AA22" s="209" t="str">
        <f>IFERROR(VLOOKUP(TableHandbook[[#This Row],[UDC]],TableMJRUENGL1[],7,FALSE),"")</f>
        <v/>
      </c>
      <c r="AB22" s="209" t="str">
        <f>IFERROR(VLOOKUP(TableHandbook[[#This Row],[UDC]],TableMJRUHSEC1[],7,FALSE),"")</f>
        <v>AltCore</v>
      </c>
      <c r="AC22" s="209" t="str">
        <f>IFERROR(VLOOKUP(TableHandbook[[#This Row],[UDC]],TableMJRUHSGE1[],7,FALSE),"")</f>
        <v/>
      </c>
      <c r="AD22" s="209" t="str">
        <f>IFERROR(VLOOKUP(TableHandbook[[#This Row],[UDC]],TableMJRUHSHI1[],7,FALSE),"")</f>
        <v/>
      </c>
      <c r="AE22" s="209" t="str">
        <f>IFERROR(VLOOKUP(TableHandbook[[#This Row],[UDC]],TableMJRUHSPL1[],7,FALSE),"")</f>
        <v/>
      </c>
      <c r="AF22" s="209" t="str">
        <f>IFERROR(VLOOKUP(TableHandbook[[#This Row],[UDC]],TableMJRUMATH1[],7,FALSE),"")</f>
        <v/>
      </c>
      <c r="AG22" s="209" t="str">
        <f>IFERROR(VLOOKUP(TableHandbook[[#This Row],[UDC]],TableMJRUPHYSE[],7,FALSE),"")</f>
        <v/>
      </c>
      <c r="AH22" s="209" t="str">
        <f>IFERROR(VLOOKUP(TableHandbook[[#This Row],[UDC]],TableMJRUSCBI1[],7,FALSE),"")</f>
        <v/>
      </c>
      <c r="AI22" s="209" t="str">
        <f>IFERROR(VLOOKUP(TableHandbook[[#This Row],[UDC]],TableMJRUSCCH1[],7,FALSE),"")</f>
        <v/>
      </c>
      <c r="AJ22" s="209" t="str">
        <f>IFERROR(VLOOKUP(TableHandbook[[#This Row],[UDC]],TableMJRUSCHB1[],7,FALSE),"")</f>
        <v/>
      </c>
      <c r="AK22" s="209" t="str">
        <f>IFERROR(VLOOKUP(TableHandbook[[#This Row],[UDC]],TableMJRUSCPH1[],7,FALSE),"")</f>
        <v/>
      </c>
      <c r="AL22" s="209" t="str">
        <f>IFERROR(VLOOKUP(TableHandbook[[#This Row],[UDC]],TableMJRUSCPS1[],7,FALSE),"")</f>
        <v/>
      </c>
      <c r="AM22" s="211" t="str">
        <f>IFERROR(VLOOKUP(TableHandbook[[#This Row],[UDC]],TableSTRUBIOLB[],7,FALSE),"")</f>
        <v/>
      </c>
      <c r="AN22" s="209" t="str">
        <f>IFERROR(VLOOKUP(TableHandbook[[#This Row],[UDC]],TableSTRUBSCIM[],7,FALSE),"")</f>
        <v/>
      </c>
      <c r="AO22" s="209" t="str">
        <f>IFERROR(VLOOKUP(TableHandbook[[#This Row],[UDC]],TableSTRUCHEMB[],7,FALSE),"")</f>
        <v/>
      </c>
      <c r="AP22" s="209" t="str">
        <f>IFERROR(VLOOKUP(TableHandbook[[#This Row],[UDC]],TableSTRUECOB1[],7,FALSE),"")</f>
        <v/>
      </c>
      <c r="AQ22" s="209" t="str">
        <f>IFERROR(VLOOKUP(TableHandbook[[#This Row],[UDC]],TableSTRUENGLB[],7,FALSE),"")</f>
        <v/>
      </c>
      <c r="AR22" s="209" t="str">
        <f>IFERROR(VLOOKUP(TableHandbook[[#This Row],[UDC]],TableSTRUENGLM[],7,FALSE),"")</f>
        <v/>
      </c>
      <c r="AS22" s="209" t="str">
        <f>IFERROR(VLOOKUP(TableHandbook[[#This Row],[UDC]],TableSTRUGEOB1[],7,FALSE),"")</f>
        <v/>
      </c>
      <c r="AT22" s="209" t="str">
        <f>IFERROR(VLOOKUP(TableHandbook[[#This Row],[UDC]],TableSTRUGEOGM[],7,FALSE),"")</f>
        <v/>
      </c>
      <c r="AU22" s="209" t="str">
        <f>IFERROR(VLOOKUP(TableHandbook[[#This Row],[UDC]],TableSTRUHISB1[],7,FALSE),"")</f>
        <v/>
      </c>
      <c r="AV22" s="209" t="str">
        <f>IFERROR(VLOOKUP(TableHandbook[[#This Row],[UDC]],TableSTRUHISTM[],7,FALSE),"")</f>
        <v/>
      </c>
      <c r="AW22" s="209" t="str">
        <f>IFERROR(VLOOKUP(TableHandbook[[#This Row],[UDC]],TableSTRUHPEB1[],7,FALSE),"")</f>
        <v/>
      </c>
      <c r="AX22" s="209" t="str">
        <f>IFERROR(VLOOKUP(TableHandbook[[#This Row],[UDC]],TableSTRUHUMBB[],7,FALSE),"")</f>
        <v/>
      </c>
      <c r="AY22" s="209" t="str">
        <f>IFERROR(VLOOKUP(TableHandbook[[#This Row],[UDC]],TableSTRUMARTM[],7,FALSE),"")</f>
        <v/>
      </c>
      <c r="AZ22" s="209" t="str">
        <f>IFERROR(VLOOKUP(TableHandbook[[#This Row],[UDC]],TableSTRUMATHB[],7,FALSE),"")</f>
        <v/>
      </c>
      <c r="BA22" s="209" t="str">
        <f>IFERROR(VLOOKUP(TableHandbook[[#This Row],[UDC]],TableSTRUMATHM[],7,FALSE),"")</f>
        <v/>
      </c>
      <c r="BB22" s="209" t="str">
        <f>IFERROR(VLOOKUP(TableHandbook[[#This Row],[UDC]],TableSTRUPARTB[],7,FALSE),"")</f>
        <v/>
      </c>
      <c r="BC22" s="209" t="str">
        <f>IFERROR(VLOOKUP(TableHandbook[[#This Row],[UDC]],TableSTRUPARTM[],7,FALSE),"")</f>
        <v/>
      </c>
      <c r="BD22" s="209" t="str">
        <f>IFERROR(VLOOKUP(TableHandbook[[#This Row],[UDC]],TableSTRUPOLB1[],7,FALSE),"")</f>
        <v/>
      </c>
      <c r="BE22" s="209" t="str">
        <f>IFERROR(VLOOKUP(TableHandbook[[#This Row],[UDC]],TableSTRUPSYCB[],7,FALSE),"")</f>
        <v/>
      </c>
      <c r="BF22" s="209" t="str">
        <f>IFERROR(VLOOKUP(TableHandbook[[#This Row],[UDC]],TableSTRUPSYCM[],7,FALSE),"")</f>
        <v/>
      </c>
      <c r="BG22" s="209" t="str">
        <f>IFERROR(VLOOKUP(TableHandbook[[#This Row],[UDC]],TableSTRUVARTB[],7,FALSE),"")</f>
        <v/>
      </c>
      <c r="BH22" s="209" t="str">
        <f>IFERROR(VLOOKUP(TableHandbook[[#This Row],[UDC]],TableSTRUVARTM[],7,FALSE),"")</f>
        <v/>
      </c>
    </row>
    <row r="23" spans="1:60" x14ac:dyDescent="0.25">
      <c r="A23" s="296" t="s">
        <v>525</v>
      </c>
      <c r="B23" s="7">
        <v>0</v>
      </c>
      <c r="C23" s="7"/>
      <c r="D23" s="207" t="s">
        <v>787</v>
      </c>
      <c r="E23" s="7">
        <v>25</v>
      </c>
      <c r="F23" s="84" t="s">
        <v>769</v>
      </c>
      <c r="G23" s="75" t="str">
        <f>IFERROR(IF(VLOOKUP(TableHandbook[[#This Row],[UDC]],TableAvailabilities[],2,FALSE)&gt;0,"Y",""),"")</f>
        <v/>
      </c>
      <c r="H23" s="75" t="str">
        <f>IFERROR(IF(VLOOKUP(TableHandbook[[#This Row],[UDC]],TableAvailabilities[],3,FALSE)&gt;0,"Y",""),"")</f>
        <v/>
      </c>
      <c r="I23" s="75" t="str">
        <f>IFERROR(IF(VLOOKUP(TableHandbook[[#This Row],[UDC]],TableAvailabilities[],4,FALSE)&gt;0,"Y",""),"")</f>
        <v/>
      </c>
      <c r="J23" s="75" t="str">
        <f>IFERROR(IF(VLOOKUP(TableHandbook[[#This Row],[UDC]],TableAvailabilities[],5,FALSE)&gt;0,"Y",""),"")</f>
        <v/>
      </c>
      <c r="K23" s="75" t="str">
        <f>IFERROR(IF(VLOOKUP(TableHandbook[[#This Row],[UDC]],TableAvailabilities[],6,FALSE)&gt;0,"Y",""),"")</f>
        <v/>
      </c>
      <c r="L23" s="75" t="str">
        <f>IFERROR(IF(VLOOKUP(TableHandbook[[#This Row],[UDC]],TableAvailabilities[],7,FALSE)&gt;0,"Y",""),"")</f>
        <v/>
      </c>
      <c r="M23" s="207"/>
      <c r="N23" s="209" t="str">
        <f>IFERROR(VLOOKUP(TableHandbook[[#This Row],[UDC]],TableBEDUC[],7,FALSE),"")</f>
        <v/>
      </c>
      <c r="O23" s="209" t="str">
        <f>IFERROR(VLOOKUP(TableHandbook[[#This Row],[UDC]],TableBEDEC[],7,FALSE),"")</f>
        <v/>
      </c>
      <c r="P23" s="211" t="str">
        <f>IFERROR(VLOOKUP(TableHandbook[[#This Row],[UDC]],TableBEDPR[],7,FALSE),"")</f>
        <v/>
      </c>
      <c r="Q23" s="209" t="str">
        <f>IFERROR(VLOOKUP(TableHandbook[[#This Row],[UDC]],TableSTRUCATHL[],7,FALSE),"")</f>
        <v/>
      </c>
      <c r="R23" s="209" t="str">
        <f>IFERROR(VLOOKUP(TableHandbook[[#This Row],[UDC]],TableSTRUENGLL[],7,FALSE),"")</f>
        <v/>
      </c>
      <c r="S23" s="209" t="str">
        <f>IFERROR(VLOOKUP(TableHandbook[[#This Row],[UDC]],TableSTRUHLTPE[],7,FALSE),"")</f>
        <v/>
      </c>
      <c r="T23" s="209" t="str">
        <f>IFERROR(VLOOKUP(TableHandbook[[#This Row],[UDC]],TableSTRUISTEM[],7,FALSE),"")</f>
        <v/>
      </c>
      <c r="U23" s="209" t="str">
        <f>IFERROR(VLOOKUP(TableHandbook[[#This Row],[UDC]],TableSTRULITNU[],7,FALSE),"")</f>
        <v/>
      </c>
      <c r="V23" s="209" t="str">
        <f>IFERROR(VLOOKUP(TableHandbook[[#This Row],[UDC]],TableSTRUTECHS[],7,FALSE),"")</f>
        <v/>
      </c>
      <c r="W23" s="211" t="str">
        <f>IFERROR(VLOOKUP(TableHandbook[[#This Row],[UDC]],TableBEDSC[],7,FALSE),"")</f>
        <v/>
      </c>
      <c r="X23" s="211" t="str">
        <f>IFERROR(VLOOKUP(TableHandbook[[#This Row],[UDC]],TableMJRUARDR1[],7,FALSE),"")</f>
        <v/>
      </c>
      <c r="Y23" s="209" t="str">
        <f>IFERROR(VLOOKUP(TableHandbook[[#This Row],[UDC]],TableMJRUARME1[],7,FALSE),"")</f>
        <v/>
      </c>
      <c r="Z23" s="209" t="str">
        <f>IFERROR(VLOOKUP(TableHandbook[[#This Row],[UDC]],TableMJRUARVA1[],7,FALSE),"")</f>
        <v/>
      </c>
      <c r="AA23" s="209" t="str">
        <f>IFERROR(VLOOKUP(TableHandbook[[#This Row],[UDC]],TableMJRUENGL1[],7,FALSE),"")</f>
        <v/>
      </c>
      <c r="AB23" s="209" t="str">
        <f>IFERROR(VLOOKUP(TableHandbook[[#This Row],[UDC]],TableMJRUHSEC1[],7,FALSE),"")</f>
        <v>AltCore</v>
      </c>
      <c r="AC23" s="209" t="str">
        <f>IFERROR(VLOOKUP(TableHandbook[[#This Row],[UDC]],TableMJRUHSGE1[],7,FALSE),"")</f>
        <v/>
      </c>
      <c r="AD23" s="209" t="str">
        <f>IFERROR(VLOOKUP(TableHandbook[[#This Row],[UDC]],TableMJRUHSHI1[],7,FALSE),"")</f>
        <v/>
      </c>
      <c r="AE23" s="209" t="str">
        <f>IFERROR(VLOOKUP(TableHandbook[[#This Row],[UDC]],TableMJRUHSPL1[],7,FALSE),"")</f>
        <v/>
      </c>
      <c r="AF23" s="209" t="str">
        <f>IFERROR(VLOOKUP(TableHandbook[[#This Row],[UDC]],TableMJRUMATH1[],7,FALSE),"")</f>
        <v/>
      </c>
      <c r="AG23" s="209" t="str">
        <f>IFERROR(VLOOKUP(TableHandbook[[#This Row],[UDC]],TableMJRUPHYSE[],7,FALSE),"")</f>
        <v/>
      </c>
      <c r="AH23" s="209" t="str">
        <f>IFERROR(VLOOKUP(TableHandbook[[#This Row],[UDC]],TableMJRUSCBI1[],7,FALSE),"")</f>
        <v/>
      </c>
      <c r="AI23" s="209" t="str">
        <f>IFERROR(VLOOKUP(TableHandbook[[#This Row],[UDC]],TableMJRUSCCH1[],7,FALSE),"")</f>
        <v/>
      </c>
      <c r="AJ23" s="209" t="str">
        <f>IFERROR(VLOOKUP(TableHandbook[[#This Row],[UDC]],TableMJRUSCHB1[],7,FALSE),"")</f>
        <v/>
      </c>
      <c r="AK23" s="209" t="str">
        <f>IFERROR(VLOOKUP(TableHandbook[[#This Row],[UDC]],TableMJRUSCPH1[],7,FALSE),"")</f>
        <v/>
      </c>
      <c r="AL23" s="209" t="str">
        <f>IFERROR(VLOOKUP(TableHandbook[[#This Row],[UDC]],TableMJRUSCPS1[],7,FALSE),"")</f>
        <v/>
      </c>
      <c r="AM23" s="211" t="str">
        <f>IFERROR(VLOOKUP(TableHandbook[[#This Row],[UDC]],TableSTRUBIOLB[],7,FALSE),"")</f>
        <v/>
      </c>
      <c r="AN23" s="209" t="str">
        <f>IFERROR(VLOOKUP(TableHandbook[[#This Row],[UDC]],TableSTRUBSCIM[],7,FALSE),"")</f>
        <v/>
      </c>
      <c r="AO23" s="209" t="str">
        <f>IFERROR(VLOOKUP(TableHandbook[[#This Row],[UDC]],TableSTRUCHEMB[],7,FALSE),"")</f>
        <v/>
      </c>
      <c r="AP23" s="209" t="str">
        <f>IFERROR(VLOOKUP(TableHandbook[[#This Row],[UDC]],TableSTRUECOB1[],7,FALSE),"")</f>
        <v/>
      </c>
      <c r="AQ23" s="209" t="str">
        <f>IFERROR(VLOOKUP(TableHandbook[[#This Row],[UDC]],TableSTRUENGLB[],7,FALSE),"")</f>
        <v/>
      </c>
      <c r="AR23" s="209" t="str">
        <f>IFERROR(VLOOKUP(TableHandbook[[#This Row],[UDC]],TableSTRUENGLM[],7,FALSE),"")</f>
        <v/>
      </c>
      <c r="AS23" s="209" t="str">
        <f>IFERROR(VLOOKUP(TableHandbook[[#This Row],[UDC]],TableSTRUGEOB1[],7,FALSE),"")</f>
        <v/>
      </c>
      <c r="AT23" s="209" t="str">
        <f>IFERROR(VLOOKUP(TableHandbook[[#This Row],[UDC]],TableSTRUGEOGM[],7,FALSE),"")</f>
        <v/>
      </c>
      <c r="AU23" s="209" t="str">
        <f>IFERROR(VLOOKUP(TableHandbook[[#This Row],[UDC]],TableSTRUHISB1[],7,FALSE),"")</f>
        <v/>
      </c>
      <c r="AV23" s="209" t="str">
        <f>IFERROR(VLOOKUP(TableHandbook[[#This Row],[UDC]],TableSTRUHISTM[],7,FALSE),"")</f>
        <v/>
      </c>
      <c r="AW23" s="209" t="str">
        <f>IFERROR(VLOOKUP(TableHandbook[[#This Row],[UDC]],TableSTRUHPEB1[],7,FALSE),"")</f>
        <v/>
      </c>
      <c r="AX23" s="209" t="str">
        <f>IFERROR(VLOOKUP(TableHandbook[[#This Row],[UDC]],TableSTRUHUMBB[],7,FALSE),"")</f>
        <v/>
      </c>
      <c r="AY23" s="209" t="str">
        <f>IFERROR(VLOOKUP(TableHandbook[[#This Row],[UDC]],TableSTRUMARTM[],7,FALSE),"")</f>
        <v/>
      </c>
      <c r="AZ23" s="209" t="str">
        <f>IFERROR(VLOOKUP(TableHandbook[[#This Row],[UDC]],TableSTRUMATHB[],7,FALSE),"")</f>
        <v/>
      </c>
      <c r="BA23" s="209" t="str">
        <f>IFERROR(VLOOKUP(TableHandbook[[#This Row],[UDC]],TableSTRUMATHM[],7,FALSE),"")</f>
        <v/>
      </c>
      <c r="BB23" s="209" t="str">
        <f>IFERROR(VLOOKUP(TableHandbook[[#This Row],[UDC]],TableSTRUPARTB[],7,FALSE),"")</f>
        <v/>
      </c>
      <c r="BC23" s="209" t="str">
        <f>IFERROR(VLOOKUP(TableHandbook[[#This Row],[UDC]],TableSTRUPARTM[],7,FALSE),"")</f>
        <v/>
      </c>
      <c r="BD23" s="209" t="str">
        <f>IFERROR(VLOOKUP(TableHandbook[[#This Row],[UDC]],TableSTRUPOLB1[],7,FALSE),"")</f>
        <v/>
      </c>
      <c r="BE23" s="209" t="str">
        <f>IFERROR(VLOOKUP(TableHandbook[[#This Row],[UDC]],TableSTRUPSYCB[],7,FALSE),"")</f>
        <v/>
      </c>
      <c r="BF23" s="209" t="str">
        <f>IFERROR(VLOOKUP(TableHandbook[[#This Row],[UDC]],TableSTRUPSYCM[],7,FALSE),"")</f>
        <v/>
      </c>
      <c r="BG23" s="209" t="str">
        <f>IFERROR(VLOOKUP(TableHandbook[[#This Row],[UDC]],TableSTRUVARTB[],7,FALSE),"")</f>
        <v/>
      </c>
      <c r="BH23" s="209" t="str">
        <f>IFERROR(VLOOKUP(TableHandbook[[#This Row],[UDC]],TableSTRUVARTM[],7,FALSE),"")</f>
        <v/>
      </c>
    </row>
    <row r="24" spans="1:60" x14ac:dyDescent="0.25">
      <c r="A24" s="296" t="s">
        <v>453</v>
      </c>
      <c r="B24" s="7">
        <v>0</v>
      </c>
      <c r="C24" s="7"/>
      <c r="D24" s="207" t="s">
        <v>788</v>
      </c>
      <c r="E24" s="7">
        <v>25</v>
      </c>
      <c r="F24" s="84" t="s">
        <v>769</v>
      </c>
      <c r="G24" s="75" t="str">
        <f>IFERROR(IF(VLOOKUP(TableHandbook[[#This Row],[UDC]],TableAvailabilities[],2,FALSE)&gt;0,"Y",""),"")</f>
        <v/>
      </c>
      <c r="H24" s="75" t="str">
        <f>IFERROR(IF(VLOOKUP(TableHandbook[[#This Row],[UDC]],TableAvailabilities[],3,FALSE)&gt;0,"Y",""),"")</f>
        <v/>
      </c>
      <c r="I24" s="75" t="str">
        <f>IFERROR(IF(VLOOKUP(TableHandbook[[#This Row],[UDC]],TableAvailabilities[],4,FALSE)&gt;0,"Y",""),"")</f>
        <v/>
      </c>
      <c r="J24" s="75" t="str">
        <f>IFERROR(IF(VLOOKUP(TableHandbook[[#This Row],[UDC]],TableAvailabilities[],5,FALSE)&gt;0,"Y",""),"")</f>
        <v/>
      </c>
      <c r="K24" s="75" t="str">
        <f>IFERROR(IF(VLOOKUP(TableHandbook[[#This Row],[UDC]],TableAvailabilities[],6,FALSE)&gt;0,"Y",""),"")</f>
        <v/>
      </c>
      <c r="L24" s="75" t="str">
        <f>IFERROR(IF(VLOOKUP(TableHandbook[[#This Row],[UDC]],TableAvailabilities[],7,FALSE)&gt;0,"Y",""),"")</f>
        <v/>
      </c>
      <c r="M24" s="207"/>
      <c r="N24" s="209" t="str">
        <f>IFERROR(VLOOKUP(TableHandbook[[#This Row],[UDC]],TableBEDUC[],7,FALSE),"")</f>
        <v/>
      </c>
      <c r="O24" s="209" t="str">
        <f>IFERROR(VLOOKUP(TableHandbook[[#This Row],[UDC]],TableBEDEC[],7,FALSE),"")</f>
        <v/>
      </c>
      <c r="P24" s="211" t="str">
        <f>IFERROR(VLOOKUP(TableHandbook[[#This Row],[UDC]],TableBEDPR[],7,FALSE),"")</f>
        <v/>
      </c>
      <c r="Q24" s="209" t="str">
        <f>IFERROR(VLOOKUP(TableHandbook[[#This Row],[UDC]],TableSTRUCATHL[],7,FALSE),"")</f>
        <v/>
      </c>
      <c r="R24" s="209" t="str">
        <f>IFERROR(VLOOKUP(TableHandbook[[#This Row],[UDC]],TableSTRUENGLL[],7,FALSE),"")</f>
        <v/>
      </c>
      <c r="S24" s="209" t="str">
        <f>IFERROR(VLOOKUP(TableHandbook[[#This Row],[UDC]],TableSTRUHLTPE[],7,FALSE),"")</f>
        <v/>
      </c>
      <c r="T24" s="209" t="str">
        <f>IFERROR(VLOOKUP(TableHandbook[[#This Row],[UDC]],TableSTRUISTEM[],7,FALSE),"")</f>
        <v/>
      </c>
      <c r="U24" s="209" t="str">
        <f>IFERROR(VLOOKUP(TableHandbook[[#This Row],[UDC]],TableSTRULITNU[],7,FALSE),"")</f>
        <v/>
      </c>
      <c r="V24" s="209" t="str">
        <f>IFERROR(VLOOKUP(TableHandbook[[#This Row],[UDC]],TableSTRUTECHS[],7,FALSE),"")</f>
        <v/>
      </c>
      <c r="W24" s="211" t="str">
        <f>IFERROR(VLOOKUP(TableHandbook[[#This Row],[UDC]],TableBEDSC[],7,FALSE),"")</f>
        <v/>
      </c>
      <c r="X24" s="211" t="str">
        <f>IFERROR(VLOOKUP(TableHandbook[[#This Row],[UDC]],TableMJRUARDR1[],7,FALSE),"")</f>
        <v/>
      </c>
      <c r="Y24" s="209" t="str">
        <f>IFERROR(VLOOKUP(TableHandbook[[#This Row],[UDC]],TableMJRUARME1[],7,FALSE),"")</f>
        <v/>
      </c>
      <c r="Z24" s="209" t="str">
        <f>IFERROR(VLOOKUP(TableHandbook[[#This Row],[UDC]],TableMJRUARVA1[],7,FALSE),"")</f>
        <v/>
      </c>
      <c r="AA24" s="209" t="str">
        <f>IFERROR(VLOOKUP(TableHandbook[[#This Row],[UDC]],TableMJRUENGL1[],7,FALSE),"")</f>
        <v/>
      </c>
      <c r="AB24" s="209" t="str">
        <f>IFERROR(VLOOKUP(TableHandbook[[#This Row],[UDC]],TableMJRUHSEC1[],7,FALSE),"")</f>
        <v/>
      </c>
      <c r="AC24" s="209" t="str">
        <f>IFERROR(VLOOKUP(TableHandbook[[#This Row],[UDC]],TableMJRUHSGE1[],7,FALSE),"")</f>
        <v>AltCore</v>
      </c>
      <c r="AD24" s="209" t="str">
        <f>IFERROR(VLOOKUP(TableHandbook[[#This Row],[UDC]],TableMJRUHSHI1[],7,FALSE),"")</f>
        <v/>
      </c>
      <c r="AE24" s="209" t="str">
        <f>IFERROR(VLOOKUP(TableHandbook[[#This Row],[UDC]],TableMJRUHSPL1[],7,FALSE),"")</f>
        <v/>
      </c>
      <c r="AF24" s="209" t="str">
        <f>IFERROR(VLOOKUP(TableHandbook[[#This Row],[UDC]],TableMJRUMATH1[],7,FALSE),"")</f>
        <v/>
      </c>
      <c r="AG24" s="209" t="str">
        <f>IFERROR(VLOOKUP(TableHandbook[[#This Row],[UDC]],TableMJRUPHYSE[],7,FALSE),"")</f>
        <v/>
      </c>
      <c r="AH24" s="209" t="str">
        <f>IFERROR(VLOOKUP(TableHandbook[[#This Row],[UDC]],TableMJRUSCBI1[],7,FALSE),"")</f>
        <v/>
      </c>
      <c r="AI24" s="209" t="str">
        <f>IFERROR(VLOOKUP(TableHandbook[[#This Row],[UDC]],TableMJRUSCCH1[],7,FALSE),"")</f>
        <v/>
      </c>
      <c r="AJ24" s="209" t="str">
        <f>IFERROR(VLOOKUP(TableHandbook[[#This Row],[UDC]],TableMJRUSCHB1[],7,FALSE),"")</f>
        <v/>
      </c>
      <c r="AK24" s="209" t="str">
        <f>IFERROR(VLOOKUP(TableHandbook[[#This Row],[UDC]],TableMJRUSCPH1[],7,FALSE),"")</f>
        <v/>
      </c>
      <c r="AL24" s="209" t="str">
        <f>IFERROR(VLOOKUP(TableHandbook[[#This Row],[UDC]],TableMJRUSCPS1[],7,FALSE),"")</f>
        <v/>
      </c>
      <c r="AM24" s="211" t="str">
        <f>IFERROR(VLOOKUP(TableHandbook[[#This Row],[UDC]],TableSTRUBIOLB[],7,FALSE),"")</f>
        <v/>
      </c>
      <c r="AN24" s="209" t="str">
        <f>IFERROR(VLOOKUP(TableHandbook[[#This Row],[UDC]],TableSTRUBSCIM[],7,FALSE),"")</f>
        <v/>
      </c>
      <c r="AO24" s="209" t="str">
        <f>IFERROR(VLOOKUP(TableHandbook[[#This Row],[UDC]],TableSTRUCHEMB[],7,FALSE),"")</f>
        <v/>
      </c>
      <c r="AP24" s="209" t="str">
        <f>IFERROR(VLOOKUP(TableHandbook[[#This Row],[UDC]],TableSTRUECOB1[],7,FALSE),"")</f>
        <v/>
      </c>
      <c r="AQ24" s="209" t="str">
        <f>IFERROR(VLOOKUP(TableHandbook[[#This Row],[UDC]],TableSTRUENGLB[],7,FALSE),"")</f>
        <v/>
      </c>
      <c r="AR24" s="209" t="str">
        <f>IFERROR(VLOOKUP(TableHandbook[[#This Row],[UDC]],TableSTRUENGLM[],7,FALSE),"")</f>
        <v/>
      </c>
      <c r="AS24" s="209" t="str">
        <f>IFERROR(VLOOKUP(TableHandbook[[#This Row],[UDC]],TableSTRUGEOB1[],7,FALSE),"")</f>
        <v/>
      </c>
      <c r="AT24" s="209" t="str">
        <f>IFERROR(VLOOKUP(TableHandbook[[#This Row],[UDC]],TableSTRUGEOGM[],7,FALSE),"")</f>
        <v/>
      </c>
      <c r="AU24" s="209" t="str">
        <f>IFERROR(VLOOKUP(TableHandbook[[#This Row],[UDC]],TableSTRUHISB1[],7,FALSE),"")</f>
        <v/>
      </c>
      <c r="AV24" s="209" t="str">
        <f>IFERROR(VLOOKUP(TableHandbook[[#This Row],[UDC]],TableSTRUHISTM[],7,FALSE),"")</f>
        <v/>
      </c>
      <c r="AW24" s="209" t="str">
        <f>IFERROR(VLOOKUP(TableHandbook[[#This Row],[UDC]],TableSTRUHPEB1[],7,FALSE),"")</f>
        <v/>
      </c>
      <c r="AX24" s="209" t="str">
        <f>IFERROR(VLOOKUP(TableHandbook[[#This Row],[UDC]],TableSTRUHUMBB[],7,FALSE),"")</f>
        <v/>
      </c>
      <c r="AY24" s="209" t="str">
        <f>IFERROR(VLOOKUP(TableHandbook[[#This Row],[UDC]],TableSTRUMARTM[],7,FALSE),"")</f>
        <v/>
      </c>
      <c r="AZ24" s="209" t="str">
        <f>IFERROR(VLOOKUP(TableHandbook[[#This Row],[UDC]],TableSTRUMATHB[],7,FALSE),"")</f>
        <v/>
      </c>
      <c r="BA24" s="209" t="str">
        <f>IFERROR(VLOOKUP(TableHandbook[[#This Row],[UDC]],TableSTRUMATHM[],7,FALSE),"")</f>
        <v/>
      </c>
      <c r="BB24" s="209" t="str">
        <f>IFERROR(VLOOKUP(TableHandbook[[#This Row],[UDC]],TableSTRUPARTB[],7,FALSE),"")</f>
        <v/>
      </c>
      <c r="BC24" s="209" t="str">
        <f>IFERROR(VLOOKUP(TableHandbook[[#This Row],[UDC]],TableSTRUPARTM[],7,FALSE),"")</f>
        <v/>
      </c>
      <c r="BD24" s="209" t="str">
        <f>IFERROR(VLOOKUP(TableHandbook[[#This Row],[UDC]],TableSTRUPOLB1[],7,FALSE),"")</f>
        <v/>
      </c>
      <c r="BE24" s="209" t="str">
        <f>IFERROR(VLOOKUP(TableHandbook[[#This Row],[UDC]],TableSTRUPSYCB[],7,FALSE),"")</f>
        <v/>
      </c>
      <c r="BF24" s="209" t="str">
        <f>IFERROR(VLOOKUP(TableHandbook[[#This Row],[UDC]],TableSTRUPSYCM[],7,FALSE),"")</f>
        <v/>
      </c>
      <c r="BG24" s="209" t="str">
        <f>IFERROR(VLOOKUP(TableHandbook[[#This Row],[UDC]],TableSTRUVARTB[],7,FALSE),"")</f>
        <v/>
      </c>
      <c r="BH24" s="209" t="str">
        <f>IFERROR(VLOOKUP(TableHandbook[[#This Row],[UDC]],TableSTRUVARTM[],7,FALSE),"")</f>
        <v/>
      </c>
    </row>
    <row r="25" spans="1:60" x14ac:dyDescent="0.25">
      <c r="A25" s="296" t="s">
        <v>498</v>
      </c>
      <c r="B25" s="7">
        <v>0</v>
      </c>
      <c r="C25" s="7"/>
      <c r="D25" s="207" t="s">
        <v>789</v>
      </c>
      <c r="E25" s="7">
        <v>25</v>
      </c>
      <c r="F25" s="84" t="s">
        <v>769</v>
      </c>
      <c r="G25" s="75" t="str">
        <f>IFERROR(IF(VLOOKUP(TableHandbook[[#This Row],[UDC]],TableAvailabilities[],2,FALSE)&gt;0,"Y",""),"")</f>
        <v/>
      </c>
      <c r="H25" s="75" t="str">
        <f>IFERROR(IF(VLOOKUP(TableHandbook[[#This Row],[UDC]],TableAvailabilities[],3,FALSE)&gt;0,"Y",""),"")</f>
        <v/>
      </c>
      <c r="I25" s="75" t="str">
        <f>IFERROR(IF(VLOOKUP(TableHandbook[[#This Row],[UDC]],TableAvailabilities[],4,FALSE)&gt;0,"Y",""),"")</f>
        <v/>
      </c>
      <c r="J25" s="75" t="str">
        <f>IFERROR(IF(VLOOKUP(TableHandbook[[#This Row],[UDC]],TableAvailabilities[],5,FALSE)&gt;0,"Y",""),"")</f>
        <v/>
      </c>
      <c r="K25" s="75" t="str">
        <f>IFERROR(IF(VLOOKUP(TableHandbook[[#This Row],[UDC]],TableAvailabilities[],6,FALSE)&gt;0,"Y",""),"")</f>
        <v/>
      </c>
      <c r="L25" s="75" t="str">
        <f>IFERROR(IF(VLOOKUP(TableHandbook[[#This Row],[UDC]],TableAvailabilities[],7,FALSE)&gt;0,"Y",""),"")</f>
        <v/>
      </c>
      <c r="M25" s="207"/>
      <c r="N25" s="209" t="str">
        <f>IFERROR(VLOOKUP(TableHandbook[[#This Row],[UDC]],TableBEDUC[],7,FALSE),"")</f>
        <v/>
      </c>
      <c r="O25" s="209" t="str">
        <f>IFERROR(VLOOKUP(TableHandbook[[#This Row],[UDC]],TableBEDEC[],7,FALSE),"")</f>
        <v/>
      </c>
      <c r="P25" s="211" t="str">
        <f>IFERROR(VLOOKUP(TableHandbook[[#This Row],[UDC]],TableBEDPR[],7,FALSE),"")</f>
        <v/>
      </c>
      <c r="Q25" s="209" t="str">
        <f>IFERROR(VLOOKUP(TableHandbook[[#This Row],[UDC]],TableSTRUCATHL[],7,FALSE),"")</f>
        <v/>
      </c>
      <c r="R25" s="209" t="str">
        <f>IFERROR(VLOOKUP(TableHandbook[[#This Row],[UDC]],TableSTRUENGLL[],7,FALSE),"")</f>
        <v/>
      </c>
      <c r="S25" s="209" t="str">
        <f>IFERROR(VLOOKUP(TableHandbook[[#This Row],[UDC]],TableSTRUHLTPE[],7,FALSE),"")</f>
        <v/>
      </c>
      <c r="T25" s="209" t="str">
        <f>IFERROR(VLOOKUP(TableHandbook[[#This Row],[UDC]],TableSTRUISTEM[],7,FALSE),"")</f>
        <v/>
      </c>
      <c r="U25" s="209" t="str">
        <f>IFERROR(VLOOKUP(TableHandbook[[#This Row],[UDC]],TableSTRULITNU[],7,FALSE),"")</f>
        <v/>
      </c>
      <c r="V25" s="209" t="str">
        <f>IFERROR(VLOOKUP(TableHandbook[[#This Row],[UDC]],TableSTRUTECHS[],7,FALSE),"")</f>
        <v/>
      </c>
      <c r="W25" s="211" t="str">
        <f>IFERROR(VLOOKUP(TableHandbook[[#This Row],[UDC]],TableBEDSC[],7,FALSE),"")</f>
        <v/>
      </c>
      <c r="X25" s="211" t="str">
        <f>IFERROR(VLOOKUP(TableHandbook[[#This Row],[UDC]],TableMJRUARDR1[],7,FALSE),"")</f>
        <v/>
      </c>
      <c r="Y25" s="209" t="str">
        <f>IFERROR(VLOOKUP(TableHandbook[[#This Row],[UDC]],TableMJRUARME1[],7,FALSE),"")</f>
        <v/>
      </c>
      <c r="Z25" s="209" t="str">
        <f>IFERROR(VLOOKUP(TableHandbook[[#This Row],[UDC]],TableMJRUARVA1[],7,FALSE),"")</f>
        <v/>
      </c>
      <c r="AA25" s="209" t="str">
        <f>IFERROR(VLOOKUP(TableHandbook[[#This Row],[UDC]],TableMJRUENGL1[],7,FALSE),"")</f>
        <v/>
      </c>
      <c r="AB25" s="209" t="str">
        <f>IFERROR(VLOOKUP(TableHandbook[[#This Row],[UDC]],TableMJRUHSEC1[],7,FALSE),"")</f>
        <v/>
      </c>
      <c r="AC25" s="209" t="str">
        <f>IFERROR(VLOOKUP(TableHandbook[[#This Row],[UDC]],TableMJRUHSGE1[],7,FALSE),"")</f>
        <v>AltCore</v>
      </c>
      <c r="AD25" s="209" t="str">
        <f>IFERROR(VLOOKUP(TableHandbook[[#This Row],[UDC]],TableMJRUHSHI1[],7,FALSE),"")</f>
        <v/>
      </c>
      <c r="AE25" s="209" t="str">
        <f>IFERROR(VLOOKUP(TableHandbook[[#This Row],[UDC]],TableMJRUHSPL1[],7,FALSE),"")</f>
        <v/>
      </c>
      <c r="AF25" s="209" t="str">
        <f>IFERROR(VLOOKUP(TableHandbook[[#This Row],[UDC]],TableMJRUMATH1[],7,FALSE),"")</f>
        <v/>
      </c>
      <c r="AG25" s="209" t="str">
        <f>IFERROR(VLOOKUP(TableHandbook[[#This Row],[UDC]],TableMJRUPHYSE[],7,FALSE),"")</f>
        <v/>
      </c>
      <c r="AH25" s="209" t="str">
        <f>IFERROR(VLOOKUP(TableHandbook[[#This Row],[UDC]],TableMJRUSCBI1[],7,FALSE),"")</f>
        <v/>
      </c>
      <c r="AI25" s="209" t="str">
        <f>IFERROR(VLOOKUP(TableHandbook[[#This Row],[UDC]],TableMJRUSCCH1[],7,FALSE),"")</f>
        <v/>
      </c>
      <c r="AJ25" s="209" t="str">
        <f>IFERROR(VLOOKUP(TableHandbook[[#This Row],[UDC]],TableMJRUSCHB1[],7,FALSE),"")</f>
        <v/>
      </c>
      <c r="AK25" s="209" t="str">
        <f>IFERROR(VLOOKUP(TableHandbook[[#This Row],[UDC]],TableMJRUSCPH1[],7,FALSE),"")</f>
        <v/>
      </c>
      <c r="AL25" s="209" t="str">
        <f>IFERROR(VLOOKUP(TableHandbook[[#This Row],[UDC]],TableMJRUSCPS1[],7,FALSE),"")</f>
        <v/>
      </c>
      <c r="AM25" s="211" t="str">
        <f>IFERROR(VLOOKUP(TableHandbook[[#This Row],[UDC]],TableSTRUBIOLB[],7,FALSE),"")</f>
        <v/>
      </c>
      <c r="AN25" s="209" t="str">
        <f>IFERROR(VLOOKUP(TableHandbook[[#This Row],[UDC]],TableSTRUBSCIM[],7,FALSE),"")</f>
        <v/>
      </c>
      <c r="AO25" s="209" t="str">
        <f>IFERROR(VLOOKUP(TableHandbook[[#This Row],[UDC]],TableSTRUCHEMB[],7,FALSE),"")</f>
        <v/>
      </c>
      <c r="AP25" s="209" t="str">
        <f>IFERROR(VLOOKUP(TableHandbook[[#This Row],[UDC]],TableSTRUECOB1[],7,FALSE),"")</f>
        <v/>
      </c>
      <c r="AQ25" s="209" t="str">
        <f>IFERROR(VLOOKUP(TableHandbook[[#This Row],[UDC]],TableSTRUENGLB[],7,FALSE),"")</f>
        <v/>
      </c>
      <c r="AR25" s="209" t="str">
        <f>IFERROR(VLOOKUP(TableHandbook[[#This Row],[UDC]],TableSTRUENGLM[],7,FALSE),"")</f>
        <v/>
      </c>
      <c r="AS25" s="209" t="str">
        <f>IFERROR(VLOOKUP(TableHandbook[[#This Row],[UDC]],TableSTRUGEOB1[],7,FALSE),"")</f>
        <v/>
      </c>
      <c r="AT25" s="209" t="str">
        <f>IFERROR(VLOOKUP(TableHandbook[[#This Row],[UDC]],TableSTRUGEOGM[],7,FALSE),"")</f>
        <v/>
      </c>
      <c r="AU25" s="209" t="str">
        <f>IFERROR(VLOOKUP(TableHandbook[[#This Row],[UDC]],TableSTRUHISB1[],7,FALSE),"")</f>
        <v/>
      </c>
      <c r="AV25" s="209" t="str">
        <f>IFERROR(VLOOKUP(TableHandbook[[#This Row],[UDC]],TableSTRUHISTM[],7,FALSE),"")</f>
        <v/>
      </c>
      <c r="AW25" s="209" t="str">
        <f>IFERROR(VLOOKUP(TableHandbook[[#This Row],[UDC]],TableSTRUHPEB1[],7,FALSE),"")</f>
        <v/>
      </c>
      <c r="AX25" s="209" t="str">
        <f>IFERROR(VLOOKUP(TableHandbook[[#This Row],[UDC]],TableSTRUHUMBB[],7,FALSE),"")</f>
        <v/>
      </c>
      <c r="AY25" s="209" t="str">
        <f>IFERROR(VLOOKUP(TableHandbook[[#This Row],[UDC]],TableSTRUMARTM[],7,FALSE),"")</f>
        <v/>
      </c>
      <c r="AZ25" s="209" t="str">
        <f>IFERROR(VLOOKUP(TableHandbook[[#This Row],[UDC]],TableSTRUMATHB[],7,FALSE),"")</f>
        <v/>
      </c>
      <c r="BA25" s="209" t="str">
        <f>IFERROR(VLOOKUP(TableHandbook[[#This Row],[UDC]],TableSTRUMATHM[],7,FALSE),"")</f>
        <v/>
      </c>
      <c r="BB25" s="209" t="str">
        <f>IFERROR(VLOOKUP(TableHandbook[[#This Row],[UDC]],TableSTRUPARTB[],7,FALSE),"")</f>
        <v/>
      </c>
      <c r="BC25" s="209" t="str">
        <f>IFERROR(VLOOKUP(TableHandbook[[#This Row],[UDC]],TableSTRUPARTM[],7,FALSE),"")</f>
        <v/>
      </c>
      <c r="BD25" s="209" t="str">
        <f>IFERROR(VLOOKUP(TableHandbook[[#This Row],[UDC]],TableSTRUPOLB1[],7,FALSE),"")</f>
        <v/>
      </c>
      <c r="BE25" s="209" t="str">
        <f>IFERROR(VLOOKUP(TableHandbook[[#This Row],[UDC]],TableSTRUPSYCB[],7,FALSE),"")</f>
        <v/>
      </c>
      <c r="BF25" s="209" t="str">
        <f>IFERROR(VLOOKUP(TableHandbook[[#This Row],[UDC]],TableSTRUPSYCM[],7,FALSE),"")</f>
        <v/>
      </c>
      <c r="BG25" s="209" t="str">
        <f>IFERROR(VLOOKUP(TableHandbook[[#This Row],[UDC]],TableSTRUVARTB[],7,FALSE),"")</f>
        <v/>
      </c>
      <c r="BH25" s="209" t="str">
        <f>IFERROR(VLOOKUP(TableHandbook[[#This Row],[UDC]],TableSTRUVARTM[],7,FALSE),"")</f>
        <v/>
      </c>
    </row>
    <row r="26" spans="1:60" x14ac:dyDescent="0.25">
      <c r="A26" s="296" t="s">
        <v>511</v>
      </c>
      <c r="B26" s="7">
        <v>0</v>
      </c>
      <c r="C26" s="7"/>
      <c r="D26" s="207" t="s">
        <v>790</v>
      </c>
      <c r="E26" s="7">
        <v>25</v>
      </c>
      <c r="F26" s="84" t="s">
        <v>769</v>
      </c>
      <c r="G26" s="75" t="str">
        <f>IFERROR(IF(VLOOKUP(TableHandbook[[#This Row],[UDC]],TableAvailabilities[],2,FALSE)&gt;0,"Y",""),"")</f>
        <v/>
      </c>
      <c r="H26" s="75" t="str">
        <f>IFERROR(IF(VLOOKUP(TableHandbook[[#This Row],[UDC]],TableAvailabilities[],3,FALSE)&gt;0,"Y",""),"")</f>
        <v/>
      </c>
      <c r="I26" s="75" t="str">
        <f>IFERROR(IF(VLOOKUP(TableHandbook[[#This Row],[UDC]],TableAvailabilities[],4,FALSE)&gt;0,"Y",""),"")</f>
        <v/>
      </c>
      <c r="J26" s="75" t="str">
        <f>IFERROR(IF(VLOOKUP(TableHandbook[[#This Row],[UDC]],TableAvailabilities[],5,FALSE)&gt;0,"Y",""),"")</f>
        <v/>
      </c>
      <c r="K26" s="75" t="str">
        <f>IFERROR(IF(VLOOKUP(TableHandbook[[#This Row],[UDC]],TableAvailabilities[],6,FALSE)&gt;0,"Y",""),"")</f>
        <v/>
      </c>
      <c r="L26" s="75" t="str">
        <f>IFERROR(IF(VLOOKUP(TableHandbook[[#This Row],[UDC]],TableAvailabilities[],7,FALSE)&gt;0,"Y",""),"")</f>
        <v/>
      </c>
      <c r="M26" s="207"/>
      <c r="N26" s="209" t="str">
        <f>IFERROR(VLOOKUP(TableHandbook[[#This Row],[UDC]],TableBEDUC[],7,FALSE),"")</f>
        <v/>
      </c>
      <c r="O26" s="209" t="str">
        <f>IFERROR(VLOOKUP(TableHandbook[[#This Row],[UDC]],TableBEDEC[],7,FALSE),"")</f>
        <v/>
      </c>
      <c r="P26" s="211" t="str">
        <f>IFERROR(VLOOKUP(TableHandbook[[#This Row],[UDC]],TableBEDPR[],7,FALSE),"")</f>
        <v/>
      </c>
      <c r="Q26" s="209" t="str">
        <f>IFERROR(VLOOKUP(TableHandbook[[#This Row],[UDC]],TableSTRUCATHL[],7,FALSE),"")</f>
        <v/>
      </c>
      <c r="R26" s="209" t="str">
        <f>IFERROR(VLOOKUP(TableHandbook[[#This Row],[UDC]],TableSTRUENGLL[],7,FALSE),"")</f>
        <v/>
      </c>
      <c r="S26" s="209" t="str">
        <f>IFERROR(VLOOKUP(TableHandbook[[#This Row],[UDC]],TableSTRUHLTPE[],7,FALSE),"")</f>
        <v/>
      </c>
      <c r="T26" s="209" t="str">
        <f>IFERROR(VLOOKUP(TableHandbook[[#This Row],[UDC]],TableSTRUISTEM[],7,FALSE),"")</f>
        <v/>
      </c>
      <c r="U26" s="209" t="str">
        <f>IFERROR(VLOOKUP(TableHandbook[[#This Row],[UDC]],TableSTRULITNU[],7,FALSE),"")</f>
        <v/>
      </c>
      <c r="V26" s="209" t="str">
        <f>IFERROR(VLOOKUP(TableHandbook[[#This Row],[UDC]],TableSTRUTECHS[],7,FALSE),"")</f>
        <v/>
      </c>
      <c r="W26" s="211" t="str">
        <f>IFERROR(VLOOKUP(TableHandbook[[#This Row],[UDC]],TableBEDSC[],7,FALSE),"")</f>
        <v/>
      </c>
      <c r="X26" s="211" t="str">
        <f>IFERROR(VLOOKUP(TableHandbook[[#This Row],[UDC]],TableMJRUARDR1[],7,FALSE),"")</f>
        <v/>
      </c>
      <c r="Y26" s="209" t="str">
        <f>IFERROR(VLOOKUP(TableHandbook[[#This Row],[UDC]],TableMJRUARME1[],7,FALSE),"")</f>
        <v/>
      </c>
      <c r="Z26" s="209" t="str">
        <f>IFERROR(VLOOKUP(TableHandbook[[#This Row],[UDC]],TableMJRUARVA1[],7,FALSE),"")</f>
        <v/>
      </c>
      <c r="AA26" s="209" t="str">
        <f>IFERROR(VLOOKUP(TableHandbook[[#This Row],[UDC]],TableMJRUENGL1[],7,FALSE),"")</f>
        <v/>
      </c>
      <c r="AB26" s="209" t="str">
        <f>IFERROR(VLOOKUP(TableHandbook[[#This Row],[UDC]],TableMJRUHSEC1[],7,FALSE),"")</f>
        <v/>
      </c>
      <c r="AC26" s="209" t="str">
        <f>IFERROR(VLOOKUP(TableHandbook[[#This Row],[UDC]],TableMJRUHSGE1[],7,FALSE),"")</f>
        <v>AltCore</v>
      </c>
      <c r="AD26" s="209" t="str">
        <f>IFERROR(VLOOKUP(TableHandbook[[#This Row],[UDC]],TableMJRUHSHI1[],7,FALSE),"")</f>
        <v/>
      </c>
      <c r="AE26" s="209" t="str">
        <f>IFERROR(VLOOKUP(TableHandbook[[#This Row],[UDC]],TableMJRUHSPL1[],7,FALSE),"")</f>
        <v/>
      </c>
      <c r="AF26" s="209" t="str">
        <f>IFERROR(VLOOKUP(TableHandbook[[#This Row],[UDC]],TableMJRUMATH1[],7,FALSE),"")</f>
        <v/>
      </c>
      <c r="AG26" s="209" t="str">
        <f>IFERROR(VLOOKUP(TableHandbook[[#This Row],[UDC]],TableMJRUPHYSE[],7,FALSE),"")</f>
        <v/>
      </c>
      <c r="AH26" s="209" t="str">
        <f>IFERROR(VLOOKUP(TableHandbook[[#This Row],[UDC]],TableMJRUSCBI1[],7,FALSE),"")</f>
        <v/>
      </c>
      <c r="AI26" s="209" t="str">
        <f>IFERROR(VLOOKUP(TableHandbook[[#This Row],[UDC]],TableMJRUSCCH1[],7,FALSE),"")</f>
        <v/>
      </c>
      <c r="AJ26" s="209" t="str">
        <f>IFERROR(VLOOKUP(TableHandbook[[#This Row],[UDC]],TableMJRUSCHB1[],7,FALSE),"")</f>
        <v/>
      </c>
      <c r="AK26" s="209" t="str">
        <f>IFERROR(VLOOKUP(TableHandbook[[#This Row],[UDC]],TableMJRUSCPH1[],7,FALSE),"")</f>
        <v/>
      </c>
      <c r="AL26" s="209" t="str">
        <f>IFERROR(VLOOKUP(TableHandbook[[#This Row],[UDC]],TableMJRUSCPS1[],7,FALSE),"")</f>
        <v/>
      </c>
      <c r="AM26" s="211" t="str">
        <f>IFERROR(VLOOKUP(TableHandbook[[#This Row],[UDC]],TableSTRUBIOLB[],7,FALSE),"")</f>
        <v/>
      </c>
      <c r="AN26" s="209" t="str">
        <f>IFERROR(VLOOKUP(TableHandbook[[#This Row],[UDC]],TableSTRUBSCIM[],7,FALSE),"")</f>
        <v/>
      </c>
      <c r="AO26" s="209" t="str">
        <f>IFERROR(VLOOKUP(TableHandbook[[#This Row],[UDC]],TableSTRUCHEMB[],7,FALSE),"")</f>
        <v/>
      </c>
      <c r="AP26" s="209" t="str">
        <f>IFERROR(VLOOKUP(TableHandbook[[#This Row],[UDC]],TableSTRUECOB1[],7,FALSE),"")</f>
        <v/>
      </c>
      <c r="AQ26" s="209" t="str">
        <f>IFERROR(VLOOKUP(TableHandbook[[#This Row],[UDC]],TableSTRUENGLB[],7,FALSE),"")</f>
        <v/>
      </c>
      <c r="AR26" s="209" t="str">
        <f>IFERROR(VLOOKUP(TableHandbook[[#This Row],[UDC]],TableSTRUENGLM[],7,FALSE),"")</f>
        <v/>
      </c>
      <c r="AS26" s="209" t="str">
        <f>IFERROR(VLOOKUP(TableHandbook[[#This Row],[UDC]],TableSTRUGEOB1[],7,FALSE),"")</f>
        <v/>
      </c>
      <c r="AT26" s="209" t="str">
        <f>IFERROR(VLOOKUP(TableHandbook[[#This Row],[UDC]],TableSTRUGEOGM[],7,FALSE),"")</f>
        <v/>
      </c>
      <c r="AU26" s="209" t="str">
        <f>IFERROR(VLOOKUP(TableHandbook[[#This Row],[UDC]],TableSTRUHISB1[],7,FALSE),"")</f>
        <v/>
      </c>
      <c r="AV26" s="209" t="str">
        <f>IFERROR(VLOOKUP(TableHandbook[[#This Row],[UDC]],TableSTRUHISTM[],7,FALSE),"")</f>
        <v/>
      </c>
      <c r="AW26" s="209" t="str">
        <f>IFERROR(VLOOKUP(TableHandbook[[#This Row],[UDC]],TableSTRUHPEB1[],7,FALSE),"")</f>
        <v/>
      </c>
      <c r="AX26" s="209" t="str">
        <f>IFERROR(VLOOKUP(TableHandbook[[#This Row],[UDC]],TableSTRUHUMBB[],7,FALSE),"")</f>
        <v/>
      </c>
      <c r="AY26" s="209" t="str">
        <f>IFERROR(VLOOKUP(TableHandbook[[#This Row],[UDC]],TableSTRUMARTM[],7,FALSE),"")</f>
        <v/>
      </c>
      <c r="AZ26" s="209" t="str">
        <f>IFERROR(VLOOKUP(TableHandbook[[#This Row],[UDC]],TableSTRUMATHB[],7,FALSE),"")</f>
        <v/>
      </c>
      <c r="BA26" s="209" t="str">
        <f>IFERROR(VLOOKUP(TableHandbook[[#This Row],[UDC]],TableSTRUMATHM[],7,FALSE),"")</f>
        <v/>
      </c>
      <c r="BB26" s="209" t="str">
        <f>IFERROR(VLOOKUP(TableHandbook[[#This Row],[UDC]],TableSTRUPARTB[],7,FALSE),"")</f>
        <v/>
      </c>
      <c r="BC26" s="209" t="str">
        <f>IFERROR(VLOOKUP(TableHandbook[[#This Row],[UDC]],TableSTRUPARTM[],7,FALSE),"")</f>
        <v/>
      </c>
      <c r="BD26" s="209" t="str">
        <f>IFERROR(VLOOKUP(TableHandbook[[#This Row],[UDC]],TableSTRUPOLB1[],7,FALSE),"")</f>
        <v/>
      </c>
      <c r="BE26" s="209" t="str">
        <f>IFERROR(VLOOKUP(TableHandbook[[#This Row],[UDC]],TableSTRUPSYCB[],7,FALSE),"")</f>
        <v/>
      </c>
      <c r="BF26" s="209" t="str">
        <f>IFERROR(VLOOKUP(TableHandbook[[#This Row],[UDC]],TableSTRUPSYCM[],7,FALSE),"")</f>
        <v/>
      </c>
      <c r="BG26" s="209" t="str">
        <f>IFERROR(VLOOKUP(TableHandbook[[#This Row],[UDC]],TableSTRUVARTB[],7,FALSE),"")</f>
        <v/>
      </c>
      <c r="BH26" s="209" t="str">
        <f>IFERROR(VLOOKUP(TableHandbook[[#This Row],[UDC]],TableSTRUVARTM[],7,FALSE),"")</f>
        <v/>
      </c>
    </row>
    <row r="27" spans="1:60" x14ac:dyDescent="0.25">
      <c r="A27" s="296" t="s">
        <v>526</v>
      </c>
      <c r="B27" s="7">
        <v>0</v>
      </c>
      <c r="C27" s="7"/>
      <c r="D27" s="207" t="s">
        <v>791</v>
      </c>
      <c r="E27" s="7">
        <v>25</v>
      </c>
      <c r="F27" s="84" t="s">
        <v>769</v>
      </c>
      <c r="G27" s="75" t="str">
        <f>IFERROR(IF(VLOOKUP(TableHandbook[[#This Row],[UDC]],TableAvailabilities[],2,FALSE)&gt;0,"Y",""),"")</f>
        <v/>
      </c>
      <c r="H27" s="75" t="str">
        <f>IFERROR(IF(VLOOKUP(TableHandbook[[#This Row],[UDC]],TableAvailabilities[],3,FALSE)&gt;0,"Y",""),"")</f>
        <v/>
      </c>
      <c r="I27" s="75" t="str">
        <f>IFERROR(IF(VLOOKUP(TableHandbook[[#This Row],[UDC]],TableAvailabilities[],4,FALSE)&gt;0,"Y",""),"")</f>
        <v/>
      </c>
      <c r="J27" s="75" t="str">
        <f>IFERROR(IF(VLOOKUP(TableHandbook[[#This Row],[UDC]],TableAvailabilities[],5,FALSE)&gt;0,"Y",""),"")</f>
        <v/>
      </c>
      <c r="K27" s="75" t="str">
        <f>IFERROR(IF(VLOOKUP(TableHandbook[[#This Row],[UDC]],TableAvailabilities[],6,FALSE)&gt;0,"Y",""),"")</f>
        <v/>
      </c>
      <c r="L27" s="75" t="str">
        <f>IFERROR(IF(VLOOKUP(TableHandbook[[#This Row],[UDC]],TableAvailabilities[],7,FALSE)&gt;0,"Y",""),"")</f>
        <v/>
      </c>
      <c r="M27" s="207"/>
      <c r="N27" s="209" t="str">
        <f>IFERROR(VLOOKUP(TableHandbook[[#This Row],[UDC]],TableBEDUC[],7,FALSE),"")</f>
        <v/>
      </c>
      <c r="O27" s="209" t="str">
        <f>IFERROR(VLOOKUP(TableHandbook[[#This Row],[UDC]],TableBEDEC[],7,FALSE),"")</f>
        <v/>
      </c>
      <c r="P27" s="211" t="str">
        <f>IFERROR(VLOOKUP(TableHandbook[[#This Row],[UDC]],TableBEDPR[],7,FALSE),"")</f>
        <v/>
      </c>
      <c r="Q27" s="209" t="str">
        <f>IFERROR(VLOOKUP(TableHandbook[[#This Row],[UDC]],TableSTRUCATHL[],7,FALSE),"")</f>
        <v/>
      </c>
      <c r="R27" s="209" t="str">
        <f>IFERROR(VLOOKUP(TableHandbook[[#This Row],[UDC]],TableSTRUENGLL[],7,FALSE),"")</f>
        <v/>
      </c>
      <c r="S27" s="209" t="str">
        <f>IFERROR(VLOOKUP(TableHandbook[[#This Row],[UDC]],TableSTRUHLTPE[],7,FALSE),"")</f>
        <v/>
      </c>
      <c r="T27" s="209" t="str">
        <f>IFERROR(VLOOKUP(TableHandbook[[#This Row],[UDC]],TableSTRUISTEM[],7,FALSE),"")</f>
        <v/>
      </c>
      <c r="U27" s="209" t="str">
        <f>IFERROR(VLOOKUP(TableHandbook[[#This Row],[UDC]],TableSTRULITNU[],7,FALSE),"")</f>
        <v/>
      </c>
      <c r="V27" s="209" t="str">
        <f>IFERROR(VLOOKUP(TableHandbook[[#This Row],[UDC]],TableSTRUTECHS[],7,FALSE),"")</f>
        <v/>
      </c>
      <c r="W27" s="211" t="str">
        <f>IFERROR(VLOOKUP(TableHandbook[[#This Row],[UDC]],TableBEDSC[],7,FALSE),"")</f>
        <v/>
      </c>
      <c r="X27" s="211" t="str">
        <f>IFERROR(VLOOKUP(TableHandbook[[#This Row],[UDC]],TableMJRUARDR1[],7,FALSE),"")</f>
        <v/>
      </c>
      <c r="Y27" s="209" t="str">
        <f>IFERROR(VLOOKUP(TableHandbook[[#This Row],[UDC]],TableMJRUARME1[],7,FALSE),"")</f>
        <v/>
      </c>
      <c r="Z27" s="209" t="str">
        <f>IFERROR(VLOOKUP(TableHandbook[[#This Row],[UDC]],TableMJRUARVA1[],7,FALSE),"")</f>
        <v/>
      </c>
      <c r="AA27" s="209" t="str">
        <f>IFERROR(VLOOKUP(TableHandbook[[#This Row],[UDC]],TableMJRUENGL1[],7,FALSE),"")</f>
        <v/>
      </c>
      <c r="AB27" s="209" t="str">
        <f>IFERROR(VLOOKUP(TableHandbook[[#This Row],[UDC]],TableMJRUHSEC1[],7,FALSE),"")</f>
        <v/>
      </c>
      <c r="AC27" s="209" t="str">
        <f>IFERROR(VLOOKUP(TableHandbook[[#This Row],[UDC]],TableMJRUHSGE1[],7,FALSE),"")</f>
        <v>AltCore</v>
      </c>
      <c r="AD27" s="209" t="str">
        <f>IFERROR(VLOOKUP(TableHandbook[[#This Row],[UDC]],TableMJRUHSHI1[],7,FALSE),"")</f>
        <v/>
      </c>
      <c r="AE27" s="209" t="str">
        <f>IFERROR(VLOOKUP(TableHandbook[[#This Row],[UDC]],TableMJRUHSPL1[],7,FALSE),"")</f>
        <v/>
      </c>
      <c r="AF27" s="209" t="str">
        <f>IFERROR(VLOOKUP(TableHandbook[[#This Row],[UDC]],TableMJRUMATH1[],7,FALSE),"")</f>
        <v/>
      </c>
      <c r="AG27" s="209" t="str">
        <f>IFERROR(VLOOKUP(TableHandbook[[#This Row],[UDC]],TableMJRUPHYSE[],7,FALSE),"")</f>
        <v/>
      </c>
      <c r="AH27" s="209" t="str">
        <f>IFERROR(VLOOKUP(TableHandbook[[#This Row],[UDC]],TableMJRUSCBI1[],7,FALSE),"")</f>
        <v/>
      </c>
      <c r="AI27" s="209" t="str">
        <f>IFERROR(VLOOKUP(TableHandbook[[#This Row],[UDC]],TableMJRUSCCH1[],7,FALSE),"")</f>
        <v/>
      </c>
      <c r="AJ27" s="209" t="str">
        <f>IFERROR(VLOOKUP(TableHandbook[[#This Row],[UDC]],TableMJRUSCHB1[],7,FALSE),"")</f>
        <v/>
      </c>
      <c r="AK27" s="209" t="str">
        <f>IFERROR(VLOOKUP(TableHandbook[[#This Row],[UDC]],TableMJRUSCPH1[],7,FALSE),"")</f>
        <v/>
      </c>
      <c r="AL27" s="209" t="str">
        <f>IFERROR(VLOOKUP(TableHandbook[[#This Row],[UDC]],TableMJRUSCPS1[],7,FALSE),"")</f>
        <v/>
      </c>
      <c r="AM27" s="211" t="str">
        <f>IFERROR(VLOOKUP(TableHandbook[[#This Row],[UDC]],TableSTRUBIOLB[],7,FALSE),"")</f>
        <v/>
      </c>
      <c r="AN27" s="209" t="str">
        <f>IFERROR(VLOOKUP(TableHandbook[[#This Row],[UDC]],TableSTRUBSCIM[],7,FALSE),"")</f>
        <v/>
      </c>
      <c r="AO27" s="209" t="str">
        <f>IFERROR(VLOOKUP(TableHandbook[[#This Row],[UDC]],TableSTRUCHEMB[],7,FALSE),"")</f>
        <v/>
      </c>
      <c r="AP27" s="209" t="str">
        <f>IFERROR(VLOOKUP(TableHandbook[[#This Row],[UDC]],TableSTRUECOB1[],7,FALSE),"")</f>
        <v/>
      </c>
      <c r="AQ27" s="209" t="str">
        <f>IFERROR(VLOOKUP(TableHandbook[[#This Row],[UDC]],TableSTRUENGLB[],7,FALSE),"")</f>
        <v/>
      </c>
      <c r="AR27" s="209" t="str">
        <f>IFERROR(VLOOKUP(TableHandbook[[#This Row],[UDC]],TableSTRUENGLM[],7,FALSE),"")</f>
        <v/>
      </c>
      <c r="AS27" s="209" t="str">
        <f>IFERROR(VLOOKUP(TableHandbook[[#This Row],[UDC]],TableSTRUGEOB1[],7,FALSE),"")</f>
        <v/>
      </c>
      <c r="AT27" s="209" t="str">
        <f>IFERROR(VLOOKUP(TableHandbook[[#This Row],[UDC]],TableSTRUGEOGM[],7,FALSE),"")</f>
        <v/>
      </c>
      <c r="AU27" s="209" t="str">
        <f>IFERROR(VLOOKUP(TableHandbook[[#This Row],[UDC]],TableSTRUHISB1[],7,FALSE),"")</f>
        <v/>
      </c>
      <c r="AV27" s="209" t="str">
        <f>IFERROR(VLOOKUP(TableHandbook[[#This Row],[UDC]],TableSTRUHISTM[],7,FALSE),"")</f>
        <v/>
      </c>
      <c r="AW27" s="209" t="str">
        <f>IFERROR(VLOOKUP(TableHandbook[[#This Row],[UDC]],TableSTRUHPEB1[],7,FALSE),"")</f>
        <v/>
      </c>
      <c r="AX27" s="209" t="str">
        <f>IFERROR(VLOOKUP(TableHandbook[[#This Row],[UDC]],TableSTRUHUMBB[],7,FALSE),"")</f>
        <v/>
      </c>
      <c r="AY27" s="209" t="str">
        <f>IFERROR(VLOOKUP(TableHandbook[[#This Row],[UDC]],TableSTRUMARTM[],7,FALSE),"")</f>
        <v/>
      </c>
      <c r="AZ27" s="209" t="str">
        <f>IFERROR(VLOOKUP(TableHandbook[[#This Row],[UDC]],TableSTRUMATHB[],7,FALSE),"")</f>
        <v/>
      </c>
      <c r="BA27" s="209" t="str">
        <f>IFERROR(VLOOKUP(TableHandbook[[#This Row],[UDC]],TableSTRUMATHM[],7,FALSE),"")</f>
        <v/>
      </c>
      <c r="BB27" s="209" t="str">
        <f>IFERROR(VLOOKUP(TableHandbook[[#This Row],[UDC]],TableSTRUPARTB[],7,FALSE),"")</f>
        <v/>
      </c>
      <c r="BC27" s="209" t="str">
        <f>IFERROR(VLOOKUP(TableHandbook[[#This Row],[UDC]],TableSTRUPARTM[],7,FALSE),"")</f>
        <v/>
      </c>
      <c r="BD27" s="209" t="str">
        <f>IFERROR(VLOOKUP(TableHandbook[[#This Row],[UDC]],TableSTRUPOLB1[],7,FALSE),"")</f>
        <v/>
      </c>
      <c r="BE27" s="209" t="str">
        <f>IFERROR(VLOOKUP(TableHandbook[[#This Row],[UDC]],TableSTRUPSYCB[],7,FALSE),"")</f>
        <v/>
      </c>
      <c r="BF27" s="209" t="str">
        <f>IFERROR(VLOOKUP(TableHandbook[[#This Row],[UDC]],TableSTRUPSYCM[],7,FALSE),"")</f>
        <v/>
      </c>
      <c r="BG27" s="209" t="str">
        <f>IFERROR(VLOOKUP(TableHandbook[[#This Row],[UDC]],TableSTRUVARTB[],7,FALSE),"")</f>
        <v/>
      </c>
      <c r="BH27" s="209" t="str">
        <f>IFERROR(VLOOKUP(TableHandbook[[#This Row],[UDC]],TableSTRUVARTM[],7,FALSE),"")</f>
        <v/>
      </c>
    </row>
    <row r="28" spans="1:60" x14ac:dyDescent="0.25">
      <c r="A28" s="296" t="s">
        <v>541</v>
      </c>
      <c r="B28" s="7">
        <v>0</v>
      </c>
      <c r="C28" s="7"/>
      <c r="D28" s="207" t="s">
        <v>792</v>
      </c>
      <c r="E28" s="7">
        <v>25</v>
      </c>
      <c r="F28" s="84" t="s">
        <v>769</v>
      </c>
      <c r="G28" s="75" t="str">
        <f>IFERROR(IF(VLOOKUP(TableHandbook[[#This Row],[UDC]],TableAvailabilities[],2,FALSE)&gt;0,"Y",""),"")</f>
        <v/>
      </c>
      <c r="H28" s="75" t="str">
        <f>IFERROR(IF(VLOOKUP(TableHandbook[[#This Row],[UDC]],TableAvailabilities[],3,FALSE)&gt;0,"Y",""),"")</f>
        <v/>
      </c>
      <c r="I28" s="75" t="str">
        <f>IFERROR(IF(VLOOKUP(TableHandbook[[#This Row],[UDC]],TableAvailabilities[],4,FALSE)&gt;0,"Y",""),"")</f>
        <v/>
      </c>
      <c r="J28" s="75" t="str">
        <f>IFERROR(IF(VLOOKUP(TableHandbook[[#This Row],[UDC]],TableAvailabilities[],5,FALSE)&gt;0,"Y",""),"")</f>
        <v/>
      </c>
      <c r="K28" s="75" t="str">
        <f>IFERROR(IF(VLOOKUP(TableHandbook[[#This Row],[UDC]],TableAvailabilities[],6,FALSE)&gt;0,"Y",""),"")</f>
        <v/>
      </c>
      <c r="L28" s="75" t="str">
        <f>IFERROR(IF(VLOOKUP(TableHandbook[[#This Row],[UDC]],TableAvailabilities[],7,FALSE)&gt;0,"Y",""),"")</f>
        <v/>
      </c>
      <c r="M28" s="207"/>
      <c r="N28" s="209" t="str">
        <f>IFERROR(VLOOKUP(TableHandbook[[#This Row],[UDC]],TableBEDUC[],7,FALSE),"")</f>
        <v/>
      </c>
      <c r="O28" s="209" t="str">
        <f>IFERROR(VLOOKUP(TableHandbook[[#This Row],[UDC]],TableBEDEC[],7,FALSE),"")</f>
        <v/>
      </c>
      <c r="P28" s="211" t="str">
        <f>IFERROR(VLOOKUP(TableHandbook[[#This Row],[UDC]],TableBEDPR[],7,FALSE),"")</f>
        <v/>
      </c>
      <c r="Q28" s="209" t="str">
        <f>IFERROR(VLOOKUP(TableHandbook[[#This Row],[UDC]],TableSTRUCATHL[],7,FALSE),"")</f>
        <v/>
      </c>
      <c r="R28" s="209" t="str">
        <f>IFERROR(VLOOKUP(TableHandbook[[#This Row],[UDC]],TableSTRUENGLL[],7,FALSE),"")</f>
        <v/>
      </c>
      <c r="S28" s="209" t="str">
        <f>IFERROR(VLOOKUP(TableHandbook[[#This Row],[UDC]],TableSTRUHLTPE[],7,FALSE),"")</f>
        <v/>
      </c>
      <c r="T28" s="209" t="str">
        <f>IFERROR(VLOOKUP(TableHandbook[[#This Row],[UDC]],TableSTRUISTEM[],7,FALSE),"")</f>
        <v/>
      </c>
      <c r="U28" s="209" t="str">
        <f>IFERROR(VLOOKUP(TableHandbook[[#This Row],[UDC]],TableSTRULITNU[],7,FALSE),"")</f>
        <v/>
      </c>
      <c r="V28" s="209" t="str">
        <f>IFERROR(VLOOKUP(TableHandbook[[#This Row],[UDC]],TableSTRUTECHS[],7,FALSE),"")</f>
        <v/>
      </c>
      <c r="W28" s="211" t="str">
        <f>IFERROR(VLOOKUP(TableHandbook[[#This Row],[UDC]],TableBEDSC[],7,FALSE),"")</f>
        <v/>
      </c>
      <c r="X28" s="211" t="str">
        <f>IFERROR(VLOOKUP(TableHandbook[[#This Row],[UDC]],TableMJRUARDR1[],7,FALSE),"")</f>
        <v/>
      </c>
      <c r="Y28" s="209" t="str">
        <f>IFERROR(VLOOKUP(TableHandbook[[#This Row],[UDC]],TableMJRUARME1[],7,FALSE),"")</f>
        <v/>
      </c>
      <c r="Z28" s="209" t="str">
        <f>IFERROR(VLOOKUP(TableHandbook[[#This Row],[UDC]],TableMJRUARVA1[],7,FALSE),"")</f>
        <v/>
      </c>
      <c r="AA28" s="209" t="str">
        <f>IFERROR(VLOOKUP(TableHandbook[[#This Row],[UDC]],TableMJRUENGL1[],7,FALSE),"")</f>
        <v/>
      </c>
      <c r="AB28" s="209" t="str">
        <f>IFERROR(VLOOKUP(TableHandbook[[#This Row],[UDC]],TableMJRUHSEC1[],7,FALSE),"")</f>
        <v/>
      </c>
      <c r="AC28" s="209" t="str">
        <f>IFERROR(VLOOKUP(TableHandbook[[#This Row],[UDC]],TableMJRUHSGE1[],7,FALSE),"")</f>
        <v>AltCore</v>
      </c>
      <c r="AD28" s="209" t="str">
        <f>IFERROR(VLOOKUP(TableHandbook[[#This Row],[UDC]],TableMJRUHSHI1[],7,FALSE),"")</f>
        <v/>
      </c>
      <c r="AE28" s="209" t="str">
        <f>IFERROR(VLOOKUP(TableHandbook[[#This Row],[UDC]],TableMJRUHSPL1[],7,FALSE),"")</f>
        <v/>
      </c>
      <c r="AF28" s="209" t="str">
        <f>IFERROR(VLOOKUP(TableHandbook[[#This Row],[UDC]],TableMJRUMATH1[],7,FALSE),"")</f>
        <v/>
      </c>
      <c r="AG28" s="209" t="str">
        <f>IFERROR(VLOOKUP(TableHandbook[[#This Row],[UDC]],TableMJRUPHYSE[],7,FALSE),"")</f>
        <v/>
      </c>
      <c r="AH28" s="209" t="str">
        <f>IFERROR(VLOOKUP(TableHandbook[[#This Row],[UDC]],TableMJRUSCBI1[],7,FALSE),"")</f>
        <v/>
      </c>
      <c r="AI28" s="209" t="str">
        <f>IFERROR(VLOOKUP(TableHandbook[[#This Row],[UDC]],TableMJRUSCCH1[],7,FALSE),"")</f>
        <v/>
      </c>
      <c r="AJ28" s="209" t="str">
        <f>IFERROR(VLOOKUP(TableHandbook[[#This Row],[UDC]],TableMJRUSCHB1[],7,FALSE),"")</f>
        <v/>
      </c>
      <c r="AK28" s="209" t="str">
        <f>IFERROR(VLOOKUP(TableHandbook[[#This Row],[UDC]],TableMJRUSCPH1[],7,FALSE),"")</f>
        <v/>
      </c>
      <c r="AL28" s="209" t="str">
        <f>IFERROR(VLOOKUP(TableHandbook[[#This Row],[UDC]],TableMJRUSCPS1[],7,FALSE),"")</f>
        <v/>
      </c>
      <c r="AM28" s="211" t="str">
        <f>IFERROR(VLOOKUP(TableHandbook[[#This Row],[UDC]],TableSTRUBIOLB[],7,FALSE),"")</f>
        <v/>
      </c>
      <c r="AN28" s="209" t="str">
        <f>IFERROR(VLOOKUP(TableHandbook[[#This Row],[UDC]],TableSTRUBSCIM[],7,FALSE),"")</f>
        <v/>
      </c>
      <c r="AO28" s="209" t="str">
        <f>IFERROR(VLOOKUP(TableHandbook[[#This Row],[UDC]],TableSTRUCHEMB[],7,FALSE),"")</f>
        <v/>
      </c>
      <c r="AP28" s="209" t="str">
        <f>IFERROR(VLOOKUP(TableHandbook[[#This Row],[UDC]],TableSTRUECOB1[],7,FALSE),"")</f>
        <v/>
      </c>
      <c r="AQ28" s="209" t="str">
        <f>IFERROR(VLOOKUP(TableHandbook[[#This Row],[UDC]],TableSTRUENGLB[],7,FALSE),"")</f>
        <v/>
      </c>
      <c r="AR28" s="209" t="str">
        <f>IFERROR(VLOOKUP(TableHandbook[[#This Row],[UDC]],TableSTRUENGLM[],7,FALSE),"")</f>
        <v/>
      </c>
      <c r="AS28" s="209" t="str">
        <f>IFERROR(VLOOKUP(TableHandbook[[#This Row],[UDC]],TableSTRUGEOB1[],7,FALSE),"")</f>
        <v/>
      </c>
      <c r="AT28" s="209" t="str">
        <f>IFERROR(VLOOKUP(TableHandbook[[#This Row],[UDC]],TableSTRUGEOGM[],7,FALSE),"")</f>
        <v/>
      </c>
      <c r="AU28" s="209" t="str">
        <f>IFERROR(VLOOKUP(TableHandbook[[#This Row],[UDC]],TableSTRUHISB1[],7,FALSE),"")</f>
        <v/>
      </c>
      <c r="AV28" s="209" t="str">
        <f>IFERROR(VLOOKUP(TableHandbook[[#This Row],[UDC]],TableSTRUHISTM[],7,FALSE),"")</f>
        <v/>
      </c>
      <c r="AW28" s="209" t="str">
        <f>IFERROR(VLOOKUP(TableHandbook[[#This Row],[UDC]],TableSTRUHPEB1[],7,FALSE),"")</f>
        <v/>
      </c>
      <c r="AX28" s="209" t="str">
        <f>IFERROR(VLOOKUP(TableHandbook[[#This Row],[UDC]],TableSTRUHUMBB[],7,FALSE),"")</f>
        <v/>
      </c>
      <c r="AY28" s="209" t="str">
        <f>IFERROR(VLOOKUP(TableHandbook[[#This Row],[UDC]],TableSTRUMARTM[],7,FALSE),"")</f>
        <v/>
      </c>
      <c r="AZ28" s="209" t="str">
        <f>IFERROR(VLOOKUP(TableHandbook[[#This Row],[UDC]],TableSTRUMATHB[],7,FALSE),"")</f>
        <v/>
      </c>
      <c r="BA28" s="209" t="str">
        <f>IFERROR(VLOOKUP(TableHandbook[[#This Row],[UDC]],TableSTRUMATHM[],7,FALSE),"")</f>
        <v/>
      </c>
      <c r="BB28" s="209" t="str">
        <f>IFERROR(VLOOKUP(TableHandbook[[#This Row],[UDC]],TableSTRUPARTB[],7,FALSE),"")</f>
        <v/>
      </c>
      <c r="BC28" s="209" t="str">
        <f>IFERROR(VLOOKUP(TableHandbook[[#This Row],[UDC]],TableSTRUPARTM[],7,FALSE),"")</f>
        <v/>
      </c>
      <c r="BD28" s="209" t="str">
        <f>IFERROR(VLOOKUP(TableHandbook[[#This Row],[UDC]],TableSTRUPOLB1[],7,FALSE),"")</f>
        <v/>
      </c>
      <c r="BE28" s="209" t="str">
        <f>IFERROR(VLOOKUP(TableHandbook[[#This Row],[UDC]],TableSTRUPSYCB[],7,FALSE),"")</f>
        <v/>
      </c>
      <c r="BF28" s="209" t="str">
        <f>IFERROR(VLOOKUP(TableHandbook[[#This Row],[UDC]],TableSTRUPSYCM[],7,FALSE),"")</f>
        <v/>
      </c>
      <c r="BG28" s="209" t="str">
        <f>IFERROR(VLOOKUP(TableHandbook[[#This Row],[UDC]],TableSTRUVARTB[],7,FALSE),"")</f>
        <v/>
      </c>
      <c r="BH28" s="209" t="str">
        <f>IFERROR(VLOOKUP(TableHandbook[[#This Row],[UDC]],TableSTRUVARTM[],7,FALSE),"")</f>
        <v/>
      </c>
    </row>
    <row r="29" spans="1:60" x14ac:dyDescent="0.25">
      <c r="A29" s="296" t="s">
        <v>499</v>
      </c>
      <c r="B29" s="7">
        <v>0</v>
      </c>
      <c r="C29" s="7"/>
      <c r="D29" s="207" t="s">
        <v>793</v>
      </c>
      <c r="E29" s="7">
        <v>25</v>
      </c>
      <c r="F29" s="84" t="s">
        <v>769</v>
      </c>
      <c r="G29" s="75" t="str">
        <f>IFERROR(IF(VLOOKUP(TableHandbook[[#This Row],[UDC]],TableAvailabilities[],2,FALSE)&gt;0,"Y",""),"")</f>
        <v/>
      </c>
      <c r="H29" s="75" t="str">
        <f>IFERROR(IF(VLOOKUP(TableHandbook[[#This Row],[UDC]],TableAvailabilities[],3,FALSE)&gt;0,"Y",""),"")</f>
        <v/>
      </c>
      <c r="I29" s="75" t="str">
        <f>IFERROR(IF(VLOOKUP(TableHandbook[[#This Row],[UDC]],TableAvailabilities[],4,FALSE)&gt;0,"Y",""),"")</f>
        <v/>
      </c>
      <c r="J29" s="75" t="str">
        <f>IFERROR(IF(VLOOKUP(TableHandbook[[#This Row],[UDC]],TableAvailabilities[],5,FALSE)&gt;0,"Y",""),"")</f>
        <v/>
      </c>
      <c r="K29" s="75" t="str">
        <f>IFERROR(IF(VLOOKUP(TableHandbook[[#This Row],[UDC]],TableAvailabilities[],6,FALSE)&gt;0,"Y",""),"")</f>
        <v/>
      </c>
      <c r="L29" s="75" t="str">
        <f>IFERROR(IF(VLOOKUP(TableHandbook[[#This Row],[UDC]],TableAvailabilities[],7,FALSE)&gt;0,"Y",""),"")</f>
        <v/>
      </c>
      <c r="M29" s="207"/>
      <c r="N29" s="209" t="str">
        <f>IFERROR(VLOOKUP(TableHandbook[[#This Row],[UDC]],TableBEDUC[],7,FALSE),"")</f>
        <v/>
      </c>
      <c r="O29" s="209" t="str">
        <f>IFERROR(VLOOKUP(TableHandbook[[#This Row],[UDC]],TableBEDEC[],7,FALSE),"")</f>
        <v/>
      </c>
      <c r="P29" s="211" t="str">
        <f>IFERROR(VLOOKUP(TableHandbook[[#This Row],[UDC]],TableBEDPR[],7,FALSE),"")</f>
        <v/>
      </c>
      <c r="Q29" s="209" t="str">
        <f>IFERROR(VLOOKUP(TableHandbook[[#This Row],[UDC]],TableSTRUCATHL[],7,FALSE),"")</f>
        <v/>
      </c>
      <c r="R29" s="209" t="str">
        <f>IFERROR(VLOOKUP(TableHandbook[[#This Row],[UDC]],TableSTRUENGLL[],7,FALSE),"")</f>
        <v/>
      </c>
      <c r="S29" s="209" t="str">
        <f>IFERROR(VLOOKUP(TableHandbook[[#This Row],[UDC]],TableSTRUHLTPE[],7,FALSE),"")</f>
        <v/>
      </c>
      <c r="T29" s="209" t="str">
        <f>IFERROR(VLOOKUP(TableHandbook[[#This Row],[UDC]],TableSTRUISTEM[],7,FALSE),"")</f>
        <v/>
      </c>
      <c r="U29" s="209" t="str">
        <f>IFERROR(VLOOKUP(TableHandbook[[#This Row],[UDC]],TableSTRULITNU[],7,FALSE),"")</f>
        <v/>
      </c>
      <c r="V29" s="209" t="str">
        <f>IFERROR(VLOOKUP(TableHandbook[[#This Row],[UDC]],TableSTRUTECHS[],7,FALSE),"")</f>
        <v/>
      </c>
      <c r="W29" s="211" t="str">
        <f>IFERROR(VLOOKUP(TableHandbook[[#This Row],[UDC]],TableBEDSC[],7,FALSE),"")</f>
        <v/>
      </c>
      <c r="X29" s="211" t="str">
        <f>IFERROR(VLOOKUP(TableHandbook[[#This Row],[UDC]],TableMJRUARDR1[],7,FALSE),"")</f>
        <v/>
      </c>
      <c r="Y29" s="209" t="str">
        <f>IFERROR(VLOOKUP(TableHandbook[[#This Row],[UDC]],TableMJRUARME1[],7,FALSE),"")</f>
        <v/>
      </c>
      <c r="Z29" s="209" t="str">
        <f>IFERROR(VLOOKUP(TableHandbook[[#This Row],[UDC]],TableMJRUARVA1[],7,FALSE),"")</f>
        <v/>
      </c>
      <c r="AA29" s="209" t="str">
        <f>IFERROR(VLOOKUP(TableHandbook[[#This Row],[UDC]],TableMJRUENGL1[],7,FALSE),"")</f>
        <v/>
      </c>
      <c r="AB29" s="209" t="str">
        <f>IFERROR(VLOOKUP(TableHandbook[[#This Row],[UDC]],TableMJRUHSEC1[],7,FALSE),"")</f>
        <v/>
      </c>
      <c r="AC29" s="209" t="str">
        <f>IFERROR(VLOOKUP(TableHandbook[[#This Row],[UDC]],TableMJRUHSGE1[],7,FALSE),"")</f>
        <v/>
      </c>
      <c r="AD29" s="209" t="str">
        <f>IFERROR(VLOOKUP(TableHandbook[[#This Row],[UDC]],TableMJRUHSHI1[],7,FALSE),"")</f>
        <v>AltCore</v>
      </c>
      <c r="AE29" s="209" t="str">
        <f>IFERROR(VLOOKUP(TableHandbook[[#This Row],[UDC]],TableMJRUHSPL1[],7,FALSE),"")</f>
        <v/>
      </c>
      <c r="AF29" s="209" t="str">
        <f>IFERROR(VLOOKUP(TableHandbook[[#This Row],[UDC]],TableMJRUMATH1[],7,FALSE),"")</f>
        <v/>
      </c>
      <c r="AG29" s="209" t="str">
        <f>IFERROR(VLOOKUP(TableHandbook[[#This Row],[UDC]],TableMJRUPHYSE[],7,FALSE),"")</f>
        <v/>
      </c>
      <c r="AH29" s="209" t="str">
        <f>IFERROR(VLOOKUP(TableHandbook[[#This Row],[UDC]],TableMJRUSCBI1[],7,FALSE),"")</f>
        <v/>
      </c>
      <c r="AI29" s="209" t="str">
        <f>IFERROR(VLOOKUP(TableHandbook[[#This Row],[UDC]],TableMJRUSCCH1[],7,FALSE),"")</f>
        <v/>
      </c>
      <c r="AJ29" s="209" t="str">
        <f>IFERROR(VLOOKUP(TableHandbook[[#This Row],[UDC]],TableMJRUSCHB1[],7,FALSE),"")</f>
        <v/>
      </c>
      <c r="AK29" s="209" t="str">
        <f>IFERROR(VLOOKUP(TableHandbook[[#This Row],[UDC]],TableMJRUSCPH1[],7,FALSE),"")</f>
        <v/>
      </c>
      <c r="AL29" s="209" t="str">
        <f>IFERROR(VLOOKUP(TableHandbook[[#This Row],[UDC]],TableMJRUSCPS1[],7,FALSE),"")</f>
        <v/>
      </c>
      <c r="AM29" s="211" t="str">
        <f>IFERROR(VLOOKUP(TableHandbook[[#This Row],[UDC]],TableSTRUBIOLB[],7,FALSE),"")</f>
        <v/>
      </c>
      <c r="AN29" s="209" t="str">
        <f>IFERROR(VLOOKUP(TableHandbook[[#This Row],[UDC]],TableSTRUBSCIM[],7,FALSE),"")</f>
        <v/>
      </c>
      <c r="AO29" s="209" t="str">
        <f>IFERROR(VLOOKUP(TableHandbook[[#This Row],[UDC]],TableSTRUCHEMB[],7,FALSE),"")</f>
        <v/>
      </c>
      <c r="AP29" s="209" t="str">
        <f>IFERROR(VLOOKUP(TableHandbook[[#This Row],[UDC]],TableSTRUECOB1[],7,FALSE),"")</f>
        <v/>
      </c>
      <c r="AQ29" s="209" t="str">
        <f>IFERROR(VLOOKUP(TableHandbook[[#This Row],[UDC]],TableSTRUENGLB[],7,FALSE),"")</f>
        <v/>
      </c>
      <c r="AR29" s="209" t="str">
        <f>IFERROR(VLOOKUP(TableHandbook[[#This Row],[UDC]],TableSTRUENGLM[],7,FALSE),"")</f>
        <v/>
      </c>
      <c r="AS29" s="209" t="str">
        <f>IFERROR(VLOOKUP(TableHandbook[[#This Row],[UDC]],TableSTRUGEOB1[],7,FALSE),"")</f>
        <v/>
      </c>
      <c r="AT29" s="209" t="str">
        <f>IFERROR(VLOOKUP(TableHandbook[[#This Row],[UDC]],TableSTRUGEOGM[],7,FALSE),"")</f>
        <v/>
      </c>
      <c r="AU29" s="209" t="str">
        <f>IFERROR(VLOOKUP(TableHandbook[[#This Row],[UDC]],TableSTRUHISB1[],7,FALSE),"")</f>
        <v/>
      </c>
      <c r="AV29" s="209" t="str">
        <f>IFERROR(VLOOKUP(TableHandbook[[#This Row],[UDC]],TableSTRUHISTM[],7,FALSE),"")</f>
        <v/>
      </c>
      <c r="AW29" s="209" t="str">
        <f>IFERROR(VLOOKUP(TableHandbook[[#This Row],[UDC]],TableSTRUHPEB1[],7,FALSE),"")</f>
        <v/>
      </c>
      <c r="AX29" s="209" t="str">
        <f>IFERROR(VLOOKUP(TableHandbook[[#This Row],[UDC]],TableSTRUHUMBB[],7,FALSE),"")</f>
        <v/>
      </c>
      <c r="AY29" s="209" t="str">
        <f>IFERROR(VLOOKUP(TableHandbook[[#This Row],[UDC]],TableSTRUMARTM[],7,FALSE),"")</f>
        <v/>
      </c>
      <c r="AZ29" s="209" t="str">
        <f>IFERROR(VLOOKUP(TableHandbook[[#This Row],[UDC]],TableSTRUMATHB[],7,FALSE),"")</f>
        <v/>
      </c>
      <c r="BA29" s="209" t="str">
        <f>IFERROR(VLOOKUP(TableHandbook[[#This Row],[UDC]],TableSTRUMATHM[],7,FALSE),"")</f>
        <v/>
      </c>
      <c r="BB29" s="209" t="str">
        <f>IFERROR(VLOOKUP(TableHandbook[[#This Row],[UDC]],TableSTRUPARTB[],7,FALSE),"")</f>
        <v/>
      </c>
      <c r="BC29" s="209" t="str">
        <f>IFERROR(VLOOKUP(TableHandbook[[#This Row],[UDC]],TableSTRUPARTM[],7,FALSE),"")</f>
        <v/>
      </c>
      <c r="BD29" s="209" t="str">
        <f>IFERROR(VLOOKUP(TableHandbook[[#This Row],[UDC]],TableSTRUPOLB1[],7,FALSE),"")</f>
        <v/>
      </c>
      <c r="BE29" s="209" t="str">
        <f>IFERROR(VLOOKUP(TableHandbook[[#This Row],[UDC]],TableSTRUPSYCB[],7,FALSE),"")</f>
        <v/>
      </c>
      <c r="BF29" s="209" t="str">
        <f>IFERROR(VLOOKUP(TableHandbook[[#This Row],[UDC]],TableSTRUPSYCM[],7,FALSE),"")</f>
        <v/>
      </c>
      <c r="BG29" s="209" t="str">
        <f>IFERROR(VLOOKUP(TableHandbook[[#This Row],[UDC]],TableSTRUVARTB[],7,FALSE),"")</f>
        <v/>
      </c>
      <c r="BH29" s="209" t="str">
        <f>IFERROR(VLOOKUP(TableHandbook[[#This Row],[UDC]],TableSTRUVARTM[],7,FALSE),"")</f>
        <v/>
      </c>
    </row>
    <row r="30" spans="1:60" x14ac:dyDescent="0.25">
      <c r="A30" s="296" t="s">
        <v>512</v>
      </c>
      <c r="B30" s="7">
        <v>0</v>
      </c>
      <c r="C30" s="7"/>
      <c r="D30" s="207" t="s">
        <v>794</v>
      </c>
      <c r="E30" s="7">
        <v>25</v>
      </c>
      <c r="F30" s="84" t="s">
        <v>769</v>
      </c>
      <c r="G30" s="75" t="str">
        <f>IFERROR(IF(VLOOKUP(TableHandbook[[#This Row],[UDC]],TableAvailabilities[],2,FALSE)&gt;0,"Y",""),"")</f>
        <v/>
      </c>
      <c r="H30" s="75" t="str">
        <f>IFERROR(IF(VLOOKUP(TableHandbook[[#This Row],[UDC]],TableAvailabilities[],3,FALSE)&gt;0,"Y",""),"")</f>
        <v/>
      </c>
      <c r="I30" s="75" t="str">
        <f>IFERROR(IF(VLOOKUP(TableHandbook[[#This Row],[UDC]],TableAvailabilities[],4,FALSE)&gt;0,"Y",""),"")</f>
        <v/>
      </c>
      <c r="J30" s="75" t="str">
        <f>IFERROR(IF(VLOOKUP(TableHandbook[[#This Row],[UDC]],TableAvailabilities[],5,FALSE)&gt;0,"Y",""),"")</f>
        <v/>
      </c>
      <c r="K30" s="75" t="str">
        <f>IFERROR(IF(VLOOKUP(TableHandbook[[#This Row],[UDC]],TableAvailabilities[],6,FALSE)&gt;0,"Y",""),"")</f>
        <v/>
      </c>
      <c r="L30" s="75" t="str">
        <f>IFERROR(IF(VLOOKUP(TableHandbook[[#This Row],[UDC]],TableAvailabilities[],7,FALSE)&gt;0,"Y",""),"")</f>
        <v/>
      </c>
      <c r="M30" s="207"/>
      <c r="N30" s="209" t="str">
        <f>IFERROR(VLOOKUP(TableHandbook[[#This Row],[UDC]],TableBEDUC[],7,FALSE),"")</f>
        <v/>
      </c>
      <c r="O30" s="209" t="str">
        <f>IFERROR(VLOOKUP(TableHandbook[[#This Row],[UDC]],TableBEDEC[],7,FALSE),"")</f>
        <v/>
      </c>
      <c r="P30" s="211" t="str">
        <f>IFERROR(VLOOKUP(TableHandbook[[#This Row],[UDC]],TableBEDPR[],7,FALSE),"")</f>
        <v/>
      </c>
      <c r="Q30" s="209" t="str">
        <f>IFERROR(VLOOKUP(TableHandbook[[#This Row],[UDC]],TableSTRUCATHL[],7,FALSE),"")</f>
        <v/>
      </c>
      <c r="R30" s="209" t="str">
        <f>IFERROR(VLOOKUP(TableHandbook[[#This Row],[UDC]],TableSTRUENGLL[],7,FALSE),"")</f>
        <v/>
      </c>
      <c r="S30" s="209" t="str">
        <f>IFERROR(VLOOKUP(TableHandbook[[#This Row],[UDC]],TableSTRUHLTPE[],7,FALSE),"")</f>
        <v/>
      </c>
      <c r="T30" s="209" t="str">
        <f>IFERROR(VLOOKUP(TableHandbook[[#This Row],[UDC]],TableSTRUISTEM[],7,FALSE),"")</f>
        <v/>
      </c>
      <c r="U30" s="209" t="str">
        <f>IFERROR(VLOOKUP(TableHandbook[[#This Row],[UDC]],TableSTRULITNU[],7,FALSE),"")</f>
        <v/>
      </c>
      <c r="V30" s="209" t="str">
        <f>IFERROR(VLOOKUP(TableHandbook[[#This Row],[UDC]],TableSTRUTECHS[],7,FALSE),"")</f>
        <v/>
      </c>
      <c r="W30" s="211" t="str">
        <f>IFERROR(VLOOKUP(TableHandbook[[#This Row],[UDC]],TableBEDSC[],7,FALSE),"")</f>
        <v/>
      </c>
      <c r="X30" s="211" t="str">
        <f>IFERROR(VLOOKUP(TableHandbook[[#This Row],[UDC]],TableMJRUARDR1[],7,FALSE),"")</f>
        <v/>
      </c>
      <c r="Y30" s="209" t="str">
        <f>IFERROR(VLOOKUP(TableHandbook[[#This Row],[UDC]],TableMJRUARME1[],7,FALSE),"")</f>
        <v/>
      </c>
      <c r="Z30" s="209" t="str">
        <f>IFERROR(VLOOKUP(TableHandbook[[#This Row],[UDC]],TableMJRUARVA1[],7,FALSE),"")</f>
        <v/>
      </c>
      <c r="AA30" s="209" t="str">
        <f>IFERROR(VLOOKUP(TableHandbook[[#This Row],[UDC]],TableMJRUENGL1[],7,FALSE),"")</f>
        <v/>
      </c>
      <c r="AB30" s="209" t="str">
        <f>IFERROR(VLOOKUP(TableHandbook[[#This Row],[UDC]],TableMJRUHSEC1[],7,FALSE),"")</f>
        <v/>
      </c>
      <c r="AC30" s="209" t="str">
        <f>IFERROR(VLOOKUP(TableHandbook[[#This Row],[UDC]],TableMJRUHSGE1[],7,FALSE),"")</f>
        <v/>
      </c>
      <c r="AD30" s="209" t="str">
        <f>IFERROR(VLOOKUP(TableHandbook[[#This Row],[UDC]],TableMJRUHSHI1[],7,FALSE),"")</f>
        <v>AltCore</v>
      </c>
      <c r="AE30" s="209" t="str">
        <f>IFERROR(VLOOKUP(TableHandbook[[#This Row],[UDC]],TableMJRUHSPL1[],7,FALSE),"")</f>
        <v/>
      </c>
      <c r="AF30" s="209" t="str">
        <f>IFERROR(VLOOKUP(TableHandbook[[#This Row],[UDC]],TableMJRUMATH1[],7,FALSE),"")</f>
        <v/>
      </c>
      <c r="AG30" s="209" t="str">
        <f>IFERROR(VLOOKUP(TableHandbook[[#This Row],[UDC]],TableMJRUPHYSE[],7,FALSE),"")</f>
        <v/>
      </c>
      <c r="AH30" s="209" t="str">
        <f>IFERROR(VLOOKUP(TableHandbook[[#This Row],[UDC]],TableMJRUSCBI1[],7,FALSE),"")</f>
        <v/>
      </c>
      <c r="AI30" s="209" t="str">
        <f>IFERROR(VLOOKUP(TableHandbook[[#This Row],[UDC]],TableMJRUSCCH1[],7,FALSE),"")</f>
        <v/>
      </c>
      <c r="AJ30" s="209" t="str">
        <f>IFERROR(VLOOKUP(TableHandbook[[#This Row],[UDC]],TableMJRUSCHB1[],7,FALSE),"")</f>
        <v/>
      </c>
      <c r="AK30" s="209" t="str">
        <f>IFERROR(VLOOKUP(TableHandbook[[#This Row],[UDC]],TableMJRUSCPH1[],7,FALSE),"")</f>
        <v/>
      </c>
      <c r="AL30" s="209" t="str">
        <f>IFERROR(VLOOKUP(TableHandbook[[#This Row],[UDC]],TableMJRUSCPS1[],7,FALSE),"")</f>
        <v/>
      </c>
      <c r="AM30" s="211" t="str">
        <f>IFERROR(VLOOKUP(TableHandbook[[#This Row],[UDC]],TableSTRUBIOLB[],7,FALSE),"")</f>
        <v/>
      </c>
      <c r="AN30" s="209" t="str">
        <f>IFERROR(VLOOKUP(TableHandbook[[#This Row],[UDC]],TableSTRUBSCIM[],7,FALSE),"")</f>
        <v/>
      </c>
      <c r="AO30" s="209" t="str">
        <f>IFERROR(VLOOKUP(TableHandbook[[#This Row],[UDC]],TableSTRUCHEMB[],7,FALSE),"")</f>
        <v/>
      </c>
      <c r="AP30" s="209" t="str">
        <f>IFERROR(VLOOKUP(TableHandbook[[#This Row],[UDC]],TableSTRUECOB1[],7,FALSE),"")</f>
        <v/>
      </c>
      <c r="AQ30" s="209" t="str">
        <f>IFERROR(VLOOKUP(TableHandbook[[#This Row],[UDC]],TableSTRUENGLB[],7,FALSE),"")</f>
        <v/>
      </c>
      <c r="AR30" s="209" t="str">
        <f>IFERROR(VLOOKUP(TableHandbook[[#This Row],[UDC]],TableSTRUENGLM[],7,FALSE),"")</f>
        <v/>
      </c>
      <c r="AS30" s="209" t="str">
        <f>IFERROR(VLOOKUP(TableHandbook[[#This Row],[UDC]],TableSTRUGEOB1[],7,FALSE),"")</f>
        <v/>
      </c>
      <c r="AT30" s="209" t="str">
        <f>IFERROR(VLOOKUP(TableHandbook[[#This Row],[UDC]],TableSTRUGEOGM[],7,FALSE),"")</f>
        <v/>
      </c>
      <c r="AU30" s="209" t="str">
        <f>IFERROR(VLOOKUP(TableHandbook[[#This Row],[UDC]],TableSTRUHISB1[],7,FALSE),"")</f>
        <v/>
      </c>
      <c r="AV30" s="209" t="str">
        <f>IFERROR(VLOOKUP(TableHandbook[[#This Row],[UDC]],TableSTRUHISTM[],7,FALSE),"")</f>
        <v/>
      </c>
      <c r="AW30" s="209" t="str">
        <f>IFERROR(VLOOKUP(TableHandbook[[#This Row],[UDC]],TableSTRUHPEB1[],7,FALSE),"")</f>
        <v/>
      </c>
      <c r="AX30" s="209" t="str">
        <f>IFERROR(VLOOKUP(TableHandbook[[#This Row],[UDC]],TableSTRUHUMBB[],7,FALSE),"")</f>
        <v/>
      </c>
      <c r="AY30" s="209" t="str">
        <f>IFERROR(VLOOKUP(TableHandbook[[#This Row],[UDC]],TableSTRUMARTM[],7,FALSE),"")</f>
        <v/>
      </c>
      <c r="AZ30" s="209" t="str">
        <f>IFERROR(VLOOKUP(TableHandbook[[#This Row],[UDC]],TableSTRUMATHB[],7,FALSE),"")</f>
        <v/>
      </c>
      <c r="BA30" s="209" t="str">
        <f>IFERROR(VLOOKUP(TableHandbook[[#This Row],[UDC]],TableSTRUMATHM[],7,FALSE),"")</f>
        <v/>
      </c>
      <c r="BB30" s="209" t="str">
        <f>IFERROR(VLOOKUP(TableHandbook[[#This Row],[UDC]],TableSTRUPARTB[],7,FALSE),"")</f>
        <v/>
      </c>
      <c r="BC30" s="209" t="str">
        <f>IFERROR(VLOOKUP(TableHandbook[[#This Row],[UDC]],TableSTRUPARTM[],7,FALSE),"")</f>
        <v/>
      </c>
      <c r="BD30" s="209" t="str">
        <f>IFERROR(VLOOKUP(TableHandbook[[#This Row],[UDC]],TableSTRUPOLB1[],7,FALSE),"")</f>
        <v/>
      </c>
      <c r="BE30" s="209" t="str">
        <f>IFERROR(VLOOKUP(TableHandbook[[#This Row],[UDC]],TableSTRUPSYCB[],7,FALSE),"")</f>
        <v/>
      </c>
      <c r="BF30" s="209" t="str">
        <f>IFERROR(VLOOKUP(TableHandbook[[#This Row],[UDC]],TableSTRUPSYCM[],7,FALSE),"")</f>
        <v/>
      </c>
      <c r="BG30" s="209" t="str">
        <f>IFERROR(VLOOKUP(TableHandbook[[#This Row],[UDC]],TableSTRUVARTB[],7,FALSE),"")</f>
        <v/>
      </c>
      <c r="BH30" s="209" t="str">
        <f>IFERROR(VLOOKUP(TableHandbook[[#This Row],[UDC]],TableSTRUVARTM[],7,FALSE),"")</f>
        <v/>
      </c>
    </row>
    <row r="31" spans="1:60" x14ac:dyDescent="0.25">
      <c r="A31" s="296" t="s">
        <v>527</v>
      </c>
      <c r="B31" s="7">
        <v>0</v>
      </c>
      <c r="C31" s="7"/>
      <c r="D31" s="207" t="s">
        <v>795</v>
      </c>
      <c r="E31" s="7">
        <v>25</v>
      </c>
      <c r="F31" s="84" t="s">
        <v>769</v>
      </c>
      <c r="G31" s="75" t="str">
        <f>IFERROR(IF(VLOOKUP(TableHandbook[[#This Row],[UDC]],TableAvailabilities[],2,FALSE)&gt;0,"Y",""),"")</f>
        <v/>
      </c>
      <c r="H31" s="75" t="str">
        <f>IFERROR(IF(VLOOKUP(TableHandbook[[#This Row],[UDC]],TableAvailabilities[],3,FALSE)&gt;0,"Y",""),"")</f>
        <v/>
      </c>
      <c r="I31" s="75" t="str">
        <f>IFERROR(IF(VLOOKUP(TableHandbook[[#This Row],[UDC]],TableAvailabilities[],4,FALSE)&gt;0,"Y",""),"")</f>
        <v/>
      </c>
      <c r="J31" s="75" t="str">
        <f>IFERROR(IF(VLOOKUP(TableHandbook[[#This Row],[UDC]],TableAvailabilities[],5,FALSE)&gt;0,"Y",""),"")</f>
        <v/>
      </c>
      <c r="K31" s="75" t="str">
        <f>IFERROR(IF(VLOOKUP(TableHandbook[[#This Row],[UDC]],TableAvailabilities[],6,FALSE)&gt;0,"Y",""),"")</f>
        <v/>
      </c>
      <c r="L31" s="75" t="str">
        <f>IFERROR(IF(VLOOKUP(TableHandbook[[#This Row],[UDC]],TableAvailabilities[],7,FALSE)&gt;0,"Y",""),"")</f>
        <v/>
      </c>
      <c r="M31" s="207"/>
      <c r="N31" s="209" t="str">
        <f>IFERROR(VLOOKUP(TableHandbook[[#This Row],[UDC]],TableBEDUC[],7,FALSE),"")</f>
        <v/>
      </c>
      <c r="O31" s="209" t="str">
        <f>IFERROR(VLOOKUP(TableHandbook[[#This Row],[UDC]],TableBEDEC[],7,FALSE),"")</f>
        <v/>
      </c>
      <c r="P31" s="211" t="str">
        <f>IFERROR(VLOOKUP(TableHandbook[[#This Row],[UDC]],TableBEDPR[],7,FALSE),"")</f>
        <v/>
      </c>
      <c r="Q31" s="209" t="str">
        <f>IFERROR(VLOOKUP(TableHandbook[[#This Row],[UDC]],TableSTRUCATHL[],7,FALSE),"")</f>
        <v/>
      </c>
      <c r="R31" s="209" t="str">
        <f>IFERROR(VLOOKUP(TableHandbook[[#This Row],[UDC]],TableSTRUENGLL[],7,FALSE),"")</f>
        <v/>
      </c>
      <c r="S31" s="209" t="str">
        <f>IFERROR(VLOOKUP(TableHandbook[[#This Row],[UDC]],TableSTRUHLTPE[],7,FALSE),"")</f>
        <v/>
      </c>
      <c r="T31" s="209" t="str">
        <f>IFERROR(VLOOKUP(TableHandbook[[#This Row],[UDC]],TableSTRUISTEM[],7,FALSE),"")</f>
        <v/>
      </c>
      <c r="U31" s="209" t="str">
        <f>IFERROR(VLOOKUP(TableHandbook[[#This Row],[UDC]],TableSTRULITNU[],7,FALSE),"")</f>
        <v/>
      </c>
      <c r="V31" s="209" t="str">
        <f>IFERROR(VLOOKUP(TableHandbook[[#This Row],[UDC]],TableSTRUTECHS[],7,FALSE),"")</f>
        <v/>
      </c>
      <c r="W31" s="211" t="str">
        <f>IFERROR(VLOOKUP(TableHandbook[[#This Row],[UDC]],TableBEDSC[],7,FALSE),"")</f>
        <v/>
      </c>
      <c r="X31" s="211" t="str">
        <f>IFERROR(VLOOKUP(TableHandbook[[#This Row],[UDC]],TableMJRUARDR1[],7,FALSE),"")</f>
        <v/>
      </c>
      <c r="Y31" s="209" t="str">
        <f>IFERROR(VLOOKUP(TableHandbook[[#This Row],[UDC]],TableMJRUARME1[],7,FALSE),"")</f>
        <v/>
      </c>
      <c r="Z31" s="209" t="str">
        <f>IFERROR(VLOOKUP(TableHandbook[[#This Row],[UDC]],TableMJRUARVA1[],7,FALSE),"")</f>
        <v/>
      </c>
      <c r="AA31" s="209" t="str">
        <f>IFERROR(VLOOKUP(TableHandbook[[#This Row],[UDC]],TableMJRUENGL1[],7,FALSE),"")</f>
        <v/>
      </c>
      <c r="AB31" s="209" t="str">
        <f>IFERROR(VLOOKUP(TableHandbook[[#This Row],[UDC]],TableMJRUHSEC1[],7,FALSE),"")</f>
        <v/>
      </c>
      <c r="AC31" s="209" t="str">
        <f>IFERROR(VLOOKUP(TableHandbook[[#This Row],[UDC]],TableMJRUHSGE1[],7,FALSE),"")</f>
        <v/>
      </c>
      <c r="AD31" s="209" t="str">
        <f>IFERROR(VLOOKUP(TableHandbook[[#This Row],[UDC]],TableMJRUHSHI1[],7,FALSE),"")</f>
        <v>AltCore</v>
      </c>
      <c r="AE31" s="209" t="str">
        <f>IFERROR(VLOOKUP(TableHandbook[[#This Row],[UDC]],TableMJRUHSPL1[],7,FALSE),"")</f>
        <v/>
      </c>
      <c r="AF31" s="209" t="str">
        <f>IFERROR(VLOOKUP(TableHandbook[[#This Row],[UDC]],TableMJRUMATH1[],7,FALSE),"")</f>
        <v/>
      </c>
      <c r="AG31" s="209" t="str">
        <f>IFERROR(VLOOKUP(TableHandbook[[#This Row],[UDC]],TableMJRUPHYSE[],7,FALSE),"")</f>
        <v/>
      </c>
      <c r="AH31" s="209" t="str">
        <f>IFERROR(VLOOKUP(TableHandbook[[#This Row],[UDC]],TableMJRUSCBI1[],7,FALSE),"")</f>
        <v/>
      </c>
      <c r="AI31" s="209" t="str">
        <f>IFERROR(VLOOKUP(TableHandbook[[#This Row],[UDC]],TableMJRUSCCH1[],7,FALSE),"")</f>
        <v/>
      </c>
      <c r="AJ31" s="209" t="str">
        <f>IFERROR(VLOOKUP(TableHandbook[[#This Row],[UDC]],TableMJRUSCHB1[],7,FALSE),"")</f>
        <v/>
      </c>
      <c r="AK31" s="209" t="str">
        <f>IFERROR(VLOOKUP(TableHandbook[[#This Row],[UDC]],TableMJRUSCPH1[],7,FALSE),"")</f>
        <v/>
      </c>
      <c r="AL31" s="209" t="str">
        <f>IFERROR(VLOOKUP(TableHandbook[[#This Row],[UDC]],TableMJRUSCPS1[],7,FALSE),"")</f>
        <v/>
      </c>
      <c r="AM31" s="211" t="str">
        <f>IFERROR(VLOOKUP(TableHandbook[[#This Row],[UDC]],TableSTRUBIOLB[],7,FALSE),"")</f>
        <v/>
      </c>
      <c r="AN31" s="209" t="str">
        <f>IFERROR(VLOOKUP(TableHandbook[[#This Row],[UDC]],TableSTRUBSCIM[],7,FALSE),"")</f>
        <v/>
      </c>
      <c r="AO31" s="209" t="str">
        <f>IFERROR(VLOOKUP(TableHandbook[[#This Row],[UDC]],TableSTRUCHEMB[],7,FALSE),"")</f>
        <v/>
      </c>
      <c r="AP31" s="209" t="str">
        <f>IFERROR(VLOOKUP(TableHandbook[[#This Row],[UDC]],TableSTRUECOB1[],7,FALSE),"")</f>
        <v/>
      </c>
      <c r="AQ31" s="209" t="str">
        <f>IFERROR(VLOOKUP(TableHandbook[[#This Row],[UDC]],TableSTRUENGLB[],7,FALSE),"")</f>
        <v/>
      </c>
      <c r="AR31" s="209" t="str">
        <f>IFERROR(VLOOKUP(TableHandbook[[#This Row],[UDC]],TableSTRUENGLM[],7,FALSE),"")</f>
        <v/>
      </c>
      <c r="AS31" s="209" t="str">
        <f>IFERROR(VLOOKUP(TableHandbook[[#This Row],[UDC]],TableSTRUGEOB1[],7,FALSE),"")</f>
        <v/>
      </c>
      <c r="AT31" s="209" t="str">
        <f>IFERROR(VLOOKUP(TableHandbook[[#This Row],[UDC]],TableSTRUGEOGM[],7,FALSE),"")</f>
        <v/>
      </c>
      <c r="AU31" s="209" t="str">
        <f>IFERROR(VLOOKUP(TableHandbook[[#This Row],[UDC]],TableSTRUHISB1[],7,FALSE),"")</f>
        <v/>
      </c>
      <c r="AV31" s="209" t="str">
        <f>IFERROR(VLOOKUP(TableHandbook[[#This Row],[UDC]],TableSTRUHISTM[],7,FALSE),"")</f>
        <v/>
      </c>
      <c r="AW31" s="209" t="str">
        <f>IFERROR(VLOOKUP(TableHandbook[[#This Row],[UDC]],TableSTRUHPEB1[],7,FALSE),"")</f>
        <v/>
      </c>
      <c r="AX31" s="209" t="str">
        <f>IFERROR(VLOOKUP(TableHandbook[[#This Row],[UDC]],TableSTRUHUMBB[],7,FALSE),"")</f>
        <v/>
      </c>
      <c r="AY31" s="209" t="str">
        <f>IFERROR(VLOOKUP(TableHandbook[[#This Row],[UDC]],TableSTRUMARTM[],7,FALSE),"")</f>
        <v/>
      </c>
      <c r="AZ31" s="209" t="str">
        <f>IFERROR(VLOOKUP(TableHandbook[[#This Row],[UDC]],TableSTRUMATHB[],7,FALSE),"")</f>
        <v/>
      </c>
      <c r="BA31" s="209" t="str">
        <f>IFERROR(VLOOKUP(TableHandbook[[#This Row],[UDC]],TableSTRUMATHM[],7,FALSE),"")</f>
        <v/>
      </c>
      <c r="BB31" s="209" t="str">
        <f>IFERROR(VLOOKUP(TableHandbook[[#This Row],[UDC]],TableSTRUPARTB[],7,FALSE),"")</f>
        <v/>
      </c>
      <c r="BC31" s="209" t="str">
        <f>IFERROR(VLOOKUP(TableHandbook[[#This Row],[UDC]],TableSTRUPARTM[],7,FALSE),"")</f>
        <v/>
      </c>
      <c r="BD31" s="209" t="str">
        <f>IFERROR(VLOOKUP(TableHandbook[[#This Row],[UDC]],TableSTRUPOLB1[],7,FALSE),"")</f>
        <v/>
      </c>
      <c r="BE31" s="209" t="str">
        <f>IFERROR(VLOOKUP(TableHandbook[[#This Row],[UDC]],TableSTRUPSYCB[],7,FALSE),"")</f>
        <v/>
      </c>
      <c r="BF31" s="209" t="str">
        <f>IFERROR(VLOOKUP(TableHandbook[[#This Row],[UDC]],TableSTRUPSYCM[],7,FALSE),"")</f>
        <v/>
      </c>
      <c r="BG31" s="209" t="str">
        <f>IFERROR(VLOOKUP(TableHandbook[[#This Row],[UDC]],TableSTRUVARTB[],7,FALSE),"")</f>
        <v/>
      </c>
      <c r="BH31" s="209" t="str">
        <f>IFERROR(VLOOKUP(TableHandbook[[#This Row],[UDC]],TableSTRUVARTM[],7,FALSE),"")</f>
        <v/>
      </c>
    </row>
    <row r="32" spans="1:60" x14ac:dyDescent="0.25">
      <c r="A32" s="296" t="s">
        <v>500</v>
      </c>
      <c r="B32" s="7">
        <v>0</v>
      </c>
      <c r="C32" s="7"/>
      <c r="D32" s="207" t="s">
        <v>796</v>
      </c>
      <c r="E32" s="7">
        <v>25</v>
      </c>
      <c r="F32" s="84" t="s">
        <v>769</v>
      </c>
      <c r="G32" s="75" t="str">
        <f>IFERROR(IF(VLOOKUP(TableHandbook[[#This Row],[UDC]],TableAvailabilities[],2,FALSE)&gt;0,"Y",""),"")</f>
        <v/>
      </c>
      <c r="H32" s="75" t="str">
        <f>IFERROR(IF(VLOOKUP(TableHandbook[[#This Row],[UDC]],TableAvailabilities[],3,FALSE)&gt;0,"Y",""),"")</f>
        <v/>
      </c>
      <c r="I32" s="75" t="str">
        <f>IFERROR(IF(VLOOKUP(TableHandbook[[#This Row],[UDC]],TableAvailabilities[],4,FALSE)&gt;0,"Y",""),"")</f>
        <v/>
      </c>
      <c r="J32" s="75" t="str">
        <f>IFERROR(IF(VLOOKUP(TableHandbook[[#This Row],[UDC]],TableAvailabilities[],5,FALSE)&gt;0,"Y",""),"")</f>
        <v/>
      </c>
      <c r="K32" s="75" t="str">
        <f>IFERROR(IF(VLOOKUP(TableHandbook[[#This Row],[UDC]],TableAvailabilities[],6,FALSE)&gt;0,"Y",""),"")</f>
        <v/>
      </c>
      <c r="L32" s="75" t="str">
        <f>IFERROR(IF(VLOOKUP(TableHandbook[[#This Row],[UDC]],TableAvailabilities[],7,FALSE)&gt;0,"Y",""),"")</f>
        <v/>
      </c>
      <c r="M32" s="207"/>
      <c r="N32" s="209" t="str">
        <f>IFERROR(VLOOKUP(TableHandbook[[#This Row],[UDC]],TableBEDUC[],7,FALSE),"")</f>
        <v/>
      </c>
      <c r="O32" s="209" t="str">
        <f>IFERROR(VLOOKUP(TableHandbook[[#This Row],[UDC]],TableBEDEC[],7,FALSE),"")</f>
        <v/>
      </c>
      <c r="P32" s="211" t="str">
        <f>IFERROR(VLOOKUP(TableHandbook[[#This Row],[UDC]],TableBEDPR[],7,FALSE),"")</f>
        <v/>
      </c>
      <c r="Q32" s="209" t="str">
        <f>IFERROR(VLOOKUP(TableHandbook[[#This Row],[UDC]],TableSTRUCATHL[],7,FALSE),"")</f>
        <v/>
      </c>
      <c r="R32" s="209" t="str">
        <f>IFERROR(VLOOKUP(TableHandbook[[#This Row],[UDC]],TableSTRUENGLL[],7,FALSE),"")</f>
        <v/>
      </c>
      <c r="S32" s="209" t="str">
        <f>IFERROR(VLOOKUP(TableHandbook[[#This Row],[UDC]],TableSTRUHLTPE[],7,FALSE),"")</f>
        <v/>
      </c>
      <c r="T32" s="209" t="str">
        <f>IFERROR(VLOOKUP(TableHandbook[[#This Row],[UDC]],TableSTRUISTEM[],7,FALSE),"")</f>
        <v/>
      </c>
      <c r="U32" s="209" t="str">
        <f>IFERROR(VLOOKUP(TableHandbook[[#This Row],[UDC]],TableSTRULITNU[],7,FALSE),"")</f>
        <v/>
      </c>
      <c r="V32" s="209" t="str">
        <f>IFERROR(VLOOKUP(TableHandbook[[#This Row],[UDC]],TableSTRUTECHS[],7,FALSE),"")</f>
        <v/>
      </c>
      <c r="W32" s="211" t="str">
        <f>IFERROR(VLOOKUP(TableHandbook[[#This Row],[UDC]],TableBEDSC[],7,FALSE),"")</f>
        <v/>
      </c>
      <c r="X32" s="211" t="str">
        <f>IFERROR(VLOOKUP(TableHandbook[[#This Row],[UDC]],TableMJRUARDR1[],7,FALSE),"")</f>
        <v/>
      </c>
      <c r="Y32" s="209" t="str">
        <f>IFERROR(VLOOKUP(TableHandbook[[#This Row],[UDC]],TableMJRUARME1[],7,FALSE),"")</f>
        <v/>
      </c>
      <c r="Z32" s="209" t="str">
        <f>IFERROR(VLOOKUP(TableHandbook[[#This Row],[UDC]],TableMJRUARVA1[],7,FALSE),"")</f>
        <v/>
      </c>
      <c r="AA32" s="209" t="str">
        <f>IFERROR(VLOOKUP(TableHandbook[[#This Row],[UDC]],TableMJRUENGL1[],7,FALSE),"")</f>
        <v/>
      </c>
      <c r="AB32" s="209" t="str">
        <f>IFERROR(VLOOKUP(TableHandbook[[#This Row],[UDC]],TableMJRUHSEC1[],7,FALSE),"")</f>
        <v/>
      </c>
      <c r="AC32" s="209" t="str">
        <f>IFERROR(VLOOKUP(TableHandbook[[#This Row],[UDC]],TableMJRUHSGE1[],7,FALSE),"")</f>
        <v/>
      </c>
      <c r="AD32" s="209" t="str">
        <f>IFERROR(VLOOKUP(TableHandbook[[#This Row],[UDC]],TableMJRUHSHI1[],7,FALSE),"")</f>
        <v/>
      </c>
      <c r="AE32" s="209" t="str">
        <f>IFERROR(VLOOKUP(TableHandbook[[#This Row],[UDC]],TableMJRUHSPL1[],7,FALSE),"")</f>
        <v>AltCore</v>
      </c>
      <c r="AF32" s="209" t="str">
        <f>IFERROR(VLOOKUP(TableHandbook[[#This Row],[UDC]],TableMJRUMATH1[],7,FALSE),"")</f>
        <v/>
      </c>
      <c r="AG32" s="209" t="str">
        <f>IFERROR(VLOOKUP(TableHandbook[[#This Row],[UDC]],TableMJRUPHYSE[],7,FALSE),"")</f>
        <v/>
      </c>
      <c r="AH32" s="209" t="str">
        <f>IFERROR(VLOOKUP(TableHandbook[[#This Row],[UDC]],TableMJRUSCBI1[],7,FALSE),"")</f>
        <v/>
      </c>
      <c r="AI32" s="209" t="str">
        <f>IFERROR(VLOOKUP(TableHandbook[[#This Row],[UDC]],TableMJRUSCCH1[],7,FALSE),"")</f>
        <v/>
      </c>
      <c r="AJ32" s="209" t="str">
        <f>IFERROR(VLOOKUP(TableHandbook[[#This Row],[UDC]],TableMJRUSCHB1[],7,FALSE),"")</f>
        <v/>
      </c>
      <c r="AK32" s="209" t="str">
        <f>IFERROR(VLOOKUP(TableHandbook[[#This Row],[UDC]],TableMJRUSCPH1[],7,FALSE),"")</f>
        <v/>
      </c>
      <c r="AL32" s="209" t="str">
        <f>IFERROR(VLOOKUP(TableHandbook[[#This Row],[UDC]],TableMJRUSCPS1[],7,FALSE),"")</f>
        <v/>
      </c>
      <c r="AM32" s="211" t="str">
        <f>IFERROR(VLOOKUP(TableHandbook[[#This Row],[UDC]],TableSTRUBIOLB[],7,FALSE),"")</f>
        <v/>
      </c>
      <c r="AN32" s="209" t="str">
        <f>IFERROR(VLOOKUP(TableHandbook[[#This Row],[UDC]],TableSTRUBSCIM[],7,FALSE),"")</f>
        <v/>
      </c>
      <c r="AO32" s="209" t="str">
        <f>IFERROR(VLOOKUP(TableHandbook[[#This Row],[UDC]],TableSTRUCHEMB[],7,FALSE),"")</f>
        <v/>
      </c>
      <c r="AP32" s="209" t="str">
        <f>IFERROR(VLOOKUP(TableHandbook[[#This Row],[UDC]],TableSTRUECOB1[],7,FALSE),"")</f>
        <v/>
      </c>
      <c r="AQ32" s="209" t="str">
        <f>IFERROR(VLOOKUP(TableHandbook[[#This Row],[UDC]],TableSTRUENGLB[],7,FALSE),"")</f>
        <v/>
      </c>
      <c r="AR32" s="209" t="str">
        <f>IFERROR(VLOOKUP(TableHandbook[[#This Row],[UDC]],TableSTRUENGLM[],7,FALSE),"")</f>
        <v/>
      </c>
      <c r="AS32" s="209" t="str">
        <f>IFERROR(VLOOKUP(TableHandbook[[#This Row],[UDC]],TableSTRUGEOB1[],7,FALSE),"")</f>
        <v/>
      </c>
      <c r="AT32" s="209" t="str">
        <f>IFERROR(VLOOKUP(TableHandbook[[#This Row],[UDC]],TableSTRUGEOGM[],7,FALSE),"")</f>
        <v/>
      </c>
      <c r="AU32" s="209" t="str">
        <f>IFERROR(VLOOKUP(TableHandbook[[#This Row],[UDC]],TableSTRUHISB1[],7,FALSE),"")</f>
        <v/>
      </c>
      <c r="AV32" s="209" t="str">
        <f>IFERROR(VLOOKUP(TableHandbook[[#This Row],[UDC]],TableSTRUHISTM[],7,FALSE),"")</f>
        <v/>
      </c>
      <c r="AW32" s="209" t="str">
        <f>IFERROR(VLOOKUP(TableHandbook[[#This Row],[UDC]],TableSTRUHPEB1[],7,FALSE),"")</f>
        <v/>
      </c>
      <c r="AX32" s="209" t="str">
        <f>IFERROR(VLOOKUP(TableHandbook[[#This Row],[UDC]],TableSTRUHUMBB[],7,FALSE),"")</f>
        <v/>
      </c>
      <c r="AY32" s="209" t="str">
        <f>IFERROR(VLOOKUP(TableHandbook[[#This Row],[UDC]],TableSTRUMARTM[],7,FALSE),"")</f>
        <v/>
      </c>
      <c r="AZ32" s="209" t="str">
        <f>IFERROR(VLOOKUP(TableHandbook[[#This Row],[UDC]],TableSTRUMATHB[],7,FALSE),"")</f>
        <v/>
      </c>
      <c r="BA32" s="209" t="str">
        <f>IFERROR(VLOOKUP(TableHandbook[[#This Row],[UDC]],TableSTRUMATHM[],7,FALSE),"")</f>
        <v/>
      </c>
      <c r="BB32" s="209" t="str">
        <f>IFERROR(VLOOKUP(TableHandbook[[#This Row],[UDC]],TableSTRUPARTB[],7,FALSE),"")</f>
        <v/>
      </c>
      <c r="BC32" s="209" t="str">
        <f>IFERROR(VLOOKUP(TableHandbook[[#This Row],[UDC]],TableSTRUPARTM[],7,FALSE),"")</f>
        <v/>
      </c>
      <c r="BD32" s="209" t="str">
        <f>IFERROR(VLOOKUP(TableHandbook[[#This Row],[UDC]],TableSTRUPOLB1[],7,FALSE),"")</f>
        <v/>
      </c>
      <c r="BE32" s="209" t="str">
        <f>IFERROR(VLOOKUP(TableHandbook[[#This Row],[UDC]],TableSTRUPSYCB[],7,FALSE),"")</f>
        <v/>
      </c>
      <c r="BF32" s="209" t="str">
        <f>IFERROR(VLOOKUP(TableHandbook[[#This Row],[UDC]],TableSTRUPSYCM[],7,FALSE),"")</f>
        <v/>
      </c>
      <c r="BG32" s="209" t="str">
        <f>IFERROR(VLOOKUP(TableHandbook[[#This Row],[UDC]],TableSTRUVARTB[],7,FALSE),"")</f>
        <v/>
      </c>
      <c r="BH32" s="209" t="str">
        <f>IFERROR(VLOOKUP(TableHandbook[[#This Row],[UDC]],TableSTRUVARTM[],7,FALSE),"")</f>
        <v/>
      </c>
    </row>
    <row r="33" spans="1:60" x14ac:dyDescent="0.25">
      <c r="A33" s="296" t="s">
        <v>513</v>
      </c>
      <c r="B33" s="7">
        <v>0</v>
      </c>
      <c r="C33" s="7"/>
      <c r="D33" s="207" t="s">
        <v>797</v>
      </c>
      <c r="E33" s="7">
        <v>25</v>
      </c>
      <c r="F33" s="84" t="s">
        <v>769</v>
      </c>
      <c r="G33" s="75" t="str">
        <f>IFERROR(IF(VLOOKUP(TableHandbook[[#This Row],[UDC]],TableAvailabilities[],2,FALSE)&gt;0,"Y",""),"")</f>
        <v/>
      </c>
      <c r="H33" s="75" t="str">
        <f>IFERROR(IF(VLOOKUP(TableHandbook[[#This Row],[UDC]],TableAvailabilities[],3,FALSE)&gt;0,"Y",""),"")</f>
        <v/>
      </c>
      <c r="I33" s="75" t="str">
        <f>IFERROR(IF(VLOOKUP(TableHandbook[[#This Row],[UDC]],TableAvailabilities[],4,FALSE)&gt;0,"Y",""),"")</f>
        <v/>
      </c>
      <c r="J33" s="75" t="str">
        <f>IFERROR(IF(VLOOKUP(TableHandbook[[#This Row],[UDC]],TableAvailabilities[],5,FALSE)&gt;0,"Y",""),"")</f>
        <v/>
      </c>
      <c r="K33" s="75" t="str">
        <f>IFERROR(IF(VLOOKUP(TableHandbook[[#This Row],[UDC]],TableAvailabilities[],6,FALSE)&gt;0,"Y",""),"")</f>
        <v/>
      </c>
      <c r="L33" s="75" t="str">
        <f>IFERROR(IF(VLOOKUP(TableHandbook[[#This Row],[UDC]],TableAvailabilities[],7,FALSE)&gt;0,"Y",""),"")</f>
        <v/>
      </c>
      <c r="M33" s="207"/>
      <c r="N33" s="209" t="str">
        <f>IFERROR(VLOOKUP(TableHandbook[[#This Row],[UDC]],TableBEDUC[],7,FALSE),"")</f>
        <v/>
      </c>
      <c r="O33" s="209" t="str">
        <f>IFERROR(VLOOKUP(TableHandbook[[#This Row],[UDC]],TableBEDEC[],7,FALSE),"")</f>
        <v/>
      </c>
      <c r="P33" s="211" t="str">
        <f>IFERROR(VLOOKUP(TableHandbook[[#This Row],[UDC]],TableBEDPR[],7,FALSE),"")</f>
        <v/>
      </c>
      <c r="Q33" s="209" t="str">
        <f>IFERROR(VLOOKUP(TableHandbook[[#This Row],[UDC]],TableSTRUCATHL[],7,FALSE),"")</f>
        <v/>
      </c>
      <c r="R33" s="209" t="str">
        <f>IFERROR(VLOOKUP(TableHandbook[[#This Row],[UDC]],TableSTRUENGLL[],7,FALSE),"")</f>
        <v/>
      </c>
      <c r="S33" s="209" t="str">
        <f>IFERROR(VLOOKUP(TableHandbook[[#This Row],[UDC]],TableSTRUHLTPE[],7,FALSE),"")</f>
        <v/>
      </c>
      <c r="T33" s="209" t="str">
        <f>IFERROR(VLOOKUP(TableHandbook[[#This Row],[UDC]],TableSTRUISTEM[],7,FALSE),"")</f>
        <v/>
      </c>
      <c r="U33" s="209" t="str">
        <f>IFERROR(VLOOKUP(TableHandbook[[#This Row],[UDC]],TableSTRULITNU[],7,FALSE),"")</f>
        <v/>
      </c>
      <c r="V33" s="209" t="str">
        <f>IFERROR(VLOOKUP(TableHandbook[[#This Row],[UDC]],TableSTRUTECHS[],7,FALSE),"")</f>
        <v/>
      </c>
      <c r="W33" s="211" t="str">
        <f>IFERROR(VLOOKUP(TableHandbook[[#This Row],[UDC]],TableBEDSC[],7,FALSE),"")</f>
        <v/>
      </c>
      <c r="X33" s="211" t="str">
        <f>IFERROR(VLOOKUP(TableHandbook[[#This Row],[UDC]],TableMJRUARDR1[],7,FALSE),"")</f>
        <v/>
      </c>
      <c r="Y33" s="209" t="str">
        <f>IFERROR(VLOOKUP(TableHandbook[[#This Row],[UDC]],TableMJRUARME1[],7,FALSE),"")</f>
        <v/>
      </c>
      <c r="Z33" s="209" t="str">
        <f>IFERROR(VLOOKUP(TableHandbook[[#This Row],[UDC]],TableMJRUARVA1[],7,FALSE),"")</f>
        <v/>
      </c>
      <c r="AA33" s="209" t="str">
        <f>IFERROR(VLOOKUP(TableHandbook[[#This Row],[UDC]],TableMJRUENGL1[],7,FALSE),"")</f>
        <v/>
      </c>
      <c r="AB33" s="209" t="str">
        <f>IFERROR(VLOOKUP(TableHandbook[[#This Row],[UDC]],TableMJRUHSEC1[],7,FALSE),"")</f>
        <v/>
      </c>
      <c r="AC33" s="209" t="str">
        <f>IFERROR(VLOOKUP(TableHandbook[[#This Row],[UDC]],TableMJRUHSGE1[],7,FALSE),"")</f>
        <v/>
      </c>
      <c r="AD33" s="209" t="str">
        <f>IFERROR(VLOOKUP(TableHandbook[[#This Row],[UDC]],TableMJRUHSHI1[],7,FALSE),"")</f>
        <v/>
      </c>
      <c r="AE33" s="209" t="str">
        <f>IFERROR(VLOOKUP(TableHandbook[[#This Row],[UDC]],TableMJRUHSPL1[],7,FALSE),"")</f>
        <v>AltCore</v>
      </c>
      <c r="AF33" s="209" t="str">
        <f>IFERROR(VLOOKUP(TableHandbook[[#This Row],[UDC]],TableMJRUMATH1[],7,FALSE),"")</f>
        <v/>
      </c>
      <c r="AG33" s="209" t="str">
        <f>IFERROR(VLOOKUP(TableHandbook[[#This Row],[UDC]],TableMJRUPHYSE[],7,FALSE),"")</f>
        <v/>
      </c>
      <c r="AH33" s="209" t="str">
        <f>IFERROR(VLOOKUP(TableHandbook[[#This Row],[UDC]],TableMJRUSCBI1[],7,FALSE),"")</f>
        <v/>
      </c>
      <c r="AI33" s="209" t="str">
        <f>IFERROR(VLOOKUP(TableHandbook[[#This Row],[UDC]],TableMJRUSCCH1[],7,FALSE),"")</f>
        <v/>
      </c>
      <c r="AJ33" s="209" t="str">
        <f>IFERROR(VLOOKUP(TableHandbook[[#This Row],[UDC]],TableMJRUSCHB1[],7,FALSE),"")</f>
        <v/>
      </c>
      <c r="AK33" s="209" t="str">
        <f>IFERROR(VLOOKUP(TableHandbook[[#This Row],[UDC]],TableMJRUSCPH1[],7,FALSE),"")</f>
        <v/>
      </c>
      <c r="AL33" s="209" t="str">
        <f>IFERROR(VLOOKUP(TableHandbook[[#This Row],[UDC]],TableMJRUSCPS1[],7,FALSE),"")</f>
        <v/>
      </c>
      <c r="AM33" s="211" t="str">
        <f>IFERROR(VLOOKUP(TableHandbook[[#This Row],[UDC]],TableSTRUBIOLB[],7,FALSE),"")</f>
        <v/>
      </c>
      <c r="AN33" s="209" t="str">
        <f>IFERROR(VLOOKUP(TableHandbook[[#This Row],[UDC]],TableSTRUBSCIM[],7,FALSE),"")</f>
        <v/>
      </c>
      <c r="AO33" s="209" t="str">
        <f>IFERROR(VLOOKUP(TableHandbook[[#This Row],[UDC]],TableSTRUCHEMB[],7,FALSE),"")</f>
        <v/>
      </c>
      <c r="AP33" s="209" t="str">
        <f>IFERROR(VLOOKUP(TableHandbook[[#This Row],[UDC]],TableSTRUECOB1[],7,FALSE),"")</f>
        <v/>
      </c>
      <c r="AQ33" s="209" t="str">
        <f>IFERROR(VLOOKUP(TableHandbook[[#This Row],[UDC]],TableSTRUENGLB[],7,FALSE),"")</f>
        <v/>
      </c>
      <c r="AR33" s="209" t="str">
        <f>IFERROR(VLOOKUP(TableHandbook[[#This Row],[UDC]],TableSTRUENGLM[],7,FALSE),"")</f>
        <v/>
      </c>
      <c r="AS33" s="209" t="str">
        <f>IFERROR(VLOOKUP(TableHandbook[[#This Row],[UDC]],TableSTRUGEOB1[],7,FALSE),"")</f>
        <v/>
      </c>
      <c r="AT33" s="209" t="str">
        <f>IFERROR(VLOOKUP(TableHandbook[[#This Row],[UDC]],TableSTRUGEOGM[],7,FALSE),"")</f>
        <v/>
      </c>
      <c r="AU33" s="209" t="str">
        <f>IFERROR(VLOOKUP(TableHandbook[[#This Row],[UDC]],TableSTRUHISB1[],7,FALSE),"")</f>
        <v/>
      </c>
      <c r="AV33" s="209" t="str">
        <f>IFERROR(VLOOKUP(TableHandbook[[#This Row],[UDC]],TableSTRUHISTM[],7,FALSE),"")</f>
        <v/>
      </c>
      <c r="AW33" s="209" t="str">
        <f>IFERROR(VLOOKUP(TableHandbook[[#This Row],[UDC]],TableSTRUHPEB1[],7,FALSE),"")</f>
        <v/>
      </c>
      <c r="AX33" s="209" t="str">
        <f>IFERROR(VLOOKUP(TableHandbook[[#This Row],[UDC]],TableSTRUHUMBB[],7,FALSE),"")</f>
        <v/>
      </c>
      <c r="AY33" s="209" t="str">
        <f>IFERROR(VLOOKUP(TableHandbook[[#This Row],[UDC]],TableSTRUMARTM[],7,FALSE),"")</f>
        <v/>
      </c>
      <c r="AZ33" s="209" t="str">
        <f>IFERROR(VLOOKUP(TableHandbook[[#This Row],[UDC]],TableSTRUMATHB[],7,FALSE),"")</f>
        <v/>
      </c>
      <c r="BA33" s="209" t="str">
        <f>IFERROR(VLOOKUP(TableHandbook[[#This Row],[UDC]],TableSTRUMATHM[],7,FALSE),"")</f>
        <v/>
      </c>
      <c r="BB33" s="209" t="str">
        <f>IFERROR(VLOOKUP(TableHandbook[[#This Row],[UDC]],TableSTRUPARTB[],7,FALSE),"")</f>
        <v/>
      </c>
      <c r="BC33" s="209" t="str">
        <f>IFERROR(VLOOKUP(TableHandbook[[#This Row],[UDC]],TableSTRUPARTM[],7,FALSE),"")</f>
        <v/>
      </c>
      <c r="BD33" s="209" t="str">
        <f>IFERROR(VLOOKUP(TableHandbook[[#This Row],[UDC]],TableSTRUPOLB1[],7,FALSE),"")</f>
        <v/>
      </c>
      <c r="BE33" s="209" t="str">
        <f>IFERROR(VLOOKUP(TableHandbook[[#This Row],[UDC]],TableSTRUPSYCB[],7,FALSE),"")</f>
        <v/>
      </c>
      <c r="BF33" s="209" t="str">
        <f>IFERROR(VLOOKUP(TableHandbook[[#This Row],[UDC]],TableSTRUPSYCM[],7,FALSE),"")</f>
        <v/>
      </c>
      <c r="BG33" s="209" t="str">
        <f>IFERROR(VLOOKUP(TableHandbook[[#This Row],[UDC]],TableSTRUVARTB[],7,FALSE),"")</f>
        <v/>
      </c>
      <c r="BH33" s="209" t="str">
        <f>IFERROR(VLOOKUP(TableHandbook[[#This Row],[UDC]],TableSTRUVARTM[],7,FALSE),"")</f>
        <v/>
      </c>
    </row>
    <row r="34" spans="1:60" x14ac:dyDescent="0.25">
      <c r="A34" s="296" t="s">
        <v>528</v>
      </c>
      <c r="B34" s="7">
        <v>0</v>
      </c>
      <c r="C34" s="7"/>
      <c r="D34" s="207" t="s">
        <v>798</v>
      </c>
      <c r="E34" s="7">
        <v>25</v>
      </c>
      <c r="F34" s="84" t="s">
        <v>769</v>
      </c>
      <c r="G34" s="75" t="str">
        <f>IFERROR(IF(VLOOKUP(TableHandbook[[#This Row],[UDC]],TableAvailabilities[],2,FALSE)&gt;0,"Y",""),"")</f>
        <v/>
      </c>
      <c r="H34" s="75" t="str">
        <f>IFERROR(IF(VLOOKUP(TableHandbook[[#This Row],[UDC]],TableAvailabilities[],3,FALSE)&gt;0,"Y",""),"")</f>
        <v/>
      </c>
      <c r="I34" s="75" t="str">
        <f>IFERROR(IF(VLOOKUP(TableHandbook[[#This Row],[UDC]],TableAvailabilities[],4,FALSE)&gt;0,"Y",""),"")</f>
        <v/>
      </c>
      <c r="J34" s="75" t="str">
        <f>IFERROR(IF(VLOOKUP(TableHandbook[[#This Row],[UDC]],TableAvailabilities[],5,FALSE)&gt;0,"Y",""),"")</f>
        <v/>
      </c>
      <c r="K34" s="75" t="str">
        <f>IFERROR(IF(VLOOKUP(TableHandbook[[#This Row],[UDC]],TableAvailabilities[],6,FALSE)&gt;0,"Y",""),"")</f>
        <v/>
      </c>
      <c r="L34" s="75" t="str">
        <f>IFERROR(IF(VLOOKUP(TableHandbook[[#This Row],[UDC]],TableAvailabilities[],7,FALSE)&gt;0,"Y",""),"")</f>
        <v/>
      </c>
      <c r="M34" s="207"/>
      <c r="N34" s="209" t="str">
        <f>IFERROR(VLOOKUP(TableHandbook[[#This Row],[UDC]],TableBEDUC[],7,FALSE),"")</f>
        <v/>
      </c>
      <c r="O34" s="209" t="str">
        <f>IFERROR(VLOOKUP(TableHandbook[[#This Row],[UDC]],TableBEDEC[],7,FALSE),"")</f>
        <v/>
      </c>
      <c r="P34" s="211" t="str">
        <f>IFERROR(VLOOKUP(TableHandbook[[#This Row],[UDC]],TableBEDPR[],7,FALSE),"")</f>
        <v/>
      </c>
      <c r="Q34" s="209" t="str">
        <f>IFERROR(VLOOKUP(TableHandbook[[#This Row],[UDC]],TableSTRUCATHL[],7,FALSE),"")</f>
        <v/>
      </c>
      <c r="R34" s="209" t="str">
        <f>IFERROR(VLOOKUP(TableHandbook[[#This Row],[UDC]],TableSTRUENGLL[],7,FALSE),"")</f>
        <v/>
      </c>
      <c r="S34" s="209" t="str">
        <f>IFERROR(VLOOKUP(TableHandbook[[#This Row],[UDC]],TableSTRUHLTPE[],7,FALSE),"")</f>
        <v/>
      </c>
      <c r="T34" s="209" t="str">
        <f>IFERROR(VLOOKUP(TableHandbook[[#This Row],[UDC]],TableSTRUISTEM[],7,FALSE),"")</f>
        <v/>
      </c>
      <c r="U34" s="209" t="str">
        <f>IFERROR(VLOOKUP(TableHandbook[[#This Row],[UDC]],TableSTRULITNU[],7,FALSE),"")</f>
        <v/>
      </c>
      <c r="V34" s="209" t="str">
        <f>IFERROR(VLOOKUP(TableHandbook[[#This Row],[UDC]],TableSTRUTECHS[],7,FALSE),"")</f>
        <v/>
      </c>
      <c r="W34" s="211" t="str">
        <f>IFERROR(VLOOKUP(TableHandbook[[#This Row],[UDC]],TableBEDSC[],7,FALSE),"")</f>
        <v/>
      </c>
      <c r="X34" s="211" t="str">
        <f>IFERROR(VLOOKUP(TableHandbook[[#This Row],[UDC]],TableMJRUARDR1[],7,FALSE),"")</f>
        <v/>
      </c>
      <c r="Y34" s="209" t="str">
        <f>IFERROR(VLOOKUP(TableHandbook[[#This Row],[UDC]],TableMJRUARME1[],7,FALSE),"")</f>
        <v/>
      </c>
      <c r="Z34" s="209" t="str">
        <f>IFERROR(VLOOKUP(TableHandbook[[#This Row],[UDC]],TableMJRUARVA1[],7,FALSE),"")</f>
        <v/>
      </c>
      <c r="AA34" s="209" t="str">
        <f>IFERROR(VLOOKUP(TableHandbook[[#This Row],[UDC]],TableMJRUENGL1[],7,FALSE),"")</f>
        <v/>
      </c>
      <c r="AB34" s="209" t="str">
        <f>IFERROR(VLOOKUP(TableHandbook[[#This Row],[UDC]],TableMJRUHSEC1[],7,FALSE),"")</f>
        <v/>
      </c>
      <c r="AC34" s="209" t="str">
        <f>IFERROR(VLOOKUP(TableHandbook[[#This Row],[UDC]],TableMJRUHSGE1[],7,FALSE),"")</f>
        <v/>
      </c>
      <c r="AD34" s="209" t="str">
        <f>IFERROR(VLOOKUP(TableHandbook[[#This Row],[UDC]],TableMJRUHSHI1[],7,FALSE),"")</f>
        <v/>
      </c>
      <c r="AE34" s="209" t="str">
        <f>IFERROR(VLOOKUP(TableHandbook[[#This Row],[UDC]],TableMJRUHSPL1[],7,FALSE),"")</f>
        <v>AltCore</v>
      </c>
      <c r="AF34" s="209" t="str">
        <f>IFERROR(VLOOKUP(TableHandbook[[#This Row],[UDC]],TableMJRUMATH1[],7,FALSE),"")</f>
        <v/>
      </c>
      <c r="AG34" s="209" t="str">
        <f>IFERROR(VLOOKUP(TableHandbook[[#This Row],[UDC]],TableMJRUPHYSE[],7,FALSE),"")</f>
        <v/>
      </c>
      <c r="AH34" s="209" t="str">
        <f>IFERROR(VLOOKUP(TableHandbook[[#This Row],[UDC]],TableMJRUSCBI1[],7,FALSE),"")</f>
        <v/>
      </c>
      <c r="AI34" s="209" t="str">
        <f>IFERROR(VLOOKUP(TableHandbook[[#This Row],[UDC]],TableMJRUSCCH1[],7,FALSE),"")</f>
        <v/>
      </c>
      <c r="AJ34" s="209" t="str">
        <f>IFERROR(VLOOKUP(TableHandbook[[#This Row],[UDC]],TableMJRUSCHB1[],7,FALSE),"")</f>
        <v/>
      </c>
      <c r="AK34" s="209" t="str">
        <f>IFERROR(VLOOKUP(TableHandbook[[#This Row],[UDC]],TableMJRUSCPH1[],7,FALSE),"")</f>
        <v/>
      </c>
      <c r="AL34" s="209" t="str">
        <f>IFERROR(VLOOKUP(TableHandbook[[#This Row],[UDC]],TableMJRUSCPS1[],7,FALSE),"")</f>
        <v/>
      </c>
      <c r="AM34" s="211" t="str">
        <f>IFERROR(VLOOKUP(TableHandbook[[#This Row],[UDC]],TableSTRUBIOLB[],7,FALSE),"")</f>
        <v/>
      </c>
      <c r="AN34" s="209" t="str">
        <f>IFERROR(VLOOKUP(TableHandbook[[#This Row],[UDC]],TableSTRUBSCIM[],7,FALSE),"")</f>
        <v/>
      </c>
      <c r="AO34" s="209" t="str">
        <f>IFERROR(VLOOKUP(TableHandbook[[#This Row],[UDC]],TableSTRUCHEMB[],7,FALSE),"")</f>
        <v/>
      </c>
      <c r="AP34" s="209" t="str">
        <f>IFERROR(VLOOKUP(TableHandbook[[#This Row],[UDC]],TableSTRUECOB1[],7,FALSE),"")</f>
        <v/>
      </c>
      <c r="AQ34" s="209" t="str">
        <f>IFERROR(VLOOKUP(TableHandbook[[#This Row],[UDC]],TableSTRUENGLB[],7,FALSE),"")</f>
        <v/>
      </c>
      <c r="AR34" s="209" t="str">
        <f>IFERROR(VLOOKUP(TableHandbook[[#This Row],[UDC]],TableSTRUENGLM[],7,FALSE),"")</f>
        <v/>
      </c>
      <c r="AS34" s="209" t="str">
        <f>IFERROR(VLOOKUP(TableHandbook[[#This Row],[UDC]],TableSTRUGEOB1[],7,FALSE),"")</f>
        <v/>
      </c>
      <c r="AT34" s="209" t="str">
        <f>IFERROR(VLOOKUP(TableHandbook[[#This Row],[UDC]],TableSTRUGEOGM[],7,FALSE),"")</f>
        <v/>
      </c>
      <c r="AU34" s="209" t="str">
        <f>IFERROR(VLOOKUP(TableHandbook[[#This Row],[UDC]],TableSTRUHISB1[],7,FALSE),"")</f>
        <v/>
      </c>
      <c r="AV34" s="209" t="str">
        <f>IFERROR(VLOOKUP(TableHandbook[[#This Row],[UDC]],TableSTRUHISTM[],7,FALSE),"")</f>
        <v/>
      </c>
      <c r="AW34" s="209" t="str">
        <f>IFERROR(VLOOKUP(TableHandbook[[#This Row],[UDC]],TableSTRUHPEB1[],7,FALSE),"")</f>
        <v/>
      </c>
      <c r="AX34" s="209" t="str">
        <f>IFERROR(VLOOKUP(TableHandbook[[#This Row],[UDC]],TableSTRUHUMBB[],7,FALSE),"")</f>
        <v/>
      </c>
      <c r="AY34" s="209" t="str">
        <f>IFERROR(VLOOKUP(TableHandbook[[#This Row],[UDC]],TableSTRUMARTM[],7,FALSE),"")</f>
        <v/>
      </c>
      <c r="AZ34" s="209" t="str">
        <f>IFERROR(VLOOKUP(TableHandbook[[#This Row],[UDC]],TableSTRUMATHB[],7,FALSE),"")</f>
        <v/>
      </c>
      <c r="BA34" s="209" t="str">
        <f>IFERROR(VLOOKUP(TableHandbook[[#This Row],[UDC]],TableSTRUMATHM[],7,FALSE),"")</f>
        <v/>
      </c>
      <c r="BB34" s="209" t="str">
        <f>IFERROR(VLOOKUP(TableHandbook[[#This Row],[UDC]],TableSTRUPARTB[],7,FALSE),"")</f>
        <v/>
      </c>
      <c r="BC34" s="209" t="str">
        <f>IFERROR(VLOOKUP(TableHandbook[[#This Row],[UDC]],TableSTRUPARTM[],7,FALSE),"")</f>
        <v/>
      </c>
      <c r="BD34" s="209" t="str">
        <f>IFERROR(VLOOKUP(TableHandbook[[#This Row],[UDC]],TableSTRUPOLB1[],7,FALSE),"")</f>
        <v/>
      </c>
      <c r="BE34" s="209" t="str">
        <f>IFERROR(VLOOKUP(TableHandbook[[#This Row],[UDC]],TableSTRUPSYCB[],7,FALSE),"")</f>
        <v/>
      </c>
      <c r="BF34" s="209" t="str">
        <f>IFERROR(VLOOKUP(TableHandbook[[#This Row],[UDC]],TableSTRUPSYCM[],7,FALSE),"")</f>
        <v/>
      </c>
      <c r="BG34" s="209" t="str">
        <f>IFERROR(VLOOKUP(TableHandbook[[#This Row],[UDC]],TableSTRUVARTB[],7,FALSE),"")</f>
        <v/>
      </c>
      <c r="BH34" s="209" t="str">
        <f>IFERROR(VLOOKUP(TableHandbook[[#This Row],[UDC]],TableSTRUVARTM[],7,FALSE),"")</f>
        <v/>
      </c>
    </row>
    <row r="35" spans="1:60" x14ac:dyDescent="0.25">
      <c r="A35" s="296" t="s">
        <v>543</v>
      </c>
      <c r="B35" s="7">
        <v>0</v>
      </c>
      <c r="C35" s="7"/>
      <c r="D35" s="207" t="s">
        <v>799</v>
      </c>
      <c r="E35" s="7">
        <v>25</v>
      </c>
      <c r="F35" s="84" t="s">
        <v>769</v>
      </c>
      <c r="G35" s="75" t="str">
        <f>IFERROR(IF(VLOOKUP(TableHandbook[[#This Row],[UDC]],TableAvailabilities[],2,FALSE)&gt;0,"Y",""),"")</f>
        <v/>
      </c>
      <c r="H35" s="75" t="str">
        <f>IFERROR(IF(VLOOKUP(TableHandbook[[#This Row],[UDC]],TableAvailabilities[],3,FALSE)&gt;0,"Y",""),"")</f>
        <v/>
      </c>
      <c r="I35" s="75" t="str">
        <f>IFERROR(IF(VLOOKUP(TableHandbook[[#This Row],[UDC]],TableAvailabilities[],4,FALSE)&gt;0,"Y",""),"")</f>
        <v/>
      </c>
      <c r="J35" s="75" t="str">
        <f>IFERROR(IF(VLOOKUP(TableHandbook[[#This Row],[UDC]],TableAvailabilities[],5,FALSE)&gt;0,"Y",""),"")</f>
        <v/>
      </c>
      <c r="K35" s="75" t="str">
        <f>IFERROR(IF(VLOOKUP(TableHandbook[[#This Row],[UDC]],TableAvailabilities[],6,FALSE)&gt;0,"Y",""),"")</f>
        <v/>
      </c>
      <c r="L35" s="75" t="str">
        <f>IFERROR(IF(VLOOKUP(TableHandbook[[#This Row],[UDC]],TableAvailabilities[],7,FALSE)&gt;0,"Y",""),"")</f>
        <v/>
      </c>
      <c r="M35" s="207"/>
      <c r="N35" s="209" t="str">
        <f>IFERROR(VLOOKUP(TableHandbook[[#This Row],[UDC]],TableBEDUC[],7,FALSE),"")</f>
        <v/>
      </c>
      <c r="O35" s="209" t="str">
        <f>IFERROR(VLOOKUP(TableHandbook[[#This Row],[UDC]],TableBEDEC[],7,FALSE),"")</f>
        <v/>
      </c>
      <c r="P35" s="211" t="str">
        <f>IFERROR(VLOOKUP(TableHandbook[[#This Row],[UDC]],TableBEDPR[],7,FALSE),"")</f>
        <v/>
      </c>
      <c r="Q35" s="209" t="str">
        <f>IFERROR(VLOOKUP(TableHandbook[[#This Row],[UDC]],TableSTRUCATHL[],7,FALSE),"")</f>
        <v/>
      </c>
      <c r="R35" s="209" t="str">
        <f>IFERROR(VLOOKUP(TableHandbook[[#This Row],[UDC]],TableSTRUENGLL[],7,FALSE),"")</f>
        <v/>
      </c>
      <c r="S35" s="209" t="str">
        <f>IFERROR(VLOOKUP(TableHandbook[[#This Row],[UDC]],TableSTRUHLTPE[],7,FALSE),"")</f>
        <v/>
      </c>
      <c r="T35" s="209" t="str">
        <f>IFERROR(VLOOKUP(TableHandbook[[#This Row],[UDC]],TableSTRUISTEM[],7,FALSE),"")</f>
        <v/>
      </c>
      <c r="U35" s="209" t="str">
        <f>IFERROR(VLOOKUP(TableHandbook[[#This Row],[UDC]],TableSTRULITNU[],7,FALSE),"")</f>
        <v/>
      </c>
      <c r="V35" s="209" t="str">
        <f>IFERROR(VLOOKUP(TableHandbook[[#This Row],[UDC]],TableSTRUTECHS[],7,FALSE),"")</f>
        <v/>
      </c>
      <c r="W35" s="211" t="str">
        <f>IFERROR(VLOOKUP(TableHandbook[[#This Row],[UDC]],TableBEDSC[],7,FALSE),"")</f>
        <v/>
      </c>
      <c r="X35" s="211" t="str">
        <f>IFERROR(VLOOKUP(TableHandbook[[#This Row],[UDC]],TableMJRUARDR1[],7,FALSE),"")</f>
        <v/>
      </c>
      <c r="Y35" s="209" t="str">
        <f>IFERROR(VLOOKUP(TableHandbook[[#This Row],[UDC]],TableMJRUARME1[],7,FALSE),"")</f>
        <v/>
      </c>
      <c r="Z35" s="209" t="str">
        <f>IFERROR(VLOOKUP(TableHandbook[[#This Row],[UDC]],TableMJRUARVA1[],7,FALSE),"")</f>
        <v/>
      </c>
      <c r="AA35" s="209" t="str">
        <f>IFERROR(VLOOKUP(TableHandbook[[#This Row],[UDC]],TableMJRUENGL1[],7,FALSE),"")</f>
        <v/>
      </c>
      <c r="AB35" s="209" t="str">
        <f>IFERROR(VLOOKUP(TableHandbook[[#This Row],[UDC]],TableMJRUHSEC1[],7,FALSE),"")</f>
        <v/>
      </c>
      <c r="AC35" s="209" t="str">
        <f>IFERROR(VLOOKUP(TableHandbook[[#This Row],[UDC]],TableMJRUHSGE1[],7,FALSE),"")</f>
        <v/>
      </c>
      <c r="AD35" s="209" t="str">
        <f>IFERROR(VLOOKUP(TableHandbook[[#This Row],[UDC]],TableMJRUHSHI1[],7,FALSE),"")</f>
        <v/>
      </c>
      <c r="AE35" s="209" t="str">
        <f>IFERROR(VLOOKUP(TableHandbook[[#This Row],[UDC]],TableMJRUHSPL1[],7,FALSE),"")</f>
        <v>AltCore</v>
      </c>
      <c r="AF35" s="209" t="str">
        <f>IFERROR(VLOOKUP(TableHandbook[[#This Row],[UDC]],TableMJRUMATH1[],7,FALSE),"")</f>
        <v/>
      </c>
      <c r="AG35" s="209" t="str">
        <f>IFERROR(VLOOKUP(TableHandbook[[#This Row],[UDC]],TableMJRUPHYSE[],7,FALSE),"")</f>
        <v/>
      </c>
      <c r="AH35" s="209" t="str">
        <f>IFERROR(VLOOKUP(TableHandbook[[#This Row],[UDC]],TableMJRUSCBI1[],7,FALSE),"")</f>
        <v/>
      </c>
      <c r="AI35" s="209" t="str">
        <f>IFERROR(VLOOKUP(TableHandbook[[#This Row],[UDC]],TableMJRUSCCH1[],7,FALSE),"")</f>
        <v/>
      </c>
      <c r="AJ35" s="209" t="str">
        <f>IFERROR(VLOOKUP(TableHandbook[[#This Row],[UDC]],TableMJRUSCHB1[],7,FALSE),"")</f>
        <v/>
      </c>
      <c r="AK35" s="209" t="str">
        <f>IFERROR(VLOOKUP(TableHandbook[[#This Row],[UDC]],TableMJRUSCPH1[],7,FALSE),"")</f>
        <v/>
      </c>
      <c r="AL35" s="209" t="str">
        <f>IFERROR(VLOOKUP(TableHandbook[[#This Row],[UDC]],TableMJRUSCPS1[],7,FALSE),"")</f>
        <v/>
      </c>
      <c r="AM35" s="211" t="str">
        <f>IFERROR(VLOOKUP(TableHandbook[[#This Row],[UDC]],TableSTRUBIOLB[],7,FALSE),"")</f>
        <v/>
      </c>
      <c r="AN35" s="209" t="str">
        <f>IFERROR(VLOOKUP(TableHandbook[[#This Row],[UDC]],TableSTRUBSCIM[],7,FALSE),"")</f>
        <v/>
      </c>
      <c r="AO35" s="209" t="str">
        <f>IFERROR(VLOOKUP(TableHandbook[[#This Row],[UDC]],TableSTRUCHEMB[],7,FALSE),"")</f>
        <v/>
      </c>
      <c r="AP35" s="209" t="str">
        <f>IFERROR(VLOOKUP(TableHandbook[[#This Row],[UDC]],TableSTRUECOB1[],7,FALSE),"")</f>
        <v/>
      </c>
      <c r="AQ35" s="209" t="str">
        <f>IFERROR(VLOOKUP(TableHandbook[[#This Row],[UDC]],TableSTRUENGLB[],7,FALSE),"")</f>
        <v/>
      </c>
      <c r="AR35" s="209" t="str">
        <f>IFERROR(VLOOKUP(TableHandbook[[#This Row],[UDC]],TableSTRUENGLM[],7,FALSE),"")</f>
        <v/>
      </c>
      <c r="AS35" s="209" t="str">
        <f>IFERROR(VLOOKUP(TableHandbook[[#This Row],[UDC]],TableSTRUGEOB1[],7,FALSE),"")</f>
        <v/>
      </c>
      <c r="AT35" s="209" t="str">
        <f>IFERROR(VLOOKUP(TableHandbook[[#This Row],[UDC]],TableSTRUGEOGM[],7,FALSE),"")</f>
        <v/>
      </c>
      <c r="AU35" s="209" t="str">
        <f>IFERROR(VLOOKUP(TableHandbook[[#This Row],[UDC]],TableSTRUHISB1[],7,FALSE),"")</f>
        <v/>
      </c>
      <c r="AV35" s="209" t="str">
        <f>IFERROR(VLOOKUP(TableHandbook[[#This Row],[UDC]],TableSTRUHISTM[],7,FALSE),"")</f>
        <v/>
      </c>
      <c r="AW35" s="209" t="str">
        <f>IFERROR(VLOOKUP(TableHandbook[[#This Row],[UDC]],TableSTRUHPEB1[],7,FALSE),"")</f>
        <v/>
      </c>
      <c r="AX35" s="209" t="str">
        <f>IFERROR(VLOOKUP(TableHandbook[[#This Row],[UDC]],TableSTRUHUMBB[],7,FALSE),"")</f>
        <v/>
      </c>
      <c r="AY35" s="209" t="str">
        <f>IFERROR(VLOOKUP(TableHandbook[[#This Row],[UDC]],TableSTRUMARTM[],7,FALSE),"")</f>
        <v/>
      </c>
      <c r="AZ35" s="209" t="str">
        <f>IFERROR(VLOOKUP(TableHandbook[[#This Row],[UDC]],TableSTRUMATHB[],7,FALSE),"")</f>
        <v/>
      </c>
      <c r="BA35" s="209" t="str">
        <f>IFERROR(VLOOKUP(TableHandbook[[#This Row],[UDC]],TableSTRUMATHM[],7,FALSE),"")</f>
        <v/>
      </c>
      <c r="BB35" s="209" t="str">
        <f>IFERROR(VLOOKUP(TableHandbook[[#This Row],[UDC]],TableSTRUPARTB[],7,FALSE),"")</f>
        <v/>
      </c>
      <c r="BC35" s="209" t="str">
        <f>IFERROR(VLOOKUP(TableHandbook[[#This Row],[UDC]],TableSTRUPARTM[],7,FALSE),"")</f>
        <v/>
      </c>
      <c r="BD35" s="209" t="str">
        <f>IFERROR(VLOOKUP(TableHandbook[[#This Row],[UDC]],TableSTRUPOLB1[],7,FALSE),"")</f>
        <v/>
      </c>
      <c r="BE35" s="209" t="str">
        <f>IFERROR(VLOOKUP(TableHandbook[[#This Row],[UDC]],TableSTRUPSYCB[],7,FALSE),"")</f>
        <v/>
      </c>
      <c r="BF35" s="209" t="str">
        <f>IFERROR(VLOOKUP(TableHandbook[[#This Row],[UDC]],TableSTRUPSYCM[],7,FALSE),"")</f>
        <v/>
      </c>
      <c r="BG35" s="209" t="str">
        <f>IFERROR(VLOOKUP(TableHandbook[[#This Row],[UDC]],TableSTRUVARTB[],7,FALSE),"")</f>
        <v/>
      </c>
      <c r="BH35" s="209" t="str">
        <f>IFERROR(VLOOKUP(TableHandbook[[#This Row],[UDC]],TableSTRUVARTM[],7,FALSE),"")</f>
        <v/>
      </c>
    </row>
    <row r="36" spans="1:60" x14ac:dyDescent="0.25">
      <c r="A36" s="305" t="s">
        <v>697</v>
      </c>
      <c r="B36" s="7">
        <v>0</v>
      </c>
      <c r="C36" s="7"/>
      <c r="D36" s="207" t="s">
        <v>800</v>
      </c>
      <c r="E36" s="7">
        <v>25</v>
      </c>
      <c r="F36" s="84" t="s">
        <v>769</v>
      </c>
      <c r="G36" s="75" t="str">
        <f>IFERROR(IF(VLOOKUP(TableHandbook[[#This Row],[UDC]],TableAvailabilities[],2,FALSE)&gt;0,"Y",""),"")</f>
        <v/>
      </c>
      <c r="H36" s="75" t="str">
        <f>IFERROR(IF(VLOOKUP(TableHandbook[[#This Row],[UDC]],TableAvailabilities[],3,FALSE)&gt;0,"Y",""),"")</f>
        <v/>
      </c>
      <c r="I36" s="75" t="str">
        <f>IFERROR(IF(VLOOKUP(TableHandbook[[#This Row],[UDC]],TableAvailabilities[],4,FALSE)&gt;0,"Y",""),"")</f>
        <v/>
      </c>
      <c r="J36" s="75" t="str">
        <f>IFERROR(IF(VLOOKUP(TableHandbook[[#This Row],[UDC]],TableAvailabilities[],5,FALSE)&gt;0,"Y",""),"")</f>
        <v/>
      </c>
      <c r="K36" s="75" t="str">
        <f>IFERROR(IF(VLOOKUP(TableHandbook[[#This Row],[UDC]],TableAvailabilities[],6,FALSE)&gt;0,"Y",""),"")</f>
        <v/>
      </c>
      <c r="L36" s="75" t="str">
        <f>IFERROR(IF(VLOOKUP(TableHandbook[[#This Row],[UDC]],TableAvailabilities[],7,FALSE)&gt;0,"Y",""),"")</f>
        <v/>
      </c>
      <c r="M36" s="207"/>
      <c r="N36" s="209" t="str">
        <f>IFERROR(VLOOKUP(TableHandbook[[#This Row],[UDC]],TableBEDUC[],7,FALSE),"")</f>
        <v/>
      </c>
      <c r="O36" s="209" t="str">
        <f>IFERROR(VLOOKUP(TableHandbook[[#This Row],[UDC]],TableBEDEC[],7,FALSE),"")</f>
        <v/>
      </c>
      <c r="P36" s="211" t="str">
        <f>IFERROR(VLOOKUP(TableHandbook[[#This Row],[UDC]],TableBEDPR[],7,FALSE),"")</f>
        <v/>
      </c>
      <c r="Q36" s="209" t="str">
        <f>IFERROR(VLOOKUP(TableHandbook[[#This Row],[UDC]],TableSTRUCATHL[],7,FALSE),"")</f>
        <v/>
      </c>
      <c r="R36" s="209" t="str">
        <f>IFERROR(VLOOKUP(TableHandbook[[#This Row],[UDC]],TableSTRUENGLL[],7,FALSE),"")</f>
        <v/>
      </c>
      <c r="S36" s="209" t="str">
        <f>IFERROR(VLOOKUP(TableHandbook[[#This Row],[UDC]],TableSTRUHLTPE[],7,FALSE),"")</f>
        <v/>
      </c>
      <c r="T36" s="209" t="str">
        <f>IFERROR(VLOOKUP(TableHandbook[[#This Row],[UDC]],TableSTRUISTEM[],7,FALSE),"")</f>
        <v/>
      </c>
      <c r="U36" s="209" t="str">
        <f>IFERROR(VLOOKUP(TableHandbook[[#This Row],[UDC]],TableSTRULITNU[],7,FALSE),"")</f>
        <v/>
      </c>
      <c r="V36" s="209" t="str">
        <f>IFERROR(VLOOKUP(TableHandbook[[#This Row],[UDC]],TableSTRUTECHS[],7,FALSE),"")</f>
        <v/>
      </c>
      <c r="W36" s="211" t="str">
        <f>IFERROR(VLOOKUP(TableHandbook[[#This Row],[UDC]],TableBEDSC[],7,FALSE),"")</f>
        <v/>
      </c>
      <c r="X36" s="211" t="str">
        <f>IFERROR(VLOOKUP(TableHandbook[[#This Row],[UDC]],TableMJRUARDR1[],7,FALSE),"")</f>
        <v/>
      </c>
      <c r="Y36" s="209" t="str">
        <f>IFERROR(VLOOKUP(TableHandbook[[#This Row],[UDC]],TableMJRUARME1[],7,FALSE),"")</f>
        <v/>
      </c>
      <c r="Z36" s="209" t="str">
        <f>IFERROR(VLOOKUP(TableHandbook[[#This Row],[UDC]],TableMJRUARVA1[],7,FALSE),"")</f>
        <v/>
      </c>
      <c r="AA36" s="209" t="str">
        <f>IFERROR(VLOOKUP(TableHandbook[[#This Row],[UDC]],TableMJRUENGL1[],7,FALSE),"")</f>
        <v/>
      </c>
      <c r="AB36" s="209" t="str">
        <f>IFERROR(VLOOKUP(TableHandbook[[#This Row],[UDC]],TableMJRUHSEC1[],7,FALSE),"")</f>
        <v/>
      </c>
      <c r="AC36" s="209" t="str">
        <f>IFERROR(VLOOKUP(TableHandbook[[#This Row],[UDC]],TableMJRUHSGE1[],7,FALSE),"")</f>
        <v/>
      </c>
      <c r="AD36" s="209" t="str">
        <f>IFERROR(VLOOKUP(TableHandbook[[#This Row],[UDC]],TableMJRUHSHI1[],7,FALSE),"")</f>
        <v/>
      </c>
      <c r="AE36" s="209" t="str">
        <f>IFERROR(VLOOKUP(TableHandbook[[#This Row],[UDC]],TableMJRUHSPL1[],7,FALSE),"")</f>
        <v/>
      </c>
      <c r="AF36" s="209" t="str">
        <f>IFERROR(VLOOKUP(TableHandbook[[#This Row],[UDC]],TableMJRUMATH1[],7,FALSE),"")</f>
        <v/>
      </c>
      <c r="AG36" s="209" t="str">
        <f>IFERROR(VLOOKUP(TableHandbook[[#This Row],[UDC]],TableMJRUPHYSE[],7,FALSE),"")</f>
        <v/>
      </c>
      <c r="AH36" s="209" t="str">
        <f>IFERROR(VLOOKUP(TableHandbook[[#This Row],[UDC]],TableMJRUSCBI1[],7,FALSE),"")</f>
        <v/>
      </c>
      <c r="AI36" s="209" t="str">
        <f>IFERROR(VLOOKUP(TableHandbook[[#This Row],[UDC]],TableMJRUSCCH1[],7,FALSE),"")</f>
        <v/>
      </c>
      <c r="AJ36" s="209" t="str">
        <f>IFERROR(VLOOKUP(TableHandbook[[#This Row],[UDC]],TableMJRUSCHB1[],7,FALSE),"")</f>
        <v/>
      </c>
      <c r="AK36" s="209" t="str">
        <f>IFERROR(VLOOKUP(TableHandbook[[#This Row],[UDC]],TableMJRUSCPH1[],7,FALSE),"")</f>
        <v/>
      </c>
      <c r="AL36" s="209" t="str">
        <f>IFERROR(VLOOKUP(TableHandbook[[#This Row],[UDC]],TableMJRUSCPS1[],7,FALSE),"")</f>
        <v/>
      </c>
      <c r="AM36" s="211" t="str">
        <f>IFERROR(VLOOKUP(TableHandbook[[#This Row],[UDC]],TableSTRUBIOLB[],7,FALSE),"")</f>
        <v/>
      </c>
      <c r="AN36" s="209" t="str">
        <f>IFERROR(VLOOKUP(TableHandbook[[#This Row],[UDC]],TableSTRUBSCIM[],7,FALSE),"")</f>
        <v/>
      </c>
      <c r="AO36" s="209" t="str">
        <f>IFERROR(VLOOKUP(TableHandbook[[#This Row],[UDC]],TableSTRUCHEMB[],7,FALSE),"")</f>
        <v/>
      </c>
      <c r="AP36" s="209" t="str">
        <f>IFERROR(VLOOKUP(TableHandbook[[#This Row],[UDC]],TableSTRUECOB1[],7,FALSE),"")</f>
        <v/>
      </c>
      <c r="AQ36" s="209" t="str">
        <f>IFERROR(VLOOKUP(TableHandbook[[#This Row],[UDC]],TableSTRUENGLB[],7,FALSE),"")</f>
        <v/>
      </c>
      <c r="AR36" s="209" t="str">
        <f>IFERROR(VLOOKUP(TableHandbook[[#This Row],[UDC]],TableSTRUENGLM[],7,FALSE),"")</f>
        <v/>
      </c>
      <c r="AS36" s="209" t="str">
        <f>IFERROR(VLOOKUP(TableHandbook[[#This Row],[UDC]],TableSTRUGEOB1[],7,FALSE),"")</f>
        <v/>
      </c>
      <c r="AT36" s="209" t="str">
        <f>IFERROR(VLOOKUP(TableHandbook[[#This Row],[UDC]],TableSTRUGEOGM[],7,FALSE),"")</f>
        <v/>
      </c>
      <c r="AU36" s="209" t="str">
        <f>IFERROR(VLOOKUP(TableHandbook[[#This Row],[UDC]],TableSTRUHISB1[],7,FALSE),"")</f>
        <v/>
      </c>
      <c r="AV36" s="209" t="str">
        <f>IFERROR(VLOOKUP(TableHandbook[[#This Row],[UDC]],TableSTRUHISTM[],7,FALSE),"")</f>
        <v/>
      </c>
      <c r="AW36" s="209" t="str">
        <f>IFERROR(VLOOKUP(TableHandbook[[#This Row],[UDC]],TableSTRUHPEB1[],7,FALSE),"")</f>
        <v/>
      </c>
      <c r="AX36" s="209" t="str">
        <f>IFERROR(VLOOKUP(TableHandbook[[#This Row],[UDC]],TableSTRUHUMBB[],7,FALSE),"")</f>
        <v>AltCore</v>
      </c>
      <c r="AY36" s="209" t="str">
        <f>IFERROR(VLOOKUP(TableHandbook[[#This Row],[UDC]],TableSTRUMARTM[],7,FALSE),"")</f>
        <v/>
      </c>
      <c r="AZ36" s="209" t="str">
        <f>IFERROR(VLOOKUP(TableHandbook[[#This Row],[UDC]],TableSTRUMATHB[],7,FALSE),"")</f>
        <v/>
      </c>
      <c r="BA36" s="209" t="str">
        <f>IFERROR(VLOOKUP(TableHandbook[[#This Row],[UDC]],TableSTRUMATHM[],7,FALSE),"")</f>
        <v/>
      </c>
      <c r="BB36" s="209" t="str">
        <f>IFERROR(VLOOKUP(TableHandbook[[#This Row],[UDC]],TableSTRUPARTB[],7,FALSE),"")</f>
        <v/>
      </c>
      <c r="BC36" s="209" t="str">
        <f>IFERROR(VLOOKUP(TableHandbook[[#This Row],[UDC]],TableSTRUPARTM[],7,FALSE),"")</f>
        <v/>
      </c>
      <c r="BD36" s="209" t="str">
        <f>IFERROR(VLOOKUP(TableHandbook[[#This Row],[UDC]],TableSTRUPOLB1[],7,FALSE),"")</f>
        <v/>
      </c>
      <c r="BE36" s="209" t="str">
        <f>IFERROR(VLOOKUP(TableHandbook[[#This Row],[UDC]],TableSTRUPSYCB[],7,FALSE),"")</f>
        <v/>
      </c>
      <c r="BF36" s="209" t="str">
        <f>IFERROR(VLOOKUP(TableHandbook[[#This Row],[UDC]],TableSTRUPSYCM[],7,FALSE),"")</f>
        <v/>
      </c>
      <c r="BG36" s="209" t="str">
        <f>IFERROR(VLOOKUP(TableHandbook[[#This Row],[UDC]],TableSTRUVARTB[],7,FALSE),"")</f>
        <v/>
      </c>
      <c r="BH36" s="209" t="str">
        <f>IFERROR(VLOOKUP(TableHandbook[[#This Row],[UDC]],TableSTRUVARTM[],7,FALSE),"")</f>
        <v/>
      </c>
    </row>
    <row r="37" spans="1:60" x14ac:dyDescent="0.25">
      <c r="A37" s="305" t="s">
        <v>714</v>
      </c>
      <c r="B37" s="7">
        <v>0</v>
      </c>
      <c r="C37" s="7"/>
      <c r="D37" s="207" t="s">
        <v>801</v>
      </c>
      <c r="E37" s="7">
        <v>25</v>
      </c>
      <c r="F37" s="84" t="s">
        <v>769</v>
      </c>
      <c r="G37" s="75" t="str">
        <f>IFERROR(IF(VLOOKUP(TableHandbook[[#This Row],[UDC]],TableAvailabilities[],2,FALSE)&gt;0,"Y",""),"")</f>
        <v/>
      </c>
      <c r="H37" s="75" t="str">
        <f>IFERROR(IF(VLOOKUP(TableHandbook[[#This Row],[UDC]],TableAvailabilities[],3,FALSE)&gt;0,"Y",""),"")</f>
        <v/>
      </c>
      <c r="I37" s="75" t="str">
        <f>IFERROR(IF(VLOOKUP(TableHandbook[[#This Row],[UDC]],TableAvailabilities[],4,FALSE)&gt;0,"Y",""),"")</f>
        <v/>
      </c>
      <c r="J37" s="75" t="str">
        <f>IFERROR(IF(VLOOKUP(TableHandbook[[#This Row],[UDC]],TableAvailabilities[],5,FALSE)&gt;0,"Y",""),"")</f>
        <v/>
      </c>
      <c r="K37" s="75" t="str">
        <f>IFERROR(IF(VLOOKUP(TableHandbook[[#This Row],[UDC]],TableAvailabilities[],6,FALSE)&gt;0,"Y",""),"")</f>
        <v/>
      </c>
      <c r="L37" s="75" t="str">
        <f>IFERROR(IF(VLOOKUP(TableHandbook[[#This Row],[UDC]],TableAvailabilities[],7,FALSE)&gt;0,"Y",""),"")</f>
        <v/>
      </c>
      <c r="M37" s="207"/>
      <c r="N37" s="209" t="str">
        <f>IFERROR(VLOOKUP(TableHandbook[[#This Row],[UDC]],TableBEDUC[],7,FALSE),"")</f>
        <v/>
      </c>
      <c r="O37" s="209" t="str">
        <f>IFERROR(VLOOKUP(TableHandbook[[#This Row],[UDC]],TableBEDEC[],7,FALSE),"")</f>
        <v/>
      </c>
      <c r="P37" s="211" t="str">
        <f>IFERROR(VLOOKUP(TableHandbook[[#This Row],[UDC]],TableBEDPR[],7,FALSE),"")</f>
        <v/>
      </c>
      <c r="Q37" s="209" t="str">
        <f>IFERROR(VLOOKUP(TableHandbook[[#This Row],[UDC]],TableSTRUCATHL[],7,FALSE),"")</f>
        <v/>
      </c>
      <c r="R37" s="209" t="str">
        <f>IFERROR(VLOOKUP(TableHandbook[[#This Row],[UDC]],TableSTRUENGLL[],7,FALSE),"")</f>
        <v/>
      </c>
      <c r="S37" s="209" t="str">
        <f>IFERROR(VLOOKUP(TableHandbook[[#This Row],[UDC]],TableSTRUHLTPE[],7,FALSE),"")</f>
        <v/>
      </c>
      <c r="T37" s="209" t="str">
        <f>IFERROR(VLOOKUP(TableHandbook[[#This Row],[UDC]],TableSTRUISTEM[],7,FALSE),"")</f>
        <v/>
      </c>
      <c r="U37" s="209" t="str">
        <f>IFERROR(VLOOKUP(TableHandbook[[#This Row],[UDC]],TableSTRULITNU[],7,FALSE),"")</f>
        <v/>
      </c>
      <c r="V37" s="209" t="str">
        <f>IFERROR(VLOOKUP(TableHandbook[[#This Row],[UDC]],TableSTRUTECHS[],7,FALSE),"")</f>
        <v/>
      </c>
      <c r="W37" s="211" t="str">
        <f>IFERROR(VLOOKUP(TableHandbook[[#This Row],[UDC]],TableBEDSC[],7,FALSE),"")</f>
        <v/>
      </c>
      <c r="X37" s="211" t="str">
        <f>IFERROR(VLOOKUP(TableHandbook[[#This Row],[UDC]],TableMJRUARDR1[],7,FALSE),"")</f>
        <v/>
      </c>
      <c r="Y37" s="209" t="str">
        <f>IFERROR(VLOOKUP(TableHandbook[[#This Row],[UDC]],TableMJRUARME1[],7,FALSE),"")</f>
        <v/>
      </c>
      <c r="Z37" s="209" t="str">
        <f>IFERROR(VLOOKUP(TableHandbook[[#This Row],[UDC]],TableMJRUARVA1[],7,FALSE),"")</f>
        <v/>
      </c>
      <c r="AA37" s="209" t="str">
        <f>IFERROR(VLOOKUP(TableHandbook[[#This Row],[UDC]],TableMJRUENGL1[],7,FALSE),"")</f>
        <v/>
      </c>
      <c r="AB37" s="209" t="str">
        <f>IFERROR(VLOOKUP(TableHandbook[[#This Row],[UDC]],TableMJRUHSEC1[],7,FALSE),"")</f>
        <v/>
      </c>
      <c r="AC37" s="209" t="str">
        <f>IFERROR(VLOOKUP(TableHandbook[[#This Row],[UDC]],TableMJRUHSGE1[],7,FALSE),"")</f>
        <v/>
      </c>
      <c r="AD37" s="209" t="str">
        <f>IFERROR(VLOOKUP(TableHandbook[[#This Row],[UDC]],TableMJRUHSHI1[],7,FALSE),"")</f>
        <v/>
      </c>
      <c r="AE37" s="209" t="str">
        <f>IFERROR(VLOOKUP(TableHandbook[[#This Row],[UDC]],TableMJRUHSPL1[],7,FALSE),"")</f>
        <v/>
      </c>
      <c r="AF37" s="209" t="str">
        <f>IFERROR(VLOOKUP(TableHandbook[[#This Row],[UDC]],TableMJRUMATH1[],7,FALSE),"")</f>
        <v/>
      </c>
      <c r="AG37" s="209" t="str">
        <f>IFERROR(VLOOKUP(TableHandbook[[#This Row],[UDC]],TableMJRUPHYSE[],7,FALSE),"")</f>
        <v/>
      </c>
      <c r="AH37" s="209" t="str">
        <f>IFERROR(VLOOKUP(TableHandbook[[#This Row],[UDC]],TableMJRUSCBI1[],7,FALSE),"")</f>
        <v/>
      </c>
      <c r="AI37" s="209" t="str">
        <f>IFERROR(VLOOKUP(TableHandbook[[#This Row],[UDC]],TableMJRUSCCH1[],7,FALSE),"")</f>
        <v/>
      </c>
      <c r="AJ37" s="209" t="str">
        <f>IFERROR(VLOOKUP(TableHandbook[[#This Row],[UDC]],TableMJRUSCHB1[],7,FALSE),"")</f>
        <v/>
      </c>
      <c r="AK37" s="209" t="str">
        <f>IFERROR(VLOOKUP(TableHandbook[[#This Row],[UDC]],TableMJRUSCPH1[],7,FALSE),"")</f>
        <v/>
      </c>
      <c r="AL37" s="209" t="str">
        <f>IFERROR(VLOOKUP(TableHandbook[[#This Row],[UDC]],TableMJRUSCPS1[],7,FALSE),"")</f>
        <v/>
      </c>
      <c r="AM37" s="211" t="str">
        <f>IFERROR(VLOOKUP(TableHandbook[[#This Row],[UDC]],TableSTRUBIOLB[],7,FALSE),"")</f>
        <v/>
      </c>
      <c r="AN37" s="209" t="str">
        <f>IFERROR(VLOOKUP(TableHandbook[[#This Row],[UDC]],TableSTRUBSCIM[],7,FALSE),"")</f>
        <v/>
      </c>
      <c r="AO37" s="209" t="str">
        <f>IFERROR(VLOOKUP(TableHandbook[[#This Row],[UDC]],TableSTRUCHEMB[],7,FALSE),"")</f>
        <v/>
      </c>
      <c r="AP37" s="209" t="str">
        <f>IFERROR(VLOOKUP(TableHandbook[[#This Row],[UDC]],TableSTRUECOB1[],7,FALSE),"")</f>
        <v/>
      </c>
      <c r="AQ37" s="209" t="str">
        <f>IFERROR(VLOOKUP(TableHandbook[[#This Row],[UDC]],TableSTRUENGLB[],7,FALSE),"")</f>
        <v/>
      </c>
      <c r="AR37" s="209" t="str">
        <f>IFERROR(VLOOKUP(TableHandbook[[#This Row],[UDC]],TableSTRUENGLM[],7,FALSE),"")</f>
        <v/>
      </c>
      <c r="AS37" s="209" t="str">
        <f>IFERROR(VLOOKUP(TableHandbook[[#This Row],[UDC]],TableSTRUGEOB1[],7,FALSE),"")</f>
        <v/>
      </c>
      <c r="AT37" s="209" t="str">
        <f>IFERROR(VLOOKUP(TableHandbook[[#This Row],[UDC]],TableSTRUGEOGM[],7,FALSE),"")</f>
        <v/>
      </c>
      <c r="AU37" s="209" t="str">
        <f>IFERROR(VLOOKUP(TableHandbook[[#This Row],[UDC]],TableSTRUHISB1[],7,FALSE),"")</f>
        <v/>
      </c>
      <c r="AV37" s="209" t="str">
        <f>IFERROR(VLOOKUP(TableHandbook[[#This Row],[UDC]],TableSTRUHISTM[],7,FALSE),"")</f>
        <v/>
      </c>
      <c r="AW37" s="209" t="str">
        <f>IFERROR(VLOOKUP(TableHandbook[[#This Row],[UDC]],TableSTRUHPEB1[],7,FALSE),"")</f>
        <v/>
      </c>
      <c r="AX37" s="209" t="str">
        <f>IFERROR(VLOOKUP(TableHandbook[[#This Row],[UDC]],TableSTRUHUMBB[],7,FALSE),"")</f>
        <v>AltCore</v>
      </c>
      <c r="AY37" s="209" t="str">
        <f>IFERROR(VLOOKUP(TableHandbook[[#This Row],[UDC]],TableSTRUMARTM[],7,FALSE),"")</f>
        <v/>
      </c>
      <c r="AZ37" s="209" t="str">
        <f>IFERROR(VLOOKUP(TableHandbook[[#This Row],[UDC]],TableSTRUMATHB[],7,FALSE),"")</f>
        <v/>
      </c>
      <c r="BA37" s="209" t="str">
        <f>IFERROR(VLOOKUP(TableHandbook[[#This Row],[UDC]],TableSTRUMATHM[],7,FALSE),"")</f>
        <v/>
      </c>
      <c r="BB37" s="209" t="str">
        <f>IFERROR(VLOOKUP(TableHandbook[[#This Row],[UDC]],TableSTRUPARTB[],7,FALSE),"")</f>
        <v/>
      </c>
      <c r="BC37" s="209" t="str">
        <f>IFERROR(VLOOKUP(TableHandbook[[#This Row],[UDC]],TableSTRUPARTM[],7,FALSE),"")</f>
        <v/>
      </c>
      <c r="BD37" s="209" t="str">
        <f>IFERROR(VLOOKUP(TableHandbook[[#This Row],[UDC]],TableSTRUPOLB1[],7,FALSE),"")</f>
        <v/>
      </c>
      <c r="BE37" s="209" t="str">
        <f>IFERROR(VLOOKUP(TableHandbook[[#This Row],[UDC]],TableSTRUPSYCB[],7,FALSE),"")</f>
        <v/>
      </c>
      <c r="BF37" s="209" t="str">
        <f>IFERROR(VLOOKUP(TableHandbook[[#This Row],[UDC]],TableSTRUPSYCM[],7,FALSE),"")</f>
        <v/>
      </c>
      <c r="BG37" s="209" t="str">
        <f>IFERROR(VLOOKUP(TableHandbook[[#This Row],[UDC]],TableSTRUVARTB[],7,FALSE),"")</f>
        <v/>
      </c>
      <c r="BH37" s="209" t="str">
        <f>IFERROR(VLOOKUP(TableHandbook[[#This Row],[UDC]],TableSTRUVARTM[],7,FALSE),"")</f>
        <v/>
      </c>
    </row>
    <row r="38" spans="1:60" x14ac:dyDescent="0.25">
      <c r="A38" s="305" t="s">
        <v>722</v>
      </c>
      <c r="B38" s="7">
        <v>0</v>
      </c>
      <c r="C38" s="7"/>
      <c r="D38" s="207" t="s">
        <v>802</v>
      </c>
      <c r="E38" s="7">
        <v>25</v>
      </c>
      <c r="F38" s="84" t="s">
        <v>769</v>
      </c>
      <c r="G38" s="75" t="str">
        <f>IFERROR(IF(VLOOKUP(TableHandbook[[#This Row],[UDC]],TableAvailabilities[],2,FALSE)&gt;0,"Y",""),"")</f>
        <v/>
      </c>
      <c r="H38" s="75" t="str">
        <f>IFERROR(IF(VLOOKUP(TableHandbook[[#This Row],[UDC]],TableAvailabilities[],3,FALSE)&gt;0,"Y",""),"")</f>
        <v/>
      </c>
      <c r="I38" s="75" t="str">
        <f>IFERROR(IF(VLOOKUP(TableHandbook[[#This Row],[UDC]],TableAvailabilities[],4,FALSE)&gt;0,"Y",""),"")</f>
        <v/>
      </c>
      <c r="J38" s="75" t="str">
        <f>IFERROR(IF(VLOOKUP(TableHandbook[[#This Row],[UDC]],TableAvailabilities[],5,FALSE)&gt;0,"Y",""),"")</f>
        <v/>
      </c>
      <c r="K38" s="75" t="str">
        <f>IFERROR(IF(VLOOKUP(TableHandbook[[#This Row],[UDC]],TableAvailabilities[],6,FALSE)&gt;0,"Y",""),"")</f>
        <v/>
      </c>
      <c r="L38" s="75" t="str">
        <f>IFERROR(IF(VLOOKUP(TableHandbook[[#This Row],[UDC]],TableAvailabilities[],7,FALSE)&gt;0,"Y",""),"")</f>
        <v/>
      </c>
      <c r="M38" s="207"/>
      <c r="N38" s="209" t="str">
        <f>IFERROR(VLOOKUP(TableHandbook[[#This Row],[UDC]],TableBEDUC[],7,FALSE),"")</f>
        <v/>
      </c>
      <c r="O38" s="209" t="str">
        <f>IFERROR(VLOOKUP(TableHandbook[[#This Row],[UDC]],TableBEDEC[],7,FALSE),"")</f>
        <v/>
      </c>
      <c r="P38" s="211" t="str">
        <f>IFERROR(VLOOKUP(TableHandbook[[#This Row],[UDC]],TableBEDPR[],7,FALSE),"")</f>
        <v/>
      </c>
      <c r="Q38" s="209" t="str">
        <f>IFERROR(VLOOKUP(TableHandbook[[#This Row],[UDC]],TableSTRUCATHL[],7,FALSE),"")</f>
        <v/>
      </c>
      <c r="R38" s="209" t="str">
        <f>IFERROR(VLOOKUP(TableHandbook[[#This Row],[UDC]],TableSTRUENGLL[],7,FALSE),"")</f>
        <v/>
      </c>
      <c r="S38" s="209" t="str">
        <f>IFERROR(VLOOKUP(TableHandbook[[#This Row],[UDC]],TableSTRUHLTPE[],7,FALSE),"")</f>
        <v/>
      </c>
      <c r="T38" s="209" t="str">
        <f>IFERROR(VLOOKUP(TableHandbook[[#This Row],[UDC]],TableSTRUISTEM[],7,FALSE),"")</f>
        <v/>
      </c>
      <c r="U38" s="209" t="str">
        <f>IFERROR(VLOOKUP(TableHandbook[[#This Row],[UDC]],TableSTRULITNU[],7,FALSE),"")</f>
        <v/>
      </c>
      <c r="V38" s="209" t="str">
        <f>IFERROR(VLOOKUP(TableHandbook[[#This Row],[UDC]],TableSTRUTECHS[],7,FALSE),"")</f>
        <v/>
      </c>
      <c r="W38" s="211" t="str">
        <f>IFERROR(VLOOKUP(TableHandbook[[#This Row],[UDC]],TableBEDSC[],7,FALSE),"")</f>
        <v/>
      </c>
      <c r="X38" s="211" t="str">
        <f>IFERROR(VLOOKUP(TableHandbook[[#This Row],[UDC]],TableMJRUARDR1[],7,FALSE),"")</f>
        <v/>
      </c>
      <c r="Y38" s="209" t="str">
        <f>IFERROR(VLOOKUP(TableHandbook[[#This Row],[UDC]],TableMJRUARME1[],7,FALSE),"")</f>
        <v/>
      </c>
      <c r="Z38" s="209" t="str">
        <f>IFERROR(VLOOKUP(TableHandbook[[#This Row],[UDC]],TableMJRUARVA1[],7,FALSE),"")</f>
        <v/>
      </c>
      <c r="AA38" s="209" t="str">
        <f>IFERROR(VLOOKUP(TableHandbook[[#This Row],[UDC]],TableMJRUENGL1[],7,FALSE),"")</f>
        <v/>
      </c>
      <c r="AB38" s="209" t="str">
        <f>IFERROR(VLOOKUP(TableHandbook[[#This Row],[UDC]],TableMJRUHSEC1[],7,FALSE),"")</f>
        <v/>
      </c>
      <c r="AC38" s="209" t="str">
        <f>IFERROR(VLOOKUP(TableHandbook[[#This Row],[UDC]],TableMJRUHSGE1[],7,FALSE),"")</f>
        <v/>
      </c>
      <c r="AD38" s="209" t="str">
        <f>IFERROR(VLOOKUP(TableHandbook[[#This Row],[UDC]],TableMJRUHSHI1[],7,FALSE),"")</f>
        <v/>
      </c>
      <c r="AE38" s="209" t="str">
        <f>IFERROR(VLOOKUP(TableHandbook[[#This Row],[UDC]],TableMJRUHSPL1[],7,FALSE),"")</f>
        <v/>
      </c>
      <c r="AF38" s="209" t="str">
        <f>IFERROR(VLOOKUP(TableHandbook[[#This Row],[UDC]],TableMJRUMATH1[],7,FALSE),"")</f>
        <v/>
      </c>
      <c r="AG38" s="209" t="str">
        <f>IFERROR(VLOOKUP(TableHandbook[[#This Row],[UDC]],TableMJRUPHYSE[],7,FALSE),"")</f>
        <v/>
      </c>
      <c r="AH38" s="209" t="str">
        <f>IFERROR(VLOOKUP(TableHandbook[[#This Row],[UDC]],TableMJRUSCBI1[],7,FALSE),"")</f>
        <v/>
      </c>
      <c r="AI38" s="209" t="str">
        <f>IFERROR(VLOOKUP(TableHandbook[[#This Row],[UDC]],TableMJRUSCCH1[],7,FALSE),"")</f>
        <v/>
      </c>
      <c r="AJ38" s="209" t="str">
        <f>IFERROR(VLOOKUP(TableHandbook[[#This Row],[UDC]],TableMJRUSCHB1[],7,FALSE),"")</f>
        <v/>
      </c>
      <c r="AK38" s="209" t="str">
        <f>IFERROR(VLOOKUP(TableHandbook[[#This Row],[UDC]],TableMJRUSCPH1[],7,FALSE),"")</f>
        <v/>
      </c>
      <c r="AL38" s="209" t="str">
        <f>IFERROR(VLOOKUP(TableHandbook[[#This Row],[UDC]],TableMJRUSCPS1[],7,FALSE),"")</f>
        <v/>
      </c>
      <c r="AM38" s="211" t="str">
        <f>IFERROR(VLOOKUP(TableHandbook[[#This Row],[UDC]],TableSTRUBIOLB[],7,FALSE),"")</f>
        <v/>
      </c>
      <c r="AN38" s="209" t="str">
        <f>IFERROR(VLOOKUP(TableHandbook[[#This Row],[UDC]],TableSTRUBSCIM[],7,FALSE),"")</f>
        <v/>
      </c>
      <c r="AO38" s="209" t="str">
        <f>IFERROR(VLOOKUP(TableHandbook[[#This Row],[UDC]],TableSTRUCHEMB[],7,FALSE),"")</f>
        <v/>
      </c>
      <c r="AP38" s="209" t="str">
        <f>IFERROR(VLOOKUP(TableHandbook[[#This Row],[UDC]],TableSTRUECOB1[],7,FALSE),"")</f>
        <v/>
      </c>
      <c r="AQ38" s="209" t="str">
        <f>IFERROR(VLOOKUP(TableHandbook[[#This Row],[UDC]],TableSTRUENGLB[],7,FALSE),"")</f>
        <v/>
      </c>
      <c r="AR38" s="209" t="str">
        <f>IFERROR(VLOOKUP(TableHandbook[[#This Row],[UDC]],TableSTRUENGLM[],7,FALSE),"")</f>
        <v/>
      </c>
      <c r="AS38" s="209" t="str">
        <f>IFERROR(VLOOKUP(TableHandbook[[#This Row],[UDC]],TableSTRUGEOB1[],7,FALSE),"")</f>
        <v/>
      </c>
      <c r="AT38" s="209" t="str">
        <f>IFERROR(VLOOKUP(TableHandbook[[#This Row],[UDC]],TableSTRUGEOGM[],7,FALSE),"")</f>
        <v/>
      </c>
      <c r="AU38" s="209" t="str">
        <f>IFERROR(VLOOKUP(TableHandbook[[#This Row],[UDC]],TableSTRUHISB1[],7,FALSE),"")</f>
        <v/>
      </c>
      <c r="AV38" s="209" t="str">
        <f>IFERROR(VLOOKUP(TableHandbook[[#This Row],[UDC]],TableSTRUHISTM[],7,FALSE),"")</f>
        <v/>
      </c>
      <c r="AW38" s="209" t="str">
        <f>IFERROR(VLOOKUP(TableHandbook[[#This Row],[UDC]],TableSTRUHPEB1[],7,FALSE),"")</f>
        <v/>
      </c>
      <c r="AX38" s="209" t="str">
        <f>IFERROR(VLOOKUP(TableHandbook[[#This Row],[UDC]],TableSTRUHUMBB[],7,FALSE),"")</f>
        <v>AltCore</v>
      </c>
      <c r="AY38" s="209" t="str">
        <f>IFERROR(VLOOKUP(TableHandbook[[#This Row],[UDC]],TableSTRUMARTM[],7,FALSE),"")</f>
        <v/>
      </c>
      <c r="AZ38" s="209" t="str">
        <f>IFERROR(VLOOKUP(TableHandbook[[#This Row],[UDC]],TableSTRUMATHB[],7,FALSE),"")</f>
        <v/>
      </c>
      <c r="BA38" s="209" t="str">
        <f>IFERROR(VLOOKUP(TableHandbook[[#This Row],[UDC]],TableSTRUMATHM[],7,FALSE),"")</f>
        <v/>
      </c>
      <c r="BB38" s="209" t="str">
        <f>IFERROR(VLOOKUP(TableHandbook[[#This Row],[UDC]],TableSTRUPARTB[],7,FALSE),"")</f>
        <v/>
      </c>
      <c r="BC38" s="209" t="str">
        <f>IFERROR(VLOOKUP(TableHandbook[[#This Row],[UDC]],TableSTRUPARTM[],7,FALSE),"")</f>
        <v/>
      </c>
      <c r="BD38" s="209" t="str">
        <f>IFERROR(VLOOKUP(TableHandbook[[#This Row],[UDC]],TableSTRUPOLB1[],7,FALSE),"")</f>
        <v/>
      </c>
      <c r="BE38" s="209" t="str">
        <f>IFERROR(VLOOKUP(TableHandbook[[#This Row],[UDC]],TableSTRUPSYCB[],7,FALSE),"")</f>
        <v/>
      </c>
      <c r="BF38" s="209" t="str">
        <f>IFERROR(VLOOKUP(TableHandbook[[#This Row],[UDC]],TableSTRUPSYCM[],7,FALSE),"")</f>
        <v/>
      </c>
      <c r="BG38" s="209" t="str">
        <f>IFERROR(VLOOKUP(TableHandbook[[#This Row],[UDC]],TableSTRUVARTB[],7,FALSE),"")</f>
        <v/>
      </c>
      <c r="BH38" s="209" t="str">
        <f>IFERROR(VLOOKUP(TableHandbook[[#This Row],[UDC]],TableSTRUVARTM[],7,FALSE),"")</f>
        <v/>
      </c>
    </row>
    <row r="39" spans="1:60" x14ac:dyDescent="0.25">
      <c r="A39" s="296" t="s">
        <v>514</v>
      </c>
      <c r="B39" s="7">
        <v>0</v>
      </c>
      <c r="C39" s="7"/>
      <c r="D39" s="207" t="s">
        <v>803</v>
      </c>
      <c r="E39" s="7">
        <v>25</v>
      </c>
      <c r="F39" s="84" t="s">
        <v>769</v>
      </c>
      <c r="G39" s="75" t="str">
        <f>IFERROR(IF(VLOOKUP(TableHandbook[[#This Row],[UDC]],TableAvailabilities[],2,FALSE)&gt;0,"Y",""),"")</f>
        <v/>
      </c>
      <c r="H39" s="75" t="str">
        <f>IFERROR(IF(VLOOKUP(TableHandbook[[#This Row],[UDC]],TableAvailabilities[],3,FALSE)&gt;0,"Y",""),"")</f>
        <v/>
      </c>
      <c r="I39" s="75" t="str">
        <f>IFERROR(IF(VLOOKUP(TableHandbook[[#This Row],[UDC]],TableAvailabilities[],4,FALSE)&gt;0,"Y",""),"")</f>
        <v/>
      </c>
      <c r="J39" s="75" t="str">
        <f>IFERROR(IF(VLOOKUP(TableHandbook[[#This Row],[UDC]],TableAvailabilities[],5,FALSE)&gt;0,"Y",""),"")</f>
        <v/>
      </c>
      <c r="K39" s="75" t="str">
        <f>IFERROR(IF(VLOOKUP(TableHandbook[[#This Row],[UDC]],TableAvailabilities[],6,FALSE)&gt;0,"Y",""),"")</f>
        <v/>
      </c>
      <c r="L39" s="75" t="str">
        <f>IFERROR(IF(VLOOKUP(TableHandbook[[#This Row],[UDC]],TableAvailabilities[],7,FALSE)&gt;0,"Y",""),"")</f>
        <v/>
      </c>
      <c r="M39" s="207"/>
      <c r="N39" s="209" t="str">
        <f>IFERROR(VLOOKUP(TableHandbook[[#This Row],[UDC]],TableBEDUC[],7,FALSE),"")</f>
        <v/>
      </c>
      <c r="O39" s="209" t="str">
        <f>IFERROR(VLOOKUP(TableHandbook[[#This Row],[UDC]],TableBEDEC[],7,FALSE),"")</f>
        <v/>
      </c>
      <c r="P39" s="211" t="str">
        <f>IFERROR(VLOOKUP(TableHandbook[[#This Row],[UDC]],TableBEDPR[],7,FALSE),"")</f>
        <v/>
      </c>
      <c r="Q39" s="209" t="str">
        <f>IFERROR(VLOOKUP(TableHandbook[[#This Row],[UDC]],TableSTRUCATHL[],7,FALSE),"")</f>
        <v/>
      </c>
      <c r="R39" s="209" t="str">
        <f>IFERROR(VLOOKUP(TableHandbook[[#This Row],[UDC]],TableSTRUENGLL[],7,FALSE),"")</f>
        <v/>
      </c>
      <c r="S39" s="209" t="str">
        <f>IFERROR(VLOOKUP(TableHandbook[[#This Row],[UDC]],TableSTRUHLTPE[],7,FALSE),"")</f>
        <v/>
      </c>
      <c r="T39" s="209" t="str">
        <f>IFERROR(VLOOKUP(TableHandbook[[#This Row],[UDC]],TableSTRUISTEM[],7,FALSE),"")</f>
        <v/>
      </c>
      <c r="U39" s="209" t="str">
        <f>IFERROR(VLOOKUP(TableHandbook[[#This Row],[UDC]],TableSTRULITNU[],7,FALSE),"")</f>
        <v/>
      </c>
      <c r="V39" s="209" t="str">
        <f>IFERROR(VLOOKUP(TableHandbook[[#This Row],[UDC]],TableSTRUTECHS[],7,FALSE),"")</f>
        <v/>
      </c>
      <c r="W39" s="211" t="str">
        <f>IFERROR(VLOOKUP(TableHandbook[[#This Row],[UDC]],TableBEDSC[],7,FALSE),"")</f>
        <v/>
      </c>
      <c r="X39" s="211" t="str">
        <f>IFERROR(VLOOKUP(TableHandbook[[#This Row],[UDC]],TableMJRUARDR1[],7,FALSE),"")</f>
        <v/>
      </c>
      <c r="Y39" s="209" t="str">
        <f>IFERROR(VLOOKUP(TableHandbook[[#This Row],[UDC]],TableMJRUARME1[],7,FALSE),"")</f>
        <v/>
      </c>
      <c r="Z39" s="209" t="str">
        <f>IFERROR(VLOOKUP(TableHandbook[[#This Row],[UDC]],TableMJRUARVA1[],7,FALSE),"")</f>
        <v/>
      </c>
      <c r="AA39" s="209" t="str">
        <f>IFERROR(VLOOKUP(TableHandbook[[#This Row],[UDC]],TableMJRUENGL1[],7,FALSE),"")</f>
        <v/>
      </c>
      <c r="AB39" s="209" t="str">
        <f>IFERROR(VLOOKUP(TableHandbook[[#This Row],[UDC]],TableMJRUHSEC1[],7,FALSE),"")</f>
        <v/>
      </c>
      <c r="AC39" s="209" t="str">
        <f>IFERROR(VLOOKUP(TableHandbook[[#This Row],[UDC]],TableMJRUHSGE1[],7,FALSE),"")</f>
        <v/>
      </c>
      <c r="AD39" s="209" t="str">
        <f>IFERROR(VLOOKUP(TableHandbook[[#This Row],[UDC]],TableMJRUHSHI1[],7,FALSE),"")</f>
        <v/>
      </c>
      <c r="AE39" s="209" t="str">
        <f>IFERROR(VLOOKUP(TableHandbook[[#This Row],[UDC]],TableMJRUHSPL1[],7,FALSE),"")</f>
        <v/>
      </c>
      <c r="AF39" s="209" t="str">
        <f>IFERROR(VLOOKUP(TableHandbook[[#This Row],[UDC]],TableMJRUMATH1[],7,FALSE),"")</f>
        <v>AltCore</v>
      </c>
      <c r="AG39" s="209" t="str">
        <f>IFERROR(VLOOKUP(TableHandbook[[#This Row],[UDC]],TableMJRUPHYSE[],7,FALSE),"")</f>
        <v/>
      </c>
      <c r="AH39" s="209" t="str">
        <f>IFERROR(VLOOKUP(TableHandbook[[#This Row],[UDC]],TableMJRUSCBI1[],7,FALSE),"")</f>
        <v/>
      </c>
      <c r="AI39" s="209" t="str">
        <f>IFERROR(VLOOKUP(TableHandbook[[#This Row],[UDC]],TableMJRUSCCH1[],7,FALSE),"")</f>
        <v/>
      </c>
      <c r="AJ39" s="209" t="str">
        <f>IFERROR(VLOOKUP(TableHandbook[[#This Row],[UDC]],TableMJRUSCHB1[],7,FALSE),"")</f>
        <v/>
      </c>
      <c r="AK39" s="209" t="str">
        <f>IFERROR(VLOOKUP(TableHandbook[[#This Row],[UDC]],TableMJRUSCPH1[],7,FALSE),"")</f>
        <v/>
      </c>
      <c r="AL39" s="209" t="str">
        <f>IFERROR(VLOOKUP(TableHandbook[[#This Row],[UDC]],TableMJRUSCPS1[],7,FALSE),"")</f>
        <v/>
      </c>
      <c r="AM39" s="211" t="str">
        <f>IFERROR(VLOOKUP(TableHandbook[[#This Row],[UDC]],TableSTRUBIOLB[],7,FALSE),"")</f>
        <v/>
      </c>
      <c r="AN39" s="209" t="str">
        <f>IFERROR(VLOOKUP(TableHandbook[[#This Row],[UDC]],TableSTRUBSCIM[],7,FALSE),"")</f>
        <v/>
      </c>
      <c r="AO39" s="209" t="str">
        <f>IFERROR(VLOOKUP(TableHandbook[[#This Row],[UDC]],TableSTRUCHEMB[],7,FALSE),"")</f>
        <v/>
      </c>
      <c r="AP39" s="209" t="str">
        <f>IFERROR(VLOOKUP(TableHandbook[[#This Row],[UDC]],TableSTRUECOB1[],7,FALSE),"")</f>
        <v/>
      </c>
      <c r="AQ39" s="209" t="str">
        <f>IFERROR(VLOOKUP(TableHandbook[[#This Row],[UDC]],TableSTRUENGLB[],7,FALSE),"")</f>
        <v/>
      </c>
      <c r="AR39" s="209" t="str">
        <f>IFERROR(VLOOKUP(TableHandbook[[#This Row],[UDC]],TableSTRUENGLM[],7,FALSE),"")</f>
        <v/>
      </c>
      <c r="AS39" s="209" t="str">
        <f>IFERROR(VLOOKUP(TableHandbook[[#This Row],[UDC]],TableSTRUGEOB1[],7,FALSE),"")</f>
        <v/>
      </c>
      <c r="AT39" s="209" t="str">
        <f>IFERROR(VLOOKUP(TableHandbook[[#This Row],[UDC]],TableSTRUGEOGM[],7,FALSE),"")</f>
        <v/>
      </c>
      <c r="AU39" s="209" t="str">
        <f>IFERROR(VLOOKUP(TableHandbook[[#This Row],[UDC]],TableSTRUHISB1[],7,FALSE),"")</f>
        <v/>
      </c>
      <c r="AV39" s="209" t="str">
        <f>IFERROR(VLOOKUP(TableHandbook[[#This Row],[UDC]],TableSTRUHISTM[],7,FALSE),"")</f>
        <v/>
      </c>
      <c r="AW39" s="209" t="str">
        <f>IFERROR(VLOOKUP(TableHandbook[[#This Row],[UDC]],TableSTRUHPEB1[],7,FALSE),"")</f>
        <v/>
      </c>
      <c r="AX39" s="209" t="str">
        <f>IFERROR(VLOOKUP(TableHandbook[[#This Row],[UDC]],TableSTRUHUMBB[],7,FALSE),"")</f>
        <v/>
      </c>
      <c r="AY39" s="209" t="str">
        <f>IFERROR(VLOOKUP(TableHandbook[[#This Row],[UDC]],TableSTRUMARTM[],7,FALSE),"")</f>
        <v/>
      </c>
      <c r="AZ39" s="209" t="str">
        <f>IFERROR(VLOOKUP(TableHandbook[[#This Row],[UDC]],TableSTRUMATHB[],7,FALSE),"")</f>
        <v/>
      </c>
      <c r="BA39" s="209" t="str">
        <f>IFERROR(VLOOKUP(TableHandbook[[#This Row],[UDC]],TableSTRUMATHM[],7,FALSE),"")</f>
        <v/>
      </c>
      <c r="BB39" s="209" t="str">
        <f>IFERROR(VLOOKUP(TableHandbook[[#This Row],[UDC]],TableSTRUPARTB[],7,FALSE),"")</f>
        <v/>
      </c>
      <c r="BC39" s="209" t="str">
        <f>IFERROR(VLOOKUP(TableHandbook[[#This Row],[UDC]],TableSTRUPARTM[],7,FALSE),"")</f>
        <v/>
      </c>
      <c r="BD39" s="209" t="str">
        <f>IFERROR(VLOOKUP(TableHandbook[[#This Row],[UDC]],TableSTRUPOLB1[],7,FALSE),"")</f>
        <v/>
      </c>
      <c r="BE39" s="209" t="str">
        <f>IFERROR(VLOOKUP(TableHandbook[[#This Row],[UDC]],TableSTRUPSYCB[],7,FALSE),"")</f>
        <v/>
      </c>
      <c r="BF39" s="209" t="str">
        <f>IFERROR(VLOOKUP(TableHandbook[[#This Row],[UDC]],TableSTRUPSYCM[],7,FALSE),"")</f>
        <v/>
      </c>
      <c r="BG39" s="209" t="str">
        <f>IFERROR(VLOOKUP(TableHandbook[[#This Row],[UDC]],TableSTRUVARTB[],7,FALSE),"")</f>
        <v/>
      </c>
      <c r="BH39" s="209" t="str">
        <f>IFERROR(VLOOKUP(TableHandbook[[#This Row],[UDC]],TableSTRUVARTM[],7,FALSE),"")</f>
        <v/>
      </c>
    </row>
    <row r="40" spans="1:60" x14ac:dyDescent="0.25">
      <c r="A40" s="305" t="s">
        <v>715</v>
      </c>
      <c r="B40" s="7">
        <v>0</v>
      </c>
      <c r="C40" s="7"/>
      <c r="D40" s="207" t="s">
        <v>804</v>
      </c>
      <c r="E40" s="7">
        <v>25</v>
      </c>
      <c r="F40" s="84" t="s">
        <v>769</v>
      </c>
      <c r="G40" s="75" t="str">
        <f>IFERROR(IF(VLOOKUP(TableHandbook[[#This Row],[UDC]],TableAvailabilities[],2,FALSE)&gt;0,"Y",""),"")</f>
        <v/>
      </c>
      <c r="H40" s="75" t="str">
        <f>IFERROR(IF(VLOOKUP(TableHandbook[[#This Row],[UDC]],TableAvailabilities[],3,FALSE)&gt;0,"Y",""),"")</f>
        <v/>
      </c>
      <c r="I40" s="75" t="str">
        <f>IFERROR(IF(VLOOKUP(TableHandbook[[#This Row],[UDC]],TableAvailabilities[],4,FALSE)&gt;0,"Y",""),"")</f>
        <v/>
      </c>
      <c r="J40" s="75" t="str">
        <f>IFERROR(IF(VLOOKUP(TableHandbook[[#This Row],[UDC]],TableAvailabilities[],5,FALSE)&gt;0,"Y",""),"")</f>
        <v/>
      </c>
      <c r="K40" s="75" t="str">
        <f>IFERROR(IF(VLOOKUP(TableHandbook[[#This Row],[UDC]],TableAvailabilities[],6,FALSE)&gt;0,"Y",""),"")</f>
        <v/>
      </c>
      <c r="L40" s="75" t="str">
        <f>IFERROR(IF(VLOOKUP(TableHandbook[[#This Row],[UDC]],TableAvailabilities[],7,FALSE)&gt;0,"Y",""),"")</f>
        <v/>
      </c>
      <c r="M40" s="207"/>
      <c r="N40" s="209" t="str">
        <f>IFERROR(VLOOKUP(TableHandbook[[#This Row],[UDC]],TableBEDUC[],7,FALSE),"")</f>
        <v/>
      </c>
      <c r="O40" s="209" t="str">
        <f>IFERROR(VLOOKUP(TableHandbook[[#This Row],[UDC]],TableBEDEC[],7,FALSE),"")</f>
        <v/>
      </c>
      <c r="P40" s="211" t="str">
        <f>IFERROR(VLOOKUP(TableHandbook[[#This Row],[UDC]],TableBEDPR[],7,FALSE),"")</f>
        <v/>
      </c>
      <c r="Q40" s="209" t="str">
        <f>IFERROR(VLOOKUP(TableHandbook[[#This Row],[UDC]],TableSTRUCATHL[],7,FALSE),"")</f>
        <v/>
      </c>
      <c r="R40" s="209" t="str">
        <f>IFERROR(VLOOKUP(TableHandbook[[#This Row],[UDC]],TableSTRUENGLL[],7,FALSE),"")</f>
        <v/>
      </c>
      <c r="S40" s="209" t="str">
        <f>IFERROR(VLOOKUP(TableHandbook[[#This Row],[UDC]],TableSTRUHLTPE[],7,FALSE),"")</f>
        <v/>
      </c>
      <c r="T40" s="209" t="str">
        <f>IFERROR(VLOOKUP(TableHandbook[[#This Row],[UDC]],TableSTRUISTEM[],7,FALSE),"")</f>
        <v/>
      </c>
      <c r="U40" s="209" t="str">
        <f>IFERROR(VLOOKUP(TableHandbook[[#This Row],[UDC]],TableSTRULITNU[],7,FALSE),"")</f>
        <v/>
      </c>
      <c r="V40" s="209" t="str">
        <f>IFERROR(VLOOKUP(TableHandbook[[#This Row],[UDC]],TableSTRUTECHS[],7,FALSE),"")</f>
        <v/>
      </c>
      <c r="W40" s="211" t="str">
        <f>IFERROR(VLOOKUP(TableHandbook[[#This Row],[UDC]],TableBEDSC[],7,FALSE),"")</f>
        <v/>
      </c>
      <c r="X40" s="211" t="str">
        <f>IFERROR(VLOOKUP(TableHandbook[[#This Row],[UDC]],TableMJRUARDR1[],7,FALSE),"")</f>
        <v/>
      </c>
      <c r="Y40" s="209" t="str">
        <f>IFERROR(VLOOKUP(TableHandbook[[#This Row],[UDC]],TableMJRUARME1[],7,FALSE),"")</f>
        <v/>
      </c>
      <c r="Z40" s="209" t="str">
        <f>IFERROR(VLOOKUP(TableHandbook[[#This Row],[UDC]],TableMJRUARVA1[],7,FALSE),"")</f>
        <v/>
      </c>
      <c r="AA40" s="209" t="str">
        <f>IFERROR(VLOOKUP(TableHandbook[[#This Row],[UDC]],TableMJRUENGL1[],7,FALSE),"")</f>
        <v/>
      </c>
      <c r="AB40" s="209" t="str">
        <f>IFERROR(VLOOKUP(TableHandbook[[#This Row],[UDC]],TableMJRUHSEC1[],7,FALSE),"")</f>
        <v/>
      </c>
      <c r="AC40" s="209" t="str">
        <f>IFERROR(VLOOKUP(TableHandbook[[#This Row],[UDC]],TableMJRUHSGE1[],7,FALSE),"")</f>
        <v/>
      </c>
      <c r="AD40" s="209" t="str">
        <f>IFERROR(VLOOKUP(TableHandbook[[#This Row],[UDC]],TableMJRUHSHI1[],7,FALSE),"")</f>
        <v/>
      </c>
      <c r="AE40" s="209" t="str">
        <f>IFERROR(VLOOKUP(TableHandbook[[#This Row],[UDC]],TableMJRUHSPL1[],7,FALSE),"")</f>
        <v/>
      </c>
      <c r="AF40" s="209" t="str">
        <f>IFERROR(VLOOKUP(TableHandbook[[#This Row],[UDC]],TableMJRUMATH1[],7,FALSE),"")</f>
        <v/>
      </c>
      <c r="AG40" s="209" t="str">
        <f>IFERROR(VLOOKUP(TableHandbook[[#This Row],[UDC]],TableMJRUPHYSE[],7,FALSE),"")</f>
        <v/>
      </c>
      <c r="AH40" s="209" t="str">
        <f>IFERROR(VLOOKUP(TableHandbook[[#This Row],[UDC]],TableMJRUSCBI1[],7,FALSE),"")</f>
        <v/>
      </c>
      <c r="AI40" s="209" t="str">
        <f>IFERROR(VLOOKUP(TableHandbook[[#This Row],[UDC]],TableMJRUSCCH1[],7,FALSE),"")</f>
        <v/>
      </c>
      <c r="AJ40" s="209" t="str">
        <f>IFERROR(VLOOKUP(TableHandbook[[#This Row],[UDC]],TableMJRUSCHB1[],7,FALSE),"")</f>
        <v/>
      </c>
      <c r="AK40" s="209" t="str">
        <f>IFERROR(VLOOKUP(TableHandbook[[#This Row],[UDC]],TableMJRUSCPH1[],7,FALSE),"")</f>
        <v/>
      </c>
      <c r="AL40" s="209" t="str">
        <f>IFERROR(VLOOKUP(TableHandbook[[#This Row],[UDC]],TableMJRUSCPS1[],7,FALSE),"")</f>
        <v/>
      </c>
      <c r="AM40" s="211" t="str">
        <f>IFERROR(VLOOKUP(TableHandbook[[#This Row],[UDC]],TableSTRUBIOLB[],7,FALSE),"")</f>
        <v/>
      </c>
      <c r="AN40" s="209" t="str">
        <f>IFERROR(VLOOKUP(TableHandbook[[#This Row],[UDC]],TableSTRUBSCIM[],7,FALSE),"")</f>
        <v/>
      </c>
      <c r="AO40" s="209" t="str">
        <f>IFERROR(VLOOKUP(TableHandbook[[#This Row],[UDC]],TableSTRUCHEMB[],7,FALSE),"")</f>
        <v/>
      </c>
      <c r="AP40" s="209" t="str">
        <f>IFERROR(VLOOKUP(TableHandbook[[#This Row],[UDC]],TableSTRUECOB1[],7,FALSE),"")</f>
        <v/>
      </c>
      <c r="AQ40" s="209" t="str">
        <f>IFERROR(VLOOKUP(TableHandbook[[#This Row],[UDC]],TableSTRUENGLB[],7,FALSE),"")</f>
        <v/>
      </c>
      <c r="AR40" s="209" t="str">
        <f>IFERROR(VLOOKUP(TableHandbook[[#This Row],[UDC]],TableSTRUENGLM[],7,FALSE),"")</f>
        <v/>
      </c>
      <c r="AS40" s="209" t="str">
        <f>IFERROR(VLOOKUP(TableHandbook[[#This Row],[UDC]],TableSTRUGEOB1[],7,FALSE),"")</f>
        <v/>
      </c>
      <c r="AT40" s="209" t="str">
        <f>IFERROR(VLOOKUP(TableHandbook[[#This Row],[UDC]],TableSTRUGEOGM[],7,FALSE),"")</f>
        <v/>
      </c>
      <c r="AU40" s="209" t="str">
        <f>IFERROR(VLOOKUP(TableHandbook[[#This Row],[UDC]],TableSTRUHISB1[],7,FALSE),"")</f>
        <v/>
      </c>
      <c r="AV40" s="209" t="str">
        <f>IFERROR(VLOOKUP(TableHandbook[[#This Row],[UDC]],TableSTRUHISTM[],7,FALSE),"")</f>
        <v/>
      </c>
      <c r="AW40" s="209" t="str">
        <f>IFERROR(VLOOKUP(TableHandbook[[#This Row],[UDC]],TableSTRUHPEB1[],7,FALSE),"")</f>
        <v/>
      </c>
      <c r="AX40" s="209" t="str">
        <f>IFERROR(VLOOKUP(TableHandbook[[#This Row],[UDC]],TableSTRUHUMBB[],7,FALSE),"")</f>
        <v/>
      </c>
      <c r="AY40" s="209" t="str">
        <f>IFERROR(VLOOKUP(TableHandbook[[#This Row],[UDC]],TableSTRUMARTM[],7,FALSE),"")</f>
        <v/>
      </c>
      <c r="AZ40" s="209" t="str">
        <f>IFERROR(VLOOKUP(TableHandbook[[#This Row],[UDC]],TableSTRUMATHB[],7,FALSE),"")</f>
        <v/>
      </c>
      <c r="BA40" s="209" t="str">
        <f>IFERROR(VLOOKUP(TableHandbook[[#This Row],[UDC]],TableSTRUMATHM[],7,FALSE),"")</f>
        <v>AltCore</v>
      </c>
      <c r="BB40" s="209" t="str">
        <f>IFERROR(VLOOKUP(TableHandbook[[#This Row],[UDC]],TableSTRUPARTB[],7,FALSE),"")</f>
        <v/>
      </c>
      <c r="BC40" s="209" t="str">
        <f>IFERROR(VLOOKUP(TableHandbook[[#This Row],[UDC]],TableSTRUPARTM[],7,FALSE),"")</f>
        <v/>
      </c>
      <c r="BD40" s="209" t="str">
        <f>IFERROR(VLOOKUP(TableHandbook[[#This Row],[UDC]],TableSTRUPOLB1[],7,FALSE),"")</f>
        <v/>
      </c>
      <c r="BE40" s="209" t="str">
        <f>IFERROR(VLOOKUP(TableHandbook[[#This Row],[UDC]],TableSTRUPSYCB[],7,FALSE),"")</f>
        <v/>
      </c>
      <c r="BF40" s="209" t="str">
        <f>IFERROR(VLOOKUP(TableHandbook[[#This Row],[UDC]],TableSTRUPSYCM[],7,FALSE),"")</f>
        <v/>
      </c>
      <c r="BG40" s="209" t="str">
        <f>IFERROR(VLOOKUP(TableHandbook[[#This Row],[UDC]],TableSTRUVARTB[],7,FALSE),"")</f>
        <v/>
      </c>
      <c r="BH40" s="209" t="str">
        <f>IFERROR(VLOOKUP(TableHandbook[[#This Row],[UDC]],TableSTRUVARTM[],7,FALSE),"")</f>
        <v/>
      </c>
    </row>
    <row r="41" spans="1:60" x14ac:dyDescent="0.25">
      <c r="A41" s="305" t="s">
        <v>699</v>
      </c>
      <c r="B41" s="7">
        <v>0</v>
      </c>
      <c r="C41" s="7"/>
      <c r="D41" s="207" t="s">
        <v>805</v>
      </c>
      <c r="E41" s="7">
        <v>25</v>
      </c>
      <c r="F41" s="84" t="s">
        <v>769</v>
      </c>
      <c r="G41" s="75" t="str">
        <f>IFERROR(IF(VLOOKUP(TableHandbook[[#This Row],[UDC]],TableAvailabilities[],2,FALSE)&gt;0,"Y",""),"")</f>
        <v/>
      </c>
      <c r="H41" s="75" t="str">
        <f>IFERROR(IF(VLOOKUP(TableHandbook[[#This Row],[UDC]],TableAvailabilities[],3,FALSE)&gt;0,"Y",""),"")</f>
        <v/>
      </c>
      <c r="I41" s="75" t="str">
        <f>IFERROR(IF(VLOOKUP(TableHandbook[[#This Row],[UDC]],TableAvailabilities[],4,FALSE)&gt;0,"Y",""),"")</f>
        <v/>
      </c>
      <c r="J41" s="75" t="str">
        <f>IFERROR(IF(VLOOKUP(TableHandbook[[#This Row],[UDC]],TableAvailabilities[],5,FALSE)&gt;0,"Y",""),"")</f>
        <v/>
      </c>
      <c r="K41" s="75" t="str">
        <f>IFERROR(IF(VLOOKUP(TableHandbook[[#This Row],[UDC]],TableAvailabilities[],6,FALSE)&gt;0,"Y",""),"")</f>
        <v/>
      </c>
      <c r="L41" s="75" t="str">
        <f>IFERROR(IF(VLOOKUP(TableHandbook[[#This Row],[UDC]],TableAvailabilities[],7,FALSE)&gt;0,"Y",""),"")</f>
        <v/>
      </c>
      <c r="M41" s="207"/>
      <c r="N41" s="209" t="str">
        <f>IFERROR(VLOOKUP(TableHandbook[[#This Row],[UDC]],TableBEDUC[],7,FALSE),"")</f>
        <v/>
      </c>
      <c r="O41" s="209" t="str">
        <f>IFERROR(VLOOKUP(TableHandbook[[#This Row],[UDC]],TableBEDEC[],7,FALSE),"")</f>
        <v/>
      </c>
      <c r="P41" s="211" t="str">
        <f>IFERROR(VLOOKUP(TableHandbook[[#This Row],[UDC]],TableBEDPR[],7,FALSE),"")</f>
        <v/>
      </c>
      <c r="Q41" s="209" t="str">
        <f>IFERROR(VLOOKUP(TableHandbook[[#This Row],[UDC]],TableSTRUCATHL[],7,FALSE),"")</f>
        <v/>
      </c>
      <c r="R41" s="209" t="str">
        <f>IFERROR(VLOOKUP(TableHandbook[[#This Row],[UDC]],TableSTRUENGLL[],7,FALSE),"")</f>
        <v/>
      </c>
      <c r="S41" s="209" t="str">
        <f>IFERROR(VLOOKUP(TableHandbook[[#This Row],[UDC]],TableSTRUHLTPE[],7,FALSE),"")</f>
        <v/>
      </c>
      <c r="T41" s="209" t="str">
        <f>IFERROR(VLOOKUP(TableHandbook[[#This Row],[UDC]],TableSTRUISTEM[],7,FALSE),"")</f>
        <v/>
      </c>
      <c r="U41" s="209" t="str">
        <f>IFERROR(VLOOKUP(TableHandbook[[#This Row],[UDC]],TableSTRULITNU[],7,FALSE),"")</f>
        <v/>
      </c>
      <c r="V41" s="209" t="str">
        <f>IFERROR(VLOOKUP(TableHandbook[[#This Row],[UDC]],TableSTRUTECHS[],7,FALSE),"")</f>
        <v/>
      </c>
      <c r="W41" s="211" t="str">
        <f>IFERROR(VLOOKUP(TableHandbook[[#This Row],[UDC]],TableBEDSC[],7,FALSE),"")</f>
        <v/>
      </c>
      <c r="X41" s="211" t="str">
        <f>IFERROR(VLOOKUP(TableHandbook[[#This Row],[UDC]],TableMJRUARDR1[],7,FALSE),"")</f>
        <v/>
      </c>
      <c r="Y41" s="209" t="str">
        <f>IFERROR(VLOOKUP(TableHandbook[[#This Row],[UDC]],TableMJRUARME1[],7,FALSE),"")</f>
        <v/>
      </c>
      <c r="Z41" s="209" t="str">
        <f>IFERROR(VLOOKUP(TableHandbook[[#This Row],[UDC]],TableMJRUARVA1[],7,FALSE),"")</f>
        <v/>
      </c>
      <c r="AA41" s="209" t="str">
        <f>IFERROR(VLOOKUP(TableHandbook[[#This Row],[UDC]],TableMJRUENGL1[],7,FALSE),"")</f>
        <v/>
      </c>
      <c r="AB41" s="209" t="str">
        <f>IFERROR(VLOOKUP(TableHandbook[[#This Row],[UDC]],TableMJRUHSEC1[],7,FALSE),"")</f>
        <v/>
      </c>
      <c r="AC41" s="209" t="str">
        <f>IFERROR(VLOOKUP(TableHandbook[[#This Row],[UDC]],TableMJRUHSGE1[],7,FALSE),"")</f>
        <v/>
      </c>
      <c r="AD41" s="209" t="str">
        <f>IFERROR(VLOOKUP(TableHandbook[[#This Row],[UDC]],TableMJRUHSHI1[],7,FALSE),"")</f>
        <v/>
      </c>
      <c r="AE41" s="209" t="str">
        <f>IFERROR(VLOOKUP(TableHandbook[[#This Row],[UDC]],TableMJRUHSPL1[],7,FALSE),"")</f>
        <v/>
      </c>
      <c r="AF41" s="209" t="str">
        <f>IFERROR(VLOOKUP(TableHandbook[[#This Row],[UDC]],TableMJRUMATH1[],7,FALSE),"")</f>
        <v/>
      </c>
      <c r="AG41" s="209" t="str">
        <f>IFERROR(VLOOKUP(TableHandbook[[#This Row],[UDC]],TableMJRUPHYSE[],7,FALSE),"")</f>
        <v/>
      </c>
      <c r="AH41" s="209" t="str">
        <f>IFERROR(VLOOKUP(TableHandbook[[#This Row],[UDC]],TableMJRUSCBI1[],7,FALSE),"")</f>
        <v/>
      </c>
      <c r="AI41" s="209" t="str">
        <f>IFERROR(VLOOKUP(TableHandbook[[#This Row],[UDC]],TableMJRUSCCH1[],7,FALSE),"")</f>
        <v/>
      </c>
      <c r="AJ41" s="209" t="str">
        <f>IFERROR(VLOOKUP(TableHandbook[[#This Row],[UDC]],TableMJRUSCHB1[],7,FALSE),"")</f>
        <v/>
      </c>
      <c r="AK41" s="209" t="str">
        <f>IFERROR(VLOOKUP(TableHandbook[[#This Row],[UDC]],TableMJRUSCPH1[],7,FALSE),"")</f>
        <v/>
      </c>
      <c r="AL41" s="209" t="str">
        <f>IFERROR(VLOOKUP(TableHandbook[[#This Row],[UDC]],TableMJRUSCPS1[],7,FALSE),"")</f>
        <v/>
      </c>
      <c r="AM41" s="211" t="str">
        <f>IFERROR(VLOOKUP(TableHandbook[[#This Row],[UDC]],TableSTRUBIOLB[],7,FALSE),"")</f>
        <v/>
      </c>
      <c r="AN41" s="209" t="str">
        <f>IFERROR(VLOOKUP(TableHandbook[[#This Row],[UDC]],TableSTRUBSCIM[],7,FALSE),"")</f>
        <v/>
      </c>
      <c r="AO41" s="209" t="str">
        <f>IFERROR(VLOOKUP(TableHandbook[[#This Row],[UDC]],TableSTRUCHEMB[],7,FALSE),"")</f>
        <v/>
      </c>
      <c r="AP41" s="209" t="str">
        <f>IFERROR(VLOOKUP(TableHandbook[[#This Row],[UDC]],TableSTRUECOB1[],7,FALSE),"")</f>
        <v/>
      </c>
      <c r="AQ41" s="209" t="str">
        <f>IFERROR(VLOOKUP(TableHandbook[[#This Row],[UDC]],TableSTRUENGLB[],7,FALSE),"")</f>
        <v/>
      </c>
      <c r="AR41" s="209" t="str">
        <f>IFERROR(VLOOKUP(TableHandbook[[#This Row],[UDC]],TableSTRUENGLM[],7,FALSE),"")</f>
        <v/>
      </c>
      <c r="AS41" s="209" t="str">
        <f>IFERROR(VLOOKUP(TableHandbook[[#This Row],[UDC]],TableSTRUGEOB1[],7,FALSE),"")</f>
        <v/>
      </c>
      <c r="AT41" s="209" t="str">
        <f>IFERROR(VLOOKUP(TableHandbook[[#This Row],[UDC]],TableSTRUGEOGM[],7,FALSE),"")</f>
        <v/>
      </c>
      <c r="AU41" s="209" t="str">
        <f>IFERROR(VLOOKUP(TableHandbook[[#This Row],[UDC]],TableSTRUHISB1[],7,FALSE),"")</f>
        <v/>
      </c>
      <c r="AV41" s="209" t="str">
        <f>IFERROR(VLOOKUP(TableHandbook[[#This Row],[UDC]],TableSTRUHISTM[],7,FALSE),"")</f>
        <v/>
      </c>
      <c r="AW41" s="209" t="str">
        <f>IFERROR(VLOOKUP(TableHandbook[[#This Row],[UDC]],TableSTRUHPEB1[],7,FALSE),"")</f>
        <v/>
      </c>
      <c r="AX41" s="209" t="str">
        <f>IFERROR(VLOOKUP(TableHandbook[[#This Row],[UDC]],TableSTRUHUMBB[],7,FALSE),"")</f>
        <v/>
      </c>
      <c r="AY41" s="209" t="str">
        <f>IFERROR(VLOOKUP(TableHandbook[[#This Row],[UDC]],TableSTRUMARTM[],7,FALSE),"")</f>
        <v/>
      </c>
      <c r="AZ41" s="209" t="str">
        <f>IFERROR(VLOOKUP(TableHandbook[[#This Row],[UDC]],TableSTRUMATHB[],7,FALSE),"")</f>
        <v/>
      </c>
      <c r="BA41" s="209" t="str">
        <f>IFERROR(VLOOKUP(TableHandbook[[#This Row],[UDC]],TableSTRUMATHM[],7,FALSE),"")</f>
        <v/>
      </c>
      <c r="BB41" s="209" t="str">
        <f>IFERROR(VLOOKUP(TableHandbook[[#This Row],[UDC]],TableSTRUPARTB[],7,FALSE),"")</f>
        <v>AltCore</v>
      </c>
      <c r="BC41" s="209" t="str">
        <f>IFERROR(VLOOKUP(TableHandbook[[#This Row],[UDC]],TableSTRUPARTM[],7,FALSE),"")</f>
        <v/>
      </c>
      <c r="BD41" s="209" t="str">
        <f>IFERROR(VLOOKUP(TableHandbook[[#This Row],[UDC]],TableSTRUPOLB1[],7,FALSE),"")</f>
        <v/>
      </c>
      <c r="BE41" s="209" t="str">
        <f>IFERROR(VLOOKUP(TableHandbook[[#This Row],[UDC]],TableSTRUPSYCB[],7,FALSE),"")</f>
        <v/>
      </c>
      <c r="BF41" s="209" t="str">
        <f>IFERROR(VLOOKUP(TableHandbook[[#This Row],[UDC]],TableSTRUPSYCM[],7,FALSE),"")</f>
        <v/>
      </c>
      <c r="BG41" s="209" t="str">
        <f>IFERROR(VLOOKUP(TableHandbook[[#This Row],[UDC]],TableSTRUVARTB[],7,FALSE),"")</f>
        <v/>
      </c>
      <c r="BH41" s="209" t="str">
        <f>IFERROR(VLOOKUP(TableHandbook[[#This Row],[UDC]],TableSTRUVARTM[],7,FALSE),"")</f>
        <v/>
      </c>
    </row>
    <row r="42" spans="1:60" x14ac:dyDescent="0.25">
      <c r="A42" s="305" t="s">
        <v>709</v>
      </c>
      <c r="B42" s="7">
        <v>0</v>
      </c>
      <c r="C42" s="7"/>
      <c r="D42" s="207" t="s">
        <v>806</v>
      </c>
      <c r="E42" s="7">
        <v>25</v>
      </c>
      <c r="F42" s="84" t="s">
        <v>769</v>
      </c>
      <c r="G42" s="75" t="str">
        <f>IFERROR(IF(VLOOKUP(TableHandbook[[#This Row],[UDC]],TableAvailabilities[],2,FALSE)&gt;0,"Y",""),"")</f>
        <v/>
      </c>
      <c r="H42" s="75" t="str">
        <f>IFERROR(IF(VLOOKUP(TableHandbook[[#This Row],[UDC]],TableAvailabilities[],3,FALSE)&gt;0,"Y",""),"")</f>
        <v/>
      </c>
      <c r="I42" s="75" t="str">
        <f>IFERROR(IF(VLOOKUP(TableHandbook[[#This Row],[UDC]],TableAvailabilities[],4,FALSE)&gt;0,"Y",""),"")</f>
        <v/>
      </c>
      <c r="J42" s="75" t="str">
        <f>IFERROR(IF(VLOOKUP(TableHandbook[[#This Row],[UDC]],TableAvailabilities[],5,FALSE)&gt;0,"Y",""),"")</f>
        <v/>
      </c>
      <c r="K42" s="75" t="str">
        <f>IFERROR(IF(VLOOKUP(TableHandbook[[#This Row],[UDC]],TableAvailabilities[],6,FALSE)&gt;0,"Y",""),"")</f>
        <v/>
      </c>
      <c r="L42" s="75" t="str">
        <f>IFERROR(IF(VLOOKUP(TableHandbook[[#This Row],[UDC]],TableAvailabilities[],7,FALSE)&gt;0,"Y",""),"")</f>
        <v/>
      </c>
      <c r="M42" s="207"/>
      <c r="N42" s="209" t="str">
        <f>IFERROR(VLOOKUP(TableHandbook[[#This Row],[UDC]],TableBEDUC[],7,FALSE),"")</f>
        <v/>
      </c>
      <c r="O42" s="209" t="str">
        <f>IFERROR(VLOOKUP(TableHandbook[[#This Row],[UDC]],TableBEDEC[],7,FALSE),"")</f>
        <v/>
      </c>
      <c r="P42" s="211" t="str">
        <f>IFERROR(VLOOKUP(TableHandbook[[#This Row],[UDC]],TableBEDPR[],7,FALSE),"")</f>
        <v/>
      </c>
      <c r="Q42" s="209" t="str">
        <f>IFERROR(VLOOKUP(TableHandbook[[#This Row],[UDC]],TableSTRUCATHL[],7,FALSE),"")</f>
        <v/>
      </c>
      <c r="R42" s="209" t="str">
        <f>IFERROR(VLOOKUP(TableHandbook[[#This Row],[UDC]],TableSTRUENGLL[],7,FALSE),"")</f>
        <v/>
      </c>
      <c r="S42" s="209" t="str">
        <f>IFERROR(VLOOKUP(TableHandbook[[#This Row],[UDC]],TableSTRUHLTPE[],7,FALSE),"")</f>
        <v/>
      </c>
      <c r="T42" s="209" t="str">
        <f>IFERROR(VLOOKUP(TableHandbook[[#This Row],[UDC]],TableSTRUISTEM[],7,FALSE),"")</f>
        <v/>
      </c>
      <c r="U42" s="209" t="str">
        <f>IFERROR(VLOOKUP(TableHandbook[[#This Row],[UDC]],TableSTRULITNU[],7,FALSE),"")</f>
        <v/>
      </c>
      <c r="V42" s="209" t="str">
        <f>IFERROR(VLOOKUP(TableHandbook[[#This Row],[UDC]],TableSTRUTECHS[],7,FALSE),"")</f>
        <v/>
      </c>
      <c r="W42" s="211" t="str">
        <f>IFERROR(VLOOKUP(TableHandbook[[#This Row],[UDC]],TableBEDSC[],7,FALSE),"")</f>
        <v/>
      </c>
      <c r="X42" s="211" t="str">
        <f>IFERROR(VLOOKUP(TableHandbook[[#This Row],[UDC]],TableMJRUARDR1[],7,FALSE),"")</f>
        <v/>
      </c>
      <c r="Y42" s="209" t="str">
        <f>IFERROR(VLOOKUP(TableHandbook[[#This Row],[UDC]],TableMJRUARME1[],7,FALSE),"")</f>
        <v/>
      </c>
      <c r="Z42" s="209" t="str">
        <f>IFERROR(VLOOKUP(TableHandbook[[#This Row],[UDC]],TableMJRUARVA1[],7,FALSE),"")</f>
        <v/>
      </c>
      <c r="AA42" s="209" t="str">
        <f>IFERROR(VLOOKUP(TableHandbook[[#This Row],[UDC]],TableMJRUENGL1[],7,FALSE),"")</f>
        <v/>
      </c>
      <c r="AB42" s="209" t="str">
        <f>IFERROR(VLOOKUP(TableHandbook[[#This Row],[UDC]],TableMJRUHSEC1[],7,FALSE),"")</f>
        <v/>
      </c>
      <c r="AC42" s="209" t="str">
        <f>IFERROR(VLOOKUP(TableHandbook[[#This Row],[UDC]],TableMJRUHSGE1[],7,FALSE),"")</f>
        <v/>
      </c>
      <c r="AD42" s="209" t="str">
        <f>IFERROR(VLOOKUP(TableHandbook[[#This Row],[UDC]],TableMJRUHSHI1[],7,FALSE),"")</f>
        <v/>
      </c>
      <c r="AE42" s="209" t="str">
        <f>IFERROR(VLOOKUP(TableHandbook[[#This Row],[UDC]],TableMJRUHSPL1[],7,FALSE),"")</f>
        <v/>
      </c>
      <c r="AF42" s="209" t="str">
        <f>IFERROR(VLOOKUP(TableHandbook[[#This Row],[UDC]],TableMJRUMATH1[],7,FALSE),"")</f>
        <v/>
      </c>
      <c r="AG42" s="209" t="str">
        <f>IFERROR(VLOOKUP(TableHandbook[[#This Row],[UDC]],TableMJRUPHYSE[],7,FALSE),"")</f>
        <v/>
      </c>
      <c r="AH42" s="209" t="str">
        <f>IFERROR(VLOOKUP(TableHandbook[[#This Row],[UDC]],TableMJRUSCBI1[],7,FALSE),"")</f>
        <v/>
      </c>
      <c r="AI42" s="209" t="str">
        <f>IFERROR(VLOOKUP(TableHandbook[[#This Row],[UDC]],TableMJRUSCCH1[],7,FALSE),"")</f>
        <v/>
      </c>
      <c r="AJ42" s="209" t="str">
        <f>IFERROR(VLOOKUP(TableHandbook[[#This Row],[UDC]],TableMJRUSCHB1[],7,FALSE),"")</f>
        <v/>
      </c>
      <c r="AK42" s="209" t="str">
        <f>IFERROR(VLOOKUP(TableHandbook[[#This Row],[UDC]],TableMJRUSCPH1[],7,FALSE),"")</f>
        <v/>
      </c>
      <c r="AL42" s="209" t="str">
        <f>IFERROR(VLOOKUP(TableHandbook[[#This Row],[UDC]],TableMJRUSCPS1[],7,FALSE),"")</f>
        <v/>
      </c>
      <c r="AM42" s="211" t="str">
        <f>IFERROR(VLOOKUP(TableHandbook[[#This Row],[UDC]],TableSTRUBIOLB[],7,FALSE),"")</f>
        <v/>
      </c>
      <c r="AN42" s="209" t="str">
        <f>IFERROR(VLOOKUP(TableHandbook[[#This Row],[UDC]],TableSTRUBSCIM[],7,FALSE),"")</f>
        <v/>
      </c>
      <c r="AO42" s="209" t="str">
        <f>IFERROR(VLOOKUP(TableHandbook[[#This Row],[UDC]],TableSTRUCHEMB[],7,FALSE),"")</f>
        <v/>
      </c>
      <c r="AP42" s="209" t="str">
        <f>IFERROR(VLOOKUP(TableHandbook[[#This Row],[UDC]],TableSTRUECOB1[],7,FALSE),"")</f>
        <v/>
      </c>
      <c r="AQ42" s="209" t="str">
        <f>IFERROR(VLOOKUP(TableHandbook[[#This Row],[UDC]],TableSTRUENGLB[],7,FALSE),"")</f>
        <v/>
      </c>
      <c r="AR42" s="209" t="str">
        <f>IFERROR(VLOOKUP(TableHandbook[[#This Row],[UDC]],TableSTRUENGLM[],7,FALSE),"")</f>
        <v/>
      </c>
      <c r="AS42" s="209" t="str">
        <f>IFERROR(VLOOKUP(TableHandbook[[#This Row],[UDC]],TableSTRUGEOB1[],7,FALSE),"")</f>
        <v/>
      </c>
      <c r="AT42" s="209" t="str">
        <f>IFERROR(VLOOKUP(TableHandbook[[#This Row],[UDC]],TableSTRUGEOGM[],7,FALSE),"")</f>
        <v/>
      </c>
      <c r="AU42" s="209" t="str">
        <f>IFERROR(VLOOKUP(TableHandbook[[#This Row],[UDC]],TableSTRUHISB1[],7,FALSE),"")</f>
        <v/>
      </c>
      <c r="AV42" s="209" t="str">
        <f>IFERROR(VLOOKUP(TableHandbook[[#This Row],[UDC]],TableSTRUHISTM[],7,FALSE),"")</f>
        <v/>
      </c>
      <c r="AW42" s="209" t="str">
        <f>IFERROR(VLOOKUP(TableHandbook[[#This Row],[UDC]],TableSTRUHPEB1[],7,FALSE),"")</f>
        <v/>
      </c>
      <c r="AX42" s="209" t="str">
        <f>IFERROR(VLOOKUP(TableHandbook[[#This Row],[UDC]],TableSTRUHUMBB[],7,FALSE),"")</f>
        <v/>
      </c>
      <c r="AY42" s="209" t="str">
        <f>IFERROR(VLOOKUP(TableHandbook[[#This Row],[UDC]],TableSTRUMARTM[],7,FALSE),"")</f>
        <v/>
      </c>
      <c r="AZ42" s="209" t="str">
        <f>IFERROR(VLOOKUP(TableHandbook[[#This Row],[UDC]],TableSTRUMATHB[],7,FALSE),"")</f>
        <v/>
      </c>
      <c r="BA42" s="209" t="str">
        <f>IFERROR(VLOOKUP(TableHandbook[[#This Row],[UDC]],TableSTRUMATHM[],7,FALSE),"")</f>
        <v/>
      </c>
      <c r="BB42" s="209" t="str">
        <f>IFERROR(VLOOKUP(TableHandbook[[#This Row],[UDC]],TableSTRUPARTB[],7,FALSE),"")</f>
        <v>AltCore</v>
      </c>
      <c r="BC42" s="209" t="str">
        <f>IFERROR(VLOOKUP(TableHandbook[[#This Row],[UDC]],TableSTRUPARTM[],7,FALSE),"")</f>
        <v/>
      </c>
      <c r="BD42" s="209" t="str">
        <f>IFERROR(VLOOKUP(TableHandbook[[#This Row],[UDC]],TableSTRUPOLB1[],7,FALSE),"")</f>
        <v/>
      </c>
      <c r="BE42" s="209" t="str">
        <f>IFERROR(VLOOKUP(TableHandbook[[#This Row],[UDC]],TableSTRUPSYCB[],7,FALSE),"")</f>
        <v/>
      </c>
      <c r="BF42" s="209" t="str">
        <f>IFERROR(VLOOKUP(TableHandbook[[#This Row],[UDC]],TableSTRUPSYCM[],7,FALSE),"")</f>
        <v/>
      </c>
      <c r="BG42" s="209" t="str">
        <f>IFERROR(VLOOKUP(TableHandbook[[#This Row],[UDC]],TableSTRUVARTB[],7,FALSE),"")</f>
        <v/>
      </c>
      <c r="BH42" s="209" t="str">
        <f>IFERROR(VLOOKUP(TableHandbook[[#This Row],[UDC]],TableSTRUVARTM[],7,FALSE),"")</f>
        <v/>
      </c>
    </row>
    <row r="43" spans="1:60" x14ac:dyDescent="0.25">
      <c r="A43" s="305" t="s">
        <v>716</v>
      </c>
      <c r="B43" s="7">
        <v>0</v>
      </c>
      <c r="C43" s="7"/>
      <c r="D43" s="207" t="s">
        <v>807</v>
      </c>
      <c r="E43" s="7">
        <v>25</v>
      </c>
      <c r="F43" s="84" t="s">
        <v>769</v>
      </c>
      <c r="G43" s="75" t="str">
        <f>IFERROR(IF(VLOOKUP(TableHandbook[[#This Row],[UDC]],TableAvailabilities[],2,FALSE)&gt;0,"Y",""),"")</f>
        <v/>
      </c>
      <c r="H43" s="75" t="str">
        <f>IFERROR(IF(VLOOKUP(TableHandbook[[#This Row],[UDC]],TableAvailabilities[],3,FALSE)&gt;0,"Y",""),"")</f>
        <v/>
      </c>
      <c r="I43" s="75" t="str">
        <f>IFERROR(IF(VLOOKUP(TableHandbook[[#This Row],[UDC]],TableAvailabilities[],4,FALSE)&gt;0,"Y",""),"")</f>
        <v/>
      </c>
      <c r="J43" s="75" t="str">
        <f>IFERROR(IF(VLOOKUP(TableHandbook[[#This Row],[UDC]],TableAvailabilities[],5,FALSE)&gt;0,"Y",""),"")</f>
        <v/>
      </c>
      <c r="K43" s="75" t="str">
        <f>IFERROR(IF(VLOOKUP(TableHandbook[[#This Row],[UDC]],TableAvailabilities[],6,FALSE)&gt;0,"Y",""),"")</f>
        <v/>
      </c>
      <c r="L43" s="75" t="str">
        <f>IFERROR(IF(VLOOKUP(TableHandbook[[#This Row],[UDC]],TableAvailabilities[],7,FALSE)&gt;0,"Y",""),"")</f>
        <v/>
      </c>
      <c r="M43" s="207"/>
      <c r="N43" s="209" t="str">
        <f>IFERROR(VLOOKUP(TableHandbook[[#This Row],[UDC]],TableBEDUC[],7,FALSE),"")</f>
        <v/>
      </c>
      <c r="O43" s="209" t="str">
        <f>IFERROR(VLOOKUP(TableHandbook[[#This Row],[UDC]],TableBEDEC[],7,FALSE),"")</f>
        <v/>
      </c>
      <c r="P43" s="211" t="str">
        <f>IFERROR(VLOOKUP(TableHandbook[[#This Row],[UDC]],TableBEDPR[],7,FALSE),"")</f>
        <v/>
      </c>
      <c r="Q43" s="209" t="str">
        <f>IFERROR(VLOOKUP(TableHandbook[[#This Row],[UDC]],TableSTRUCATHL[],7,FALSE),"")</f>
        <v/>
      </c>
      <c r="R43" s="209" t="str">
        <f>IFERROR(VLOOKUP(TableHandbook[[#This Row],[UDC]],TableSTRUENGLL[],7,FALSE),"")</f>
        <v/>
      </c>
      <c r="S43" s="209" t="str">
        <f>IFERROR(VLOOKUP(TableHandbook[[#This Row],[UDC]],TableSTRUHLTPE[],7,FALSE),"")</f>
        <v/>
      </c>
      <c r="T43" s="209" t="str">
        <f>IFERROR(VLOOKUP(TableHandbook[[#This Row],[UDC]],TableSTRUISTEM[],7,FALSE),"")</f>
        <v/>
      </c>
      <c r="U43" s="209" t="str">
        <f>IFERROR(VLOOKUP(TableHandbook[[#This Row],[UDC]],TableSTRULITNU[],7,FALSE),"")</f>
        <v/>
      </c>
      <c r="V43" s="209" t="str">
        <f>IFERROR(VLOOKUP(TableHandbook[[#This Row],[UDC]],TableSTRUTECHS[],7,FALSE),"")</f>
        <v/>
      </c>
      <c r="W43" s="211" t="str">
        <f>IFERROR(VLOOKUP(TableHandbook[[#This Row],[UDC]],TableBEDSC[],7,FALSE),"")</f>
        <v/>
      </c>
      <c r="X43" s="211" t="str">
        <f>IFERROR(VLOOKUP(TableHandbook[[#This Row],[UDC]],TableMJRUARDR1[],7,FALSE),"")</f>
        <v/>
      </c>
      <c r="Y43" s="209" t="str">
        <f>IFERROR(VLOOKUP(TableHandbook[[#This Row],[UDC]],TableMJRUARME1[],7,FALSE),"")</f>
        <v/>
      </c>
      <c r="Z43" s="209" t="str">
        <f>IFERROR(VLOOKUP(TableHandbook[[#This Row],[UDC]],TableMJRUARVA1[],7,FALSE),"")</f>
        <v/>
      </c>
      <c r="AA43" s="209" t="str">
        <f>IFERROR(VLOOKUP(TableHandbook[[#This Row],[UDC]],TableMJRUENGL1[],7,FALSE),"")</f>
        <v/>
      </c>
      <c r="AB43" s="209" t="str">
        <f>IFERROR(VLOOKUP(TableHandbook[[#This Row],[UDC]],TableMJRUHSEC1[],7,FALSE),"")</f>
        <v/>
      </c>
      <c r="AC43" s="209" t="str">
        <f>IFERROR(VLOOKUP(TableHandbook[[#This Row],[UDC]],TableMJRUHSGE1[],7,FALSE),"")</f>
        <v/>
      </c>
      <c r="AD43" s="209" t="str">
        <f>IFERROR(VLOOKUP(TableHandbook[[#This Row],[UDC]],TableMJRUHSHI1[],7,FALSE),"")</f>
        <v/>
      </c>
      <c r="AE43" s="209" t="str">
        <f>IFERROR(VLOOKUP(TableHandbook[[#This Row],[UDC]],TableMJRUHSPL1[],7,FALSE),"")</f>
        <v/>
      </c>
      <c r="AF43" s="209" t="str">
        <f>IFERROR(VLOOKUP(TableHandbook[[#This Row],[UDC]],TableMJRUMATH1[],7,FALSE),"")</f>
        <v/>
      </c>
      <c r="AG43" s="209" t="str">
        <f>IFERROR(VLOOKUP(TableHandbook[[#This Row],[UDC]],TableMJRUPHYSE[],7,FALSE),"")</f>
        <v/>
      </c>
      <c r="AH43" s="209" t="str">
        <f>IFERROR(VLOOKUP(TableHandbook[[#This Row],[UDC]],TableMJRUSCBI1[],7,FALSE),"")</f>
        <v/>
      </c>
      <c r="AI43" s="209" t="str">
        <f>IFERROR(VLOOKUP(TableHandbook[[#This Row],[UDC]],TableMJRUSCCH1[],7,FALSE),"")</f>
        <v/>
      </c>
      <c r="AJ43" s="209" t="str">
        <f>IFERROR(VLOOKUP(TableHandbook[[#This Row],[UDC]],TableMJRUSCHB1[],7,FALSE),"")</f>
        <v/>
      </c>
      <c r="AK43" s="209" t="str">
        <f>IFERROR(VLOOKUP(TableHandbook[[#This Row],[UDC]],TableMJRUSCPH1[],7,FALSE),"")</f>
        <v/>
      </c>
      <c r="AL43" s="209" t="str">
        <f>IFERROR(VLOOKUP(TableHandbook[[#This Row],[UDC]],TableMJRUSCPS1[],7,FALSE),"")</f>
        <v/>
      </c>
      <c r="AM43" s="211" t="str">
        <f>IFERROR(VLOOKUP(TableHandbook[[#This Row],[UDC]],TableSTRUBIOLB[],7,FALSE),"")</f>
        <v/>
      </c>
      <c r="AN43" s="209" t="str">
        <f>IFERROR(VLOOKUP(TableHandbook[[#This Row],[UDC]],TableSTRUBSCIM[],7,FALSE),"")</f>
        <v/>
      </c>
      <c r="AO43" s="209" t="str">
        <f>IFERROR(VLOOKUP(TableHandbook[[#This Row],[UDC]],TableSTRUCHEMB[],7,FALSE),"")</f>
        <v/>
      </c>
      <c r="AP43" s="209" t="str">
        <f>IFERROR(VLOOKUP(TableHandbook[[#This Row],[UDC]],TableSTRUECOB1[],7,FALSE),"")</f>
        <v/>
      </c>
      <c r="AQ43" s="209" t="str">
        <f>IFERROR(VLOOKUP(TableHandbook[[#This Row],[UDC]],TableSTRUENGLB[],7,FALSE),"")</f>
        <v/>
      </c>
      <c r="AR43" s="209" t="str">
        <f>IFERROR(VLOOKUP(TableHandbook[[#This Row],[UDC]],TableSTRUENGLM[],7,FALSE),"")</f>
        <v/>
      </c>
      <c r="AS43" s="209" t="str">
        <f>IFERROR(VLOOKUP(TableHandbook[[#This Row],[UDC]],TableSTRUGEOB1[],7,FALSE),"")</f>
        <v/>
      </c>
      <c r="AT43" s="209" t="str">
        <f>IFERROR(VLOOKUP(TableHandbook[[#This Row],[UDC]],TableSTRUGEOGM[],7,FALSE),"")</f>
        <v/>
      </c>
      <c r="AU43" s="209" t="str">
        <f>IFERROR(VLOOKUP(TableHandbook[[#This Row],[UDC]],TableSTRUHISB1[],7,FALSE),"")</f>
        <v/>
      </c>
      <c r="AV43" s="209" t="str">
        <f>IFERROR(VLOOKUP(TableHandbook[[#This Row],[UDC]],TableSTRUHISTM[],7,FALSE),"")</f>
        <v/>
      </c>
      <c r="AW43" s="209" t="str">
        <f>IFERROR(VLOOKUP(TableHandbook[[#This Row],[UDC]],TableSTRUHPEB1[],7,FALSE),"")</f>
        <v/>
      </c>
      <c r="AX43" s="209" t="str">
        <f>IFERROR(VLOOKUP(TableHandbook[[#This Row],[UDC]],TableSTRUHUMBB[],7,FALSE),"")</f>
        <v/>
      </c>
      <c r="AY43" s="209" t="str">
        <f>IFERROR(VLOOKUP(TableHandbook[[#This Row],[UDC]],TableSTRUMARTM[],7,FALSE),"")</f>
        <v/>
      </c>
      <c r="AZ43" s="209" t="str">
        <f>IFERROR(VLOOKUP(TableHandbook[[#This Row],[UDC]],TableSTRUMATHB[],7,FALSE),"")</f>
        <v/>
      </c>
      <c r="BA43" s="209" t="str">
        <f>IFERROR(VLOOKUP(TableHandbook[[#This Row],[UDC]],TableSTRUMATHM[],7,FALSE),"")</f>
        <v/>
      </c>
      <c r="BB43" s="209" t="str">
        <f>IFERROR(VLOOKUP(TableHandbook[[#This Row],[UDC]],TableSTRUPARTB[],7,FALSE),"")</f>
        <v>AltCore</v>
      </c>
      <c r="BC43" s="209" t="str">
        <f>IFERROR(VLOOKUP(TableHandbook[[#This Row],[UDC]],TableSTRUPARTM[],7,FALSE),"")</f>
        <v/>
      </c>
      <c r="BD43" s="209" t="str">
        <f>IFERROR(VLOOKUP(TableHandbook[[#This Row],[UDC]],TableSTRUPOLB1[],7,FALSE),"")</f>
        <v/>
      </c>
      <c r="BE43" s="209" t="str">
        <f>IFERROR(VLOOKUP(TableHandbook[[#This Row],[UDC]],TableSTRUPSYCB[],7,FALSE),"")</f>
        <v/>
      </c>
      <c r="BF43" s="209" t="str">
        <f>IFERROR(VLOOKUP(TableHandbook[[#This Row],[UDC]],TableSTRUPSYCM[],7,FALSE),"")</f>
        <v/>
      </c>
      <c r="BG43" s="209" t="str">
        <f>IFERROR(VLOOKUP(TableHandbook[[#This Row],[UDC]],TableSTRUVARTB[],7,FALSE),"")</f>
        <v/>
      </c>
      <c r="BH43" s="209" t="str">
        <f>IFERROR(VLOOKUP(TableHandbook[[#This Row],[UDC]],TableSTRUVARTM[],7,FALSE),"")</f>
        <v/>
      </c>
    </row>
    <row r="44" spans="1:60" x14ac:dyDescent="0.25">
      <c r="A44" s="305" t="s">
        <v>743</v>
      </c>
      <c r="B44" s="7">
        <v>0</v>
      </c>
      <c r="C44" s="7"/>
      <c r="D44" s="207" t="s">
        <v>808</v>
      </c>
      <c r="E44" s="7">
        <v>25</v>
      </c>
      <c r="F44" s="84" t="s">
        <v>769</v>
      </c>
      <c r="G44" s="75" t="str">
        <f>IFERROR(IF(VLOOKUP(TableHandbook[[#This Row],[UDC]],TableAvailabilities[],2,FALSE)&gt;0,"Y",""),"")</f>
        <v/>
      </c>
      <c r="H44" s="75" t="str">
        <f>IFERROR(IF(VLOOKUP(TableHandbook[[#This Row],[UDC]],TableAvailabilities[],3,FALSE)&gt;0,"Y",""),"")</f>
        <v/>
      </c>
      <c r="I44" s="75" t="str">
        <f>IFERROR(IF(VLOOKUP(TableHandbook[[#This Row],[UDC]],TableAvailabilities[],4,FALSE)&gt;0,"Y",""),"")</f>
        <v/>
      </c>
      <c r="J44" s="75" t="str">
        <f>IFERROR(IF(VLOOKUP(TableHandbook[[#This Row],[UDC]],TableAvailabilities[],5,FALSE)&gt;0,"Y",""),"")</f>
        <v/>
      </c>
      <c r="K44" s="75" t="str">
        <f>IFERROR(IF(VLOOKUP(TableHandbook[[#This Row],[UDC]],TableAvailabilities[],6,FALSE)&gt;0,"Y",""),"")</f>
        <v/>
      </c>
      <c r="L44" s="75" t="str">
        <f>IFERROR(IF(VLOOKUP(TableHandbook[[#This Row],[UDC]],TableAvailabilities[],7,FALSE)&gt;0,"Y",""),"")</f>
        <v/>
      </c>
      <c r="M44" s="207"/>
      <c r="N44" s="209" t="str">
        <f>IFERROR(VLOOKUP(TableHandbook[[#This Row],[UDC]],TableBEDUC[],7,FALSE),"")</f>
        <v/>
      </c>
      <c r="O44" s="209" t="str">
        <f>IFERROR(VLOOKUP(TableHandbook[[#This Row],[UDC]],TableBEDEC[],7,FALSE),"")</f>
        <v/>
      </c>
      <c r="P44" s="211" t="str">
        <f>IFERROR(VLOOKUP(TableHandbook[[#This Row],[UDC]],TableBEDPR[],7,FALSE),"")</f>
        <v/>
      </c>
      <c r="Q44" s="209" t="str">
        <f>IFERROR(VLOOKUP(TableHandbook[[#This Row],[UDC]],TableSTRUCATHL[],7,FALSE),"")</f>
        <v/>
      </c>
      <c r="R44" s="209" t="str">
        <f>IFERROR(VLOOKUP(TableHandbook[[#This Row],[UDC]],TableSTRUENGLL[],7,FALSE),"")</f>
        <v/>
      </c>
      <c r="S44" s="209" t="str">
        <f>IFERROR(VLOOKUP(TableHandbook[[#This Row],[UDC]],TableSTRUHLTPE[],7,FALSE),"")</f>
        <v/>
      </c>
      <c r="T44" s="209" t="str">
        <f>IFERROR(VLOOKUP(TableHandbook[[#This Row],[UDC]],TableSTRUISTEM[],7,FALSE),"")</f>
        <v/>
      </c>
      <c r="U44" s="209" t="str">
        <f>IFERROR(VLOOKUP(TableHandbook[[#This Row],[UDC]],TableSTRULITNU[],7,FALSE),"")</f>
        <v/>
      </c>
      <c r="V44" s="209" t="str">
        <f>IFERROR(VLOOKUP(TableHandbook[[#This Row],[UDC]],TableSTRUTECHS[],7,FALSE),"")</f>
        <v/>
      </c>
      <c r="W44" s="211" t="str">
        <f>IFERROR(VLOOKUP(TableHandbook[[#This Row],[UDC]],TableBEDSC[],7,FALSE),"")</f>
        <v/>
      </c>
      <c r="X44" s="211" t="str">
        <f>IFERROR(VLOOKUP(TableHandbook[[#This Row],[UDC]],TableMJRUARDR1[],7,FALSE),"")</f>
        <v/>
      </c>
      <c r="Y44" s="209" t="str">
        <f>IFERROR(VLOOKUP(TableHandbook[[#This Row],[UDC]],TableMJRUARME1[],7,FALSE),"")</f>
        <v/>
      </c>
      <c r="Z44" s="209" t="str">
        <f>IFERROR(VLOOKUP(TableHandbook[[#This Row],[UDC]],TableMJRUARVA1[],7,FALSE),"")</f>
        <v/>
      </c>
      <c r="AA44" s="209" t="str">
        <f>IFERROR(VLOOKUP(TableHandbook[[#This Row],[UDC]],TableMJRUENGL1[],7,FALSE),"")</f>
        <v/>
      </c>
      <c r="AB44" s="209" t="str">
        <f>IFERROR(VLOOKUP(TableHandbook[[#This Row],[UDC]],TableMJRUHSEC1[],7,FALSE),"")</f>
        <v/>
      </c>
      <c r="AC44" s="209" t="str">
        <f>IFERROR(VLOOKUP(TableHandbook[[#This Row],[UDC]],TableMJRUHSGE1[],7,FALSE),"")</f>
        <v/>
      </c>
      <c r="AD44" s="209" t="str">
        <f>IFERROR(VLOOKUP(TableHandbook[[#This Row],[UDC]],TableMJRUHSHI1[],7,FALSE),"")</f>
        <v/>
      </c>
      <c r="AE44" s="209" t="str">
        <f>IFERROR(VLOOKUP(TableHandbook[[#This Row],[UDC]],TableMJRUHSPL1[],7,FALSE),"")</f>
        <v/>
      </c>
      <c r="AF44" s="209" t="str">
        <f>IFERROR(VLOOKUP(TableHandbook[[#This Row],[UDC]],TableMJRUMATH1[],7,FALSE),"")</f>
        <v/>
      </c>
      <c r="AG44" s="209" t="str">
        <f>IFERROR(VLOOKUP(TableHandbook[[#This Row],[UDC]],TableMJRUPHYSE[],7,FALSE),"")</f>
        <v/>
      </c>
      <c r="AH44" s="209" t="str">
        <f>IFERROR(VLOOKUP(TableHandbook[[#This Row],[UDC]],TableMJRUSCBI1[],7,FALSE),"")</f>
        <v/>
      </c>
      <c r="AI44" s="209" t="str">
        <f>IFERROR(VLOOKUP(TableHandbook[[#This Row],[UDC]],TableMJRUSCCH1[],7,FALSE),"")</f>
        <v/>
      </c>
      <c r="AJ44" s="209" t="str">
        <f>IFERROR(VLOOKUP(TableHandbook[[#This Row],[UDC]],TableMJRUSCHB1[],7,FALSE),"")</f>
        <v/>
      </c>
      <c r="AK44" s="209" t="str">
        <f>IFERROR(VLOOKUP(TableHandbook[[#This Row],[UDC]],TableMJRUSCPH1[],7,FALSE),"")</f>
        <v/>
      </c>
      <c r="AL44" s="209" t="str">
        <f>IFERROR(VLOOKUP(TableHandbook[[#This Row],[UDC]],TableMJRUSCPS1[],7,FALSE),"")</f>
        <v/>
      </c>
      <c r="AM44" s="211" t="str">
        <f>IFERROR(VLOOKUP(TableHandbook[[#This Row],[UDC]],TableSTRUBIOLB[],7,FALSE),"")</f>
        <v/>
      </c>
      <c r="AN44" s="209" t="str">
        <f>IFERROR(VLOOKUP(TableHandbook[[#This Row],[UDC]],TableSTRUBSCIM[],7,FALSE),"")</f>
        <v/>
      </c>
      <c r="AO44" s="209" t="str">
        <f>IFERROR(VLOOKUP(TableHandbook[[#This Row],[UDC]],TableSTRUCHEMB[],7,FALSE),"")</f>
        <v/>
      </c>
      <c r="AP44" s="209" t="str">
        <f>IFERROR(VLOOKUP(TableHandbook[[#This Row],[UDC]],TableSTRUECOB1[],7,FALSE),"")</f>
        <v/>
      </c>
      <c r="AQ44" s="209" t="str">
        <f>IFERROR(VLOOKUP(TableHandbook[[#This Row],[UDC]],TableSTRUENGLB[],7,FALSE),"")</f>
        <v/>
      </c>
      <c r="AR44" s="209" t="str">
        <f>IFERROR(VLOOKUP(TableHandbook[[#This Row],[UDC]],TableSTRUENGLM[],7,FALSE),"")</f>
        <v/>
      </c>
      <c r="AS44" s="209" t="str">
        <f>IFERROR(VLOOKUP(TableHandbook[[#This Row],[UDC]],TableSTRUGEOB1[],7,FALSE),"")</f>
        <v/>
      </c>
      <c r="AT44" s="209" t="str">
        <f>IFERROR(VLOOKUP(TableHandbook[[#This Row],[UDC]],TableSTRUGEOGM[],7,FALSE),"")</f>
        <v/>
      </c>
      <c r="AU44" s="209" t="str">
        <f>IFERROR(VLOOKUP(TableHandbook[[#This Row],[UDC]],TableSTRUHISB1[],7,FALSE),"")</f>
        <v/>
      </c>
      <c r="AV44" s="209" t="str">
        <f>IFERROR(VLOOKUP(TableHandbook[[#This Row],[UDC]],TableSTRUHISTM[],7,FALSE),"")</f>
        <v/>
      </c>
      <c r="AW44" s="209" t="str">
        <f>IFERROR(VLOOKUP(TableHandbook[[#This Row],[UDC]],TableSTRUHPEB1[],7,FALSE),"")</f>
        <v/>
      </c>
      <c r="AX44" s="209" t="str">
        <f>IFERROR(VLOOKUP(TableHandbook[[#This Row],[UDC]],TableSTRUHUMBB[],7,FALSE),"")</f>
        <v/>
      </c>
      <c r="AY44" s="209" t="str">
        <f>IFERROR(VLOOKUP(TableHandbook[[#This Row],[UDC]],TableSTRUMARTM[],7,FALSE),"")</f>
        <v/>
      </c>
      <c r="AZ44" s="209" t="str">
        <f>IFERROR(VLOOKUP(TableHandbook[[#This Row],[UDC]],TableSTRUMATHB[],7,FALSE),"")</f>
        <v/>
      </c>
      <c r="BA44" s="209" t="str">
        <f>IFERROR(VLOOKUP(TableHandbook[[#This Row],[UDC]],TableSTRUMATHM[],7,FALSE),"")</f>
        <v/>
      </c>
      <c r="BB44" s="209" t="str">
        <f>IFERROR(VLOOKUP(TableHandbook[[#This Row],[UDC]],TableSTRUPARTB[],7,FALSE),"")</f>
        <v>AltCore</v>
      </c>
      <c r="BC44" s="209" t="str">
        <f>IFERROR(VLOOKUP(TableHandbook[[#This Row],[UDC]],TableSTRUPARTM[],7,FALSE),"")</f>
        <v/>
      </c>
      <c r="BD44" s="209" t="str">
        <f>IFERROR(VLOOKUP(TableHandbook[[#This Row],[UDC]],TableSTRUPOLB1[],7,FALSE),"")</f>
        <v/>
      </c>
      <c r="BE44" s="209" t="str">
        <f>IFERROR(VLOOKUP(TableHandbook[[#This Row],[UDC]],TableSTRUPSYCB[],7,FALSE),"")</f>
        <v/>
      </c>
      <c r="BF44" s="209" t="str">
        <f>IFERROR(VLOOKUP(TableHandbook[[#This Row],[UDC]],TableSTRUPSYCM[],7,FALSE),"")</f>
        <v/>
      </c>
      <c r="BG44" s="209" t="str">
        <f>IFERROR(VLOOKUP(TableHandbook[[#This Row],[UDC]],TableSTRUVARTB[],7,FALSE),"")</f>
        <v/>
      </c>
      <c r="BH44" s="209" t="str">
        <f>IFERROR(VLOOKUP(TableHandbook[[#This Row],[UDC]],TableSTRUVARTM[],7,FALSE),"")</f>
        <v/>
      </c>
    </row>
    <row r="45" spans="1:60" x14ac:dyDescent="0.25">
      <c r="A45" s="305" t="s">
        <v>701</v>
      </c>
      <c r="B45" s="7">
        <v>0</v>
      </c>
      <c r="C45" s="7"/>
      <c r="D45" s="207" t="s">
        <v>774</v>
      </c>
      <c r="E45" s="7">
        <v>25</v>
      </c>
      <c r="F45" s="84" t="s">
        <v>769</v>
      </c>
      <c r="G45" s="75" t="str">
        <f>IFERROR(IF(VLOOKUP(TableHandbook[[#This Row],[UDC]],TableAvailabilities[],2,FALSE)&gt;0,"Y",""),"")</f>
        <v/>
      </c>
      <c r="H45" s="75" t="str">
        <f>IFERROR(IF(VLOOKUP(TableHandbook[[#This Row],[UDC]],TableAvailabilities[],3,FALSE)&gt;0,"Y",""),"")</f>
        <v/>
      </c>
      <c r="I45" s="75" t="str">
        <f>IFERROR(IF(VLOOKUP(TableHandbook[[#This Row],[UDC]],TableAvailabilities[],4,FALSE)&gt;0,"Y",""),"")</f>
        <v/>
      </c>
      <c r="J45" s="75" t="str">
        <f>IFERROR(IF(VLOOKUP(TableHandbook[[#This Row],[UDC]],TableAvailabilities[],5,FALSE)&gt;0,"Y",""),"")</f>
        <v/>
      </c>
      <c r="K45" s="75" t="str">
        <f>IFERROR(IF(VLOOKUP(TableHandbook[[#This Row],[UDC]],TableAvailabilities[],6,FALSE)&gt;0,"Y",""),"")</f>
        <v/>
      </c>
      <c r="L45" s="75" t="str">
        <f>IFERROR(IF(VLOOKUP(TableHandbook[[#This Row],[UDC]],TableAvailabilities[],7,FALSE)&gt;0,"Y",""),"")</f>
        <v/>
      </c>
      <c r="M45" s="207"/>
      <c r="N45" s="209" t="str">
        <f>IFERROR(VLOOKUP(TableHandbook[[#This Row],[UDC]],TableBEDUC[],7,FALSE),"")</f>
        <v/>
      </c>
      <c r="O45" s="209" t="str">
        <f>IFERROR(VLOOKUP(TableHandbook[[#This Row],[UDC]],TableBEDEC[],7,FALSE),"")</f>
        <v/>
      </c>
      <c r="P45" s="211" t="str">
        <f>IFERROR(VLOOKUP(TableHandbook[[#This Row],[UDC]],TableBEDPR[],7,FALSE),"")</f>
        <v/>
      </c>
      <c r="Q45" s="209" t="str">
        <f>IFERROR(VLOOKUP(TableHandbook[[#This Row],[UDC]],TableSTRUCATHL[],7,FALSE),"")</f>
        <v/>
      </c>
      <c r="R45" s="209" t="str">
        <f>IFERROR(VLOOKUP(TableHandbook[[#This Row],[UDC]],TableSTRUENGLL[],7,FALSE),"")</f>
        <v/>
      </c>
      <c r="S45" s="209" t="str">
        <f>IFERROR(VLOOKUP(TableHandbook[[#This Row],[UDC]],TableSTRUHLTPE[],7,FALSE),"")</f>
        <v/>
      </c>
      <c r="T45" s="209" t="str">
        <f>IFERROR(VLOOKUP(TableHandbook[[#This Row],[UDC]],TableSTRUISTEM[],7,FALSE),"")</f>
        <v/>
      </c>
      <c r="U45" s="209" t="str">
        <f>IFERROR(VLOOKUP(TableHandbook[[#This Row],[UDC]],TableSTRULITNU[],7,FALSE),"")</f>
        <v/>
      </c>
      <c r="V45" s="209" t="str">
        <f>IFERROR(VLOOKUP(TableHandbook[[#This Row],[UDC]],TableSTRUTECHS[],7,FALSE),"")</f>
        <v/>
      </c>
      <c r="W45" s="211" t="str">
        <f>IFERROR(VLOOKUP(TableHandbook[[#This Row],[UDC]],TableBEDSC[],7,FALSE),"")</f>
        <v/>
      </c>
      <c r="X45" s="211" t="str">
        <f>IFERROR(VLOOKUP(TableHandbook[[#This Row],[UDC]],TableMJRUARDR1[],7,FALSE),"")</f>
        <v/>
      </c>
      <c r="Y45" s="209" t="str">
        <f>IFERROR(VLOOKUP(TableHandbook[[#This Row],[UDC]],TableMJRUARME1[],7,FALSE),"")</f>
        <v/>
      </c>
      <c r="Z45" s="209" t="str">
        <f>IFERROR(VLOOKUP(TableHandbook[[#This Row],[UDC]],TableMJRUARVA1[],7,FALSE),"")</f>
        <v/>
      </c>
      <c r="AA45" s="209" t="str">
        <f>IFERROR(VLOOKUP(TableHandbook[[#This Row],[UDC]],TableMJRUENGL1[],7,FALSE),"")</f>
        <v/>
      </c>
      <c r="AB45" s="209" t="str">
        <f>IFERROR(VLOOKUP(TableHandbook[[#This Row],[UDC]],TableMJRUHSEC1[],7,FALSE),"")</f>
        <v/>
      </c>
      <c r="AC45" s="209" t="str">
        <f>IFERROR(VLOOKUP(TableHandbook[[#This Row],[UDC]],TableMJRUHSGE1[],7,FALSE),"")</f>
        <v/>
      </c>
      <c r="AD45" s="209" t="str">
        <f>IFERROR(VLOOKUP(TableHandbook[[#This Row],[UDC]],TableMJRUHSHI1[],7,FALSE),"")</f>
        <v/>
      </c>
      <c r="AE45" s="209" t="str">
        <f>IFERROR(VLOOKUP(TableHandbook[[#This Row],[UDC]],TableMJRUHSPL1[],7,FALSE),"")</f>
        <v/>
      </c>
      <c r="AF45" s="209" t="str">
        <f>IFERROR(VLOOKUP(TableHandbook[[#This Row],[UDC]],TableMJRUMATH1[],7,FALSE),"")</f>
        <v/>
      </c>
      <c r="AG45" s="209" t="str">
        <f>IFERROR(VLOOKUP(TableHandbook[[#This Row],[UDC]],TableMJRUPHYSE[],7,FALSE),"")</f>
        <v/>
      </c>
      <c r="AH45" s="209" t="str">
        <f>IFERROR(VLOOKUP(TableHandbook[[#This Row],[UDC]],TableMJRUSCBI1[],7,FALSE),"")</f>
        <v/>
      </c>
      <c r="AI45" s="209" t="str">
        <f>IFERROR(VLOOKUP(TableHandbook[[#This Row],[UDC]],TableMJRUSCCH1[],7,FALSE),"")</f>
        <v/>
      </c>
      <c r="AJ45" s="209" t="str">
        <f>IFERROR(VLOOKUP(TableHandbook[[#This Row],[UDC]],TableMJRUSCHB1[],7,FALSE),"")</f>
        <v/>
      </c>
      <c r="AK45" s="209" t="str">
        <f>IFERROR(VLOOKUP(TableHandbook[[#This Row],[UDC]],TableMJRUSCPH1[],7,FALSE),"")</f>
        <v/>
      </c>
      <c r="AL45" s="209" t="str">
        <f>IFERROR(VLOOKUP(TableHandbook[[#This Row],[UDC]],TableMJRUSCPS1[],7,FALSE),"")</f>
        <v/>
      </c>
      <c r="AM45" s="211" t="str">
        <f>IFERROR(VLOOKUP(TableHandbook[[#This Row],[UDC]],TableSTRUBIOLB[],7,FALSE),"")</f>
        <v/>
      </c>
      <c r="AN45" s="209" t="str">
        <f>IFERROR(VLOOKUP(TableHandbook[[#This Row],[UDC]],TableSTRUBSCIM[],7,FALSE),"")</f>
        <v/>
      </c>
      <c r="AO45" s="209" t="str">
        <f>IFERROR(VLOOKUP(TableHandbook[[#This Row],[UDC]],TableSTRUCHEMB[],7,FALSE),"")</f>
        <v/>
      </c>
      <c r="AP45" s="209" t="str">
        <f>IFERROR(VLOOKUP(TableHandbook[[#This Row],[UDC]],TableSTRUECOB1[],7,FALSE),"")</f>
        <v/>
      </c>
      <c r="AQ45" s="209" t="str">
        <f>IFERROR(VLOOKUP(TableHandbook[[#This Row],[UDC]],TableSTRUENGLB[],7,FALSE),"")</f>
        <v/>
      </c>
      <c r="AR45" s="209" t="str">
        <f>IFERROR(VLOOKUP(TableHandbook[[#This Row],[UDC]],TableSTRUENGLM[],7,FALSE),"")</f>
        <v/>
      </c>
      <c r="AS45" s="209" t="str">
        <f>IFERROR(VLOOKUP(TableHandbook[[#This Row],[UDC]],TableSTRUGEOB1[],7,FALSE),"")</f>
        <v/>
      </c>
      <c r="AT45" s="209" t="str">
        <f>IFERROR(VLOOKUP(TableHandbook[[#This Row],[UDC]],TableSTRUGEOGM[],7,FALSE),"")</f>
        <v/>
      </c>
      <c r="AU45" s="209" t="str">
        <f>IFERROR(VLOOKUP(TableHandbook[[#This Row],[UDC]],TableSTRUHISB1[],7,FALSE),"")</f>
        <v/>
      </c>
      <c r="AV45" s="209" t="str">
        <f>IFERROR(VLOOKUP(TableHandbook[[#This Row],[UDC]],TableSTRUHISTM[],7,FALSE),"")</f>
        <v/>
      </c>
      <c r="AW45" s="209" t="str">
        <f>IFERROR(VLOOKUP(TableHandbook[[#This Row],[UDC]],TableSTRUHPEB1[],7,FALSE),"")</f>
        <v/>
      </c>
      <c r="AX45" s="209" t="str">
        <f>IFERROR(VLOOKUP(TableHandbook[[#This Row],[UDC]],TableSTRUHUMBB[],7,FALSE),"")</f>
        <v/>
      </c>
      <c r="AY45" s="209" t="str">
        <f>IFERROR(VLOOKUP(TableHandbook[[#This Row],[UDC]],TableSTRUMARTM[],7,FALSE),"")</f>
        <v/>
      </c>
      <c r="AZ45" s="209" t="str">
        <f>IFERROR(VLOOKUP(TableHandbook[[#This Row],[UDC]],TableSTRUMATHB[],7,FALSE),"")</f>
        <v/>
      </c>
      <c r="BA45" s="209" t="str">
        <f>IFERROR(VLOOKUP(TableHandbook[[#This Row],[UDC]],TableSTRUMATHM[],7,FALSE),"")</f>
        <v/>
      </c>
      <c r="BB45" s="209" t="str">
        <f>IFERROR(VLOOKUP(TableHandbook[[#This Row],[UDC]],TableSTRUPARTB[],7,FALSE),"")</f>
        <v/>
      </c>
      <c r="BC45" s="209" t="str">
        <f>IFERROR(VLOOKUP(TableHandbook[[#This Row],[UDC]],TableSTRUPARTM[],7,FALSE),"")</f>
        <v/>
      </c>
      <c r="BD45" s="209" t="str">
        <f>IFERROR(VLOOKUP(TableHandbook[[#This Row],[UDC]],TableSTRUPOLB1[],7,FALSE),"")</f>
        <v/>
      </c>
      <c r="BE45" s="209" t="str">
        <f>IFERROR(VLOOKUP(TableHandbook[[#This Row],[UDC]],TableSTRUPSYCB[],7,FALSE),"")</f>
        <v>AltCore</v>
      </c>
      <c r="BF45" s="209" t="str">
        <f>IFERROR(VLOOKUP(TableHandbook[[#This Row],[UDC]],TableSTRUPSYCM[],7,FALSE),"")</f>
        <v/>
      </c>
      <c r="BG45" s="209" t="str">
        <f>IFERROR(VLOOKUP(TableHandbook[[#This Row],[UDC]],TableSTRUVARTB[],7,FALSE),"")</f>
        <v/>
      </c>
      <c r="BH45" s="209" t="str">
        <f>IFERROR(VLOOKUP(TableHandbook[[#This Row],[UDC]],TableSTRUVARTM[],7,FALSE),"")</f>
        <v/>
      </c>
    </row>
    <row r="46" spans="1:60" x14ac:dyDescent="0.25">
      <c r="A46" s="305" t="s">
        <v>717</v>
      </c>
      <c r="B46" s="7">
        <v>0</v>
      </c>
      <c r="C46" s="7"/>
      <c r="D46" s="207" t="s">
        <v>809</v>
      </c>
      <c r="E46" s="7">
        <v>25</v>
      </c>
      <c r="F46" s="84" t="s">
        <v>769</v>
      </c>
      <c r="G46" s="75" t="str">
        <f>IFERROR(IF(VLOOKUP(TableHandbook[[#This Row],[UDC]],TableAvailabilities[],2,FALSE)&gt;0,"Y",""),"")</f>
        <v/>
      </c>
      <c r="H46" s="75" t="str">
        <f>IFERROR(IF(VLOOKUP(TableHandbook[[#This Row],[UDC]],TableAvailabilities[],3,FALSE)&gt;0,"Y",""),"")</f>
        <v/>
      </c>
      <c r="I46" s="75" t="str">
        <f>IFERROR(IF(VLOOKUP(TableHandbook[[#This Row],[UDC]],TableAvailabilities[],4,FALSE)&gt;0,"Y",""),"")</f>
        <v/>
      </c>
      <c r="J46" s="75" t="str">
        <f>IFERROR(IF(VLOOKUP(TableHandbook[[#This Row],[UDC]],TableAvailabilities[],5,FALSE)&gt;0,"Y",""),"")</f>
        <v/>
      </c>
      <c r="K46" s="75" t="str">
        <f>IFERROR(IF(VLOOKUP(TableHandbook[[#This Row],[UDC]],TableAvailabilities[],6,FALSE)&gt;0,"Y",""),"")</f>
        <v/>
      </c>
      <c r="L46" s="75" t="str">
        <f>IFERROR(IF(VLOOKUP(TableHandbook[[#This Row],[UDC]],TableAvailabilities[],7,FALSE)&gt;0,"Y",""),"")</f>
        <v/>
      </c>
      <c r="M46" s="207"/>
      <c r="N46" s="209" t="str">
        <f>IFERROR(VLOOKUP(TableHandbook[[#This Row],[UDC]],TableBEDUC[],7,FALSE),"")</f>
        <v/>
      </c>
      <c r="O46" s="209" t="str">
        <f>IFERROR(VLOOKUP(TableHandbook[[#This Row],[UDC]],TableBEDEC[],7,FALSE),"")</f>
        <v/>
      </c>
      <c r="P46" s="211" t="str">
        <f>IFERROR(VLOOKUP(TableHandbook[[#This Row],[UDC]],TableBEDPR[],7,FALSE),"")</f>
        <v/>
      </c>
      <c r="Q46" s="209" t="str">
        <f>IFERROR(VLOOKUP(TableHandbook[[#This Row],[UDC]],TableSTRUCATHL[],7,FALSE),"")</f>
        <v/>
      </c>
      <c r="R46" s="209" t="str">
        <f>IFERROR(VLOOKUP(TableHandbook[[#This Row],[UDC]],TableSTRUENGLL[],7,FALSE),"")</f>
        <v/>
      </c>
      <c r="S46" s="209" t="str">
        <f>IFERROR(VLOOKUP(TableHandbook[[#This Row],[UDC]],TableSTRUHLTPE[],7,FALSE),"")</f>
        <v/>
      </c>
      <c r="T46" s="209" t="str">
        <f>IFERROR(VLOOKUP(TableHandbook[[#This Row],[UDC]],TableSTRUISTEM[],7,FALSE),"")</f>
        <v/>
      </c>
      <c r="U46" s="209" t="str">
        <f>IFERROR(VLOOKUP(TableHandbook[[#This Row],[UDC]],TableSTRULITNU[],7,FALSE),"")</f>
        <v/>
      </c>
      <c r="V46" s="209" t="str">
        <f>IFERROR(VLOOKUP(TableHandbook[[#This Row],[UDC]],TableSTRUTECHS[],7,FALSE),"")</f>
        <v/>
      </c>
      <c r="W46" s="211" t="str">
        <f>IFERROR(VLOOKUP(TableHandbook[[#This Row],[UDC]],TableBEDSC[],7,FALSE),"")</f>
        <v/>
      </c>
      <c r="X46" s="211" t="str">
        <f>IFERROR(VLOOKUP(TableHandbook[[#This Row],[UDC]],TableMJRUARDR1[],7,FALSE),"")</f>
        <v/>
      </c>
      <c r="Y46" s="209" t="str">
        <f>IFERROR(VLOOKUP(TableHandbook[[#This Row],[UDC]],TableMJRUARME1[],7,FALSE),"")</f>
        <v/>
      </c>
      <c r="Z46" s="209" t="str">
        <f>IFERROR(VLOOKUP(TableHandbook[[#This Row],[UDC]],TableMJRUARVA1[],7,FALSE),"")</f>
        <v/>
      </c>
      <c r="AA46" s="209" t="str">
        <f>IFERROR(VLOOKUP(TableHandbook[[#This Row],[UDC]],TableMJRUENGL1[],7,FALSE),"")</f>
        <v/>
      </c>
      <c r="AB46" s="209" t="str">
        <f>IFERROR(VLOOKUP(TableHandbook[[#This Row],[UDC]],TableMJRUHSEC1[],7,FALSE),"")</f>
        <v/>
      </c>
      <c r="AC46" s="209" t="str">
        <f>IFERROR(VLOOKUP(TableHandbook[[#This Row],[UDC]],TableMJRUHSGE1[],7,FALSE),"")</f>
        <v/>
      </c>
      <c r="AD46" s="209" t="str">
        <f>IFERROR(VLOOKUP(TableHandbook[[#This Row],[UDC]],TableMJRUHSHI1[],7,FALSE),"")</f>
        <v/>
      </c>
      <c r="AE46" s="209" t="str">
        <f>IFERROR(VLOOKUP(TableHandbook[[#This Row],[UDC]],TableMJRUHSPL1[],7,FALSE),"")</f>
        <v/>
      </c>
      <c r="AF46" s="209" t="str">
        <f>IFERROR(VLOOKUP(TableHandbook[[#This Row],[UDC]],TableMJRUMATH1[],7,FALSE),"")</f>
        <v/>
      </c>
      <c r="AG46" s="209" t="str">
        <f>IFERROR(VLOOKUP(TableHandbook[[#This Row],[UDC]],TableMJRUPHYSE[],7,FALSE),"")</f>
        <v/>
      </c>
      <c r="AH46" s="209" t="str">
        <f>IFERROR(VLOOKUP(TableHandbook[[#This Row],[UDC]],TableMJRUSCBI1[],7,FALSE),"")</f>
        <v/>
      </c>
      <c r="AI46" s="209" t="str">
        <f>IFERROR(VLOOKUP(TableHandbook[[#This Row],[UDC]],TableMJRUSCCH1[],7,FALSE),"")</f>
        <v/>
      </c>
      <c r="AJ46" s="209" t="str">
        <f>IFERROR(VLOOKUP(TableHandbook[[#This Row],[UDC]],TableMJRUSCHB1[],7,FALSE),"")</f>
        <v/>
      </c>
      <c r="AK46" s="209" t="str">
        <f>IFERROR(VLOOKUP(TableHandbook[[#This Row],[UDC]],TableMJRUSCPH1[],7,FALSE),"")</f>
        <v/>
      </c>
      <c r="AL46" s="209" t="str">
        <f>IFERROR(VLOOKUP(TableHandbook[[#This Row],[UDC]],TableMJRUSCPS1[],7,FALSE),"")</f>
        <v/>
      </c>
      <c r="AM46" s="211" t="str">
        <f>IFERROR(VLOOKUP(TableHandbook[[#This Row],[UDC]],TableSTRUBIOLB[],7,FALSE),"")</f>
        <v/>
      </c>
      <c r="AN46" s="209" t="str">
        <f>IFERROR(VLOOKUP(TableHandbook[[#This Row],[UDC]],TableSTRUBSCIM[],7,FALSE),"")</f>
        <v/>
      </c>
      <c r="AO46" s="209" t="str">
        <f>IFERROR(VLOOKUP(TableHandbook[[#This Row],[UDC]],TableSTRUCHEMB[],7,FALSE),"")</f>
        <v/>
      </c>
      <c r="AP46" s="209" t="str">
        <f>IFERROR(VLOOKUP(TableHandbook[[#This Row],[UDC]],TableSTRUECOB1[],7,FALSE),"")</f>
        <v/>
      </c>
      <c r="AQ46" s="209" t="str">
        <f>IFERROR(VLOOKUP(TableHandbook[[#This Row],[UDC]],TableSTRUENGLB[],7,FALSE),"")</f>
        <v/>
      </c>
      <c r="AR46" s="209" t="str">
        <f>IFERROR(VLOOKUP(TableHandbook[[#This Row],[UDC]],TableSTRUENGLM[],7,FALSE),"")</f>
        <v/>
      </c>
      <c r="AS46" s="209" t="str">
        <f>IFERROR(VLOOKUP(TableHandbook[[#This Row],[UDC]],TableSTRUGEOB1[],7,FALSE),"")</f>
        <v/>
      </c>
      <c r="AT46" s="209" t="str">
        <f>IFERROR(VLOOKUP(TableHandbook[[#This Row],[UDC]],TableSTRUGEOGM[],7,FALSE),"")</f>
        <v/>
      </c>
      <c r="AU46" s="209" t="str">
        <f>IFERROR(VLOOKUP(TableHandbook[[#This Row],[UDC]],TableSTRUHISB1[],7,FALSE),"")</f>
        <v/>
      </c>
      <c r="AV46" s="209" t="str">
        <f>IFERROR(VLOOKUP(TableHandbook[[#This Row],[UDC]],TableSTRUHISTM[],7,FALSE),"")</f>
        <v/>
      </c>
      <c r="AW46" s="209" t="str">
        <f>IFERROR(VLOOKUP(TableHandbook[[#This Row],[UDC]],TableSTRUHPEB1[],7,FALSE),"")</f>
        <v/>
      </c>
      <c r="AX46" s="209" t="str">
        <f>IFERROR(VLOOKUP(TableHandbook[[#This Row],[UDC]],TableSTRUHUMBB[],7,FALSE),"")</f>
        <v/>
      </c>
      <c r="AY46" s="209" t="str">
        <f>IFERROR(VLOOKUP(TableHandbook[[#This Row],[UDC]],TableSTRUMARTM[],7,FALSE),"")</f>
        <v/>
      </c>
      <c r="AZ46" s="209" t="str">
        <f>IFERROR(VLOOKUP(TableHandbook[[#This Row],[UDC]],TableSTRUMATHB[],7,FALSE),"")</f>
        <v/>
      </c>
      <c r="BA46" s="209" t="str">
        <f>IFERROR(VLOOKUP(TableHandbook[[#This Row],[UDC]],TableSTRUMATHM[],7,FALSE),"")</f>
        <v/>
      </c>
      <c r="BB46" s="209" t="str">
        <f>IFERROR(VLOOKUP(TableHandbook[[#This Row],[UDC]],TableSTRUPARTB[],7,FALSE),"")</f>
        <v/>
      </c>
      <c r="BC46" s="209" t="str">
        <f>IFERROR(VLOOKUP(TableHandbook[[#This Row],[UDC]],TableSTRUPARTM[],7,FALSE),"")</f>
        <v/>
      </c>
      <c r="BD46" s="209" t="str">
        <f>IFERROR(VLOOKUP(TableHandbook[[#This Row],[UDC]],TableSTRUPOLB1[],7,FALSE),"")</f>
        <v/>
      </c>
      <c r="BE46" s="209" t="str">
        <f>IFERROR(VLOOKUP(TableHandbook[[#This Row],[UDC]],TableSTRUPSYCB[],7,FALSE),"")</f>
        <v>AltCore</v>
      </c>
      <c r="BF46" s="209" t="str">
        <f>IFERROR(VLOOKUP(TableHandbook[[#This Row],[UDC]],TableSTRUPSYCM[],7,FALSE),"")</f>
        <v/>
      </c>
      <c r="BG46" s="209" t="str">
        <f>IFERROR(VLOOKUP(TableHandbook[[#This Row],[UDC]],TableSTRUVARTB[],7,FALSE),"")</f>
        <v/>
      </c>
      <c r="BH46" s="209" t="str">
        <f>IFERROR(VLOOKUP(TableHandbook[[#This Row],[UDC]],TableSTRUVARTM[],7,FALSE),"")</f>
        <v/>
      </c>
    </row>
    <row r="47" spans="1:60" x14ac:dyDescent="0.25">
      <c r="A47" s="305" t="s">
        <v>723</v>
      </c>
      <c r="B47" s="7">
        <v>0</v>
      </c>
      <c r="C47" s="7"/>
      <c r="D47" s="207" t="s">
        <v>775</v>
      </c>
      <c r="E47" s="7">
        <v>25</v>
      </c>
      <c r="F47" s="84" t="s">
        <v>769</v>
      </c>
      <c r="G47" s="75" t="str">
        <f>IFERROR(IF(VLOOKUP(TableHandbook[[#This Row],[UDC]],TableAvailabilities[],2,FALSE)&gt;0,"Y",""),"")</f>
        <v/>
      </c>
      <c r="H47" s="75" t="str">
        <f>IFERROR(IF(VLOOKUP(TableHandbook[[#This Row],[UDC]],TableAvailabilities[],3,FALSE)&gt;0,"Y",""),"")</f>
        <v/>
      </c>
      <c r="I47" s="75" t="str">
        <f>IFERROR(IF(VLOOKUP(TableHandbook[[#This Row],[UDC]],TableAvailabilities[],4,FALSE)&gt;0,"Y",""),"")</f>
        <v/>
      </c>
      <c r="J47" s="75" t="str">
        <f>IFERROR(IF(VLOOKUP(TableHandbook[[#This Row],[UDC]],TableAvailabilities[],5,FALSE)&gt;0,"Y",""),"")</f>
        <v/>
      </c>
      <c r="K47" s="75" t="str">
        <f>IFERROR(IF(VLOOKUP(TableHandbook[[#This Row],[UDC]],TableAvailabilities[],6,FALSE)&gt;0,"Y",""),"")</f>
        <v/>
      </c>
      <c r="L47" s="75" t="str">
        <f>IFERROR(IF(VLOOKUP(TableHandbook[[#This Row],[UDC]],TableAvailabilities[],7,FALSE)&gt;0,"Y",""),"")</f>
        <v/>
      </c>
      <c r="M47" s="207"/>
      <c r="N47" s="209" t="str">
        <f>IFERROR(VLOOKUP(TableHandbook[[#This Row],[UDC]],TableBEDUC[],7,FALSE),"")</f>
        <v/>
      </c>
      <c r="O47" s="209" t="str">
        <f>IFERROR(VLOOKUP(TableHandbook[[#This Row],[UDC]],TableBEDEC[],7,FALSE),"")</f>
        <v/>
      </c>
      <c r="P47" s="211" t="str">
        <f>IFERROR(VLOOKUP(TableHandbook[[#This Row],[UDC]],TableBEDPR[],7,FALSE),"")</f>
        <v/>
      </c>
      <c r="Q47" s="209" t="str">
        <f>IFERROR(VLOOKUP(TableHandbook[[#This Row],[UDC]],TableSTRUCATHL[],7,FALSE),"")</f>
        <v/>
      </c>
      <c r="R47" s="209" t="str">
        <f>IFERROR(VLOOKUP(TableHandbook[[#This Row],[UDC]],TableSTRUENGLL[],7,FALSE),"")</f>
        <v/>
      </c>
      <c r="S47" s="209" t="str">
        <f>IFERROR(VLOOKUP(TableHandbook[[#This Row],[UDC]],TableSTRUHLTPE[],7,FALSE),"")</f>
        <v/>
      </c>
      <c r="T47" s="209" t="str">
        <f>IFERROR(VLOOKUP(TableHandbook[[#This Row],[UDC]],TableSTRUISTEM[],7,FALSE),"")</f>
        <v/>
      </c>
      <c r="U47" s="209" t="str">
        <f>IFERROR(VLOOKUP(TableHandbook[[#This Row],[UDC]],TableSTRULITNU[],7,FALSE),"")</f>
        <v/>
      </c>
      <c r="V47" s="209" t="str">
        <f>IFERROR(VLOOKUP(TableHandbook[[#This Row],[UDC]],TableSTRUTECHS[],7,FALSE),"")</f>
        <v/>
      </c>
      <c r="W47" s="211" t="str">
        <f>IFERROR(VLOOKUP(TableHandbook[[#This Row],[UDC]],TableBEDSC[],7,FALSE),"")</f>
        <v/>
      </c>
      <c r="X47" s="211" t="str">
        <f>IFERROR(VLOOKUP(TableHandbook[[#This Row],[UDC]],TableMJRUARDR1[],7,FALSE),"")</f>
        <v/>
      </c>
      <c r="Y47" s="209" t="str">
        <f>IFERROR(VLOOKUP(TableHandbook[[#This Row],[UDC]],TableMJRUARME1[],7,FALSE),"")</f>
        <v/>
      </c>
      <c r="Z47" s="209" t="str">
        <f>IFERROR(VLOOKUP(TableHandbook[[#This Row],[UDC]],TableMJRUARVA1[],7,FALSE),"")</f>
        <v/>
      </c>
      <c r="AA47" s="209" t="str">
        <f>IFERROR(VLOOKUP(TableHandbook[[#This Row],[UDC]],TableMJRUENGL1[],7,FALSE),"")</f>
        <v/>
      </c>
      <c r="AB47" s="209" t="str">
        <f>IFERROR(VLOOKUP(TableHandbook[[#This Row],[UDC]],TableMJRUHSEC1[],7,FALSE),"")</f>
        <v/>
      </c>
      <c r="AC47" s="209" t="str">
        <f>IFERROR(VLOOKUP(TableHandbook[[#This Row],[UDC]],TableMJRUHSGE1[],7,FALSE),"")</f>
        <v/>
      </c>
      <c r="AD47" s="209" t="str">
        <f>IFERROR(VLOOKUP(TableHandbook[[#This Row],[UDC]],TableMJRUHSHI1[],7,FALSE),"")</f>
        <v/>
      </c>
      <c r="AE47" s="209" t="str">
        <f>IFERROR(VLOOKUP(TableHandbook[[#This Row],[UDC]],TableMJRUHSPL1[],7,FALSE),"")</f>
        <v/>
      </c>
      <c r="AF47" s="209" t="str">
        <f>IFERROR(VLOOKUP(TableHandbook[[#This Row],[UDC]],TableMJRUMATH1[],7,FALSE),"")</f>
        <v/>
      </c>
      <c r="AG47" s="209" t="str">
        <f>IFERROR(VLOOKUP(TableHandbook[[#This Row],[UDC]],TableMJRUPHYSE[],7,FALSE),"")</f>
        <v/>
      </c>
      <c r="AH47" s="209" t="str">
        <f>IFERROR(VLOOKUP(TableHandbook[[#This Row],[UDC]],TableMJRUSCBI1[],7,FALSE),"")</f>
        <v/>
      </c>
      <c r="AI47" s="209" t="str">
        <f>IFERROR(VLOOKUP(TableHandbook[[#This Row],[UDC]],TableMJRUSCCH1[],7,FALSE),"")</f>
        <v/>
      </c>
      <c r="AJ47" s="209" t="str">
        <f>IFERROR(VLOOKUP(TableHandbook[[#This Row],[UDC]],TableMJRUSCHB1[],7,FALSE),"")</f>
        <v/>
      </c>
      <c r="AK47" s="209" t="str">
        <f>IFERROR(VLOOKUP(TableHandbook[[#This Row],[UDC]],TableMJRUSCPH1[],7,FALSE),"")</f>
        <v/>
      </c>
      <c r="AL47" s="209" t="str">
        <f>IFERROR(VLOOKUP(TableHandbook[[#This Row],[UDC]],TableMJRUSCPS1[],7,FALSE),"")</f>
        <v/>
      </c>
      <c r="AM47" s="211" t="str">
        <f>IFERROR(VLOOKUP(TableHandbook[[#This Row],[UDC]],TableSTRUBIOLB[],7,FALSE),"")</f>
        <v/>
      </c>
      <c r="AN47" s="209" t="str">
        <f>IFERROR(VLOOKUP(TableHandbook[[#This Row],[UDC]],TableSTRUBSCIM[],7,FALSE),"")</f>
        <v/>
      </c>
      <c r="AO47" s="209" t="str">
        <f>IFERROR(VLOOKUP(TableHandbook[[#This Row],[UDC]],TableSTRUCHEMB[],7,FALSE),"")</f>
        <v/>
      </c>
      <c r="AP47" s="209" t="str">
        <f>IFERROR(VLOOKUP(TableHandbook[[#This Row],[UDC]],TableSTRUECOB1[],7,FALSE),"")</f>
        <v/>
      </c>
      <c r="AQ47" s="209" t="str">
        <f>IFERROR(VLOOKUP(TableHandbook[[#This Row],[UDC]],TableSTRUENGLB[],7,FALSE),"")</f>
        <v/>
      </c>
      <c r="AR47" s="209" t="str">
        <f>IFERROR(VLOOKUP(TableHandbook[[#This Row],[UDC]],TableSTRUENGLM[],7,FALSE),"")</f>
        <v/>
      </c>
      <c r="AS47" s="209" t="str">
        <f>IFERROR(VLOOKUP(TableHandbook[[#This Row],[UDC]],TableSTRUGEOB1[],7,FALSE),"")</f>
        <v/>
      </c>
      <c r="AT47" s="209" t="str">
        <f>IFERROR(VLOOKUP(TableHandbook[[#This Row],[UDC]],TableSTRUGEOGM[],7,FALSE),"")</f>
        <v/>
      </c>
      <c r="AU47" s="209" t="str">
        <f>IFERROR(VLOOKUP(TableHandbook[[#This Row],[UDC]],TableSTRUHISB1[],7,FALSE),"")</f>
        <v/>
      </c>
      <c r="AV47" s="209" t="str">
        <f>IFERROR(VLOOKUP(TableHandbook[[#This Row],[UDC]],TableSTRUHISTM[],7,FALSE),"")</f>
        <v/>
      </c>
      <c r="AW47" s="209" t="str">
        <f>IFERROR(VLOOKUP(TableHandbook[[#This Row],[UDC]],TableSTRUHPEB1[],7,FALSE),"")</f>
        <v/>
      </c>
      <c r="AX47" s="209" t="str">
        <f>IFERROR(VLOOKUP(TableHandbook[[#This Row],[UDC]],TableSTRUHUMBB[],7,FALSE),"")</f>
        <v/>
      </c>
      <c r="AY47" s="209" t="str">
        <f>IFERROR(VLOOKUP(TableHandbook[[#This Row],[UDC]],TableSTRUMARTM[],7,FALSE),"")</f>
        <v/>
      </c>
      <c r="AZ47" s="209" t="str">
        <f>IFERROR(VLOOKUP(TableHandbook[[#This Row],[UDC]],TableSTRUMATHB[],7,FALSE),"")</f>
        <v/>
      </c>
      <c r="BA47" s="209" t="str">
        <f>IFERROR(VLOOKUP(TableHandbook[[#This Row],[UDC]],TableSTRUMATHM[],7,FALSE),"")</f>
        <v/>
      </c>
      <c r="BB47" s="209" t="str">
        <f>IFERROR(VLOOKUP(TableHandbook[[#This Row],[UDC]],TableSTRUPARTB[],7,FALSE),"")</f>
        <v/>
      </c>
      <c r="BC47" s="209" t="str">
        <f>IFERROR(VLOOKUP(TableHandbook[[#This Row],[UDC]],TableSTRUPARTM[],7,FALSE),"")</f>
        <v/>
      </c>
      <c r="BD47" s="209" t="str">
        <f>IFERROR(VLOOKUP(TableHandbook[[#This Row],[UDC]],TableSTRUPOLB1[],7,FALSE),"")</f>
        <v/>
      </c>
      <c r="BE47" s="209" t="str">
        <f>IFERROR(VLOOKUP(TableHandbook[[#This Row],[UDC]],TableSTRUPSYCB[],7,FALSE),"")</f>
        <v>AltCore</v>
      </c>
      <c r="BF47" s="209" t="str">
        <f>IFERROR(VLOOKUP(TableHandbook[[#This Row],[UDC]],TableSTRUPSYCM[],7,FALSE),"")</f>
        <v/>
      </c>
      <c r="BG47" s="209" t="str">
        <f>IFERROR(VLOOKUP(TableHandbook[[#This Row],[UDC]],TableSTRUVARTB[],7,FALSE),"")</f>
        <v/>
      </c>
      <c r="BH47" s="209" t="str">
        <f>IFERROR(VLOOKUP(TableHandbook[[#This Row],[UDC]],TableSTRUVARTM[],7,FALSE),"")</f>
        <v/>
      </c>
    </row>
    <row r="48" spans="1:60" x14ac:dyDescent="0.25">
      <c r="A48" s="296" t="s">
        <v>456</v>
      </c>
      <c r="B48" s="7">
        <v>0</v>
      </c>
      <c r="C48" s="7"/>
      <c r="D48" s="207" t="s">
        <v>810</v>
      </c>
      <c r="E48" s="7">
        <v>25</v>
      </c>
      <c r="F48" s="84" t="s">
        <v>769</v>
      </c>
      <c r="G48" s="75" t="str">
        <f>IFERROR(IF(VLOOKUP(TableHandbook[[#This Row],[UDC]],TableAvailabilities[],2,FALSE)&gt;0,"Y",""),"")</f>
        <v/>
      </c>
      <c r="H48" s="75" t="str">
        <f>IFERROR(IF(VLOOKUP(TableHandbook[[#This Row],[UDC]],TableAvailabilities[],3,FALSE)&gt;0,"Y",""),"")</f>
        <v/>
      </c>
      <c r="I48" s="75" t="str">
        <f>IFERROR(IF(VLOOKUP(TableHandbook[[#This Row],[UDC]],TableAvailabilities[],4,FALSE)&gt;0,"Y",""),"")</f>
        <v/>
      </c>
      <c r="J48" s="75" t="str">
        <f>IFERROR(IF(VLOOKUP(TableHandbook[[#This Row],[UDC]],TableAvailabilities[],5,FALSE)&gt;0,"Y",""),"")</f>
        <v/>
      </c>
      <c r="K48" s="75" t="str">
        <f>IFERROR(IF(VLOOKUP(TableHandbook[[#This Row],[UDC]],TableAvailabilities[],6,FALSE)&gt;0,"Y",""),"")</f>
        <v/>
      </c>
      <c r="L48" s="75" t="str">
        <f>IFERROR(IF(VLOOKUP(TableHandbook[[#This Row],[UDC]],TableAvailabilities[],7,FALSE)&gt;0,"Y",""),"")</f>
        <v/>
      </c>
      <c r="M48" s="207"/>
      <c r="N48" s="209" t="str">
        <f>IFERROR(VLOOKUP(TableHandbook[[#This Row],[UDC]],TableBEDUC[],7,FALSE),"")</f>
        <v/>
      </c>
      <c r="O48" s="209" t="str">
        <f>IFERROR(VLOOKUP(TableHandbook[[#This Row],[UDC]],TableBEDEC[],7,FALSE),"")</f>
        <v/>
      </c>
      <c r="P48" s="211" t="str">
        <f>IFERROR(VLOOKUP(TableHandbook[[#This Row],[UDC]],TableBEDPR[],7,FALSE),"")</f>
        <v/>
      </c>
      <c r="Q48" s="209" t="str">
        <f>IFERROR(VLOOKUP(TableHandbook[[#This Row],[UDC]],TableSTRUCATHL[],7,FALSE),"")</f>
        <v/>
      </c>
      <c r="R48" s="209" t="str">
        <f>IFERROR(VLOOKUP(TableHandbook[[#This Row],[UDC]],TableSTRUENGLL[],7,FALSE),"")</f>
        <v/>
      </c>
      <c r="S48" s="209" t="str">
        <f>IFERROR(VLOOKUP(TableHandbook[[#This Row],[UDC]],TableSTRUHLTPE[],7,FALSE),"")</f>
        <v/>
      </c>
      <c r="T48" s="209" t="str">
        <f>IFERROR(VLOOKUP(TableHandbook[[#This Row],[UDC]],TableSTRUISTEM[],7,FALSE),"")</f>
        <v/>
      </c>
      <c r="U48" s="209" t="str">
        <f>IFERROR(VLOOKUP(TableHandbook[[#This Row],[UDC]],TableSTRULITNU[],7,FALSE),"")</f>
        <v/>
      </c>
      <c r="V48" s="209" t="str">
        <f>IFERROR(VLOOKUP(TableHandbook[[#This Row],[UDC]],TableSTRUTECHS[],7,FALSE),"")</f>
        <v/>
      </c>
      <c r="W48" s="211" t="str">
        <f>IFERROR(VLOOKUP(TableHandbook[[#This Row],[UDC]],TableBEDSC[],7,FALSE),"")</f>
        <v/>
      </c>
      <c r="X48" s="211" t="str">
        <f>IFERROR(VLOOKUP(TableHandbook[[#This Row],[UDC]],TableMJRUARDR1[],7,FALSE),"")</f>
        <v/>
      </c>
      <c r="Y48" s="209" t="str">
        <f>IFERROR(VLOOKUP(TableHandbook[[#This Row],[UDC]],TableMJRUARME1[],7,FALSE),"")</f>
        <v/>
      </c>
      <c r="Z48" s="209" t="str">
        <f>IFERROR(VLOOKUP(TableHandbook[[#This Row],[UDC]],TableMJRUARVA1[],7,FALSE),"")</f>
        <v/>
      </c>
      <c r="AA48" s="209" t="str">
        <f>IFERROR(VLOOKUP(TableHandbook[[#This Row],[UDC]],TableMJRUENGL1[],7,FALSE),"")</f>
        <v/>
      </c>
      <c r="AB48" s="209" t="str">
        <f>IFERROR(VLOOKUP(TableHandbook[[#This Row],[UDC]],TableMJRUHSEC1[],7,FALSE),"")</f>
        <v/>
      </c>
      <c r="AC48" s="209" t="str">
        <f>IFERROR(VLOOKUP(TableHandbook[[#This Row],[UDC]],TableMJRUHSGE1[],7,FALSE),"")</f>
        <v/>
      </c>
      <c r="AD48" s="209" t="str">
        <f>IFERROR(VLOOKUP(TableHandbook[[#This Row],[UDC]],TableMJRUHSHI1[],7,FALSE),"")</f>
        <v/>
      </c>
      <c r="AE48" s="209" t="str">
        <f>IFERROR(VLOOKUP(TableHandbook[[#This Row],[UDC]],TableMJRUHSPL1[],7,FALSE),"")</f>
        <v/>
      </c>
      <c r="AF48" s="209" t="str">
        <f>IFERROR(VLOOKUP(TableHandbook[[#This Row],[UDC]],TableMJRUMATH1[],7,FALSE),"")</f>
        <v/>
      </c>
      <c r="AG48" s="209" t="str">
        <f>IFERROR(VLOOKUP(TableHandbook[[#This Row],[UDC]],TableMJRUPHYSE[],7,FALSE),"")</f>
        <v/>
      </c>
      <c r="AH48" s="209" t="str">
        <f>IFERROR(VLOOKUP(TableHandbook[[#This Row],[UDC]],TableMJRUSCBI1[],7,FALSE),"")</f>
        <v>AltCore</v>
      </c>
      <c r="AI48" s="209" t="str">
        <f>IFERROR(VLOOKUP(TableHandbook[[#This Row],[UDC]],TableMJRUSCCH1[],7,FALSE),"")</f>
        <v/>
      </c>
      <c r="AJ48" s="209" t="str">
        <f>IFERROR(VLOOKUP(TableHandbook[[#This Row],[UDC]],TableMJRUSCHB1[],7,FALSE),"")</f>
        <v/>
      </c>
      <c r="AK48" s="209" t="str">
        <f>IFERROR(VLOOKUP(TableHandbook[[#This Row],[UDC]],TableMJRUSCPH1[],7,FALSE),"")</f>
        <v/>
      </c>
      <c r="AL48" s="209" t="str">
        <f>IFERROR(VLOOKUP(TableHandbook[[#This Row],[UDC]],TableMJRUSCPS1[],7,FALSE),"")</f>
        <v/>
      </c>
      <c r="AM48" s="211" t="str">
        <f>IFERROR(VLOOKUP(TableHandbook[[#This Row],[UDC]],TableSTRUBIOLB[],7,FALSE),"")</f>
        <v/>
      </c>
      <c r="AN48" s="209" t="str">
        <f>IFERROR(VLOOKUP(TableHandbook[[#This Row],[UDC]],TableSTRUBSCIM[],7,FALSE),"")</f>
        <v/>
      </c>
      <c r="AO48" s="209" t="str">
        <f>IFERROR(VLOOKUP(TableHandbook[[#This Row],[UDC]],TableSTRUCHEMB[],7,FALSE),"")</f>
        <v/>
      </c>
      <c r="AP48" s="209" t="str">
        <f>IFERROR(VLOOKUP(TableHandbook[[#This Row],[UDC]],TableSTRUECOB1[],7,FALSE),"")</f>
        <v/>
      </c>
      <c r="AQ48" s="209" t="str">
        <f>IFERROR(VLOOKUP(TableHandbook[[#This Row],[UDC]],TableSTRUENGLB[],7,FALSE),"")</f>
        <v/>
      </c>
      <c r="AR48" s="209" t="str">
        <f>IFERROR(VLOOKUP(TableHandbook[[#This Row],[UDC]],TableSTRUENGLM[],7,FALSE),"")</f>
        <v/>
      </c>
      <c r="AS48" s="209" t="str">
        <f>IFERROR(VLOOKUP(TableHandbook[[#This Row],[UDC]],TableSTRUGEOB1[],7,FALSE),"")</f>
        <v/>
      </c>
      <c r="AT48" s="209" t="str">
        <f>IFERROR(VLOOKUP(TableHandbook[[#This Row],[UDC]],TableSTRUGEOGM[],7,FALSE),"")</f>
        <v/>
      </c>
      <c r="AU48" s="209" t="str">
        <f>IFERROR(VLOOKUP(TableHandbook[[#This Row],[UDC]],TableSTRUHISB1[],7,FALSE),"")</f>
        <v/>
      </c>
      <c r="AV48" s="209" t="str">
        <f>IFERROR(VLOOKUP(TableHandbook[[#This Row],[UDC]],TableSTRUHISTM[],7,FALSE),"")</f>
        <v/>
      </c>
      <c r="AW48" s="209" t="str">
        <f>IFERROR(VLOOKUP(TableHandbook[[#This Row],[UDC]],TableSTRUHPEB1[],7,FALSE),"")</f>
        <v/>
      </c>
      <c r="AX48" s="209" t="str">
        <f>IFERROR(VLOOKUP(TableHandbook[[#This Row],[UDC]],TableSTRUHUMBB[],7,FALSE),"")</f>
        <v/>
      </c>
      <c r="AY48" s="209" t="str">
        <f>IFERROR(VLOOKUP(TableHandbook[[#This Row],[UDC]],TableSTRUMARTM[],7,FALSE),"")</f>
        <v/>
      </c>
      <c r="AZ48" s="209" t="str">
        <f>IFERROR(VLOOKUP(TableHandbook[[#This Row],[UDC]],TableSTRUMATHB[],7,FALSE),"")</f>
        <v/>
      </c>
      <c r="BA48" s="209" t="str">
        <f>IFERROR(VLOOKUP(TableHandbook[[#This Row],[UDC]],TableSTRUMATHM[],7,FALSE),"")</f>
        <v/>
      </c>
      <c r="BB48" s="209" t="str">
        <f>IFERROR(VLOOKUP(TableHandbook[[#This Row],[UDC]],TableSTRUPARTB[],7,FALSE),"")</f>
        <v/>
      </c>
      <c r="BC48" s="209" t="str">
        <f>IFERROR(VLOOKUP(TableHandbook[[#This Row],[UDC]],TableSTRUPARTM[],7,FALSE),"")</f>
        <v/>
      </c>
      <c r="BD48" s="209" t="str">
        <f>IFERROR(VLOOKUP(TableHandbook[[#This Row],[UDC]],TableSTRUPOLB1[],7,FALSE),"")</f>
        <v/>
      </c>
      <c r="BE48" s="209" t="str">
        <f>IFERROR(VLOOKUP(TableHandbook[[#This Row],[UDC]],TableSTRUPSYCB[],7,FALSE),"")</f>
        <v/>
      </c>
      <c r="BF48" s="209" t="str">
        <f>IFERROR(VLOOKUP(TableHandbook[[#This Row],[UDC]],TableSTRUPSYCM[],7,FALSE),"")</f>
        <v/>
      </c>
      <c r="BG48" s="209" t="str">
        <f>IFERROR(VLOOKUP(TableHandbook[[#This Row],[UDC]],TableSTRUVARTB[],7,FALSE),"")</f>
        <v/>
      </c>
      <c r="BH48" s="209" t="str">
        <f>IFERROR(VLOOKUP(TableHandbook[[#This Row],[UDC]],TableSTRUVARTM[],7,FALSE),"")</f>
        <v/>
      </c>
    </row>
    <row r="49" spans="1:60" x14ac:dyDescent="0.25">
      <c r="A49" s="296" t="s">
        <v>532</v>
      </c>
      <c r="B49" s="7">
        <v>0</v>
      </c>
      <c r="C49" s="7"/>
      <c r="D49" s="207" t="s">
        <v>811</v>
      </c>
      <c r="E49" s="7">
        <v>25</v>
      </c>
      <c r="F49" s="84" t="s">
        <v>769</v>
      </c>
      <c r="G49" s="75" t="str">
        <f>IFERROR(IF(VLOOKUP(TableHandbook[[#This Row],[UDC]],TableAvailabilities[],2,FALSE)&gt;0,"Y",""),"")</f>
        <v/>
      </c>
      <c r="H49" s="75" t="str">
        <f>IFERROR(IF(VLOOKUP(TableHandbook[[#This Row],[UDC]],TableAvailabilities[],3,FALSE)&gt;0,"Y",""),"")</f>
        <v/>
      </c>
      <c r="I49" s="75" t="str">
        <f>IFERROR(IF(VLOOKUP(TableHandbook[[#This Row],[UDC]],TableAvailabilities[],4,FALSE)&gt;0,"Y",""),"")</f>
        <v/>
      </c>
      <c r="J49" s="75" t="str">
        <f>IFERROR(IF(VLOOKUP(TableHandbook[[#This Row],[UDC]],TableAvailabilities[],5,FALSE)&gt;0,"Y",""),"")</f>
        <v/>
      </c>
      <c r="K49" s="75" t="str">
        <f>IFERROR(IF(VLOOKUP(TableHandbook[[#This Row],[UDC]],TableAvailabilities[],6,FALSE)&gt;0,"Y",""),"")</f>
        <v/>
      </c>
      <c r="L49" s="75" t="str">
        <f>IFERROR(IF(VLOOKUP(TableHandbook[[#This Row],[UDC]],TableAvailabilities[],7,FALSE)&gt;0,"Y",""),"")</f>
        <v/>
      </c>
      <c r="M49" s="207"/>
      <c r="N49" s="209" t="str">
        <f>IFERROR(VLOOKUP(TableHandbook[[#This Row],[UDC]],TableBEDUC[],7,FALSE),"")</f>
        <v/>
      </c>
      <c r="O49" s="209" t="str">
        <f>IFERROR(VLOOKUP(TableHandbook[[#This Row],[UDC]],TableBEDEC[],7,FALSE),"")</f>
        <v/>
      </c>
      <c r="P49" s="211" t="str">
        <f>IFERROR(VLOOKUP(TableHandbook[[#This Row],[UDC]],TableBEDPR[],7,FALSE),"")</f>
        <v/>
      </c>
      <c r="Q49" s="209" t="str">
        <f>IFERROR(VLOOKUP(TableHandbook[[#This Row],[UDC]],TableSTRUCATHL[],7,FALSE),"")</f>
        <v/>
      </c>
      <c r="R49" s="209" t="str">
        <f>IFERROR(VLOOKUP(TableHandbook[[#This Row],[UDC]],TableSTRUENGLL[],7,FALSE),"")</f>
        <v/>
      </c>
      <c r="S49" s="209" t="str">
        <f>IFERROR(VLOOKUP(TableHandbook[[#This Row],[UDC]],TableSTRUHLTPE[],7,FALSE),"")</f>
        <v/>
      </c>
      <c r="T49" s="209" t="str">
        <f>IFERROR(VLOOKUP(TableHandbook[[#This Row],[UDC]],TableSTRUISTEM[],7,FALSE),"")</f>
        <v/>
      </c>
      <c r="U49" s="209" t="str">
        <f>IFERROR(VLOOKUP(TableHandbook[[#This Row],[UDC]],TableSTRULITNU[],7,FALSE),"")</f>
        <v/>
      </c>
      <c r="V49" s="209" t="str">
        <f>IFERROR(VLOOKUP(TableHandbook[[#This Row],[UDC]],TableSTRUTECHS[],7,FALSE),"")</f>
        <v/>
      </c>
      <c r="W49" s="211" t="str">
        <f>IFERROR(VLOOKUP(TableHandbook[[#This Row],[UDC]],TableBEDSC[],7,FALSE),"")</f>
        <v/>
      </c>
      <c r="X49" s="211" t="str">
        <f>IFERROR(VLOOKUP(TableHandbook[[#This Row],[UDC]],TableMJRUARDR1[],7,FALSE),"")</f>
        <v/>
      </c>
      <c r="Y49" s="209" t="str">
        <f>IFERROR(VLOOKUP(TableHandbook[[#This Row],[UDC]],TableMJRUARME1[],7,FALSE),"")</f>
        <v/>
      </c>
      <c r="Z49" s="209" t="str">
        <f>IFERROR(VLOOKUP(TableHandbook[[#This Row],[UDC]],TableMJRUARVA1[],7,FALSE),"")</f>
        <v/>
      </c>
      <c r="AA49" s="209" t="str">
        <f>IFERROR(VLOOKUP(TableHandbook[[#This Row],[UDC]],TableMJRUENGL1[],7,FALSE),"")</f>
        <v/>
      </c>
      <c r="AB49" s="209" t="str">
        <f>IFERROR(VLOOKUP(TableHandbook[[#This Row],[UDC]],TableMJRUHSEC1[],7,FALSE),"")</f>
        <v/>
      </c>
      <c r="AC49" s="209" t="str">
        <f>IFERROR(VLOOKUP(TableHandbook[[#This Row],[UDC]],TableMJRUHSGE1[],7,FALSE),"")</f>
        <v/>
      </c>
      <c r="AD49" s="209" t="str">
        <f>IFERROR(VLOOKUP(TableHandbook[[#This Row],[UDC]],TableMJRUHSHI1[],7,FALSE),"")</f>
        <v/>
      </c>
      <c r="AE49" s="209" t="str">
        <f>IFERROR(VLOOKUP(TableHandbook[[#This Row],[UDC]],TableMJRUHSPL1[],7,FALSE),"")</f>
        <v/>
      </c>
      <c r="AF49" s="209" t="str">
        <f>IFERROR(VLOOKUP(TableHandbook[[#This Row],[UDC]],TableMJRUMATH1[],7,FALSE),"")</f>
        <v/>
      </c>
      <c r="AG49" s="209" t="str">
        <f>IFERROR(VLOOKUP(TableHandbook[[#This Row],[UDC]],TableMJRUPHYSE[],7,FALSE),"")</f>
        <v/>
      </c>
      <c r="AH49" s="209" t="str">
        <f>IFERROR(VLOOKUP(TableHandbook[[#This Row],[UDC]],TableMJRUSCBI1[],7,FALSE),"")</f>
        <v/>
      </c>
      <c r="AI49" s="209" t="str">
        <f>IFERROR(VLOOKUP(TableHandbook[[#This Row],[UDC]],TableMJRUSCCH1[],7,FALSE),"")</f>
        <v>AltCore</v>
      </c>
      <c r="AJ49" s="209" t="str">
        <f>IFERROR(VLOOKUP(TableHandbook[[#This Row],[UDC]],TableMJRUSCHB1[],7,FALSE),"")</f>
        <v/>
      </c>
      <c r="AK49" s="209" t="str">
        <f>IFERROR(VLOOKUP(TableHandbook[[#This Row],[UDC]],TableMJRUSCPH1[],7,FALSE),"")</f>
        <v/>
      </c>
      <c r="AL49" s="209" t="str">
        <f>IFERROR(VLOOKUP(TableHandbook[[#This Row],[UDC]],TableMJRUSCPS1[],7,FALSE),"")</f>
        <v/>
      </c>
      <c r="AM49" s="211" t="str">
        <f>IFERROR(VLOOKUP(TableHandbook[[#This Row],[UDC]],TableSTRUBIOLB[],7,FALSE),"")</f>
        <v/>
      </c>
      <c r="AN49" s="209" t="str">
        <f>IFERROR(VLOOKUP(TableHandbook[[#This Row],[UDC]],TableSTRUBSCIM[],7,FALSE),"")</f>
        <v/>
      </c>
      <c r="AO49" s="209" t="str">
        <f>IFERROR(VLOOKUP(TableHandbook[[#This Row],[UDC]],TableSTRUCHEMB[],7,FALSE),"")</f>
        <v/>
      </c>
      <c r="AP49" s="209" t="str">
        <f>IFERROR(VLOOKUP(TableHandbook[[#This Row],[UDC]],TableSTRUECOB1[],7,FALSE),"")</f>
        <v/>
      </c>
      <c r="AQ49" s="209" t="str">
        <f>IFERROR(VLOOKUP(TableHandbook[[#This Row],[UDC]],TableSTRUENGLB[],7,FALSE),"")</f>
        <v/>
      </c>
      <c r="AR49" s="209" t="str">
        <f>IFERROR(VLOOKUP(TableHandbook[[#This Row],[UDC]],TableSTRUENGLM[],7,FALSE),"")</f>
        <v/>
      </c>
      <c r="AS49" s="209" t="str">
        <f>IFERROR(VLOOKUP(TableHandbook[[#This Row],[UDC]],TableSTRUGEOB1[],7,FALSE),"")</f>
        <v/>
      </c>
      <c r="AT49" s="209" t="str">
        <f>IFERROR(VLOOKUP(TableHandbook[[#This Row],[UDC]],TableSTRUGEOGM[],7,FALSE),"")</f>
        <v/>
      </c>
      <c r="AU49" s="209" t="str">
        <f>IFERROR(VLOOKUP(TableHandbook[[#This Row],[UDC]],TableSTRUHISB1[],7,FALSE),"")</f>
        <v/>
      </c>
      <c r="AV49" s="209" t="str">
        <f>IFERROR(VLOOKUP(TableHandbook[[#This Row],[UDC]],TableSTRUHISTM[],7,FALSE),"")</f>
        <v/>
      </c>
      <c r="AW49" s="209" t="str">
        <f>IFERROR(VLOOKUP(TableHandbook[[#This Row],[UDC]],TableSTRUHPEB1[],7,FALSE),"")</f>
        <v/>
      </c>
      <c r="AX49" s="209" t="str">
        <f>IFERROR(VLOOKUP(TableHandbook[[#This Row],[UDC]],TableSTRUHUMBB[],7,FALSE),"")</f>
        <v/>
      </c>
      <c r="AY49" s="209" t="str">
        <f>IFERROR(VLOOKUP(TableHandbook[[#This Row],[UDC]],TableSTRUMARTM[],7,FALSE),"")</f>
        <v/>
      </c>
      <c r="AZ49" s="209" t="str">
        <f>IFERROR(VLOOKUP(TableHandbook[[#This Row],[UDC]],TableSTRUMATHB[],7,FALSE),"")</f>
        <v/>
      </c>
      <c r="BA49" s="209" t="str">
        <f>IFERROR(VLOOKUP(TableHandbook[[#This Row],[UDC]],TableSTRUMATHM[],7,FALSE),"")</f>
        <v/>
      </c>
      <c r="BB49" s="209" t="str">
        <f>IFERROR(VLOOKUP(TableHandbook[[#This Row],[UDC]],TableSTRUPARTB[],7,FALSE),"")</f>
        <v/>
      </c>
      <c r="BC49" s="209" t="str">
        <f>IFERROR(VLOOKUP(TableHandbook[[#This Row],[UDC]],TableSTRUPARTM[],7,FALSE),"")</f>
        <v/>
      </c>
      <c r="BD49" s="209" t="str">
        <f>IFERROR(VLOOKUP(TableHandbook[[#This Row],[UDC]],TableSTRUPOLB1[],7,FALSE),"")</f>
        <v/>
      </c>
      <c r="BE49" s="209" t="str">
        <f>IFERROR(VLOOKUP(TableHandbook[[#This Row],[UDC]],TableSTRUPSYCB[],7,FALSE),"")</f>
        <v/>
      </c>
      <c r="BF49" s="209" t="str">
        <f>IFERROR(VLOOKUP(TableHandbook[[#This Row],[UDC]],TableSTRUPSYCM[],7,FALSE),"")</f>
        <v/>
      </c>
      <c r="BG49" s="209" t="str">
        <f>IFERROR(VLOOKUP(TableHandbook[[#This Row],[UDC]],TableSTRUVARTB[],7,FALSE),"")</f>
        <v/>
      </c>
      <c r="BH49" s="209" t="str">
        <f>IFERROR(VLOOKUP(TableHandbook[[#This Row],[UDC]],TableSTRUVARTM[],7,FALSE),"")</f>
        <v/>
      </c>
    </row>
    <row r="50" spans="1:60" x14ac:dyDescent="0.25">
      <c r="A50" s="296" t="s">
        <v>547</v>
      </c>
      <c r="B50" s="7">
        <v>0</v>
      </c>
      <c r="C50" s="7"/>
      <c r="D50" s="207" t="s">
        <v>812</v>
      </c>
      <c r="E50" s="7">
        <v>25</v>
      </c>
      <c r="F50" s="84" t="s">
        <v>769</v>
      </c>
      <c r="G50" s="75" t="str">
        <f>IFERROR(IF(VLOOKUP(TableHandbook[[#This Row],[UDC]],TableAvailabilities[],2,FALSE)&gt;0,"Y",""),"")</f>
        <v/>
      </c>
      <c r="H50" s="75" t="str">
        <f>IFERROR(IF(VLOOKUP(TableHandbook[[#This Row],[UDC]],TableAvailabilities[],3,FALSE)&gt;0,"Y",""),"")</f>
        <v/>
      </c>
      <c r="I50" s="75" t="str">
        <f>IFERROR(IF(VLOOKUP(TableHandbook[[#This Row],[UDC]],TableAvailabilities[],4,FALSE)&gt;0,"Y",""),"")</f>
        <v/>
      </c>
      <c r="J50" s="75" t="str">
        <f>IFERROR(IF(VLOOKUP(TableHandbook[[#This Row],[UDC]],TableAvailabilities[],5,FALSE)&gt;0,"Y",""),"")</f>
        <v/>
      </c>
      <c r="K50" s="75" t="str">
        <f>IFERROR(IF(VLOOKUP(TableHandbook[[#This Row],[UDC]],TableAvailabilities[],6,FALSE)&gt;0,"Y",""),"")</f>
        <v/>
      </c>
      <c r="L50" s="75" t="str">
        <f>IFERROR(IF(VLOOKUP(TableHandbook[[#This Row],[UDC]],TableAvailabilities[],7,FALSE)&gt;0,"Y",""),"")</f>
        <v/>
      </c>
      <c r="M50" s="207"/>
      <c r="N50" s="209" t="str">
        <f>IFERROR(VLOOKUP(TableHandbook[[#This Row],[UDC]],TableBEDUC[],7,FALSE),"")</f>
        <v/>
      </c>
      <c r="O50" s="209" t="str">
        <f>IFERROR(VLOOKUP(TableHandbook[[#This Row],[UDC]],TableBEDEC[],7,FALSE),"")</f>
        <v/>
      </c>
      <c r="P50" s="211" t="str">
        <f>IFERROR(VLOOKUP(TableHandbook[[#This Row],[UDC]],TableBEDPR[],7,FALSE),"")</f>
        <v/>
      </c>
      <c r="Q50" s="209" t="str">
        <f>IFERROR(VLOOKUP(TableHandbook[[#This Row],[UDC]],TableSTRUCATHL[],7,FALSE),"")</f>
        <v/>
      </c>
      <c r="R50" s="209" t="str">
        <f>IFERROR(VLOOKUP(TableHandbook[[#This Row],[UDC]],TableSTRUENGLL[],7,FALSE),"")</f>
        <v/>
      </c>
      <c r="S50" s="209" t="str">
        <f>IFERROR(VLOOKUP(TableHandbook[[#This Row],[UDC]],TableSTRUHLTPE[],7,FALSE),"")</f>
        <v/>
      </c>
      <c r="T50" s="209" t="str">
        <f>IFERROR(VLOOKUP(TableHandbook[[#This Row],[UDC]],TableSTRUISTEM[],7,FALSE),"")</f>
        <v/>
      </c>
      <c r="U50" s="209" t="str">
        <f>IFERROR(VLOOKUP(TableHandbook[[#This Row],[UDC]],TableSTRULITNU[],7,FALSE),"")</f>
        <v/>
      </c>
      <c r="V50" s="209" t="str">
        <f>IFERROR(VLOOKUP(TableHandbook[[#This Row],[UDC]],TableSTRUTECHS[],7,FALSE),"")</f>
        <v/>
      </c>
      <c r="W50" s="211" t="str">
        <f>IFERROR(VLOOKUP(TableHandbook[[#This Row],[UDC]],TableBEDSC[],7,FALSE),"")</f>
        <v/>
      </c>
      <c r="X50" s="211" t="str">
        <f>IFERROR(VLOOKUP(TableHandbook[[#This Row],[UDC]],TableMJRUARDR1[],7,FALSE),"")</f>
        <v/>
      </c>
      <c r="Y50" s="209" t="str">
        <f>IFERROR(VLOOKUP(TableHandbook[[#This Row],[UDC]],TableMJRUARME1[],7,FALSE),"")</f>
        <v/>
      </c>
      <c r="Z50" s="209" t="str">
        <f>IFERROR(VLOOKUP(TableHandbook[[#This Row],[UDC]],TableMJRUARVA1[],7,FALSE),"")</f>
        <v/>
      </c>
      <c r="AA50" s="209" t="str">
        <f>IFERROR(VLOOKUP(TableHandbook[[#This Row],[UDC]],TableMJRUENGL1[],7,FALSE),"")</f>
        <v/>
      </c>
      <c r="AB50" s="209" t="str">
        <f>IFERROR(VLOOKUP(TableHandbook[[#This Row],[UDC]],TableMJRUHSEC1[],7,FALSE),"")</f>
        <v/>
      </c>
      <c r="AC50" s="209" t="str">
        <f>IFERROR(VLOOKUP(TableHandbook[[#This Row],[UDC]],TableMJRUHSGE1[],7,FALSE),"")</f>
        <v/>
      </c>
      <c r="AD50" s="209" t="str">
        <f>IFERROR(VLOOKUP(TableHandbook[[#This Row],[UDC]],TableMJRUHSHI1[],7,FALSE),"")</f>
        <v/>
      </c>
      <c r="AE50" s="209" t="str">
        <f>IFERROR(VLOOKUP(TableHandbook[[#This Row],[UDC]],TableMJRUHSPL1[],7,FALSE),"")</f>
        <v/>
      </c>
      <c r="AF50" s="209" t="str">
        <f>IFERROR(VLOOKUP(TableHandbook[[#This Row],[UDC]],TableMJRUMATH1[],7,FALSE),"")</f>
        <v/>
      </c>
      <c r="AG50" s="209" t="str">
        <f>IFERROR(VLOOKUP(TableHandbook[[#This Row],[UDC]],TableMJRUPHYSE[],7,FALSE),"")</f>
        <v/>
      </c>
      <c r="AH50" s="209" t="str">
        <f>IFERROR(VLOOKUP(TableHandbook[[#This Row],[UDC]],TableMJRUSCBI1[],7,FALSE),"")</f>
        <v/>
      </c>
      <c r="AI50" s="209" t="str">
        <f>IFERROR(VLOOKUP(TableHandbook[[#This Row],[UDC]],TableMJRUSCCH1[],7,FALSE),"")</f>
        <v>AltCore</v>
      </c>
      <c r="AJ50" s="209" t="str">
        <f>IFERROR(VLOOKUP(TableHandbook[[#This Row],[UDC]],TableMJRUSCHB1[],7,FALSE),"")</f>
        <v/>
      </c>
      <c r="AK50" s="209" t="str">
        <f>IFERROR(VLOOKUP(TableHandbook[[#This Row],[UDC]],TableMJRUSCPH1[],7,FALSE),"")</f>
        <v/>
      </c>
      <c r="AL50" s="209" t="str">
        <f>IFERROR(VLOOKUP(TableHandbook[[#This Row],[UDC]],TableMJRUSCPS1[],7,FALSE),"")</f>
        <v/>
      </c>
      <c r="AM50" s="211" t="str">
        <f>IFERROR(VLOOKUP(TableHandbook[[#This Row],[UDC]],TableSTRUBIOLB[],7,FALSE),"")</f>
        <v/>
      </c>
      <c r="AN50" s="209" t="str">
        <f>IFERROR(VLOOKUP(TableHandbook[[#This Row],[UDC]],TableSTRUBSCIM[],7,FALSE),"")</f>
        <v/>
      </c>
      <c r="AO50" s="209" t="str">
        <f>IFERROR(VLOOKUP(TableHandbook[[#This Row],[UDC]],TableSTRUCHEMB[],7,FALSE),"")</f>
        <v/>
      </c>
      <c r="AP50" s="209" t="str">
        <f>IFERROR(VLOOKUP(TableHandbook[[#This Row],[UDC]],TableSTRUECOB1[],7,FALSE),"")</f>
        <v/>
      </c>
      <c r="AQ50" s="209" t="str">
        <f>IFERROR(VLOOKUP(TableHandbook[[#This Row],[UDC]],TableSTRUENGLB[],7,FALSE),"")</f>
        <v/>
      </c>
      <c r="AR50" s="209" t="str">
        <f>IFERROR(VLOOKUP(TableHandbook[[#This Row],[UDC]],TableSTRUENGLM[],7,FALSE),"")</f>
        <v/>
      </c>
      <c r="AS50" s="209" t="str">
        <f>IFERROR(VLOOKUP(TableHandbook[[#This Row],[UDC]],TableSTRUGEOB1[],7,FALSE),"")</f>
        <v/>
      </c>
      <c r="AT50" s="209" t="str">
        <f>IFERROR(VLOOKUP(TableHandbook[[#This Row],[UDC]],TableSTRUGEOGM[],7,FALSE),"")</f>
        <v/>
      </c>
      <c r="AU50" s="209" t="str">
        <f>IFERROR(VLOOKUP(TableHandbook[[#This Row],[UDC]],TableSTRUHISB1[],7,FALSE),"")</f>
        <v/>
      </c>
      <c r="AV50" s="209" t="str">
        <f>IFERROR(VLOOKUP(TableHandbook[[#This Row],[UDC]],TableSTRUHISTM[],7,FALSE),"")</f>
        <v/>
      </c>
      <c r="AW50" s="209" t="str">
        <f>IFERROR(VLOOKUP(TableHandbook[[#This Row],[UDC]],TableSTRUHPEB1[],7,FALSE),"")</f>
        <v/>
      </c>
      <c r="AX50" s="209" t="str">
        <f>IFERROR(VLOOKUP(TableHandbook[[#This Row],[UDC]],TableSTRUHUMBB[],7,FALSE),"")</f>
        <v/>
      </c>
      <c r="AY50" s="209" t="str">
        <f>IFERROR(VLOOKUP(TableHandbook[[#This Row],[UDC]],TableSTRUMARTM[],7,FALSE),"")</f>
        <v/>
      </c>
      <c r="AZ50" s="209" t="str">
        <f>IFERROR(VLOOKUP(TableHandbook[[#This Row],[UDC]],TableSTRUMATHB[],7,FALSE),"")</f>
        <v/>
      </c>
      <c r="BA50" s="209" t="str">
        <f>IFERROR(VLOOKUP(TableHandbook[[#This Row],[UDC]],TableSTRUMATHM[],7,FALSE),"")</f>
        <v/>
      </c>
      <c r="BB50" s="209" t="str">
        <f>IFERROR(VLOOKUP(TableHandbook[[#This Row],[UDC]],TableSTRUPARTB[],7,FALSE),"")</f>
        <v/>
      </c>
      <c r="BC50" s="209" t="str">
        <f>IFERROR(VLOOKUP(TableHandbook[[#This Row],[UDC]],TableSTRUPARTM[],7,FALSE),"")</f>
        <v/>
      </c>
      <c r="BD50" s="209" t="str">
        <f>IFERROR(VLOOKUP(TableHandbook[[#This Row],[UDC]],TableSTRUPOLB1[],7,FALSE),"")</f>
        <v/>
      </c>
      <c r="BE50" s="209" t="str">
        <f>IFERROR(VLOOKUP(TableHandbook[[#This Row],[UDC]],TableSTRUPSYCB[],7,FALSE),"")</f>
        <v/>
      </c>
      <c r="BF50" s="209" t="str">
        <f>IFERROR(VLOOKUP(TableHandbook[[#This Row],[UDC]],TableSTRUPSYCM[],7,FALSE),"")</f>
        <v/>
      </c>
      <c r="BG50" s="209" t="str">
        <f>IFERROR(VLOOKUP(TableHandbook[[#This Row],[UDC]],TableSTRUVARTB[],7,FALSE),"")</f>
        <v/>
      </c>
      <c r="BH50" s="209" t="str">
        <f>IFERROR(VLOOKUP(TableHandbook[[#This Row],[UDC]],TableSTRUVARTM[],7,FALSE),"")</f>
        <v/>
      </c>
    </row>
    <row r="51" spans="1:60" x14ac:dyDescent="0.25">
      <c r="A51" s="296" t="s">
        <v>549</v>
      </c>
      <c r="B51" s="7">
        <v>1</v>
      </c>
      <c r="C51" s="7"/>
      <c r="D51" s="207" t="s">
        <v>813</v>
      </c>
      <c r="E51" s="7">
        <v>25</v>
      </c>
      <c r="F51" s="84" t="s">
        <v>814</v>
      </c>
      <c r="G51" s="75" t="str">
        <f>IFERROR(IF(VLOOKUP(TableHandbook[[#This Row],[UDC]],TableAvailabilities[],2,FALSE)&gt;0,"Y",""),"")</f>
        <v>Y</v>
      </c>
      <c r="H51" s="75" t="str">
        <f>IFERROR(IF(VLOOKUP(TableHandbook[[#This Row],[UDC]],TableAvailabilities[],3,FALSE)&gt;0,"Y",""),"")</f>
        <v/>
      </c>
      <c r="I51" s="75" t="str">
        <f>IFERROR(IF(VLOOKUP(TableHandbook[[#This Row],[UDC]],TableAvailabilities[],4,FALSE)&gt;0,"Y",""),"")</f>
        <v/>
      </c>
      <c r="J51" s="75" t="str">
        <f>IFERROR(IF(VLOOKUP(TableHandbook[[#This Row],[UDC]],TableAvailabilities[],5,FALSE)&gt;0,"Y",""),"")</f>
        <v/>
      </c>
      <c r="K51" s="75" t="str">
        <f>IFERROR(IF(VLOOKUP(TableHandbook[[#This Row],[UDC]],TableAvailabilities[],6,FALSE)&gt;0,"Y",""),"")</f>
        <v/>
      </c>
      <c r="L51" s="75" t="str">
        <f>IFERROR(IF(VLOOKUP(TableHandbook[[#This Row],[UDC]],TableAvailabilities[],7,FALSE)&gt;0,"Y",""),"")</f>
        <v/>
      </c>
      <c r="M51" s="207" t="s">
        <v>815</v>
      </c>
      <c r="N51" s="209" t="str">
        <f>IFERROR(VLOOKUP(TableHandbook[[#This Row],[UDC]],TableBEDUC[],7,FALSE),"")</f>
        <v/>
      </c>
      <c r="O51" s="209" t="str">
        <f>IFERROR(VLOOKUP(TableHandbook[[#This Row],[UDC]],TableBEDEC[],7,FALSE),"")</f>
        <v/>
      </c>
      <c r="P51" s="211" t="str">
        <f>IFERROR(VLOOKUP(TableHandbook[[#This Row],[UDC]],TableBEDPR[],7,FALSE),"")</f>
        <v/>
      </c>
      <c r="Q51" s="209" t="str">
        <f>IFERROR(VLOOKUP(TableHandbook[[#This Row],[UDC]],TableSTRUCATHL[],7,FALSE),"")</f>
        <v/>
      </c>
      <c r="R51" s="209" t="str">
        <f>IFERROR(VLOOKUP(TableHandbook[[#This Row],[UDC]],TableSTRUENGLL[],7,FALSE),"")</f>
        <v/>
      </c>
      <c r="S51" s="209" t="str">
        <f>IFERROR(VLOOKUP(TableHandbook[[#This Row],[UDC]],TableSTRUHLTPE[],7,FALSE),"")</f>
        <v/>
      </c>
      <c r="T51" s="209" t="str">
        <f>IFERROR(VLOOKUP(TableHandbook[[#This Row],[UDC]],TableSTRUISTEM[],7,FALSE),"")</f>
        <v/>
      </c>
      <c r="U51" s="209" t="str">
        <f>IFERROR(VLOOKUP(TableHandbook[[#This Row],[UDC]],TableSTRULITNU[],7,FALSE),"")</f>
        <v/>
      </c>
      <c r="V51" s="209" t="str">
        <f>IFERROR(VLOOKUP(TableHandbook[[#This Row],[UDC]],TableSTRUTECHS[],7,FALSE),"")</f>
        <v/>
      </c>
      <c r="W51" s="211" t="str">
        <f>IFERROR(VLOOKUP(TableHandbook[[#This Row],[UDC]],TableBEDSC[],7,FALSE),"")</f>
        <v/>
      </c>
      <c r="X51" s="211" t="str">
        <f>IFERROR(VLOOKUP(TableHandbook[[#This Row],[UDC]],TableMJRUARDR1[],7,FALSE),"")</f>
        <v/>
      </c>
      <c r="Y51" s="209" t="str">
        <f>IFERROR(VLOOKUP(TableHandbook[[#This Row],[UDC]],TableMJRUARME1[],7,FALSE),"")</f>
        <v/>
      </c>
      <c r="Z51" s="209" t="str">
        <f>IFERROR(VLOOKUP(TableHandbook[[#This Row],[UDC]],TableMJRUARVA1[],7,FALSE),"")</f>
        <v/>
      </c>
      <c r="AA51" s="209" t="str">
        <f>IFERROR(VLOOKUP(TableHandbook[[#This Row],[UDC]],TableMJRUENGL1[],7,FALSE),"")</f>
        <v/>
      </c>
      <c r="AB51" s="209" t="str">
        <f>IFERROR(VLOOKUP(TableHandbook[[#This Row],[UDC]],TableMJRUHSEC1[],7,FALSE),"")</f>
        <v/>
      </c>
      <c r="AC51" s="209" t="str">
        <f>IFERROR(VLOOKUP(TableHandbook[[#This Row],[UDC]],TableMJRUHSGE1[],7,FALSE),"")</f>
        <v/>
      </c>
      <c r="AD51" s="209" t="str">
        <f>IFERROR(VLOOKUP(TableHandbook[[#This Row],[UDC]],TableMJRUHSHI1[],7,FALSE),"")</f>
        <v/>
      </c>
      <c r="AE51" s="209" t="str">
        <f>IFERROR(VLOOKUP(TableHandbook[[#This Row],[UDC]],TableMJRUHSPL1[],7,FALSE),"")</f>
        <v/>
      </c>
      <c r="AF51" s="209" t="str">
        <f>IFERROR(VLOOKUP(TableHandbook[[#This Row],[UDC]],TableMJRUMATH1[],7,FALSE),"")</f>
        <v/>
      </c>
      <c r="AG51" s="209" t="str">
        <f>IFERROR(VLOOKUP(TableHandbook[[#This Row],[UDC]],TableMJRUPHYSE[],7,FALSE),"")</f>
        <v/>
      </c>
      <c r="AH51" s="209" t="str">
        <f>IFERROR(VLOOKUP(TableHandbook[[#This Row],[UDC]],TableMJRUSCBI1[],7,FALSE),"")</f>
        <v/>
      </c>
      <c r="AI51" s="209" t="str">
        <f>IFERROR(VLOOKUP(TableHandbook[[#This Row],[UDC]],TableMJRUSCCH1[],7,FALSE),"")</f>
        <v/>
      </c>
      <c r="AJ51" s="209" t="str">
        <f>IFERROR(VLOOKUP(TableHandbook[[#This Row],[UDC]],TableMJRUSCHB1[],7,FALSE),"")</f>
        <v/>
      </c>
      <c r="AK51" s="209" t="str">
        <f>IFERROR(VLOOKUP(TableHandbook[[#This Row],[UDC]],TableMJRUSCPH1[],7,FALSE),"")</f>
        <v>Core</v>
      </c>
      <c r="AL51" s="209" t="str">
        <f>IFERROR(VLOOKUP(TableHandbook[[#This Row],[UDC]],TableMJRUSCPS1[],7,FALSE),"")</f>
        <v/>
      </c>
      <c r="AM51" s="211" t="str">
        <f>IFERROR(VLOOKUP(TableHandbook[[#This Row],[UDC]],TableSTRUBIOLB[],7,FALSE),"")</f>
        <v/>
      </c>
      <c r="AN51" s="209" t="str">
        <f>IFERROR(VLOOKUP(TableHandbook[[#This Row],[UDC]],TableSTRUBSCIM[],7,FALSE),"")</f>
        <v/>
      </c>
      <c r="AO51" s="209" t="str">
        <f>IFERROR(VLOOKUP(TableHandbook[[#This Row],[UDC]],TableSTRUCHEMB[],7,FALSE),"")</f>
        <v/>
      </c>
      <c r="AP51" s="209" t="str">
        <f>IFERROR(VLOOKUP(TableHandbook[[#This Row],[UDC]],TableSTRUECOB1[],7,FALSE),"")</f>
        <v/>
      </c>
      <c r="AQ51" s="209" t="str">
        <f>IFERROR(VLOOKUP(TableHandbook[[#This Row],[UDC]],TableSTRUENGLB[],7,FALSE),"")</f>
        <v/>
      </c>
      <c r="AR51" s="209" t="str">
        <f>IFERROR(VLOOKUP(TableHandbook[[#This Row],[UDC]],TableSTRUENGLM[],7,FALSE),"")</f>
        <v/>
      </c>
      <c r="AS51" s="209" t="str">
        <f>IFERROR(VLOOKUP(TableHandbook[[#This Row],[UDC]],TableSTRUGEOB1[],7,FALSE),"")</f>
        <v/>
      </c>
      <c r="AT51" s="209" t="str">
        <f>IFERROR(VLOOKUP(TableHandbook[[#This Row],[UDC]],TableSTRUGEOGM[],7,FALSE),"")</f>
        <v/>
      </c>
      <c r="AU51" s="209" t="str">
        <f>IFERROR(VLOOKUP(TableHandbook[[#This Row],[UDC]],TableSTRUHISB1[],7,FALSE),"")</f>
        <v/>
      </c>
      <c r="AV51" s="209" t="str">
        <f>IFERROR(VLOOKUP(TableHandbook[[#This Row],[UDC]],TableSTRUHISTM[],7,FALSE),"")</f>
        <v/>
      </c>
      <c r="AW51" s="209" t="str">
        <f>IFERROR(VLOOKUP(TableHandbook[[#This Row],[UDC]],TableSTRUHPEB1[],7,FALSE),"")</f>
        <v/>
      </c>
      <c r="AX51" s="209" t="str">
        <f>IFERROR(VLOOKUP(TableHandbook[[#This Row],[UDC]],TableSTRUHUMBB[],7,FALSE),"")</f>
        <v/>
      </c>
      <c r="AY51" s="209" t="str">
        <f>IFERROR(VLOOKUP(TableHandbook[[#This Row],[UDC]],TableSTRUMARTM[],7,FALSE),"")</f>
        <v/>
      </c>
      <c r="AZ51" s="209" t="str">
        <f>IFERROR(VLOOKUP(TableHandbook[[#This Row],[UDC]],TableSTRUMATHB[],7,FALSE),"")</f>
        <v/>
      </c>
      <c r="BA51" s="209" t="str">
        <f>IFERROR(VLOOKUP(TableHandbook[[#This Row],[UDC]],TableSTRUMATHM[],7,FALSE),"")</f>
        <v/>
      </c>
      <c r="BB51" s="209" t="str">
        <f>IFERROR(VLOOKUP(TableHandbook[[#This Row],[UDC]],TableSTRUPARTB[],7,FALSE),"")</f>
        <v/>
      </c>
      <c r="BC51" s="209" t="str">
        <f>IFERROR(VLOOKUP(TableHandbook[[#This Row],[UDC]],TableSTRUPARTM[],7,FALSE),"")</f>
        <v/>
      </c>
      <c r="BD51" s="209" t="str">
        <f>IFERROR(VLOOKUP(TableHandbook[[#This Row],[UDC]],TableSTRUPOLB1[],7,FALSE),"")</f>
        <v/>
      </c>
      <c r="BE51" s="209" t="str">
        <f>IFERROR(VLOOKUP(TableHandbook[[#This Row],[UDC]],TableSTRUPSYCB[],7,FALSE),"")</f>
        <v/>
      </c>
      <c r="BF51" s="209" t="str">
        <f>IFERROR(VLOOKUP(TableHandbook[[#This Row],[UDC]],TableSTRUPSYCM[],7,FALSE),"")</f>
        <v/>
      </c>
      <c r="BG51" s="209" t="str">
        <f>IFERROR(VLOOKUP(TableHandbook[[#This Row],[UDC]],TableSTRUVARTB[],7,FALSE),"")</f>
        <v/>
      </c>
      <c r="BH51" s="209" t="str">
        <f>IFERROR(VLOOKUP(TableHandbook[[#This Row],[UDC]],TableSTRUVARTM[],7,FALSE),"")</f>
        <v/>
      </c>
    </row>
    <row r="52" spans="1:60" x14ac:dyDescent="0.25">
      <c r="A52" s="6" t="s">
        <v>572</v>
      </c>
      <c r="B52" s="7">
        <v>1</v>
      </c>
      <c r="C52" s="7"/>
      <c r="D52" s="207" t="s">
        <v>816</v>
      </c>
      <c r="E52" s="7">
        <v>25</v>
      </c>
      <c r="F52" s="84" t="s">
        <v>783</v>
      </c>
      <c r="G52" s="75" t="str">
        <f>IFERROR(IF(VLOOKUP(TableHandbook[[#This Row],[UDC]],TableAvailabilities[],2,FALSE)&gt;0,"Y",""),"")</f>
        <v/>
      </c>
      <c r="H52" s="75" t="str">
        <f>IFERROR(IF(VLOOKUP(TableHandbook[[#This Row],[UDC]],TableAvailabilities[],3,FALSE)&gt;0,"Y",""),"")</f>
        <v/>
      </c>
      <c r="I52" s="75" t="str">
        <f>IFERROR(IF(VLOOKUP(TableHandbook[[#This Row],[UDC]],TableAvailabilities[],4,FALSE)&gt;0,"Y",""),"")</f>
        <v/>
      </c>
      <c r="J52" s="75" t="str">
        <f>IFERROR(IF(VLOOKUP(TableHandbook[[#This Row],[UDC]],TableAvailabilities[],5,FALSE)&gt;0,"Y",""),"")</f>
        <v>Y</v>
      </c>
      <c r="K52" s="75" t="str">
        <f>IFERROR(IF(VLOOKUP(TableHandbook[[#This Row],[UDC]],TableAvailabilities[],6,FALSE)&gt;0,"Y",""),"")</f>
        <v/>
      </c>
      <c r="L52" s="75" t="str">
        <f>IFERROR(IF(VLOOKUP(TableHandbook[[#This Row],[UDC]],TableAvailabilities[],7,FALSE)&gt;0,"Y",""),"")</f>
        <v/>
      </c>
      <c r="M52" s="207"/>
      <c r="N52" s="209" t="str">
        <f>IFERROR(VLOOKUP(TableHandbook[[#This Row],[UDC]],TableBEDUC[],7,FALSE),"")</f>
        <v/>
      </c>
      <c r="O52" s="209" t="str">
        <f>IFERROR(VLOOKUP(TableHandbook[[#This Row],[UDC]],TableBEDEC[],7,FALSE),"")</f>
        <v/>
      </c>
      <c r="P52" s="211" t="str">
        <f>IFERROR(VLOOKUP(TableHandbook[[#This Row],[UDC]],TableBEDPR[],7,FALSE),"")</f>
        <v/>
      </c>
      <c r="Q52" s="209" t="str">
        <f>IFERROR(VLOOKUP(TableHandbook[[#This Row],[UDC]],TableSTRUCATHL[],7,FALSE),"")</f>
        <v/>
      </c>
      <c r="R52" s="209" t="str">
        <f>IFERROR(VLOOKUP(TableHandbook[[#This Row],[UDC]],TableSTRUENGLL[],7,FALSE),"")</f>
        <v/>
      </c>
      <c r="S52" s="209" t="str">
        <f>IFERROR(VLOOKUP(TableHandbook[[#This Row],[UDC]],TableSTRUHLTPE[],7,FALSE),"")</f>
        <v/>
      </c>
      <c r="T52" s="209" t="str">
        <f>IFERROR(VLOOKUP(TableHandbook[[#This Row],[UDC]],TableSTRUISTEM[],7,FALSE),"")</f>
        <v/>
      </c>
      <c r="U52" s="209" t="str">
        <f>IFERROR(VLOOKUP(TableHandbook[[#This Row],[UDC]],TableSTRULITNU[],7,FALSE),"")</f>
        <v/>
      </c>
      <c r="V52" s="209" t="str">
        <f>IFERROR(VLOOKUP(TableHandbook[[#This Row],[UDC]],TableSTRUTECHS[],7,FALSE),"")</f>
        <v/>
      </c>
      <c r="W52" s="211" t="str">
        <f>IFERROR(VLOOKUP(TableHandbook[[#This Row],[UDC]],TableBEDSC[],7,FALSE),"")</f>
        <v/>
      </c>
      <c r="X52" s="211" t="str">
        <f>IFERROR(VLOOKUP(TableHandbook[[#This Row],[UDC]],TableMJRUARDR1[],7,FALSE),"")</f>
        <v/>
      </c>
      <c r="Y52" s="209" t="str">
        <f>IFERROR(VLOOKUP(TableHandbook[[#This Row],[UDC]],TableMJRUARME1[],7,FALSE),"")</f>
        <v/>
      </c>
      <c r="Z52" s="209" t="str">
        <f>IFERROR(VLOOKUP(TableHandbook[[#This Row],[UDC]],TableMJRUARVA1[],7,FALSE),"")</f>
        <v/>
      </c>
      <c r="AA52" s="209" t="str">
        <f>IFERROR(VLOOKUP(TableHandbook[[#This Row],[UDC]],TableMJRUENGL1[],7,FALSE),"")</f>
        <v/>
      </c>
      <c r="AB52" s="209" t="str">
        <f>IFERROR(VLOOKUP(TableHandbook[[#This Row],[UDC]],TableMJRUHSEC1[],7,FALSE),"")</f>
        <v/>
      </c>
      <c r="AC52" s="209" t="str">
        <f>IFERROR(VLOOKUP(TableHandbook[[#This Row],[UDC]],TableMJRUHSGE1[],7,FALSE),"")</f>
        <v/>
      </c>
      <c r="AD52" s="209" t="str">
        <f>IFERROR(VLOOKUP(TableHandbook[[#This Row],[UDC]],TableMJRUHSHI1[],7,FALSE),"")</f>
        <v/>
      </c>
      <c r="AE52" s="209" t="str">
        <f>IFERROR(VLOOKUP(TableHandbook[[#This Row],[UDC]],TableMJRUHSPL1[],7,FALSE),"")</f>
        <v/>
      </c>
      <c r="AF52" s="209" t="str">
        <f>IFERROR(VLOOKUP(TableHandbook[[#This Row],[UDC]],TableMJRUMATH1[],7,FALSE),"")</f>
        <v/>
      </c>
      <c r="AG52" s="209" t="str">
        <f>IFERROR(VLOOKUP(TableHandbook[[#This Row],[UDC]],TableMJRUPHYSE[],7,FALSE),"")</f>
        <v/>
      </c>
      <c r="AH52" s="209" t="str">
        <f>IFERROR(VLOOKUP(TableHandbook[[#This Row],[UDC]],TableMJRUSCBI1[],7,FALSE),"")</f>
        <v>AltCore</v>
      </c>
      <c r="AI52" s="209" t="str">
        <f>IFERROR(VLOOKUP(TableHandbook[[#This Row],[UDC]],TableMJRUSCCH1[],7,FALSE),"")</f>
        <v/>
      </c>
      <c r="AJ52" s="209" t="str">
        <f>IFERROR(VLOOKUP(TableHandbook[[#This Row],[UDC]],TableMJRUSCHB1[],7,FALSE),"")</f>
        <v/>
      </c>
      <c r="AK52" s="209" t="str">
        <f>IFERROR(VLOOKUP(TableHandbook[[#This Row],[UDC]],TableMJRUSCPH1[],7,FALSE),"")</f>
        <v/>
      </c>
      <c r="AL52" s="209" t="str">
        <f>IFERROR(VLOOKUP(TableHandbook[[#This Row],[UDC]],TableMJRUSCPS1[],7,FALSE),"")</f>
        <v/>
      </c>
      <c r="AM52" s="211" t="str">
        <f>IFERROR(VLOOKUP(TableHandbook[[#This Row],[UDC]],TableSTRUBIOLB[],7,FALSE),"")</f>
        <v/>
      </c>
      <c r="AN52" s="209" t="str">
        <f>IFERROR(VLOOKUP(TableHandbook[[#This Row],[UDC]],TableSTRUBSCIM[],7,FALSE),"")</f>
        <v/>
      </c>
      <c r="AO52" s="209" t="str">
        <f>IFERROR(VLOOKUP(TableHandbook[[#This Row],[UDC]],TableSTRUCHEMB[],7,FALSE),"")</f>
        <v/>
      </c>
      <c r="AP52" s="209" t="str">
        <f>IFERROR(VLOOKUP(TableHandbook[[#This Row],[UDC]],TableSTRUECOB1[],7,FALSE),"")</f>
        <v/>
      </c>
      <c r="AQ52" s="209" t="str">
        <f>IFERROR(VLOOKUP(TableHandbook[[#This Row],[UDC]],TableSTRUENGLB[],7,FALSE),"")</f>
        <v/>
      </c>
      <c r="AR52" s="209" t="str">
        <f>IFERROR(VLOOKUP(TableHandbook[[#This Row],[UDC]],TableSTRUENGLM[],7,FALSE),"")</f>
        <v/>
      </c>
      <c r="AS52" s="209" t="str">
        <f>IFERROR(VLOOKUP(TableHandbook[[#This Row],[UDC]],TableSTRUGEOB1[],7,FALSE),"")</f>
        <v/>
      </c>
      <c r="AT52" s="209" t="str">
        <f>IFERROR(VLOOKUP(TableHandbook[[#This Row],[UDC]],TableSTRUGEOGM[],7,FALSE),"")</f>
        <v/>
      </c>
      <c r="AU52" s="209" t="str">
        <f>IFERROR(VLOOKUP(TableHandbook[[#This Row],[UDC]],TableSTRUHISB1[],7,FALSE),"")</f>
        <v/>
      </c>
      <c r="AV52" s="209" t="str">
        <f>IFERROR(VLOOKUP(TableHandbook[[#This Row],[UDC]],TableSTRUHISTM[],7,FALSE),"")</f>
        <v/>
      </c>
      <c r="AW52" s="209" t="str">
        <f>IFERROR(VLOOKUP(TableHandbook[[#This Row],[UDC]],TableSTRUHPEB1[],7,FALSE),"")</f>
        <v/>
      </c>
      <c r="AX52" s="209" t="str">
        <f>IFERROR(VLOOKUP(TableHandbook[[#This Row],[UDC]],TableSTRUHUMBB[],7,FALSE),"")</f>
        <v/>
      </c>
      <c r="AY52" s="209" t="str">
        <f>IFERROR(VLOOKUP(TableHandbook[[#This Row],[UDC]],TableSTRUMARTM[],7,FALSE),"")</f>
        <v/>
      </c>
      <c r="AZ52" s="209" t="str">
        <f>IFERROR(VLOOKUP(TableHandbook[[#This Row],[UDC]],TableSTRUMATHB[],7,FALSE),"")</f>
        <v/>
      </c>
      <c r="BA52" s="209" t="str">
        <f>IFERROR(VLOOKUP(TableHandbook[[#This Row],[UDC]],TableSTRUMATHM[],7,FALSE),"")</f>
        <v/>
      </c>
      <c r="BB52" s="209" t="str">
        <f>IFERROR(VLOOKUP(TableHandbook[[#This Row],[UDC]],TableSTRUPARTB[],7,FALSE),"")</f>
        <v/>
      </c>
      <c r="BC52" s="209" t="str">
        <f>IFERROR(VLOOKUP(TableHandbook[[#This Row],[UDC]],TableSTRUPARTM[],7,FALSE),"")</f>
        <v/>
      </c>
      <c r="BD52" s="209" t="str">
        <f>IFERROR(VLOOKUP(TableHandbook[[#This Row],[UDC]],TableSTRUPOLB1[],7,FALSE),"")</f>
        <v/>
      </c>
      <c r="BE52" s="209" t="str">
        <f>IFERROR(VLOOKUP(TableHandbook[[#This Row],[UDC]],TableSTRUPSYCB[],7,FALSE),"")</f>
        <v/>
      </c>
      <c r="BF52" s="209" t="str">
        <f>IFERROR(VLOOKUP(TableHandbook[[#This Row],[UDC]],TableSTRUPSYCM[],7,FALSE),"")</f>
        <v/>
      </c>
      <c r="BG52" s="209" t="str">
        <f>IFERROR(VLOOKUP(TableHandbook[[#This Row],[UDC]],TableSTRUVARTB[],7,FALSE),"")</f>
        <v/>
      </c>
      <c r="BH52" s="209" t="str">
        <f>IFERROR(VLOOKUP(TableHandbook[[#This Row],[UDC]],TableSTRUVARTM[],7,FALSE),"")</f>
        <v/>
      </c>
    </row>
    <row r="53" spans="1:60" x14ac:dyDescent="0.25">
      <c r="A53" s="296" t="s">
        <v>604</v>
      </c>
      <c r="B53" s="7">
        <v>1</v>
      </c>
      <c r="C53" s="7"/>
      <c r="D53" s="207" t="s">
        <v>817</v>
      </c>
      <c r="E53" s="7">
        <v>25</v>
      </c>
      <c r="F53" s="84" t="s">
        <v>478</v>
      </c>
      <c r="G53" s="75" t="str">
        <f>IFERROR(IF(VLOOKUP(TableHandbook[[#This Row],[UDC]],TableAvailabilities[],2,FALSE)&gt;0,"Y",""),"")</f>
        <v/>
      </c>
      <c r="H53" s="75" t="str">
        <f>IFERROR(IF(VLOOKUP(TableHandbook[[#This Row],[UDC]],TableAvailabilities[],3,FALSE)&gt;0,"Y",""),"")</f>
        <v/>
      </c>
      <c r="I53" s="75" t="str">
        <f>IFERROR(IF(VLOOKUP(TableHandbook[[#This Row],[UDC]],TableAvailabilities[],4,FALSE)&gt;0,"Y",""),"")</f>
        <v/>
      </c>
      <c r="J53" s="75" t="str">
        <f>IFERROR(IF(VLOOKUP(TableHandbook[[#This Row],[UDC]],TableAvailabilities[],5,FALSE)&gt;0,"Y",""),"")</f>
        <v>Y</v>
      </c>
      <c r="K53" s="75" t="str">
        <f>IFERROR(IF(VLOOKUP(TableHandbook[[#This Row],[UDC]],TableAvailabilities[],6,FALSE)&gt;0,"Y",""),"")</f>
        <v/>
      </c>
      <c r="L53" s="75" t="str">
        <f>IFERROR(IF(VLOOKUP(TableHandbook[[#This Row],[UDC]],TableAvailabilities[],7,FALSE)&gt;0,"Y",""),"")</f>
        <v/>
      </c>
      <c r="M53" s="207"/>
      <c r="N53" s="209" t="str">
        <f>IFERROR(VLOOKUP(TableHandbook[[#This Row],[UDC]],TableBEDUC[],7,FALSE),"")</f>
        <v/>
      </c>
      <c r="O53" s="209" t="str">
        <f>IFERROR(VLOOKUP(TableHandbook[[#This Row],[UDC]],TableBEDEC[],7,FALSE),"")</f>
        <v/>
      </c>
      <c r="P53" s="211" t="str">
        <f>IFERROR(VLOOKUP(TableHandbook[[#This Row],[UDC]],TableBEDPR[],7,FALSE),"")</f>
        <v/>
      </c>
      <c r="Q53" s="209" t="str">
        <f>IFERROR(VLOOKUP(TableHandbook[[#This Row],[UDC]],TableSTRUCATHL[],7,FALSE),"")</f>
        <v/>
      </c>
      <c r="R53" s="209" t="str">
        <f>IFERROR(VLOOKUP(TableHandbook[[#This Row],[UDC]],TableSTRUENGLL[],7,FALSE),"")</f>
        <v/>
      </c>
      <c r="S53" s="209" t="str">
        <f>IFERROR(VLOOKUP(TableHandbook[[#This Row],[UDC]],TableSTRUHLTPE[],7,FALSE),"")</f>
        <v/>
      </c>
      <c r="T53" s="209" t="str">
        <f>IFERROR(VLOOKUP(TableHandbook[[#This Row],[UDC]],TableSTRUISTEM[],7,FALSE),"")</f>
        <v/>
      </c>
      <c r="U53" s="209" t="str">
        <f>IFERROR(VLOOKUP(TableHandbook[[#This Row],[UDC]],TableSTRULITNU[],7,FALSE),"")</f>
        <v/>
      </c>
      <c r="V53" s="209" t="str">
        <f>IFERROR(VLOOKUP(TableHandbook[[#This Row],[UDC]],TableSTRUTECHS[],7,FALSE),"")</f>
        <v/>
      </c>
      <c r="W53" s="211" t="str">
        <f>IFERROR(VLOOKUP(TableHandbook[[#This Row],[UDC]],TableBEDSC[],7,FALSE),"")</f>
        <v/>
      </c>
      <c r="X53" s="211" t="str">
        <f>IFERROR(VLOOKUP(TableHandbook[[#This Row],[UDC]],TableMJRUARDR1[],7,FALSE),"")</f>
        <v/>
      </c>
      <c r="Y53" s="209" t="str">
        <f>IFERROR(VLOOKUP(TableHandbook[[#This Row],[UDC]],TableMJRUARME1[],7,FALSE),"")</f>
        <v/>
      </c>
      <c r="Z53" s="209" t="str">
        <f>IFERROR(VLOOKUP(TableHandbook[[#This Row],[UDC]],TableMJRUARVA1[],7,FALSE),"")</f>
        <v/>
      </c>
      <c r="AA53" s="209" t="str">
        <f>IFERROR(VLOOKUP(TableHandbook[[#This Row],[UDC]],TableMJRUENGL1[],7,FALSE),"")</f>
        <v/>
      </c>
      <c r="AB53" s="209" t="str">
        <f>IFERROR(VLOOKUP(TableHandbook[[#This Row],[UDC]],TableMJRUHSEC1[],7,FALSE),"")</f>
        <v/>
      </c>
      <c r="AC53" s="209" t="str">
        <f>IFERROR(VLOOKUP(TableHandbook[[#This Row],[UDC]],TableMJRUHSGE1[],7,FALSE),"")</f>
        <v/>
      </c>
      <c r="AD53" s="209" t="str">
        <f>IFERROR(VLOOKUP(TableHandbook[[#This Row],[UDC]],TableMJRUHSHI1[],7,FALSE),"")</f>
        <v/>
      </c>
      <c r="AE53" s="209" t="str">
        <f>IFERROR(VLOOKUP(TableHandbook[[#This Row],[UDC]],TableMJRUHSPL1[],7,FALSE),"")</f>
        <v/>
      </c>
      <c r="AF53" s="209" t="str">
        <f>IFERROR(VLOOKUP(TableHandbook[[#This Row],[UDC]],TableMJRUMATH1[],7,FALSE),"")</f>
        <v/>
      </c>
      <c r="AG53" s="209" t="str">
        <f>IFERROR(VLOOKUP(TableHandbook[[#This Row],[UDC]],TableMJRUPHYSE[],7,FALSE),"")</f>
        <v/>
      </c>
      <c r="AH53" s="209" t="str">
        <f>IFERROR(VLOOKUP(TableHandbook[[#This Row],[UDC]],TableMJRUSCBI1[],7,FALSE),"")</f>
        <v>Option</v>
      </c>
      <c r="AI53" s="209" t="str">
        <f>IFERROR(VLOOKUP(TableHandbook[[#This Row],[UDC]],TableMJRUSCCH1[],7,FALSE),"")</f>
        <v/>
      </c>
      <c r="AJ53" s="209" t="str">
        <f>IFERROR(VLOOKUP(TableHandbook[[#This Row],[UDC]],TableMJRUSCHB1[],7,FALSE),"")</f>
        <v/>
      </c>
      <c r="AK53" s="209" t="str">
        <f>IFERROR(VLOOKUP(TableHandbook[[#This Row],[UDC]],TableMJRUSCPH1[],7,FALSE),"")</f>
        <v/>
      </c>
      <c r="AL53" s="209" t="str">
        <f>IFERROR(VLOOKUP(TableHandbook[[#This Row],[UDC]],TableMJRUSCPS1[],7,FALSE),"")</f>
        <v/>
      </c>
      <c r="AM53" s="211" t="str">
        <f>IFERROR(VLOOKUP(TableHandbook[[#This Row],[UDC]],TableSTRUBIOLB[],7,FALSE),"")</f>
        <v/>
      </c>
      <c r="AN53" s="209" t="str">
        <f>IFERROR(VLOOKUP(TableHandbook[[#This Row],[UDC]],TableSTRUBSCIM[],7,FALSE),"")</f>
        <v/>
      </c>
      <c r="AO53" s="209" t="str">
        <f>IFERROR(VLOOKUP(TableHandbook[[#This Row],[UDC]],TableSTRUCHEMB[],7,FALSE),"")</f>
        <v/>
      </c>
      <c r="AP53" s="209" t="str">
        <f>IFERROR(VLOOKUP(TableHandbook[[#This Row],[UDC]],TableSTRUECOB1[],7,FALSE),"")</f>
        <v/>
      </c>
      <c r="AQ53" s="209" t="str">
        <f>IFERROR(VLOOKUP(TableHandbook[[#This Row],[UDC]],TableSTRUENGLB[],7,FALSE),"")</f>
        <v/>
      </c>
      <c r="AR53" s="209" t="str">
        <f>IFERROR(VLOOKUP(TableHandbook[[#This Row],[UDC]],TableSTRUENGLM[],7,FALSE),"")</f>
        <v/>
      </c>
      <c r="AS53" s="209" t="str">
        <f>IFERROR(VLOOKUP(TableHandbook[[#This Row],[UDC]],TableSTRUGEOB1[],7,FALSE),"")</f>
        <v/>
      </c>
      <c r="AT53" s="209" t="str">
        <f>IFERROR(VLOOKUP(TableHandbook[[#This Row],[UDC]],TableSTRUGEOGM[],7,FALSE),"")</f>
        <v/>
      </c>
      <c r="AU53" s="209" t="str">
        <f>IFERROR(VLOOKUP(TableHandbook[[#This Row],[UDC]],TableSTRUHISB1[],7,FALSE),"")</f>
        <v/>
      </c>
      <c r="AV53" s="209" t="str">
        <f>IFERROR(VLOOKUP(TableHandbook[[#This Row],[UDC]],TableSTRUHISTM[],7,FALSE),"")</f>
        <v/>
      </c>
      <c r="AW53" s="209" t="str">
        <f>IFERROR(VLOOKUP(TableHandbook[[#This Row],[UDC]],TableSTRUHPEB1[],7,FALSE),"")</f>
        <v/>
      </c>
      <c r="AX53" s="209" t="str">
        <f>IFERROR(VLOOKUP(TableHandbook[[#This Row],[UDC]],TableSTRUHUMBB[],7,FALSE),"")</f>
        <v/>
      </c>
      <c r="AY53" s="209" t="str">
        <f>IFERROR(VLOOKUP(TableHandbook[[#This Row],[UDC]],TableSTRUMARTM[],7,FALSE),"")</f>
        <v/>
      </c>
      <c r="AZ53" s="209" t="str">
        <f>IFERROR(VLOOKUP(TableHandbook[[#This Row],[UDC]],TableSTRUMATHB[],7,FALSE),"")</f>
        <v/>
      </c>
      <c r="BA53" s="209" t="str">
        <f>IFERROR(VLOOKUP(TableHandbook[[#This Row],[UDC]],TableSTRUMATHM[],7,FALSE),"")</f>
        <v/>
      </c>
      <c r="BB53" s="209" t="str">
        <f>IFERROR(VLOOKUP(TableHandbook[[#This Row],[UDC]],TableSTRUPARTB[],7,FALSE),"")</f>
        <v/>
      </c>
      <c r="BC53" s="209" t="str">
        <f>IFERROR(VLOOKUP(TableHandbook[[#This Row],[UDC]],TableSTRUPARTM[],7,FALSE),"")</f>
        <v/>
      </c>
      <c r="BD53" s="209" t="str">
        <f>IFERROR(VLOOKUP(TableHandbook[[#This Row],[UDC]],TableSTRUPOLB1[],7,FALSE),"")</f>
        <v/>
      </c>
      <c r="BE53" s="209" t="str">
        <f>IFERROR(VLOOKUP(TableHandbook[[#This Row],[UDC]],TableSTRUPSYCB[],7,FALSE),"")</f>
        <v/>
      </c>
      <c r="BF53" s="209" t="str">
        <f>IFERROR(VLOOKUP(TableHandbook[[#This Row],[UDC]],TableSTRUPSYCM[],7,FALSE),"")</f>
        <v/>
      </c>
      <c r="BG53" s="209" t="str">
        <f>IFERROR(VLOOKUP(TableHandbook[[#This Row],[UDC]],TableSTRUVARTB[],7,FALSE),"")</f>
        <v/>
      </c>
      <c r="BH53" s="209" t="str">
        <f>IFERROR(VLOOKUP(TableHandbook[[#This Row],[UDC]],TableSTRUVARTM[],7,FALSE),"")</f>
        <v/>
      </c>
    </row>
    <row r="54" spans="1:60" x14ac:dyDescent="0.25">
      <c r="A54" s="296" t="s">
        <v>631</v>
      </c>
      <c r="B54" s="7">
        <v>1</v>
      </c>
      <c r="C54" s="7"/>
      <c r="D54" s="207" t="s">
        <v>818</v>
      </c>
      <c r="E54" s="7">
        <v>25</v>
      </c>
      <c r="F54" s="84" t="s">
        <v>783</v>
      </c>
      <c r="G54" s="75" t="str">
        <f>IFERROR(IF(VLOOKUP(TableHandbook[[#This Row],[UDC]],TableAvailabilities[],2,FALSE)&gt;0,"Y",""),"")</f>
        <v>Y</v>
      </c>
      <c r="H54" s="75" t="str">
        <f>IFERROR(IF(VLOOKUP(TableHandbook[[#This Row],[UDC]],TableAvailabilities[],3,FALSE)&gt;0,"Y",""),"")</f>
        <v>Y</v>
      </c>
      <c r="I54" s="75" t="str">
        <f>IFERROR(IF(VLOOKUP(TableHandbook[[#This Row],[UDC]],TableAvailabilities[],4,FALSE)&gt;0,"Y",""),"")</f>
        <v/>
      </c>
      <c r="J54" s="75" t="str">
        <f>IFERROR(IF(VLOOKUP(TableHandbook[[#This Row],[UDC]],TableAvailabilities[],5,FALSE)&gt;0,"Y",""),"")</f>
        <v/>
      </c>
      <c r="K54" s="75" t="str">
        <f>IFERROR(IF(VLOOKUP(TableHandbook[[#This Row],[UDC]],TableAvailabilities[],6,FALSE)&gt;0,"Y",""),"")</f>
        <v/>
      </c>
      <c r="L54" s="75" t="str">
        <f>IFERROR(IF(VLOOKUP(TableHandbook[[#This Row],[UDC]],TableAvailabilities[],7,FALSE)&gt;0,"Y",""),"")</f>
        <v/>
      </c>
      <c r="M54" s="207"/>
      <c r="N54" s="209" t="str">
        <f>IFERROR(VLOOKUP(TableHandbook[[#This Row],[UDC]],TableBEDUC[],7,FALSE),"")</f>
        <v/>
      </c>
      <c r="O54" s="209" t="str">
        <f>IFERROR(VLOOKUP(TableHandbook[[#This Row],[UDC]],TableBEDEC[],7,FALSE),"")</f>
        <v/>
      </c>
      <c r="P54" s="211" t="str">
        <f>IFERROR(VLOOKUP(TableHandbook[[#This Row],[UDC]],TableBEDPR[],7,FALSE),"")</f>
        <v/>
      </c>
      <c r="Q54" s="209" t="str">
        <f>IFERROR(VLOOKUP(TableHandbook[[#This Row],[UDC]],TableSTRUCATHL[],7,FALSE),"")</f>
        <v/>
      </c>
      <c r="R54" s="209" t="str">
        <f>IFERROR(VLOOKUP(TableHandbook[[#This Row],[UDC]],TableSTRUENGLL[],7,FALSE),"")</f>
        <v/>
      </c>
      <c r="S54" s="209" t="str">
        <f>IFERROR(VLOOKUP(TableHandbook[[#This Row],[UDC]],TableSTRUHLTPE[],7,FALSE),"")</f>
        <v/>
      </c>
      <c r="T54" s="209" t="str">
        <f>IFERROR(VLOOKUP(TableHandbook[[#This Row],[UDC]],TableSTRUISTEM[],7,FALSE),"")</f>
        <v/>
      </c>
      <c r="U54" s="209" t="str">
        <f>IFERROR(VLOOKUP(TableHandbook[[#This Row],[UDC]],TableSTRULITNU[],7,FALSE),"")</f>
        <v/>
      </c>
      <c r="V54" s="209" t="str">
        <f>IFERROR(VLOOKUP(TableHandbook[[#This Row],[UDC]],TableSTRUTECHS[],7,FALSE),"")</f>
        <v/>
      </c>
      <c r="W54" s="211" t="str">
        <f>IFERROR(VLOOKUP(TableHandbook[[#This Row],[UDC]],TableBEDSC[],7,FALSE),"")</f>
        <v/>
      </c>
      <c r="X54" s="211" t="str">
        <f>IFERROR(VLOOKUP(TableHandbook[[#This Row],[UDC]],TableMJRUARDR1[],7,FALSE),"")</f>
        <v/>
      </c>
      <c r="Y54" s="209" t="str">
        <f>IFERROR(VLOOKUP(TableHandbook[[#This Row],[UDC]],TableMJRUARME1[],7,FALSE),"")</f>
        <v/>
      </c>
      <c r="Z54" s="209" t="str">
        <f>IFERROR(VLOOKUP(TableHandbook[[#This Row],[UDC]],TableMJRUARVA1[],7,FALSE),"")</f>
        <v/>
      </c>
      <c r="AA54" s="209" t="str">
        <f>IFERROR(VLOOKUP(TableHandbook[[#This Row],[UDC]],TableMJRUENGL1[],7,FALSE),"")</f>
        <v/>
      </c>
      <c r="AB54" s="209" t="str">
        <f>IFERROR(VLOOKUP(TableHandbook[[#This Row],[UDC]],TableMJRUHSEC1[],7,FALSE),"")</f>
        <v/>
      </c>
      <c r="AC54" s="209" t="str">
        <f>IFERROR(VLOOKUP(TableHandbook[[#This Row],[UDC]],TableMJRUHSGE1[],7,FALSE),"")</f>
        <v/>
      </c>
      <c r="AD54" s="209" t="str">
        <f>IFERROR(VLOOKUP(TableHandbook[[#This Row],[UDC]],TableMJRUHSHI1[],7,FALSE),"")</f>
        <v>Option</v>
      </c>
      <c r="AE54" s="209" t="str">
        <f>IFERROR(VLOOKUP(TableHandbook[[#This Row],[UDC]],TableMJRUHSPL1[],7,FALSE),"")</f>
        <v/>
      </c>
      <c r="AF54" s="209" t="str">
        <f>IFERROR(VLOOKUP(TableHandbook[[#This Row],[UDC]],TableMJRUMATH1[],7,FALSE),"")</f>
        <v/>
      </c>
      <c r="AG54" s="209" t="str">
        <f>IFERROR(VLOOKUP(TableHandbook[[#This Row],[UDC]],TableMJRUPHYSE[],7,FALSE),"")</f>
        <v/>
      </c>
      <c r="AH54" s="209" t="str">
        <f>IFERROR(VLOOKUP(TableHandbook[[#This Row],[UDC]],TableMJRUSCBI1[],7,FALSE),"")</f>
        <v/>
      </c>
      <c r="AI54" s="209" t="str">
        <f>IFERROR(VLOOKUP(TableHandbook[[#This Row],[UDC]],TableMJRUSCCH1[],7,FALSE),"")</f>
        <v/>
      </c>
      <c r="AJ54" s="209" t="str">
        <f>IFERROR(VLOOKUP(TableHandbook[[#This Row],[UDC]],TableMJRUSCHB1[],7,FALSE),"")</f>
        <v/>
      </c>
      <c r="AK54" s="209" t="str">
        <f>IFERROR(VLOOKUP(TableHandbook[[#This Row],[UDC]],TableMJRUSCPH1[],7,FALSE),"")</f>
        <v/>
      </c>
      <c r="AL54" s="209" t="str">
        <f>IFERROR(VLOOKUP(TableHandbook[[#This Row],[UDC]],TableMJRUSCPS1[],7,FALSE),"")</f>
        <v/>
      </c>
      <c r="AM54" s="211" t="str">
        <f>IFERROR(VLOOKUP(TableHandbook[[#This Row],[UDC]],TableSTRUBIOLB[],7,FALSE),"")</f>
        <v/>
      </c>
      <c r="AN54" s="209" t="str">
        <f>IFERROR(VLOOKUP(TableHandbook[[#This Row],[UDC]],TableSTRUBSCIM[],7,FALSE),"")</f>
        <v/>
      </c>
      <c r="AO54" s="209" t="str">
        <f>IFERROR(VLOOKUP(TableHandbook[[#This Row],[UDC]],TableSTRUCHEMB[],7,FALSE),"")</f>
        <v/>
      </c>
      <c r="AP54" s="209" t="str">
        <f>IFERROR(VLOOKUP(TableHandbook[[#This Row],[UDC]],TableSTRUECOB1[],7,FALSE),"")</f>
        <v/>
      </c>
      <c r="AQ54" s="209" t="str">
        <f>IFERROR(VLOOKUP(TableHandbook[[#This Row],[UDC]],TableSTRUENGLB[],7,FALSE),"")</f>
        <v/>
      </c>
      <c r="AR54" s="209" t="str">
        <f>IFERROR(VLOOKUP(TableHandbook[[#This Row],[UDC]],TableSTRUENGLM[],7,FALSE),"")</f>
        <v/>
      </c>
      <c r="AS54" s="209" t="str">
        <f>IFERROR(VLOOKUP(TableHandbook[[#This Row],[UDC]],TableSTRUGEOB1[],7,FALSE),"")</f>
        <v/>
      </c>
      <c r="AT54" s="209" t="str">
        <f>IFERROR(VLOOKUP(TableHandbook[[#This Row],[UDC]],TableSTRUGEOGM[],7,FALSE),"")</f>
        <v/>
      </c>
      <c r="AU54" s="209" t="str">
        <f>IFERROR(VLOOKUP(TableHandbook[[#This Row],[UDC]],TableSTRUHISB1[],7,FALSE),"")</f>
        <v/>
      </c>
      <c r="AV54" s="209" t="str">
        <f>IFERROR(VLOOKUP(TableHandbook[[#This Row],[UDC]],TableSTRUHISTM[],7,FALSE),"")</f>
        <v/>
      </c>
      <c r="AW54" s="209" t="str">
        <f>IFERROR(VLOOKUP(TableHandbook[[#This Row],[UDC]],TableSTRUHPEB1[],7,FALSE),"")</f>
        <v/>
      </c>
      <c r="AX54" s="209" t="str">
        <f>IFERROR(VLOOKUP(TableHandbook[[#This Row],[UDC]],TableSTRUHUMBB[],7,FALSE),"")</f>
        <v/>
      </c>
      <c r="AY54" s="209" t="str">
        <f>IFERROR(VLOOKUP(TableHandbook[[#This Row],[UDC]],TableSTRUMARTM[],7,FALSE),"")</f>
        <v/>
      </c>
      <c r="AZ54" s="209" t="str">
        <f>IFERROR(VLOOKUP(TableHandbook[[#This Row],[UDC]],TableSTRUMATHB[],7,FALSE),"")</f>
        <v/>
      </c>
      <c r="BA54" s="209" t="str">
        <f>IFERROR(VLOOKUP(TableHandbook[[#This Row],[UDC]],TableSTRUMATHM[],7,FALSE),"")</f>
        <v/>
      </c>
      <c r="BB54" s="209" t="str">
        <f>IFERROR(VLOOKUP(TableHandbook[[#This Row],[UDC]],TableSTRUPARTB[],7,FALSE),"")</f>
        <v/>
      </c>
      <c r="BC54" s="209" t="str">
        <f>IFERROR(VLOOKUP(TableHandbook[[#This Row],[UDC]],TableSTRUPARTM[],7,FALSE),"")</f>
        <v/>
      </c>
      <c r="BD54" s="209" t="str">
        <f>IFERROR(VLOOKUP(TableHandbook[[#This Row],[UDC]],TableSTRUPOLB1[],7,FALSE),"")</f>
        <v/>
      </c>
      <c r="BE54" s="209" t="str">
        <f>IFERROR(VLOOKUP(TableHandbook[[#This Row],[UDC]],TableSTRUPSYCB[],7,FALSE),"")</f>
        <v/>
      </c>
      <c r="BF54" s="209" t="str">
        <f>IFERROR(VLOOKUP(TableHandbook[[#This Row],[UDC]],TableSTRUPSYCM[],7,FALSE),"")</f>
        <v/>
      </c>
      <c r="BG54" s="209" t="str">
        <f>IFERROR(VLOOKUP(TableHandbook[[#This Row],[UDC]],TableSTRUVARTB[],7,FALSE),"")</f>
        <v/>
      </c>
      <c r="BH54" s="209" t="str">
        <f>IFERROR(VLOOKUP(TableHandbook[[#This Row],[UDC]],TableSTRUVARTM[],7,FALSE),"")</f>
        <v/>
      </c>
    </row>
    <row r="55" spans="1:60" x14ac:dyDescent="0.25">
      <c r="A55" s="6" t="s">
        <v>454</v>
      </c>
      <c r="B55" s="7">
        <v>2</v>
      </c>
      <c r="C55" s="7"/>
      <c r="D55" s="207" t="s">
        <v>819</v>
      </c>
      <c r="E55" s="7">
        <v>25</v>
      </c>
      <c r="F55" s="84" t="s">
        <v>783</v>
      </c>
      <c r="G55" s="75" t="str">
        <f>IFERROR(IF(VLOOKUP(TableHandbook[[#This Row],[UDC]],TableAvailabilities[],2,FALSE)&gt;0,"Y",""),"")</f>
        <v/>
      </c>
      <c r="H55" s="75" t="str">
        <f>IFERROR(IF(VLOOKUP(TableHandbook[[#This Row],[UDC]],TableAvailabilities[],3,FALSE)&gt;0,"Y",""),"")</f>
        <v/>
      </c>
      <c r="I55" s="75" t="str">
        <f>IFERROR(IF(VLOOKUP(TableHandbook[[#This Row],[UDC]],TableAvailabilities[],4,FALSE)&gt;0,"Y",""),"")</f>
        <v/>
      </c>
      <c r="J55" s="75" t="str">
        <f>IFERROR(IF(VLOOKUP(TableHandbook[[#This Row],[UDC]],TableAvailabilities[],5,FALSE)&gt;0,"Y",""),"")</f>
        <v>Y</v>
      </c>
      <c r="K55" s="75" t="str">
        <f>IFERROR(IF(VLOOKUP(TableHandbook[[#This Row],[UDC]],TableAvailabilities[],6,FALSE)&gt;0,"Y",""),"")</f>
        <v>Y</v>
      </c>
      <c r="L55" s="75" t="str">
        <f>IFERROR(IF(VLOOKUP(TableHandbook[[#This Row],[UDC]],TableAvailabilities[],7,FALSE)&gt;0,"Y",""),"")</f>
        <v/>
      </c>
      <c r="M55" s="207"/>
      <c r="N55" s="209" t="str">
        <f>IFERROR(VLOOKUP(TableHandbook[[#This Row],[UDC]],TableBEDUC[],7,FALSE),"")</f>
        <v/>
      </c>
      <c r="O55" s="209" t="str">
        <f>IFERROR(VLOOKUP(TableHandbook[[#This Row],[UDC]],TableBEDEC[],7,FALSE),"")</f>
        <v/>
      </c>
      <c r="P55" s="211" t="str">
        <f>IFERROR(VLOOKUP(TableHandbook[[#This Row],[UDC]],TableBEDPR[],7,FALSE),"")</f>
        <v/>
      </c>
      <c r="Q55" s="209" t="str">
        <f>IFERROR(VLOOKUP(TableHandbook[[#This Row],[UDC]],TableSTRUCATHL[],7,FALSE),"")</f>
        <v/>
      </c>
      <c r="R55" s="209" t="str">
        <f>IFERROR(VLOOKUP(TableHandbook[[#This Row],[UDC]],TableSTRUENGLL[],7,FALSE),"")</f>
        <v/>
      </c>
      <c r="S55" s="209" t="str">
        <f>IFERROR(VLOOKUP(TableHandbook[[#This Row],[UDC]],TableSTRUHLTPE[],7,FALSE),"")</f>
        <v/>
      </c>
      <c r="T55" s="209" t="str">
        <f>IFERROR(VLOOKUP(TableHandbook[[#This Row],[UDC]],TableSTRUISTEM[],7,FALSE),"")</f>
        <v/>
      </c>
      <c r="U55" s="209" t="str">
        <f>IFERROR(VLOOKUP(TableHandbook[[#This Row],[UDC]],TableSTRULITNU[],7,FALSE),"")</f>
        <v/>
      </c>
      <c r="V55" s="209" t="str">
        <f>IFERROR(VLOOKUP(TableHandbook[[#This Row],[UDC]],TableSTRUTECHS[],7,FALSE),"")</f>
        <v/>
      </c>
      <c r="W55" s="211" t="str">
        <f>IFERROR(VLOOKUP(TableHandbook[[#This Row],[UDC]],TableBEDSC[],7,FALSE),"")</f>
        <v/>
      </c>
      <c r="X55" s="211" t="str">
        <f>IFERROR(VLOOKUP(TableHandbook[[#This Row],[UDC]],TableMJRUARDR1[],7,FALSE),"")</f>
        <v/>
      </c>
      <c r="Y55" s="209" t="str">
        <f>IFERROR(VLOOKUP(TableHandbook[[#This Row],[UDC]],TableMJRUARME1[],7,FALSE),"")</f>
        <v/>
      </c>
      <c r="Z55" s="209" t="str">
        <f>IFERROR(VLOOKUP(TableHandbook[[#This Row],[UDC]],TableMJRUARVA1[],7,FALSE),"")</f>
        <v/>
      </c>
      <c r="AA55" s="209" t="str">
        <f>IFERROR(VLOOKUP(TableHandbook[[#This Row],[UDC]],TableMJRUENGL1[],7,FALSE),"")</f>
        <v/>
      </c>
      <c r="AB55" s="209" t="str">
        <f>IFERROR(VLOOKUP(TableHandbook[[#This Row],[UDC]],TableMJRUHSEC1[],7,FALSE),"")</f>
        <v/>
      </c>
      <c r="AC55" s="209" t="str">
        <f>IFERROR(VLOOKUP(TableHandbook[[#This Row],[UDC]],TableMJRUHSGE1[],7,FALSE),"")</f>
        <v/>
      </c>
      <c r="AD55" s="209" t="str">
        <f>IFERROR(VLOOKUP(TableHandbook[[#This Row],[UDC]],TableMJRUHSHI1[],7,FALSE),"")</f>
        <v>Core</v>
      </c>
      <c r="AE55" s="209" t="str">
        <f>IFERROR(VLOOKUP(TableHandbook[[#This Row],[UDC]],TableMJRUHSPL1[],7,FALSE),"")</f>
        <v>Core</v>
      </c>
      <c r="AF55" s="209" t="str">
        <f>IFERROR(VLOOKUP(TableHandbook[[#This Row],[UDC]],TableMJRUMATH1[],7,FALSE),"")</f>
        <v/>
      </c>
      <c r="AG55" s="209" t="str">
        <f>IFERROR(VLOOKUP(TableHandbook[[#This Row],[UDC]],TableMJRUPHYSE[],7,FALSE),"")</f>
        <v/>
      </c>
      <c r="AH55" s="209" t="str">
        <f>IFERROR(VLOOKUP(TableHandbook[[#This Row],[UDC]],TableMJRUSCBI1[],7,FALSE),"")</f>
        <v/>
      </c>
      <c r="AI55" s="209" t="str">
        <f>IFERROR(VLOOKUP(TableHandbook[[#This Row],[UDC]],TableMJRUSCCH1[],7,FALSE),"")</f>
        <v/>
      </c>
      <c r="AJ55" s="209" t="str">
        <f>IFERROR(VLOOKUP(TableHandbook[[#This Row],[UDC]],TableMJRUSCHB1[],7,FALSE),"")</f>
        <v/>
      </c>
      <c r="AK55" s="209" t="str">
        <f>IFERROR(VLOOKUP(TableHandbook[[#This Row],[UDC]],TableMJRUSCPH1[],7,FALSE),"")</f>
        <v/>
      </c>
      <c r="AL55" s="209" t="str">
        <f>IFERROR(VLOOKUP(TableHandbook[[#This Row],[UDC]],TableMJRUSCPS1[],7,FALSE),"")</f>
        <v/>
      </c>
      <c r="AM55" s="211" t="str">
        <f>IFERROR(VLOOKUP(TableHandbook[[#This Row],[UDC]],TableSTRUBIOLB[],7,FALSE),"")</f>
        <v/>
      </c>
      <c r="AN55" s="209" t="str">
        <f>IFERROR(VLOOKUP(TableHandbook[[#This Row],[UDC]],TableSTRUBSCIM[],7,FALSE),"")</f>
        <v/>
      </c>
      <c r="AO55" s="209" t="str">
        <f>IFERROR(VLOOKUP(TableHandbook[[#This Row],[UDC]],TableSTRUCHEMB[],7,FALSE),"")</f>
        <v/>
      </c>
      <c r="AP55" s="209" t="str">
        <f>IFERROR(VLOOKUP(TableHandbook[[#This Row],[UDC]],TableSTRUECOB1[],7,FALSE),"")</f>
        <v/>
      </c>
      <c r="AQ55" s="209" t="str">
        <f>IFERROR(VLOOKUP(TableHandbook[[#This Row],[UDC]],TableSTRUENGLB[],7,FALSE),"")</f>
        <v/>
      </c>
      <c r="AR55" s="209" t="str">
        <f>IFERROR(VLOOKUP(TableHandbook[[#This Row],[UDC]],TableSTRUENGLM[],7,FALSE),"")</f>
        <v/>
      </c>
      <c r="AS55" s="209" t="str">
        <f>IFERROR(VLOOKUP(TableHandbook[[#This Row],[UDC]],TableSTRUGEOB1[],7,FALSE),"")</f>
        <v/>
      </c>
      <c r="AT55" s="209" t="str">
        <f>IFERROR(VLOOKUP(TableHandbook[[#This Row],[UDC]],TableSTRUGEOGM[],7,FALSE),"")</f>
        <v/>
      </c>
      <c r="AU55" s="209" t="str">
        <f>IFERROR(VLOOKUP(TableHandbook[[#This Row],[UDC]],TableSTRUHISB1[],7,FALSE),"")</f>
        <v/>
      </c>
      <c r="AV55" s="209" t="str">
        <f>IFERROR(VLOOKUP(TableHandbook[[#This Row],[UDC]],TableSTRUHISTM[],7,FALSE),"")</f>
        <v>Core</v>
      </c>
      <c r="AW55" s="209" t="str">
        <f>IFERROR(VLOOKUP(TableHandbook[[#This Row],[UDC]],TableSTRUHPEB1[],7,FALSE),"")</f>
        <v/>
      </c>
      <c r="AX55" s="209" t="str">
        <f>IFERROR(VLOOKUP(TableHandbook[[#This Row],[UDC]],TableSTRUHUMBB[],7,FALSE),"")</f>
        <v/>
      </c>
      <c r="AY55" s="209" t="str">
        <f>IFERROR(VLOOKUP(TableHandbook[[#This Row],[UDC]],TableSTRUMARTM[],7,FALSE),"")</f>
        <v/>
      </c>
      <c r="AZ55" s="209" t="str">
        <f>IFERROR(VLOOKUP(TableHandbook[[#This Row],[UDC]],TableSTRUMATHB[],7,FALSE),"")</f>
        <v/>
      </c>
      <c r="BA55" s="209" t="str">
        <f>IFERROR(VLOOKUP(TableHandbook[[#This Row],[UDC]],TableSTRUMATHM[],7,FALSE),"")</f>
        <v/>
      </c>
      <c r="BB55" s="209" t="str">
        <f>IFERROR(VLOOKUP(TableHandbook[[#This Row],[UDC]],TableSTRUPARTB[],7,FALSE),"")</f>
        <v/>
      </c>
      <c r="BC55" s="209" t="str">
        <f>IFERROR(VLOOKUP(TableHandbook[[#This Row],[UDC]],TableSTRUPARTM[],7,FALSE),"")</f>
        <v/>
      </c>
      <c r="BD55" s="209" t="str">
        <f>IFERROR(VLOOKUP(TableHandbook[[#This Row],[UDC]],TableSTRUPOLB1[],7,FALSE),"")</f>
        <v/>
      </c>
      <c r="BE55" s="209" t="str">
        <f>IFERROR(VLOOKUP(TableHandbook[[#This Row],[UDC]],TableSTRUPSYCB[],7,FALSE),"")</f>
        <v/>
      </c>
      <c r="BF55" s="209" t="str">
        <f>IFERROR(VLOOKUP(TableHandbook[[#This Row],[UDC]],TableSTRUPSYCM[],7,FALSE),"")</f>
        <v/>
      </c>
      <c r="BG55" s="209" t="str">
        <f>IFERROR(VLOOKUP(TableHandbook[[#This Row],[UDC]],TableSTRUVARTB[],7,FALSE),"")</f>
        <v/>
      </c>
      <c r="BH55" s="209" t="str">
        <f>IFERROR(VLOOKUP(TableHandbook[[#This Row],[UDC]],TableSTRUVARTM[],7,FALSE),"")</f>
        <v/>
      </c>
    </row>
    <row r="56" spans="1:60" x14ac:dyDescent="0.25">
      <c r="A56" s="296" t="s">
        <v>570</v>
      </c>
      <c r="B56" s="7">
        <v>1</v>
      </c>
      <c r="C56" s="7"/>
      <c r="D56" s="207" t="s">
        <v>820</v>
      </c>
      <c r="E56" s="7">
        <v>25</v>
      </c>
      <c r="F56" s="84" t="s">
        <v>783</v>
      </c>
      <c r="G56" s="75" t="str">
        <f>IFERROR(IF(VLOOKUP(TableHandbook[[#This Row],[UDC]],TableAvailabilities[],2,FALSE)&gt;0,"Y",""),"")</f>
        <v/>
      </c>
      <c r="H56" s="75" t="str">
        <f>IFERROR(IF(VLOOKUP(TableHandbook[[#This Row],[UDC]],TableAvailabilities[],3,FALSE)&gt;0,"Y",""),"")</f>
        <v/>
      </c>
      <c r="I56" s="75" t="str">
        <f>IFERROR(IF(VLOOKUP(TableHandbook[[#This Row],[UDC]],TableAvailabilities[],4,FALSE)&gt;0,"Y",""),"")</f>
        <v/>
      </c>
      <c r="J56" s="75" t="str">
        <f>IFERROR(IF(VLOOKUP(TableHandbook[[#This Row],[UDC]],TableAvailabilities[],5,FALSE)&gt;0,"Y",""),"")</f>
        <v>Y</v>
      </c>
      <c r="K56" s="75" t="str">
        <f>IFERROR(IF(VLOOKUP(TableHandbook[[#This Row],[UDC]],TableAvailabilities[],6,FALSE)&gt;0,"Y",""),"")</f>
        <v>Y</v>
      </c>
      <c r="L56" s="75" t="str">
        <f>IFERROR(IF(VLOOKUP(TableHandbook[[#This Row],[UDC]],TableAvailabilities[],7,FALSE)&gt;0,"Y",""),"")</f>
        <v/>
      </c>
      <c r="M56" s="207"/>
      <c r="N56" s="209" t="str">
        <f>IFERROR(VLOOKUP(TableHandbook[[#This Row],[UDC]],TableBEDUC[],7,FALSE),"")</f>
        <v/>
      </c>
      <c r="O56" s="209" t="str">
        <f>IFERROR(VLOOKUP(TableHandbook[[#This Row],[UDC]],TableBEDEC[],7,FALSE),"")</f>
        <v/>
      </c>
      <c r="P56" s="211" t="str">
        <f>IFERROR(VLOOKUP(TableHandbook[[#This Row],[UDC]],TableBEDPR[],7,FALSE),"")</f>
        <v/>
      </c>
      <c r="Q56" s="209" t="str">
        <f>IFERROR(VLOOKUP(TableHandbook[[#This Row],[UDC]],TableSTRUCATHL[],7,FALSE),"")</f>
        <v/>
      </c>
      <c r="R56" s="209" t="str">
        <f>IFERROR(VLOOKUP(TableHandbook[[#This Row],[UDC]],TableSTRUENGLL[],7,FALSE),"")</f>
        <v/>
      </c>
      <c r="S56" s="209" t="str">
        <f>IFERROR(VLOOKUP(TableHandbook[[#This Row],[UDC]],TableSTRUHLTPE[],7,FALSE),"")</f>
        <v/>
      </c>
      <c r="T56" s="209" t="str">
        <f>IFERROR(VLOOKUP(TableHandbook[[#This Row],[UDC]],TableSTRUISTEM[],7,FALSE),"")</f>
        <v/>
      </c>
      <c r="U56" s="209" t="str">
        <f>IFERROR(VLOOKUP(TableHandbook[[#This Row],[UDC]],TableSTRULITNU[],7,FALSE),"")</f>
        <v/>
      </c>
      <c r="V56" s="209" t="str">
        <f>IFERROR(VLOOKUP(TableHandbook[[#This Row],[UDC]],TableSTRUTECHS[],7,FALSE),"")</f>
        <v/>
      </c>
      <c r="W56" s="211" t="str">
        <f>IFERROR(VLOOKUP(TableHandbook[[#This Row],[UDC]],TableBEDSC[],7,FALSE),"")</f>
        <v/>
      </c>
      <c r="X56" s="211" t="str">
        <f>IFERROR(VLOOKUP(TableHandbook[[#This Row],[UDC]],TableMJRUARDR1[],7,FALSE),"")</f>
        <v/>
      </c>
      <c r="Y56" s="209" t="str">
        <f>IFERROR(VLOOKUP(TableHandbook[[#This Row],[UDC]],TableMJRUARME1[],7,FALSE),"")</f>
        <v/>
      </c>
      <c r="Z56" s="209" t="str">
        <f>IFERROR(VLOOKUP(TableHandbook[[#This Row],[UDC]],TableMJRUARVA1[],7,FALSE),"")</f>
        <v/>
      </c>
      <c r="AA56" s="209" t="str">
        <f>IFERROR(VLOOKUP(TableHandbook[[#This Row],[UDC]],TableMJRUENGL1[],7,FALSE),"")</f>
        <v/>
      </c>
      <c r="AB56" s="209" t="str">
        <f>IFERROR(VLOOKUP(TableHandbook[[#This Row],[UDC]],TableMJRUHSEC1[],7,FALSE),"")</f>
        <v/>
      </c>
      <c r="AC56" s="209" t="str">
        <f>IFERROR(VLOOKUP(TableHandbook[[#This Row],[UDC]],TableMJRUHSGE1[],7,FALSE),"")</f>
        <v/>
      </c>
      <c r="AD56" s="209" t="str">
        <f>IFERROR(VLOOKUP(TableHandbook[[#This Row],[UDC]],TableMJRUHSHI1[],7,FALSE),"")</f>
        <v/>
      </c>
      <c r="AE56" s="209" t="str">
        <f>IFERROR(VLOOKUP(TableHandbook[[#This Row],[UDC]],TableMJRUHSPL1[],7,FALSE),"")</f>
        <v>AltCore</v>
      </c>
      <c r="AF56" s="209" t="str">
        <f>IFERROR(VLOOKUP(TableHandbook[[#This Row],[UDC]],TableMJRUMATH1[],7,FALSE),"")</f>
        <v/>
      </c>
      <c r="AG56" s="209" t="str">
        <f>IFERROR(VLOOKUP(TableHandbook[[#This Row],[UDC]],TableMJRUPHYSE[],7,FALSE),"")</f>
        <v/>
      </c>
      <c r="AH56" s="209" t="str">
        <f>IFERROR(VLOOKUP(TableHandbook[[#This Row],[UDC]],TableMJRUSCBI1[],7,FALSE),"")</f>
        <v/>
      </c>
      <c r="AI56" s="209" t="str">
        <f>IFERROR(VLOOKUP(TableHandbook[[#This Row],[UDC]],TableMJRUSCCH1[],7,FALSE),"")</f>
        <v/>
      </c>
      <c r="AJ56" s="209" t="str">
        <f>IFERROR(VLOOKUP(TableHandbook[[#This Row],[UDC]],TableMJRUSCHB1[],7,FALSE),"")</f>
        <v/>
      </c>
      <c r="AK56" s="209" t="str">
        <f>IFERROR(VLOOKUP(TableHandbook[[#This Row],[UDC]],TableMJRUSCPH1[],7,FALSE),"")</f>
        <v/>
      </c>
      <c r="AL56" s="209" t="str">
        <f>IFERROR(VLOOKUP(TableHandbook[[#This Row],[UDC]],TableMJRUSCPS1[],7,FALSE),"")</f>
        <v/>
      </c>
      <c r="AM56" s="211" t="str">
        <f>IFERROR(VLOOKUP(TableHandbook[[#This Row],[UDC]],TableSTRUBIOLB[],7,FALSE),"")</f>
        <v/>
      </c>
      <c r="AN56" s="209" t="str">
        <f>IFERROR(VLOOKUP(TableHandbook[[#This Row],[UDC]],TableSTRUBSCIM[],7,FALSE),"")</f>
        <v/>
      </c>
      <c r="AO56" s="209" t="str">
        <f>IFERROR(VLOOKUP(TableHandbook[[#This Row],[UDC]],TableSTRUCHEMB[],7,FALSE),"")</f>
        <v/>
      </c>
      <c r="AP56" s="209" t="str">
        <f>IFERROR(VLOOKUP(TableHandbook[[#This Row],[UDC]],TableSTRUECOB1[],7,FALSE),"")</f>
        <v/>
      </c>
      <c r="AQ56" s="209" t="str">
        <f>IFERROR(VLOOKUP(TableHandbook[[#This Row],[UDC]],TableSTRUENGLB[],7,FALSE),"")</f>
        <v/>
      </c>
      <c r="AR56" s="209" t="str">
        <f>IFERROR(VLOOKUP(TableHandbook[[#This Row],[UDC]],TableSTRUENGLM[],7,FALSE),"")</f>
        <v/>
      </c>
      <c r="AS56" s="209" t="str">
        <f>IFERROR(VLOOKUP(TableHandbook[[#This Row],[UDC]],TableSTRUGEOB1[],7,FALSE),"")</f>
        <v/>
      </c>
      <c r="AT56" s="209" t="str">
        <f>IFERROR(VLOOKUP(TableHandbook[[#This Row],[UDC]],TableSTRUGEOGM[],7,FALSE),"")</f>
        <v/>
      </c>
      <c r="AU56" s="209" t="str">
        <f>IFERROR(VLOOKUP(TableHandbook[[#This Row],[UDC]],TableSTRUHISB1[],7,FALSE),"")</f>
        <v/>
      </c>
      <c r="AV56" s="209" t="str">
        <f>IFERROR(VLOOKUP(TableHandbook[[#This Row],[UDC]],TableSTRUHISTM[],7,FALSE),"")</f>
        <v/>
      </c>
      <c r="AW56" s="209" t="str">
        <f>IFERROR(VLOOKUP(TableHandbook[[#This Row],[UDC]],TableSTRUHPEB1[],7,FALSE),"")</f>
        <v/>
      </c>
      <c r="AX56" s="209" t="str">
        <f>IFERROR(VLOOKUP(TableHandbook[[#This Row],[UDC]],TableSTRUHUMBB[],7,FALSE),"")</f>
        <v/>
      </c>
      <c r="AY56" s="209" t="str">
        <f>IFERROR(VLOOKUP(TableHandbook[[#This Row],[UDC]],TableSTRUMARTM[],7,FALSE),"")</f>
        <v/>
      </c>
      <c r="AZ56" s="209" t="str">
        <f>IFERROR(VLOOKUP(TableHandbook[[#This Row],[UDC]],TableSTRUMATHB[],7,FALSE),"")</f>
        <v/>
      </c>
      <c r="BA56" s="209" t="str">
        <f>IFERROR(VLOOKUP(TableHandbook[[#This Row],[UDC]],TableSTRUMATHM[],7,FALSE),"")</f>
        <v/>
      </c>
      <c r="BB56" s="209" t="str">
        <f>IFERROR(VLOOKUP(TableHandbook[[#This Row],[UDC]],TableSTRUPARTB[],7,FALSE),"")</f>
        <v/>
      </c>
      <c r="BC56" s="209" t="str">
        <f>IFERROR(VLOOKUP(TableHandbook[[#This Row],[UDC]],TableSTRUPARTM[],7,FALSE),"")</f>
        <v/>
      </c>
      <c r="BD56" s="209" t="str">
        <f>IFERROR(VLOOKUP(TableHandbook[[#This Row],[UDC]],TableSTRUPOLB1[],7,FALSE),"")</f>
        <v/>
      </c>
      <c r="BE56" s="209" t="str">
        <f>IFERROR(VLOOKUP(TableHandbook[[#This Row],[UDC]],TableSTRUPSYCB[],7,FALSE),"")</f>
        <v/>
      </c>
      <c r="BF56" s="209" t="str">
        <f>IFERROR(VLOOKUP(TableHandbook[[#This Row],[UDC]],TableSTRUPSYCM[],7,FALSE),"")</f>
        <v/>
      </c>
      <c r="BG56" s="209" t="str">
        <f>IFERROR(VLOOKUP(TableHandbook[[#This Row],[UDC]],TableSTRUVARTB[],7,FALSE),"")</f>
        <v/>
      </c>
      <c r="BH56" s="209" t="str">
        <f>IFERROR(VLOOKUP(TableHandbook[[#This Row],[UDC]],TableSTRUVARTM[],7,FALSE),"")</f>
        <v/>
      </c>
    </row>
    <row r="57" spans="1:60" x14ac:dyDescent="0.25">
      <c r="A57" s="296" t="s">
        <v>583</v>
      </c>
      <c r="B57" s="7">
        <v>1</v>
      </c>
      <c r="C57" s="7"/>
      <c r="D57" s="207" t="s">
        <v>821</v>
      </c>
      <c r="E57" s="7">
        <v>25</v>
      </c>
      <c r="F57" s="84" t="s">
        <v>783</v>
      </c>
      <c r="G57" s="75" t="str">
        <f>IFERROR(IF(VLOOKUP(TableHandbook[[#This Row],[UDC]],TableAvailabilities[],2,FALSE)&gt;0,"Y",""),"")</f>
        <v/>
      </c>
      <c r="H57" s="75" t="str">
        <f>IFERROR(IF(VLOOKUP(TableHandbook[[#This Row],[UDC]],TableAvailabilities[],3,FALSE)&gt;0,"Y",""),"")</f>
        <v/>
      </c>
      <c r="I57" s="75" t="str">
        <f>IFERROR(IF(VLOOKUP(TableHandbook[[#This Row],[UDC]],TableAvailabilities[],4,FALSE)&gt;0,"Y",""),"")</f>
        <v/>
      </c>
      <c r="J57" s="75" t="str">
        <f>IFERROR(IF(VLOOKUP(TableHandbook[[#This Row],[UDC]],TableAvailabilities[],5,FALSE)&gt;0,"Y",""),"")</f>
        <v>Y</v>
      </c>
      <c r="K57" s="75" t="str">
        <f>IFERROR(IF(VLOOKUP(TableHandbook[[#This Row],[UDC]],TableAvailabilities[],6,FALSE)&gt;0,"Y",""),"")</f>
        <v>Y</v>
      </c>
      <c r="L57" s="75" t="str">
        <f>IFERROR(IF(VLOOKUP(TableHandbook[[#This Row],[UDC]],TableAvailabilities[],7,FALSE)&gt;0,"Y",""),"")</f>
        <v/>
      </c>
      <c r="M57" s="207"/>
      <c r="N57" s="209" t="str">
        <f>IFERROR(VLOOKUP(TableHandbook[[#This Row],[UDC]],TableBEDUC[],7,FALSE),"")</f>
        <v/>
      </c>
      <c r="O57" s="209" t="str">
        <f>IFERROR(VLOOKUP(TableHandbook[[#This Row],[UDC]],TableBEDEC[],7,FALSE),"")</f>
        <v/>
      </c>
      <c r="P57" s="211" t="str">
        <f>IFERROR(VLOOKUP(TableHandbook[[#This Row],[UDC]],TableBEDPR[],7,FALSE),"")</f>
        <v/>
      </c>
      <c r="Q57" s="209" t="str">
        <f>IFERROR(VLOOKUP(TableHandbook[[#This Row],[UDC]],TableSTRUCATHL[],7,FALSE),"")</f>
        <v/>
      </c>
      <c r="R57" s="209" t="str">
        <f>IFERROR(VLOOKUP(TableHandbook[[#This Row],[UDC]],TableSTRUENGLL[],7,FALSE),"")</f>
        <v/>
      </c>
      <c r="S57" s="209" t="str">
        <f>IFERROR(VLOOKUP(TableHandbook[[#This Row],[UDC]],TableSTRUHLTPE[],7,FALSE),"")</f>
        <v/>
      </c>
      <c r="T57" s="209" t="str">
        <f>IFERROR(VLOOKUP(TableHandbook[[#This Row],[UDC]],TableSTRUISTEM[],7,FALSE),"")</f>
        <v/>
      </c>
      <c r="U57" s="209" t="str">
        <f>IFERROR(VLOOKUP(TableHandbook[[#This Row],[UDC]],TableSTRULITNU[],7,FALSE),"")</f>
        <v/>
      </c>
      <c r="V57" s="209" t="str">
        <f>IFERROR(VLOOKUP(TableHandbook[[#This Row],[UDC]],TableSTRUTECHS[],7,FALSE),"")</f>
        <v/>
      </c>
      <c r="W57" s="211" t="str">
        <f>IFERROR(VLOOKUP(TableHandbook[[#This Row],[UDC]],TableBEDSC[],7,FALSE),"")</f>
        <v/>
      </c>
      <c r="X57" s="211" t="str">
        <f>IFERROR(VLOOKUP(TableHandbook[[#This Row],[UDC]],TableMJRUARDR1[],7,FALSE),"")</f>
        <v/>
      </c>
      <c r="Y57" s="209" t="str">
        <f>IFERROR(VLOOKUP(TableHandbook[[#This Row],[UDC]],TableMJRUARME1[],7,FALSE),"")</f>
        <v/>
      </c>
      <c r="Z57" s="209" t="str">
        <f>IFERROR(VLOOKUP(TableHandbook[[#This Row],[UDC]],TableMJRUARVA1[],7,FALSE),"")</f>
        <v/>
      </c>
      <c r="AA57" s="209" t="str">
        <f>IFERROR(VLOOKUP(TableHandbook[[#This Row],[UDC]],TableMJRUENGL1[],7,FALSE),"")</f>
        <v/>
      </c>
      <c r="AB57" s="209" t="str">
        <f>IFERROR(VLOOKUP(TableHandbook[[#This Row],[UDC]],TableMJRUHSEC1[],7,FALSE),"")</f>
        <v/>
      </c>
      <c r="AC57" s="209" t="str">
        <f>IFERROR(VLOOKUP(TableHandbook[[#This Row],[UDC]],TableMJRUHSGE1[],7,FALSE),"")</f>
        <v/>
      </c>
      <c r="AD57" s="209" t="str">
        <f>IFERROR(VLOOKUP(TableHandbook[[#This Row],[UDC]],TableMJRUHSHI1[],7,FALSE),"")</f>
        <v>Option</v>
      </c>
      <c r="AE57" s="209" t="str">
        <f>IFERROR(VLOOKUP(TableHandbook[[#This Row],[UDC]],TableMJRUHSPL1[],7,FALSE),"")</f>
        <v>AltCore</v>
      </c>
      <c r="AF57" s="209" t="str">
        <f>IFERROR(VLOOKUP(TableHandbook[[#This Row],[UDC]],TableMJRUMATH1[],7,FALSE),"")</f>
        <v/>
      </c>
      <c r="AG57" s="209" t="str">
        <f>IFERROR(VLOOKUP(TableHandbook[[#This Row],[UDC]],TableMJRUPHYSE[],7,FALSE),"")</f>
        <v/>
      </c>
      <c r="AH57" s="209" t="str">
        <f>IFERROR(VLOOKUP(TableHandbook[[#This Row],[UDC]],TableMJRUSCBI1[],7,FALSE),"")</f>
        <v/>
      </c>
      <c r="AI57" s="209" t="str">
        <f>IFERROR(VLOOKUP(TableHandbook[[#This Row],[UDC]],TableMJRUSCCH1[],7,FALSE),"")</f>
        <v/>
      </c>
      <c r="AJ57" s="209" t="str">
        <f>IFERROR(VLOOKUP(TableHandbook[[#This Row],[UDC]],TableMJRUSCHB1[],7,FALSE),"")</f>
        <v/>
      </c>
      <c r="AK57" s="209" t="str">
        <f>IFERROR(VLOOKUP(TableHandbook[[#This Row],[UDC]],TableMJRUSCPH1[],7,FALSE),"")</f>
        <v/>
      </c>
      <c r="AL57" s="209" t="str">
        <f>IFERROR(VLOOKUP(TableHandbook[[#This Row],[UDC]],TableMJRUSCPS1[],7,FALSE),"")</f>
        <v/>
      </c>
      <c r="AM57" s="211" t="str">
        <f>IFERROR(VLOOKUP(TableHandbook[[#This Row],[UDC]],TableSTRUBIOLB[],7,FALSE),"")</f>
        <v/>
      </c>
      <c r="AN57" s="209" t="str">
        <f>IFERROR(VLOOKUP(TableHandbook[[#This Row],[UDC]],TableSTRUBSCIM[],7,FALSE),"")</f>
        <v/>
      </c>
      <c r="AO57" s="209" t="str">
        <f>IFERROR(VLOOKUP(TableHandbook[[#This Row],[UDC]],TableSTRUCHEMB[],7,FALSE),"")</f>
        <v/>
      </c>
      <c r="AP57" s="209" t="str">
        <f>IFERROR(VLOOKUP(TableHandbook[[#This Row],[UDC]],TableSTRUECOB1[],7,FALSE),"")</f>
        <v/>
      </c>
      <c r="AQ57" s="209" t="str">
        <f>IFERROR(VLOOKUP(TableHandbook[[#This Row],[UDC]],TableSTRUENGLB[],7,FALSE),"")</f>
        <v/>
      </c>
      <c r="AR57" s="209" t="str">
        <f>IFERROR(VLOOKUP(TableHandbook[[#This Row],[UDC]],TableSTRUENGLM[],7,FALSE),"")</f>
        <v/>
      </c>
      <c r="AS57" s="209" t="str">
        <f>IFERROR(VLOOKUP(TableHandbook[[#This Row],[UDC]],TableSTRUGEOB1[],7,FALSE),"")</f>
        <v/>
      </c>
      <c r="AT57" s="209" t="str">
        <f>IFERROR(VLOOKUP(TableHandbook[[#This Row],[UDC]],TableSTRUGEOGM[],7,FALSE),"")</f>
        <v/>
      </c>
      <c r="AU57" s="209" t="str">
        <f>IFERROR(VLOOKUP(TableHandbook[[#This Row],[UDC]],TableSTRUHISB1[],7,FALSE),"")</f>
        <v>Core</v>
      </c>
      <c r="AV57" s="209" t="str">
        <f>IFERROR(VLOOKUP(TableHandbook[[#This Row],[UDC]],TableSTRUHISTM[],7,FALSE),"")</f>
        <v/>
      </c>
      <c r="AW57" s="209" t="str">
        <f>IFERROR(VLOOKUP(TableHandbook[[#This Row],[UDC]],TableSTRUHPEB1[],7,FALSE),"")</f>
        <v/>
      </c>
      <c r="AX57" s="209" t="str">
        <f>IFERROR(VLOOKUP(TableHandbook[[#This Row],[UDC]],TableSTRUHUMBB[],7,FALSE),"")</f>
        <v/>
      </c>
      <c r="AY57" s="209" t="str">
        <f>IFERROR(VLOOKUP(TableHandbook[[#This Row],[UDC]],TableSTRUMARTM[],7,FALSE),"")</f>
        <v/>
      </c>
      <c r="AZ57" s="209" t="str">
        <f>IFERROR(VLOOKUP(TableHandbook[[#This Row],[UDC]],TableSTRUMATHB[],7,FALSE),"")</f>
        <v/>
      </c>
      <c r="BA57" s="209" t="str">
        <f>IFERROR(VLOOKUP(TableHandbook[[#This Row],[UDC]],TableSTRUMATHM[],7,FALSE),"")</f>
        <v/>
      </c>
      <c r="BB57" s="209" t="str">
        <f>IFERROR(VLOOKUP(TableHandbook[[#This Row],[UDC]],TableSTRUPARTB[],7,FALSE),"")</f>
        <v/>
      </c>
      <c r="BC57" s="209" t="str">
        <f>IFERROR(VLOOKUP(TableHandbook[[#This Row],[UDC]],TableSTRUPARTM[],7,FALSE),"")</f>
        <v/>
      </c>
      <c r="BD57" s="209" t="str">
        <f>IFERROR(VLOOKUP(TableHandbook[[#This Row],[UDC]],TableSTRUPOLB1[],7,FALSE),"")</f>
        <v/>
      </c>
      <c r="BE57" s="209" t="str">
        <f>IFERROR(VLOOKUP(TableHandbook[[#This Row],[UDC]],TableSTRUPSYCB[],7,FALSE),"")</f>
        <v/>
      </c>
      <c r="BF57" s="209" t="str">
        <f>IFERROR(VLOOKUP(TableHandbook[[#This Row],[UDC]],TableSTRUPSYCM[],7,FALSE),"")</f>
        <v/>
      </c>
      <c r="BG57" s="209" t="str">
        <f>IFERROR(VLOOKUP(TableHandbook[[#This Row],[UDC]],TableSTRUVARTB[],7,FALSE),"")</f>
        <v/>
      </c>
      <c r="BH57" s="209" t="str">
        <f>IFERROR(VLOOKUP(TableHandbook[[#This Row],[UDC]],TableSTRUVARTM[],7,FALSE),"")</f>
        <v/>
      </c>
    </row>
    <row r="58" spans="1:60" x14ac:dyDescent="0.25">
      <c r="A58" s="6" t="s">
        <v>614</v>
      </c>
      <c r="B58" s="7">
        <v>1</v>
      </c>
      <c r="C58" s="7"/>
      <c r="D58" s="207" t="s">
        <v>822</v>
      </c>
      <c r="E58" s="7">
        <v>25</v>
      </c>
      <c r="F58" s="84" t="s">
        <v>783</v>
      </c>
      <c r="G58" s="75" t="str">
        <f>IFERROR(IF(VLOOKUP(TableHandbook[[#This Row],[UDC]],TableAvailabilities[],2,FALSE)&gt;0,"Y",""),"")</f>
        <v/>
      </c>
      <c r="H58" s="75" t="str">
        <f>IFERROR(IF(VLOOKUP(TableHandbook[[#This Row],[UDC]],TableAvailabilities[],3,FALSE)&gt;0,"Y",""),"")</f>
        <v/>
      </c>
      <c r="I58" s="75" t="str">
        <f>IFERROR(IF(VLOOKUP(TableHandbook[[#This Row],[UDC]],TableAvailabilities[],4,FALSE)&gt;0,"Y",""),"")</f>
        <v/>
      </c>
      <c r="J58" s="75" t="str">
        <f>IFERROR(IF(VLOOKUP(TableHandbook[[#This Row],[UDC]],TableAvailabilities[],5,FALSE)&gt;0,"Y",""),"")</f>
        <v>Y</v>
      </c>
      <c r="K58" s="75" t="str">
        <f>IFERROR(IF(VLOOKUP(TableHandbook[[#This Row],[UDC]],TableAvailabilities[],6,FALSE)&gt;0,"Y",""),"")</f>
        <v>Y</v>
      </c>
      <c r="L58" s="75" t="str">
        <f>IFERROR(IF(VLOOKUP(TableHandbook[[#This Row],[UDC]],TableAvailabilities[],7,FALSE)&gt;0,"Y",""),"")</f>
        <v/>
      </c>
      <c r="M58" s="207"/>
      <c r="N58" s="209" t="str">
        <f>IFERROR(VLOOKUP(TableHandbook[[#This Row],[UDC]],TableBEDUC[],7,FALSE),"")</f>
        <v/>
      </c>
      <c r="O58" s="209" t="str">
        <f>IFERROR(VLOOKUP(TableHandbook[[#This Row],[UDC]],TableBEDEC[],7,FALSE),"")</f>
        <v/>
      </c>
      <c r="P58" s="211" t="str">
        <f>IFERROR(VLOOKUP(TableHandbook[[#This Row],[UDC]],TableBEDPR[],7,FALSE),"")</f>
        <v/>
      </c>
      <c r="Q58" s="209" t="str">
        <f>IFERROR(VLOOKUP(TableHandbook[[#This Row],[UDC]],TableSTRUCATHL[],7,FALSE),"")</f>
        <v/>
      </c>
      <c r="R58" s="209" t="str">
        <f>IFERROR(VLOOKUP(TableHandbook[[#This Row],[UDC]],TableSTRUENGLL[],7,FALSE),"")</f>
        <v/>
      </c>
      <c r="S58" s="209" t="str">
        <f>IFERROR(VLOOKUP(TableHandbook[[#This Row],[UDC]],TableSTRUHLTPE[],7,FALSE),"")</f>
        <v/>
      </c>
      <c r="T58" s="209" t="str">
        <f>IFERROR(VLOOKUP(TableHandbook[[#This Row],[UDC]],TableSTRUISTEM[],7,FALSE),"")</f>
        <v/>
      </c>
      <c r="U58" s="209" t="str">
        <f>IFERROR(VLOOKUP(TableHandbook[[#This Row],[UDC]],TableSTRULITNU[],7,FALSE),"")</f>
        <v/>
      </c>
      <c r="V58" s="209" t="str">
        <f>IFERROR(VLOOKUP(TableHandbook[[#This Row],[UDC]],TableSTRUTECHS[],7,FALSE),"")</f>
        <v/>
      </c>
      <c r="W58" s="211" t="str">
        <f>IFERROR(VLOOKUP(TableHandbook[[#This Row],[UDC]],TableBEDSC[],7,FALSE),"")</f>
        <v/>
      </c>
      <c r="X58" s="211" t="str">
        <f>IFERROR(VLOOKUP(TableHandbook[[#This Row],[UDC]],TableMJRUARDR1[],7,FALSE),"")</f>
        <v/>
      </c>
      <c r="Y58" s="209" t="str">
        <f>IFERROR(VLOOKUP(TableHandbook[[#This Row],[UDC]],TableMJRUARME1[],7,FALSE),"")</f>
        <v/>
      </c>
      <c r="Z58" s="209" t="str">
        <f>IFERROR(VLOOKUP(TableHandbook[[#This Row],[UDC]],TableMJRUARVA1[],7,FALSE),"")</f>
        <v/>
      </c>
      <c r="AA58" s="209" t="str">
        <f>IFERROR(VLOOKUP(TableHandbook[[#This Row],[UDC]],TableMJRUENGL1[],7,FALSE),"")</f>
        <v/>
      </c>
      <c r="AB58" s="209" t="str">
        <f>IFERROR(VLOOKUP(TableHandbook[[#This Row],[UDC]],TableMJRUHSEC1[],7,FALSE),"")</f>
        <v/>
      </c>
      <c r="AC58" s="209" t="str">
        <f>IFERROR(VLOOKUP(TableHandbook[[#This Row],[UDC]],TableMJRUHSGE1[],7,FALSE),"")</f>
        <v/>
      </c>
      <c r="AD58" s="209" t="str">
        <f>IFERROR(VLOOKUP(TableHandbook[[#This Row],[UDC]],TableMJRUHSHI1[],7,FALSE),"")</f>
        <v>Option</v>
      </c>
      <c r="AE58" s="209" t="str">
        <f>IFERROR(VLOOKUP(TableHandbook[[#This Row],[UDC]],TableMJRUHSPL1[],7,FALSE),"")</f>
        <v>AltCore</v>
      </c>
      <c r="AF58" s="209" t="str">
        <f>IFERROR(VLOOKUP(TableHandbook[[#This Row],[UDC]],TableMJRUMATH1[],7,FALSE),"")</f>
        <v/>
      </c>
      <c r="AG58" s="209" t="str">
        <f>IFERROR(VLOOKUP(TableHandbook[[#This Row],[UDC]],TableMJRUPHYSE[],7,FALSE),"")</f>
        <v/>
      </c>
      <c r="AH58" s="209" t="str">
        <f>IFERROR(VLOOKUP(TableHandbook[[#This Row],[UDC]],TableMJRUSCBI1[],7,FALSE),"")</f>
        <v/>
      </c>
      <c r="AI58" s="209" t="str">
        <f>IFERROR(VLOOKUP(TableHandbook[[#This Row],[UDC]],TableMJRUSCCH1[],7,FALSE),"")</f>
        <v/>
      </c>
      <c r="AJ58" s="209" t="str">
        <f>IFERROR(VLOOKUP(TableHandbook[[#This Row],[UDC]],TableMJRUSCHB1[],7,FALSE),"")</f>
        <v/>
      </c>
      <c r="AK58" s="209" t="str">
        <f>IFERROR(VLOOKUP(TableHandbook[[#This Row],[UDC]],TableMJRUSCPH1[],7,FALSE),"")</f>
        <v/>
      </c>
      <c r="AL58" s="209" t="str">
        <f>IFERROR(VLOOKUP(TableHandbook[[#This Row],[UDC]],TableMJRUSCPS1[],7,FALSE),"")</f>
        <v/>
      </c>
      <c r="AM58" s="211" t="str">
        <f>IFERROR(VLOOKUP(TableHandbook[[#This Row],[UDC]],TableSTRUBIOLB[],7,FALSE),"")</f>
        <v/>
      </c>
      <c r="AN58" s="209" t="str">
        <f>IFERROR(VLOOKUP(TableHandbook[[#This Row],[UDC]],TableSTRUBSCIM[],7,FALSE),"")</f>
        <v/>
      </c>
      <c r="AO58" s="209" t="str">
        <f>IFERROR(VLOOKUP(TableHandbook[[#This Row],[UDC]],TableSTRUCHEMB[],7,FALSE),"")</f>
        <v/>
      </c>
      <c r="AP58" s="209" t="str">
        <f>IFERROR(VLOOKUP(TableHandbook[[#This Row],[UDC]],TableSTRUECOB1[],7,FALSE),"")</f>
        <v/>
      </c>
      <c r="AQ58" s="209" t="str">
        <f>IFERROR(VLOOKUP(TableHandbook[[#This Row],[UDC]],TableSTRUENGLB[],7,FALSE),"")</f>
        <v/>
      </c>
      <c r="AR58" s="209" t="str">
        <f>IFERROR(VLOOKUP(TableHandbook[[#This Row],[UDC]],TableSTRUENGLM[],7,FALSE),"")</f>
        <v/>
      </c>
      <c r="AS58" s="209" t="str">
        <f>IFERROR(VLOOKUP(TableHandbook[[#This Row],[UDC]],TableSTRUGEOB1[],7,FALSE),"")</f>
        <v/>
      </c>
      <c r="AT58" s="209" t="str">
        <f>IFERROR(VLOOKUP(TableHandbook[[#This Row],[UDC]],TableSTRUGEOGM[],7,FALSE),"")</f>
        <v/>
      </c>
      <c r="AU58" s="209" t="str">
        <f>IFERROR(VLOOKUP(TableHandbook[[#This Row],[UDC]],TableSTRUHISB1[],7,FALSE),"")</f>
        <v>Core</v>
      </c>
      <c r="AV58" s="209" t="str">
        <f>IFERROR(VLOOKUP(TableHandbook[[#This Row],[UDC]],TableSTRUHISTM[],7,FALSE),"")</f>
        <v/>
      </c>
      <c r="AW58" s="209" t="str">
        <f>IFERROR(VLOOKUP(TableHandbook[[#This Row],[UDC]],TableSTRUHPEB1[],7,FALSE),"")</f>
        <v/>
      </c>
      <c r="AX58" s="209" t="str">
        <f>IFERROR(VLOOKUP(TableHandbook[[#This Row],[UDC]],TableSTRUHUMBB[],7,FALSE),"")</f>
        <v/>
      </c>
      <c r="AY58" s="209" t="str">
        <f>IFERROR(VLOOKUP(TableHandbook[[#This Row],[UDC]],TableSTRUMARTM[],7,FALSE),"")</f>
        <v/>
      </c>
      <c r="AZ58" s="209" t="str">
        <f>IFERROR(VLOOKUP(TableHandbook[[#This Row],[UDC]],TableSTRUMATHB[],7,FALSE),"")</f>
        <v/>
      </c>
      <c r="BA58" s="209" t="str">
        <f>IFERROR(VLOOKUP(TableHandbook[[#This Row],[UDC]],TableSTRUMATHM[],7,FALSE),"")</f>
        <v/>
      </c>
      <c r="BB58" s="209" t="str">
        <f>IFERROR(VLOOKUP(TableHandbook[[#This Row],[UDC]],TableSTRUPARTB[],7,FALSE),"")</f>
        <v/>
      </c>
      <c r="BC58" s="209" t="str">
        <f>IFERROR(VLOOKUP(TableHandbook[[#This Row],[UDC]],TableSTRUPARTM[],7,FALSE),"")</f>
        <v/>
      </c>
      <c r="BD58" s="209" t="str">
        <f>IFERROR(VLOOKUP(TableHandbook[[#This Row],[UDC]],TableSTRUPOLB1[],7,FALSE),"")</f>
        <v/>
      </c>
      <c r="BE58" s="209" t="str">
        <f>IFERROR(VLOOKUP(TableHandbook[[#This Row],[UDC]],TableSTRUPSYCB[],7,FALSE),"")</f>
        <v/>
      </c>
      <c r="BF58" s="209" t="str">
        <f>IFERROR(VLOOKUP(TableHandbook[[#This Row],[UDC]],TableSTRUPSYCM[],7,FALSE),"")</f>
        <v/>
      </c>
      <c r="BG58" s="209" t="str">
        <f>IFERROR(VLOOKUP(TableHandbook[[#This Row],[UDC]],TableSTRUVARTB[],7,FALSE),"")</f>
        <v/>
      </c>
      <c r="BH58" s="209" t="str">
        <f>IFERROR(VLOOKUP(TableHandbook[[#This Row],[UDC]],TableSTRUVARTM[],7,FALSE),"")</f>
        <v/>
      </c>
    </row>
    <row r="59" spans="1:60" x14ac:dyDescent="0.25">
      <c r="A59" s="296" t="s">
        <v>627</v>
      </c>
      <c r="B59" s="7">
        <v>1</v>
      </c>
      <c r="C59" s="7"/>
      <c r="D59" s="207" t="s">
        <v>823</v>
      </c>
      <c r="E59" s="7">
        <v>25</v>
      </c>
      <c r="F59" s="84" t="s">
        <v>783</v>
      </c>
      <c r="G59" s="75" t="str">
        <f>IFERROR(IF(VLOOKUP(TableHandbook[[#This Row],[UDC]],TableAvailabilities[],2,FALSE)&gt;0,"Y",""),"")</f>
        <v>Y</v>
      </c>
      <c r="H59" s="75" t="str">
        <f>IFERROR(IF(VLOOKUP(TableHandbook[[#This Row],[UDC]],TableAvailabilities[],3,FALSE)&gt;0,"Y",""),"")</f>
        <v>Y</v>
      </c>
      <c r="I59" s="75" t="str">
        <f>IFERROR(IF(VLOOKUP(TableHandbook[[#This Row],[UDC]],TableAvailabilities[],4,FALSE)&gt;0,"Y",""),"")</f>
        <v/>
      </c>
      <c r="J59" s="75" t="str">
        <f>IFERROR(IF(VLOOKUP(TableHandbook[[#This Row],[UDC]],TableAvailabilities[],5,FALSE)&gt;0,"Y",""),"")</f>
        <v/>
      </c>
      <c r="K59" s="75" t="str">
        <f>IFERROR(IF(VLOOKUP(TableHandbook[[#This Row],[UDC]],TableAvailabilities[],6,FALSE)&gt;0,"Y",""),"")</f>
        <v/>
      </c>
      <c r="L59" s="75" t="str">
        <f>IFERROR(IF(VLOOKUP(TableHandbook[[#This Row],[UDC]],TableAvailabilities[],7,FALSE)&gt;0,"Y",""),"")</f>
        <v/>
      </c>
      <c r="M59" s="207"/>
      <c r="N59" s="209" t="str">
        <f>IFERROR(VLOOKUP(TableHandbook[[#This Row],[UDC]],TableBEDUC[],7,FALSE),"")</f>
        <v/>
      </c>
      <c r="O59" s="209" t="str">
        <f>IFERROR(VLOOKUP(TableHandbook[[#This Row],[UDC]],TableBEDEC[],7,FALSE),"")</f>
        <v/>
      </c>
      <c r="P59" s="211" t="str">
        <f>IFERROR(VLOOKUP(TableHandbook[[#This Row],[UDC]],TableBEDPR[],7,FALSE),"")</f>
        <v/>
      </c>
      <c r="Q59" s="209" t="str">
        <f>IFERROR(VLOOKUP(TableHandbook[[#This Row],[UDC]],TableSTRUCATHL[],7,FALSE),"")</f>
        <v/>
      </c>
      <c r="R59" s="209" t="str">
        <f>IFERROR(VLOOKUP(TableHandbook[[#This Row],[UDC]],TableSTRUENGLL[],7,FALSE),"")</f>
        <v/>
      </c>
      <c r="S59" s="209" t="str">
        <f>IFERROR(VLOOKUP(TableHandbook[[#This Row],[UDC]],TableSTRUHLTPE[],7,FALSE),"")</f>
        <v/>
      </c>
      <c r="T59" s="209" t="str">
        <f>IFERROR(VLOOKUP(TableHandbook[[#This Row],[UDC]],TableSTRUISTEM[],7,FALSE),"")</f>
        <v/>
      </c>
      <c r="U59" s="209" t="str">
        <f>IFERROR(VLOOKUP(TableHandbook[[#This Row],[UDC]],TableSTRULITNU[],7,FALSE),"")</f>
        <v/>
      </c>
      <c r="V59" s="209" t="str">
        <f>IFERROR(VLOOKUP(TableHandbook[[#This Row],[UDC]],TableSTRUTECHS[],7,FALSE),"")</f>
        <v/>
      </c>
      <c r="W59" s="211" t="str">
        <f>IFERROR(VLOOKUP(TableHandbook[[#This Row],[UDC]],TableBEDSC[],7,FALSE),"")</f>
        <v/>
      </c>
      <c r="X59" s="211" t="str">
        <f>IFERROR(VLOOKUP(TableHandbook[[#This Row],[UDC]],TableMJRUARDR1[],7,FALSE),"")</f>
        <v/>
      </c>
      <c r="Y59" s="209" t="str">
        <f>IFERROR(VLOOKUP(TableHandbook[[#This Row],[UDC]],TableMJRUARME1[],7,FALSE),"")</f>
        <v/>
      </c>
      <c r="Z59" s="209" t="str">
        <f>IFERROR(VLOOKUP(TableHandbook[[#This Row],[UDC]],TableMJRUARVA1[],7,FALSE),"")</f>
        <v/>
      </c>
      <c r="AA59" s="209" t="str">
        <f>IFERROR(VLOOKUP(TableHandbook[[#This Row],[UDC]],TableMJRUENGL1[],7,FALSE),"")</f>
        <v/>
      </c>
      <c r="AB59" s="209" t="str">
        <f>IFERROR(VLOOKUP(TableHandbook[[#This Row],[UDC]],TableMJRUHSEC1[],7,FALSE),"")</f>
        <v/>
      </c>
      <c r="AC59" s="209" t="str">
        <f>IFERROR(VLOOKUP(TableHandbook[[#This Row],[UDC]],TableMJRUHSGE1[],7,FALSE),"")</f>
        <v/>
      </c>
      <c r="AD59" s="209" t="str">
        <f>IFERROR(VLOOKUP(TableHandbook[[#This Row],[UDC]],TableMJRUHSHI1[],7,FALSE),"")</f>
        <v/>
      </c>
      <c r="AE59" s="209" t="str">
        <f>IFERROR(VLOOKUP(TableHandbook[[#This Row],[UDC]],TableMJRUHSPL1[],7,FALSE),"")</f>
        <v>AltCore</v>
      </c>
      <c r="AF59" s="209" t="str">
        <f>IFERROR(VLOOKUP(TableHandbook[[#This Row],[UDC]],TableMJRUMATH1[],7,FALSE),"")</f>
        <v/>
      </c>
      <c r="AG59" s="209" t="str">
        <f>IFERROR(VLOOKUP(TableHandbook[[#This Row],[UDC]],TableMJRUPHYSE[],7,FALSE),"")</f>
        <v/>
      </c>
      <c r="AH59" s="209" t="str">
        <f>IFERROR(VLOOKUP(TableHandbook[[#This Row],[UDC]],TableMJRUSCBI1[],7,FALSE),"")</f>
        <v/>
      </c>
      <c r="AI59" s="209" t="str">
        <f>IFERROR(VLOOKUP(TableHandbook[[#This Row],[UDC]],TableMJRUSCCH1[],7,FALSE),"")</f>
        <v/>
      </c>
      <c r="AJ59" s="209" t="str">
        <f>IFERROR(VLOOKUP(TableHandbook[[#This Row],[UDC]],TableMJRUSCHB1[],7,FALSE),"")</f>
        <v/>
      </c>
      <c r="AK59" s="209" t="str">
        <f>IFERROR(VLOOKUP(TableHandbook[[#This Row],[UDC]],TableMJRUSCPH1[],7,FALSE),"")</f>
        <v/>
      </c>
      <c r="AL59" s="209" t="str">
        <f>IFERROR(VLOOKUP(TableHandbook[[#This Row],[UDC]],TableMJRUSCPS1[],7,FALSE),"")</f>
        <v/>
      </c>
      <c r="AM59" s="211" t="str">
        <f>IFERROR(VLOOKUP(TableHandbook[[#This Row],[UDC]],TableSTRUBIOLB[],7,FALSE),"")</f>
        <v/>
      </c>
      <c r="AN59" s="209" t="str">
        <f>IFERROR(VLOOKUP(TableHandbook[[#This Row],[UDC]],TableSTRUBSCIM[],7,FALSE),"")</f>
        <v/>
      </c>
      <c r="AO59" s="209" t="str">
        <f>IFERROR(VLOOKUP(TableHandbook[[#This Row],[UDC]],TableSTRUCHEMB[],7,FALSE),"")</f>
        <v/>
      </c>
      <c r="AP59" s="209" t="str">
        <f>IFERROR(VLOOKUP(TableHandbook[[#This Row],[UDC]],TableSTRUECOB1[],7,FALSE),"")</f>
        <v/>
      </c>
      <c r="AQ59" s="209" t="str">
        <f>IFERROR(VLOOKUP(TableHandbook[[#This Row],[UDC]],TableSTRUENGLB[],7,FALSE),"")</f>
        <v/>
      </c>
      <c r="AR59" s="209" t="str">
        <f>IFERROR(VLOOKUP(TableHandbook[[#This Row],[UDC]],TableSTRUENGLM[],7,FALSE),"")</f>
        <v/>
      </c>
      <c r="AS59" s="209" t="str">
        <f>IFERROR(VLOOKUP(TableHandbook[[#This Row],[UDC]],TableSTRUGEOB1[],7,FALSE),"")</f>
        <v/>
      </c>
      <c r="AT59" s="209" t="str">
        <f>IFERROR(VLOOKUP(TableHandbook[[#This Row],[UDC]],TableSTRUGEOGM[],7,FALSE),"")</f>
        <v/>
      </c>
      <c r="AU59" s="209" t="str">
        <f>IFERROR(VLOOKUP(TableHandbook[[#This Row],[UDC]],TableSTRUHISB1[],7,FALSE),"")</f>
        <v/>
      </c>
      <c r="AV59" s="209" t="str">
        <f>IFERROR(VLOOKUP(TableHandbook[[#This Row],[UDC]],TableSTRUHISTM[],7,FALSE),"")</f>
        <v/>
      </c>
      <c r="AW59" s="209" t="str">
        <f>IFERROR(VLOOKUP(TableHandbook[[#This Row],[UDC]],TableSTRUHPEB1[],7,FALSE),"")</f>
        <v/>
      </c>
      <c r="AX59" s="209" t="str">
        <f>IFERROR(VLOOKUP(TableHandbook[[#This Row],[UDC]],TableSTRUHUMBB[],7,FALSE),"")</f>
        <v/>
      </c>
      <c r="AY59" s="209" t="str">
        <f>IFERROR(VLOOKUP(TableHandbook[[#This Row],[UDC]],TableSTRUMARTM[],7,FALSE),"")</f>
        <v/>
      </c>
      <c r="AZ59" s="209" t="str">
        <f>IFERROR(VLOOKUP(TableHandbook[[#This Row],[UDC]],TableSTRUMATHB[],7,FALSE),"")</f>
        <v/>
      </c>
      <c r="BA59" s="209" t="str">
        <f>IFERROR(VLOOKUP(TableHandbook[[#This Row],[UDC]],TableSTRUMATHM[],7,FALSE),"")</f>
        <v/>
      </c>
      <c r="BB59" s="209" t="str">
        <f>IFERROR(VLOOKUP(TableHandbook[[#This Row],[UDC]],TableSTRUPARTB[],7,FALSE),"")</f>
        <v/>
      </c>
      <c r="BC59" s="209" t="str">
        <f>IFERROR(VLOOKUP(TableHandbook[[#This Row],[UDC]],TableSTRUPARTM[],7,FALSE),"")</f>
        <v/>
      </c>
      <c r="BD59" s="209" t="str">
        <f>IFERROR(VLOOKUP(TableHandbook[[#This Row],[UDC]],TableSTRUPOLB1[],7,FALSE),"")</f>
        <v/>
      </c>
      <c r="BE59" s="209" t="str">
        <f>IFERROR(VLOOKUP(TableHandbook[[#This Row],[UDC]],TableSTRUPSYCB[],7,FALSE),"")</f>
        <v/>
      </c>
      <c r="BF59" s="209" t="str">
        <f>IFERROR(VLOOKUP(TableHandbook[[#This Row],[UDC]],TableSTRUPSYCM[],7,FALSE),"")</f>
        <v/>
      </c>
      <c r="BG59" s="209" t="str">
        <f>IFERROR(VLOOKUP(TableHandbook[[#This Row],[UDC]],TableSTRUVARTB[],7,FALSE),"")</f>
        <v/>
      </c>
      <c r="BH59" s="209" t="str">
        <f>IFERROR(VLOOKUP(TableHandbook[[#This Row],[UDC]],TableSTRUVARTM[],7,FALSE),"")</f>
        <v/>
      </c>
    </row>
    <row r="60" spans="1:60" x14ac:dyDescent="0.25">
      <c r="A60" s="296" t="s">
        <v>632</v>
      </c>
      <c r="B60" s="7">
        <v>1</v>
      </c>
      <c r="C60" s="7"/>
      <c r="D60" s="207" t="s">
        <v>824</v>
      </c>
      <c r="E60" s="7">
        <v>25</v>
      </c>
      <c r="F60" s="84" t="s">
        <v>783</v>
      </c>
      <c r="G60" s="75" t="str">
        <f>IFERROR(IF(VLOOKUP(TableHandbook[[#This Row],[UDC]],TableAvailabilities[],2,FALSE)&gt;0,"Y",""),"")</f>
        <v>Y</v>
      </c>
      <c r="H60" s="75" t="str">
        <f>IFERROR(IF(VLOOKUP(TableHandbook[[#This Row],[UDC]],TableAvailabilities[],3,FALSE)&gt;0,"Y",""),"")</f>
        <v>Y</v>
      </c>
      <c r="I60" s="75" t="str">
        <f>IFERROR(IF(VLOOKUP(TableHandbook[[#This Row],[UDC]],TableAvailabilities[],4,FALSE)&gt;0,"Y",""),"")</f>
        <v/>
      </c>
      <c r="J60" s="75" t="str">
        <f>IFERROR(IF(VLOOKUP(TableHandbook[[#This Row],[UDC]],TableAvailabilities[],5,FALSE)&gt;0,"Y",""),"")</f>
        <v/>
      </c>
      <c r="K60" s="75" t="str">
        <f>IFERROR(IF(VLOOKUP(TableHandbook[[#This Row],[UDC]],TableAvailabilities[],6,FALSE)&gt;0,"Y",""),"")</f>
        <v/>
      </c>
      <c r="L60" s="75" t="str">
        <f>IFERROR(IF(VLOOKUP(TableHandbook[[#This Row],[UDC]],TableAvailabilities[],7,FALSE)&gt;0,"Y",""),"")</f>
        <v/>
      </c>
      <c r="M60" s="207"/>
      <c r="N60" s="209" t="str">
        <f>IFERROR(VLOOKUP(TableHandbook[[#This Row],[UDC]],TableBEDUC[],7,FALSE),"")</f>
        <v/>
      </c>
      <c r="O60" s="209" t="str">
        <f>IFERROR(VLOOKUP(TableHandbook[[#This Row],[UDC]],TableBEDEC[],7,FALSE),"")</f>
        <v/>
      </c>
      <c r="P60" s="211" t="str">
        <f>IFERROR(VLOOKUP(TableHandbook[[#This Row],[UDC]],TableBEDPR[],7,FALSE),"")</f>
        <v/>
      </c>
      <c r="Q60" s="209" t="str">
        <f>IFERROR(VLOOKUP(TableHandbook[[#This Row],[UDC]],TableSTRUCATHL[],7,FALSE),"")</f>
        <v/>
      </c>
      <c r="R60" s="209" t="str">
        <f>IFERROR(VLOOKUP(TableHandbook[[#This Row],[UDC]],TableSTRUENGLL[],7,FALSE),"")</f>
        <v/>
      </c>
      <c r="S60" s="209" t="str">
        <f>IFERROR(VLOOKUP(TableHandbook[[#This Row],[UDC]],TableSTRUHLTPE[],7,FALSE),"")</f>
        <v/>
      </c>
      <c r="T60" s="209" t="str">
        <f>IFERROR(VLOOKUP(TableHandbook[[#This Row],[UDC]],TableSTRUISTEM[],7,FALSE),"")</f>
        <v/>
      </c>
      <c r="U60" s="209" t="str">
        <f>IFERROR(VLOOKUP(TableHandbook[[#This Row],[UDC]],TableSTRULITNU[],7,FALSE),"")</f>
        <v/>
      </c>
      <c r="V60" s="209" t="str">
        <f>IFERROR(VLOOKUP(TableHandbook[[#This Row],[UDC]],TableSTRUTECHS[],7,FALSE),"")</f>
        <v/>
      </c>
      <c r="W60" s="211" t="str">
        <f>IFERROR(VLOOKUP(TableHandbook[[#This Row],[UDC]],TableBEDSC[],7,FALSE),"")</f>
        <v/>
      </c>
      <c r="X60" s="211" t="str">
        <f>IFERROR(VLOOKUP(TableHandbook[[#This Row],[UDC]],TableMJRUARDR1[],7,FALSE),"")</f>
        <v/>
      </c>
      <c r="Y60" s="209" t="str">
        <f>IFERROR(VLOOKUP(TableHandbook[[#This Row],[UDC]],TableMJRUARME1[],7,FALSE),"")</f>
        <v/>
      </c>
      <c r="Z60" s="209" t="str">
        <f>IFERROR(VLOOKUP(TableHandbook[[#This Row],[UDC]],TableMJRUARVA1[],7,FALSE),"")</f>
        <v/>
      </c>
      <c r="AA60" s="209" t="str">
        <f>IFERROR(VLOOKUP(TableHandbook[[#This Row],[UDC]],TableMJRUENGL1[],7,FALSE),"")</f>
        <v/>
      </c>
      <c r="AB60" s="209" t="str">
        <f>IFERROR(VLOOKUP(TableHandbook[[#This Row],[UDC]],TableMJRUHSEC1[],7,FALSE),"")</f>
        <v/>
      </c>
      <c r="AC60" s="209" t="str">
        <f>IFERROR(VLOOKUP(TableHandbook[[#This Row],[UDC]],TableMJRUHSGE1[],7,FALSE),"")</f>
        <v/>
      </c>
      <c r="AD60" s="209" t="str">
        <f>IFERROR(VLOOKUP(TableHandbook[[#This Row],[UDC]],TableMJRUHSHI1[],7,FALSE),"")</f>
        <v/>
      </c>
      <c r="AE60" s="209" t="str">
        <f>IFERROR(VLOOKUP(TableHandbook[[#This Row],[UDC]],TableMJRUHSPL1[],7,FALSE),"")</f>
        <v>AltCore</v>
      </c>
      <c r="AF60" s="209" t="str">
        <f>IFERROR(VLOOKUP(TableHandbook[[#This Row],[UDC]],TableMJRUMATH1[],7,FALSE),"")</f>
        <v/>
      </c>
      <c r="AG60" s="209" t="str">
        <f>IFERROR(VLOOKUP(TableHandbook[[#This Row],[UDC]],TableMJRUPHYSE[],7,FALSE),"")</f>
        <v/>
      </c>
      <c r="AH60" s="209" t="str">
        <f>IFERROR(VLOOKUP(TableHandbook[[#This Row],[UDC]],TableMJRUSCBI1[],7,FALSE),"")</f>
        <v/>
      </c>
      <c r="AI60" s="209" t="str">
        <f>IFERROR(VLOOKUP(TableHandbook[[#This Row],[UDC]],TableMJRUSCCH1[],7,FALSE),"")</f>
        <v/>
      </c>
      <c r="AJ60" s="209" t="str">
        <f>IFERROR(VLOOKUP(TableHandbook[[#This Row],[UDC]],TableMJRUSCHB1[],7,FALSE),"")</f>
        <v/>
      </c>
      <c r="AK60" s="209" t="str">
        <f>IFERROR(VLOOKUP(TableHandbook[[#This Row],[UDC]],TableMJRUSCPH1[],7,FALSE),"")</f>
        <v/>
      </c>
      <c r="AL60" s="209" t="str">
        <f>IFERROR(VLOOKUP(TableHandbook[[#This Row],[UDC]],TableMJRUSCPS1[],7,FALSE),"")</f>
        <v/>
      </c>
      <c r="AM60" s="211" t="str">
        <f>IFERROR(VLOOKUP(TableHandbook[[#This Row],[UDC]],TableSTRUBIOLB[],7,FALSE),"")</f>
        <v/>
      </c>
      <c r="AN60" s="209" t="str">
        <f>IFERROR(VLOOKUP(TableHandbook[[#This Row],[UDC]],TableSTRUBSCIM[],7,FALSE),"")</f>
        <v/>
      </c>
      <c r="AO60" s="209" t="str">
        <f>IFERROR(VLOOKUP(TableHandbook[[#This Row],[UDC]],TableSTRUCHEMB[],7,FALSE),"")</f>
        <v/>
      </c>
      <c r="AP60" s="209" t="str">
        <f>IFERROR(VLOOKUP(TableHandbook[[#This Row],[UDC]],TableSTRUECOB1[],7,FALSE),"")</f>
        <v/>
      </c>
      <c r="AQ60" s="209" t="str">
        <f>IFERROR(VLOOKUP(TableHandbook[[#This Row],[UDC]],TableSTRUENGLB[],7,FALSE),"")</f>
        <v/>
      </c>
      <c r="AR60" s="209" t="str">
        <f>IFERROR(VLOOKUP(TableHandbook[[#This Row],[UDC]],TableSTRUENGLM[],7,FALSE),"")</f>
        <v/>
      </c>
      <c r="AS60" s="209" t="str">
        <f>IFERROR(VLOOKUP(TableHandbook[[#This Row],[UDC]],TableSTRUGEOB1[],7,FALSE),"")</f>
        <v/>
      </c>
      <c r="AT60" s="209" t="str">
        <f>IFERROR(VLOOKUP(TableHandbook[[#This Row],[UDC]],TableSTRUGEOGM[],7,FALSE),"")</f>
        <v/>
      </c>
      <c r="AU60" s="209" t="str">
        <f>IFERROR(VLOOKUP(TableHandbook[[#This Row],[UDC]],TableSTRUHISB1[],7,FALSE),"")</f>
        <v/>
      </c>
      <c r="AV60" s="209" t="str">
        <f>IFERROR(VLOOKUP(TableHandbook[[#This Row],[UDC]],TableSTRUHISTM[],7,FALSE),"")</f>
        <v/>
      </c>
      <c r="AW60" s="209" t="str">
        <f>IFERROR(VLOOKUP(TableHandbook[[#This Row],[UDC]],TableSTRUHPEB1[],7,FALSE),"")</f>
        <v/>
      </c>
      <c r="AX60" s="209" t="str">
        <f>IFERROR(VLOOKUP(TableHandbook[[#This Row],[UDC]],TableSTRUHUMBB[],7,FALSE),"")</f>
        <v/>
      </c>
      <c r="AY60" s="209" t="str">
        <f>IFERROR(VLOOKUP(TableHandbook[[#This Row],[UDC]],TableSTRUMARTM[],7,FALSE),"")</f>
        <v/>
      </c>
      <c r="AZ60" s="209" t="str">
        <f>IFERROR(VLOOKUP(TableHandbook[[#This Row],[UDC]],TableSTRUMATHB[],7,FALSE),"")</f>
        <v/>
      </c>
      <c r="BA60" s="209" t="str">
        <f>IFERROR(VLOOKUP(TableHandbook[[#This Row],[UDC]],TableSTRUMATHM[],7,FALSE),"")</f>
        <v/>
      </c>
      <c r="BB60" s="209" t="str">
        <f>IFERROR(VLOOKUP(TableHandbook[[#This Row],[UDC]],TableSTRUPARTB[],7,FALSE),"")</f>
        <v/>
      </c>
      <c r="BC60" s="209" t="str">
        <f>IFERROR(VLOOKUP(TableHandbook[[#This Row],[UDC]],TableSTRUPARTM[],7,FALSE),"")</f>
        <v/>
      </c>
      <c r="BD60" s="209" t="str">
        <f>IFERROR(VLOOKUP(TableHandbook[[#This Row],[UDC]],TableSTRUPOLB1[],7,FALSE),"")</f>
        <v/>
      </c>
      <c r="BE60" s="209" t="str">
        <f>IFERROR(VLOOKUP(TableHandbook[[#This Row],[UDC]],TableSTRUPSYCB[],7,FALSE),"")</f>
        <v/>
      </c>
      <c r="BF60" s="209" t="str">
        <f>IFERROR(VLOOKUP(TableHandbook[[#This Row],[UDC]],TableSTRUPSYCM[],7,FALSE),"")</f>
        <v/>
      </c>
      <c r="BG60" s="209" t="str">
        <f>IFERROR(VLOOKUP(TableHandbook[[#This Row],[UDC]],TableSTRUVARTB[],7,FALSE),"")</f>
        <v/>
      </c>
      <c r="BH60" s="209" t="str">
        <f>IFERROR(VLOOKUP(TableHandbook[[#This Row],[UDC]],TableSTRUVARTM[],7,FALSE),"")</f>
        <v/>
      </c>
    </row>
    <row r="61" spans="1:60" x14ac:dyDescent="0.25">
      <c r="A61" s="296" t="s">
        <v>738</v>
      </c>
      <c r="B61" s="7">
        <v>1</v>
      </c>
      <c r="C61" s="7"/>
      <c r="D61" s="207" t="s">
        <v>825</v>
      </c>
      <c r="E61" s="7">
        <v>25</v>
      </c>
      <c r="F61" s="84" t="s">
        <v>718</v>
      </c>
      <c r="G61" s="75" t="str">
        <f>IFERROR(IF(VLOOKUP(TableHandbook[[#This Row],[UDC]],TableAvailabilities[],2,FALSE)&gt;0,"Y",""),"")</f>
        <v/>
      </c>
      <c r="H61" s="75" t="str">
        <f>IFERROR(IF(VLOOKUP(TableHandbook[[#This Row],[UDC]],TableAvailabilities[],3,FALSE)&gt;0,"Y",""),"")</f>
        <v/>
      </c>
      <c r="I61" s="75" t="str">
        <f>IFERROR(IF(VLOOKUP(TableHandbook[[#This Row],[UDC]],TableAvailabilities[],4,FALSE)&gt;0,"Y",""),"")</f>
        <v/>
      </c>
      <c r="J61" s="75" t="str">
        <f>IFERROR(IF(VLOOKUP(TableHandbook[[#This Row],[UDC]],TableAvailabilities[],5,FALSE)&gt;0,"Y",""),"")</f>
        <v>Y</v>
      </c>
      <c r="K61" s="75" t="str">
        <f>IFERROR(IF(VLOOKUP(TableHandbook[[#This Row],[UDC]],TableAvailabilities[],6,FALSE)&gt;0,"Y",""),"")</f>
        <v/>
      </c>
      <c r="L61" s="75" t="str">
        <f>IFERROR(IF(VLOOKUP(TableHandbook[[#This Row],[UDC]],TableAvailabilities[],7,FALSE)&gt;0,"Y",""),"")</f>
        <v/>
      </c>
      <c r="M61" s="207"/>
      <c r="N61" s="209" t="str">
        <f>IFERROR(VLOOKUP(TableHandbook[[#This Row],[UDC]],TableBEDUC[],7,FALSE),"")</f>
        <v/>
      </c>
      <c r="O61" s="209" t="str">
        <f>IFERROR(VLOOKUP(TableHandbook[[#This Row],[UDC]],TableBEDEC[],7,FALSE),"")</f>
        <v/>
      </c>
      <c r="P61" s="211" t="str">
        <f>IFERROR(VLOOKUP(TableHandbook[[#This Row],[UDC]],TableBEDPR[],7,FALSE),"")</f>
        <v/>
      </c>
      <c r="Q61" s="209" t="str">
        <f>IFERROR(VLOOKUP(TableHandbook[[#This Row],[UDC]],TableSTRUCATHL[],7,FALSE),"")</f>
        <v/>
      </c>
      <c r="R61" s="209" t="str">
        <f>IFERROR(VLOOKUP(TableHandbook[[#This Row],[UDC]],TableSTRUENGLL[],7,FALSE),"")</f>
        <v/>
      </c>
      <c r="S61" s="209" t="str">
        <f>IFERROR(VLOOKUP(TableHandbook[[#This Row],[UDC]],TableSTRUHLTPE[],7,FALSE),"")</f>
        <v/>
      </c>
      <c r="T61" s="209" t="str">
        <f>IFERROR(VLOOKUP(TableHandbook[[#This Row],[UDC]],TableSTRUISTEM[],7,FALSE),"")</f>
        <v/>
      </c>
      <c r="U61" s="209" t="str">
        <f>IFERROR(VLOOKUP(TableHandbook[[#This Row],[UDC]],TableSTRULITNU[],7,FALSE),"")</f>
        <v/>
      </c>
      <c r="V61" s="209" t="str">
        <f>IFERROR(VLOOKUP(TableHandbook[[#This Row],[UDC]],TableSTRUTECHS[],7,FALSE),"")</f>
        <v/>
      </c>
      <c r="W61" s="211" t="str">
        <f>IFERROR(VLOOKUP(TableHandbook[[#This Row],[UDC]],TableBEDSC[],7,FALSE),"")</f>
        <v/>
      </c>
      <c r="X61" s="211" t="str">
        <f>IFERROR(VLOOKUP(TableHandbook[[#This Row],[UDC]],TableMJRUARDR1[],7,FALSE),"")</f>
        <v/>
      </c>
      <c r="Y61" s="209" t="str">
        <f>IFERROR(VLOOKUP(TableHandbook[[#This Row],[UDC]],TableMJRUARME1[],7,FALSE),"")</f>
        <v/>
      </c>
      <c r="Z61" s="209" t="str">
        <f>IFERROR(VLOOKUP(TableHandbook[[#This Row],[UDC]],TableMJRUARVA1[],7,FALSE),"")</f>
        <v/>
      </c>
      <c r="AA61" s="209" t="str">
        <f>IFERROR(VLOOKUP(TableHandbook[[#This Row],[UDC]],TableMJRUENGL1[],7,FALSE),"")</f>
        <v/>
      </c>
      <c r="AB61" s="209" t="str">
        <f>IFERROR(VLOOKUP(TableHandbook[[#This Row],[UDC]],TableMJRUHSEC1[],7,FALSE),"")</f>
        <v/>
      </c>
      <c r="AC61" s="209" t="str">
        <f>IFERROR(VLOOKUP(TableHandbook[[#This Row],[UDC]],TableMJRUHSGE1[],7,FALSE),"")</f>
        <v/>
      </c>
      <c r="AD61" s="209" t="str">
        <f>IFERROR(VLOOKUP(TableHandbook[[#This Row],[UDC]],TableMJRUHSHI1[],7,FALSE),"")</f>
        <v/>
      </c>
      <c r="AE61" s="209" t="str">
        <f>IFERROR(VLOOKUP(TableHandbook[[#This Row],[UDC]],TableMJRUHSPL1[],7,FALSE),"")</f>
        <v/>
      </c>
      <c r="AF61" s="209" t="str">
        <f>IFERROR(VLOOKUP(TableHandbook[[#This Row],[UDC]],TableMJRUMATH1[],7,FALSE),"")</f>
        <v/>
      </c>
      <c r="AG61" s="209" t="str">
        <f>IFERROR(VLOOKUP(TableHandbook[[#This Row],[UDC]],TableMJRUPHYSE[],7,FALSE),"")</f>
        <v/>
      </c>
      <c r="AH61" s="209" t="str">
        <f>IFERROR(VLOOKUP(TableHandbook[[#This Row],[UDC]],TableMJRUSCBI1[],7,FALSE),"")</f>
        <v/>
      </c>
      <c r="AI61" s="209" t="str">
        <f>IFERROR(VLOOKUP(TableHandbook[[#This Row],[UDC]],TableMJRUSCCH1[],7,FALSE),"")</f>
        <v/>
      </c>
      <c r="AJ61" s="209" t="str">
        <f>IFERROR(VLOOKUP(TableHandbook[[#This Row],[UDC]],TableMJRUSCHB1[],7,FALSE),"")</f>
        <v/>
      </c>
      <c r="AK61" s="209" t="str">
        <f>IFERROR(VLOOKUP(TableHandbook[[#This Row],[UDC]],TableMJRUSCPH1[],7,FALSE),"")</f>
        <v>Core</v>
      </c>
      <c r="AL61" s="209" t="str">
        <f>IFERROR(VLOOKUP(TableHandbook[[#This Row],[UDC]],TableMJRUSCPS1[],7,FALSE),"")</f>
        <v/>
      </c>
      <c r="AM61" s="211" t="str">
        <f>IFERROR(VLOOKUP(TableHandbook[[#This Row],[UDC]],TableSTRUBIOLB[],7,FALSE),"")</f>
        <v/>
      </c>
      <c r="AN61" s="209" t="str">
        <f>IFERROR(VLOOKUP(TableHandbook[[#This Row],[UDC]],TableSTRUBSCIM[],7,FALSE),"")</f>
        <v/>
      </c>
      <c r="AO61" s="209" t="str">
        <f>IFERROR(VLOOKUP(TableHandbook[[#This Row],[UDC]],TableSTRUCHEMB[],7,FALSE),"")</f>
        <v/>
      </c>
      <c r="AP61" s="209" t="str">
        <f>IFERROR(VLOOKUP(TableHandbook[[#This Row],[UDC]],TableSTRUECOB1[],7,FALSE),"")</f>
        <v/>
      </c>
      <c r="AQ61" s="209" t="str">
        <f>IFERROR(VLOOKUP(TableHandbook[[#This Row],[UDC]],TableSTRUENGLB[],7,FALSE),"")</f>
        <v/>
      </c>
      <c r="AR61" s="209" t="str">
        <f>IFERROR(VLOOKUP(TableHandbook[[#This Row],[UDC]],TableSTRUENGLM[],7,FALSE),"")</f>
        <v/>
      </c>
      <c r="AS61" s="209" t="str">
        <f>IFERROR(VLOOKUP(TableHandbook[[#This Row],[UDC]],TableSTRUGEOB1[],7,FALSE),"")</f>
        <v/>
      </c>
      <c r="AT61" s="209" t="str">
        <f>IFERROR(VLOOKUP(TableHandbook[[#This Row],[UDC]],TableSTRUGEOGM[],7,FALSE),"")</f>
        <v/>
      </c>
      <c r="AU61" s="209" t="str">
        <f>IFERROR(VLOOKUP(TableHandbook[[#This Row],[UDC]],TableSTRUHISB1[],7,FALSE),"")</f>
        <v/>
      </c>
      <c r="AV61" s="209" t="str">
        <f>IFERROR(VLOOKUP(TableHandbook[[#This Row],[UDC]],TableSTRUHISTM[],7,FALSE),"")</f>
        <v/>
      </c>
      <c r="AW61" s="209" t="str">
        <f>IFERROR(VLOOKUP(TableHandbook[[#This Row],[UDC]],TableSTRUHPEB1[],7,FALSE),"")</f>
        <v/>
      </c>
      <c r="AX61" s="209" t="str">
        <f>IFERROR(VLOOKUP(TableHandbook[[#This Row],[UDC]],TableSTRUHUMBB[],7,FALSE),"")</f>
        <v/>
      </c>
      <c r="AY61" s="209" t="str">
        <f>IFERROR(VLOOKUP(TableHandbook[[#This Row],[UDC]],TableSTRUMARTM[],7,FALSE),"")</f>
        <v/>
      </c>
      <c r="AZ61" s="209" t="str">
        <f>IFERROR(VLOOKUP(TableHandbook[[#This Row],[UDC]],TableSTRUMATHB[],7,FALSE),"")</f>
        <v/>
      </c>
      <c r="BA61" s="209" t="str">
        <f>IFERROR(VLOOKUP(TableHandbook[[#This Row],[UDC]],TableSTRUMATHM[],7,FALSE),"")</f>
        <v/>
      </c>
      <c r="BB61" s="209" t="str">
        <f>IFERROR(VLOOKUP(TableHandbook[[#This Row],[UDC]],TableSTRUPARTB[],7,FALSE),"")</f>
        <v/>
      </c>
      <c r="BC61" s="209" t="str">
        <f>IFERROR(VLOOKUP(TableHandbook[[#This Row],[UDC]],TableSTRUPARTM[],7,FALSE),"")</f>
        <v/>
      </c>
      <c r="BD61" s="209" t="str">
        <f>IFERROR(VLOOKUP(TableHandbook[[#This Row],[UDC]],TableSTRUPOLB1[],7,FALSE),"")</f>
        <v/>
      </c>
      <c r="BE61" s="209" t="str">
        <f>IFERROR(VLOOKUP(TableHandbook[[#This Row],[UDC]],TableSTRUPSYCB[],7,FALSE),"")</f>
        <v/>
      </c>
      <c r="BF61" s="209" t="str">
        <f>IFERROR(VLOOKUP(TableHandbook[[#This Row],[UDC]],TableSTRUPSYCM[],7,FALSE),"")</f>
        <v/>
      </c>
      <c r="BG61" s="209" t="str">
        <f>IFERROR(VLOOKUP(TableHandbook[[#This Row],[UDC]],TableSTRUVARTB[],7,FALSE),"")</f>
        <v/>
      </c>
      <c r="BH61" s="209" t="str">
        <f>IFERROR(VLOOKUP(TableHandbook[[#This Row],[UDC]],TableSTRUVARTM[],7,FALSE),"")</f>
        <v/>
      </c>
    </row>
    <row r="62" spans="1:60" x14ac:dyDescent="0.25">
      <c r="A62" s="6" t="s">
        <v>719</v>
      </c>
      <c r="B62" s="7">
        <v>2</v>
      </c>
      <c r="C62" s="7"/>
      <c r="D62" s="207" t="s">
        <v>826</v>
      </c>
      <c r="E62" s="7">
        <v>25</v>
      </c>
      <c r="F62" s="84" t="s">
        <v>783</v>
      </c>
      <c r="G62" s="75" t="str">
        <f>IFERROR(IF(VLOOKUP(TableHandbook[[#This Row],[UDC]],TableAvailabilities[],2,FALSE)&gt;0,"Y",""),"")</f>
        <v>Y</v>
      </c>
      <c r="H62" s="75" t="str">
        <f>IFERROR(IF(VLOOKUP(TableHandbook[[#This Row],[UDC]],TableAvailabilities[],3,FALSE)&gt;0,"Y",""),"")</f>
        <v/>
      </c>
      <c r="I62" s="75" t="str">
        <f>IFERROR(IF(VLOOKUP(TableHandbook[[#This Row],[UDC]],TableAvailabilities[],4,FALSE)&gt;0,"Y",""),"")</f>
        <v/>
      </c>
      <c r="J62" s="75" t="str">
        <f>IFERROR(IF(VLOOKUP(TableHandbook[[#This Row],[UDC]],TableAvailabilities[],5,FALSE)&gt;0,"Y",""),"")</f>
        <v/>
      </c>
      <c r="K62" s="75" t="str">
        <f>IFERROR(IF(VLOOKUP(TableHandbook[[#This Row],[UDC]],TableAvailabilities[],6,FALSE)&gt;0,"Y",""),"")</f>
        <v/>
      </c>
      <c r="L62" s="75" t="str">
        <f>IFERROR(IF(VLOOKUP(TableHandbook[[#This Row],[UDC]],TableAvailabilities[],7,FALSE)&gt;0,"Y",""),"")</f>
        <v/>
      </c>
      <c r="M62" s="207"/>
      <c r="N62" s="209" t="str">
        <f>IFERROR(VLOOKUP(TableHandbook[[#This Row],[UDC]],TableBEDUC[],7,FALSE),"")</f>
        <v/>
      </c>
      <c r="O62" s="209" t="str">
        <f>IFERROR(VLOOKUP(TableHandbook[[#This Row],[UDC]],TableBEDEC[],7,FALSE),"")</f>
        <v/>
      </c>
      <c r="P62" s="211" t="str">
        <f>IFERROR(VLOOKUP(TableHandbook[[#This Row],[UDC]],TableBEDPR[],7,FALSE),"")</f>
        <v/>
      </c>
      <c r="Q62" s="209" t="str">
        <f>IFERROR(VLOOKUP(TableHandbook[[#This Row],[UDC]],TableSTRUCATHL[],7,FALSE),"")</f>
        <v/>
      </c>
      <c r="R62" s="209" t="str">
        <f>IFERROR(VLOOKUP(TableHandbook[[#This Row],[UDC]],TableSTRUENGLL[],7,FALSE),"")</f>
        <v/>
      </c>
      <c r="S62" s="209" t="str">
        <f>IFERROR(VLOOKUP(TableHandbook[[#This Row],[UDC]],TableSTRUHLTPE[],7,FALSE),"")</f>
        <v/>
      </c>
      <c r="T62" s="209" t="str">
        <f>IFERROR(VLOOKUP(TableHandbook[[#This Row],[UDC]],TableSTRUISTEM[],7,FALSE),"")</f>
        <v/>
      </c>
      <c r="U62" s="209" t="str">
        <f>IFERROR(VLOOKUP(TableHandbook[[#This Row],[UDC]],TableSTRULITNU[],7,FALSE),"")</f>
        <v/>
      </c>
      <c r="V62" s="209" t="str">
        <f>IFERROR(VLOOKUP(TableHandbook[[#This Row],[UDC]],TableSTRUTECHS[],7,FALSE),"")</f>
        <v/>
      </c>
      <c r="W62" s="211" t="str">
        <f>IFERROR(VLOOKUP(TableHandbook[[#This Row],[UDC]],TableBEDSC[],7,FALSE),"")</f>
        <v/>
      </c>
      <c r="X62" s="211" t="str">
        <f>IFERROR(VLOOKUP(TableHandbook[[#This Row],[UDC]],TableMJRUARDR1[],7,FALSE),"")</f>
        <v/>
      </c>
      <c r="Y62" s="209" t="str">
        <f>IFERROR(VLOOKUP(TableHandbook[[#This Row],[UDC]],TableMJRUARME1[],7,FALSE),"")</f>
        <v/>
      </c>
      <c r="Z62" s="209" t="str">
        <f>IFERROR(VLOOKUP(TableHandbook[[#This Row],[UDC]],TableMJRUARVA1[],7,FALSE),"")</f>
        <v/>
      </c>
      <c r="AA62" s="209" t="str">
        <f>IFERROR(VLOOKUP(TableHandbook[[#This Row],[UDC]],TableMJRUENGL1[],7,FALSE),"")</f>
        <v/>
      </c>
      <c r="AB62" s="209" t="str">
        <f>IFERROR(VLOOKUP(TableHandbook[[#This Row],[UDC]],TableMJRUHSEC1[],7,FALSE),"")</f>
        <v/>
      </c>
      <c r="AC62" s="209" t="str">
        <f>IFERROR(VLOOKUP(TableHandbook[[#This Row],[UDC]],TableMJRUHSGE1[],7,FALSE),"")</f>
        <v/>
      </c>
      <c r="AD62" s="209" t="str">
        <f>IFERROR(VLOOKUP(TableHandbook[[#This Row],[UDC]],TableMJRUHSHI1[],7,FALSE),"")</f>
        <v/>
      </c>
      <c r="AE62" s="209" t="str">
        <f>IFERROR(VLOOKUP(TableHandbook[[#This Row],[UDC]],TableMJRUHSPL1[],7,FALSE),"")</f>
        <v/>
      </c>
      <c r="AF62" s="209" t="str">
        <f>IFERROR(VLOOKUP(TableHandbook[[#This Row],[UDC]],TableMJRUMATH1[],7,FALSE),"")</f>
        <v/>
      </c>
      <c r="AG62" s="209" t="str">
        <f>IFERROR(VLOOKUP(TableHandbook[[#This Row],[UDC]],TableMJRUPHYSE[],7,FALSE),"")</f>
        <v/>
      </c>
      <c r="AH62" s="209" t="str">
        <f>IFERROR(VLOOKUP(TableHandbook[[#This Row],[UDC]],TableMJRUSCBI1[],7,FALSE),"")</f>
        <v/>
      </c>
      <c r="AI62" s="209" t="str">
        <f>IFERROR(VLOOKUP(TableHandbook[[#This Row],[UDC]],TableMJRUSCCH1[],7,FALSE),"")</f>
        <v/>
      </c>
      <c r="AJ62" s="209" t="str">
        <f>IFERROR(VLOOKUP(TableHandbook[[#This Row],[UDC]],TableMJRUSCHB1[],7,FALSE),"")</f>
        <v/>
      </c>
      <c r="AK62" s="209" t="str">
        <f>IFERROR(VLOOKUP(TableHandbook[[#This Row],[UDC]],TableMJRUSCPH1[],7,FALSE),"")</f>
        <v/>
      </c>
      <c r="AL62" s="209" t="str">
        <f>IFERROR(VLOOKUP(TableHandbook[[#This Row],[UDC]],TableMJRUSCPS1[],7,FALSE),"")</f>
        <v/>
      </c>
      <c r="AM62" s="211" t="str">
        <f>IFERROR(VLOOKUP(TableHandbook[[#This Row],[UDC]],TableSTRUBIOLB[],7,FALSE),"")</f>
        <v>Core</v>
      </c>
      <c r="AN62" s="209" t="str">
        <f>IFERROR(VLOOKUP(TableHandbook[[#This Row],[UDC]],TableSTRUBSCIM[],7,FALSE),"")</f>
        <v/>
      </c>
      <c r="AO62" s="209" t="str">
        <f>IFERROR(VLOOKUP(TableHandbook[[#This Row],[UDC]],TableSTRUCHEMB[],7,FALSE),"")</f>
        <v>AltCore</v>
      </c>
      <c r="AP62" s="209" t="str">
        <f>IFERROR(VLOOKUP(TableHandbook[[#This Row],[UDC]],TableSTRUECOB1[],7,FALSE),"")</f>
        <v/>
      </c>
      <c r="AQ62" s="209" t="str">
        <f>IFERROR(VLOOKUP(TableHandbook[[#This Row],[UDC]],TableSTRUENGLB[],7,FALSE),"")</f>
        <v/>
      </c>
      <c r="AR62" s="209" t="str">
        <f>IFERROR(VLOOKUP(TableHandbook[[#This Row],[UDC]],TableSTRUENGLM[],7,FALSE),"")</f>
        <v/>
      </c>
      <c r="AS62" s="209" t="str">
        <f>IFERROR(VLOOKUP(TableHandbook[[#This Row],[UDC]],TableSTRUGEOB1[],7,FALSE),"")</f>
        <v/>
      </c>
      <c r="AT62" s="209" t="str">
        <f>IFERROR(VLOOKUP(TableHandbook[[#This Row],[UDC]],TableSTRUGEOGM[],7,FALSE),"")</f>
        <v/>
      </c>
      <c r="AU62" s="209" t="str">
        <f>IFERROR(VLOOKUP(TableHandbook[[#This Row],[UDC]],TableSTRUHISB1[],7,FALSE),"")</f>
        <v/>
      </c>
      <c r="AV62" s="209" t="str">
        <f>IFERROR(VLOOKUP(TableHandbook[[#This Row],[UDC]],TableSTRUHISTM[],7,FALSE),"")</f>
        <v/>
      </c>
      <c r="AW62" s="209" t="str">
        <f>IFERROR(VLOOKUP(TableHandbook[[#This Row],[UDC]],TableSTRUHPEB1[],7,FALSE),"")</f>
        <v/>
      </c>
      <c r="AX62" s="209" t="str">
        <f>IFERROR(VLOOKUP(TableHandbook[[#This Row],[UDC]],TableSTRUHUMBB[],7,FALSE),"")</f>
        <v/>
      </c>
      <c r="AY62" s="209" t="str">
        <f>IFERROR(VLOOKUP(TableHandbook[[#This Row],[UDC]],TableSTRUMARTM[],7,FALSE),"")</f>
        <v/>
      </c>
      <c r="AZ62" s="209" t="str">
        <f>IFERROR(VLOOKUP(TableHandbook[[#This Row],[UDC]],TableSTRUMATHB[],7,FALSE),"")</f>
        <v/>
      </c>
      <c r="BA62" s="209" t="str">
        <f>IFERROR(VLOOKUP(TableHandbook[[#This Row],[UDC]],TableSTRUMATHM[],7,FALSE),"")</f>
        <v/>
      </c>
      <c r="BB62" s="209" t="str">
        <f>IFERROR(VLOOKUP(TableHandbook[[#This Row],[UDC]],TableSTRUPARTB[],7,FALSE),"")</f>
        <v/>
      </c>
      <c r="BC62" s="209" t="str">
        <f>IFERROR(VLOOKUP(TableHandbook[[#This Row],[UDC]],TableSTRUPARTM[],7,FALSE),"")</f>
        <v/>
      </c>
      <c r="BD62" s="209" t="str">
        <f>IFERROR(VLOOKUP(TableHandbook[[#This Row],[UDC]],TableSTRUPOLB1[],7,FALSE),"")</f>
        <v/>
      </c>
      <c r="BE62" s="209" t="str">
        <f>IFERROR(VLOOKUP(TableHandbook[[#This Row],[UDC]],TableSTRUPSYCB[],7,FALSE),"")</f>
        <v/>
      </c>
      <c r="BF62" s="209" t="str">
        <f>IFERROR(VLOOKUP(TableHandbook[[#This Row],[UDC]],TableSTRUPSYCM[],7,FALSE),"")</f>
        <v/>
      </c>
      <c r="BG62" s="209" t="str">
        <f>IFERROR(VLOOKUP(TableHandbook[[#This Row],[UDC]],TableSTRUVARTB[],7,FALSE),"")</f>
        <v/>
      </c>
      <c r="BH62" s="209" t="str">
        <f>IFERROR(VLOOKUP(TableHandbook[[#This Row],[UDC]],TableSTRUVARTM[],7,FALSE),"")</f>
        <v/>
      </c>
    </row>
    <row r="63" spans="1:60" x14ac:dyDescent="0.25">
      <c r="A63" s="6" t="s">
        <v>478</v>
      </c>
      <c r="B63" s="7">
        <v>1</v>
      </c>
      <c r="C63" s="7"/>
      <c r="D63" s="207" t="s">
        <v>827</v>
      </c>
      <c r="E63" s="7">
        <v>25</v>
      </c>
      <c r="F63" s="84" t="s">
        <v>783</v>
      </c>
      <c r="G63" s="75" t="str">
        <f>IFERROR(IF(VLOOKUP(TableHandbook[[#This Row],[UDC]],TableAvailabilities[],2,FALSE)&gt;0,"Y",""),"")</f>
        <v>Y</v>
      </c>
      <c r="H63" s="75" t="str">
        <f>IFERROR(IF(VLOOKUP(TableHandbook[[#This Row],[UDC]],TableAvailabilities[],3,FALSE)&gt;0,"Y",""),"")</f>
        <v/>
      </c>
      <c r="I63" s="75" t="str">
        <f>IFERROR(IF(VLOOKUP(TableHandbook[[#This Row],[UDC]],TableAvailabilities[],4,FALSE)&gt;0,"Y",""),"")</f>
        <v/>
      </c>
      <c r="J63" s="75" t="str">
        <f>IFERROR(IF(VLOOKUP(TableHandbook[[#This Row],[UDC]],TableAvailabilities[],5,FALSE)&gt;0,"Y",""),"")</f>
        <v/>
      </c>
      <c r="K63" s="75" t="str">
        <f>IFERROR(IF(VLOOKUP(TableHandbook[[#This Row],[UDC]],TableAvailabilities[],6,FALSE)&gt;0,"Y",""),"")</f>
        <v/>
      </c>
      <c r="L63" s="75" t="str">
        <f>IFERROR(IF(VLOOKUP(TableHandbook[[#This Row],[UDC]],TableAvailabilities[],7,FALSE)&gt;0,"Y",""),"")</f>
        <v/>
      </c>
      <c r="M63" s="207"/>
      <c r="N63" s="209" t="str">
        <f>IFERROR(VLOOKUP(TableHandbook[[#This Row],[UDC]],TableBEDUC[],7,FALSE),"")</f>
        <v/>
      </c>
      <c r="O63" s="209" t="str">
        <f>IFERROR(VLOOKUP(TableHandbook[[#This Row],[UDC]],TableBEDEC[],7,FALSE),"")</f>
        <v/>
      </c>
      <c r="P63" s="211" t="str">
        <f>IFERROR(VLOOKUP(TableHandbook[[#This Row],[UDC]],TableBEDPR[],7,FALSE),"")</f>
        <v/>
      </c>
      <c r="Q63" s="209" t="str">
        <f>IFERROR(VLOOKUP(TableHandbook[[#This Row],[UDC]],TableSTRUCATHL[],7,FALSE),"")</f>
        <v/>
      </c>
      <c r="R63" s="209" t="str">
        <f>IFERROR(VLOOKUP(TableHandbook[[#This Row],[UDC]],TableSTRUENGLL[],7,FALSE),"")</f>
        <v/>
      </c>
      <c r="S63" s="209" t="str">
        <f>IFERROR(VLOOKUP(TableHandbook[[#This Row],[UDC]],TableSTRUHLTPE[],7,FALSE),"")</f>
        <v/>
      </c>
      <c r="T63" s="209" t="str">
        <f>IFERROR(VLOOKUP(TableHandbook[[#This Row],[UDC]],TableSTRUISTEM[],7,FALSE),"")</f>
        <v/>
      </c>
      <c r="U63" s="209" t="str">
        <f>IFERROR(VLOOKUP(TableHandbook[[#This Row],[UDC]],TableSTRULITNU[],7,FALSE),"")</f>
        <v/>
      </c>
      <c r="V63" s="209" t="str">
        <f>IFERROR(VLOOKUP(TableHandbook[[#This Row],[UDC]],TableSTRUTECHS[],7,FALSE),"")</f>
        <v/>
      </c>
      <c r="W63" s="211" t="str">
        <f>IFERROR(VLOOKUP(TableHandbook[[#This Row],[UDC]],TableBEDSC[],7,FALSE),"")</f>
        <v/>
      </c>
      <c r="X63" s="211" t="str">
        <f>IFERROR(VLOOKUP(TableHandbook[[#This Row],[UDC]],TableMJRUARDR1[],7,FALSE),"")</f>
        <v/>
      </c>
      <c r="Y63" s="209" t="str">
        <f>IFERROR(VLOOKUP(TableHandbook[[#This Row],[UDC]],TableMJRUARME1[],7,FALSE),"")</f>
        <v/>
      </c>
      <c r="Z63" s="209" t="str">
        <f>IFERROR(VLOOKUP(TableHandbook[[#This Row],[UDC]],TableMJRUARVA1[],7,FALSE),"")</f>
        <v/>
      </c>
      <c r="AA63" s="209" t="str">
        <f>IFERROR(VLOOKUP(TableHandbook[[#This Row],[UDC]],TableMJRUENGL1[],7,FALSE),"")</f>
        <v/>
      </c>
      <c r="AB63" s="209" t="str">
        <f>IFERROR(VLOOKUP(TableHandbook[[#This Row],[UDC]],TableMJRUHSEC1[],7,FALSE),"")</f>
        <v/>
      </c>
      <c r="AC63" s="209" t="str">
        <f>IFERROR(VLOOKUP(TableHandbook[[#This Row],[UDC]],TableMJRUHSGE1[],7,FALSE),"")</f>
        <v/>
      </c>
      <c r="AD63" s="209" t="str">
        <f>IFERROR(VLOOKUP(TableHandbook[[#This Row],[UDC]],TableMJRUHSHI1[],7,FALSE),"")</f>
        <v/>
      </c>
      <c r="AE63" s="209" t="str">
        <f>IFERROR(VLOOKUP(TableHandbook[[#This Row],[UDC]],TableMJRUHSPL1[],7,FALSE),"")</f>
        <v/>
      </c>
      <c r="AF63" s="209" t="str">
        <f>IFERROR(VLOOKUP(TableHandbook[[#This Row],[UDC]],TableMJRUMATH1[],7,FALSE),"")</f>
        <v/>
      </c>
      <c r="AG63" s="209" t="str">
        <f>IFERROR(VLOOKUP(TableHandbook[[#This Row],[UDC]],TableMJRUPHYSE[],7,FALSE),"")</f>
        <v/>
      </c>
      <c r="AH63" s="209" t="str">
        <f>IFERROR(VLOOKUP(TableHandbook[[#This Row],[UDC]],TableMJRUSCBI1[],7,FALSE),"")</f>
        <v>Core</v>
      </c>
      <c r="AI63" s="209" t="str">
        <f>IFERROR(VLOOKUP(TableHandbook[[#This Row],[UDC]],TableMJRUSCCH1[],7,FALSE),"")</f>
        <v/>
      </c>
      <c r="AJ63" s="209" t="str">
        <f>IFERROR(VLOOKUP(TableHandbook[[#This Row],[UDC]],TableMJRUSCHB1[],7,FALSE),"")</f>
        <v/>
      </c>
      <c r="AK63" s="209" t="str">
        <f>IFERROR(VLOOKUP(TableHandbook[[#This Row],[UDC]],TableMJRUSCPH1[],7,FALSE),"")</f>
        <v/>
      </c>
      <c r="AL63" s="209" t="str">
        <f>IFERROR(VLOOKUP(TableHandbook[[#This Row],[UDC]],TableMJRUSCPS1[],7,FALSE),"")</f>
        <v/>
      </c>
      <c r="AM63" s="211" t="str">
        <f>IFERROR(VLOOKUP(TableHandbook[[#This Row],[UDC]],TableSTRUBIOLB[],7,FALSE),"")</f>
        <v/>
      </c>
      <c r="AN63" s="209" t="str">
        <f>IFERROR(VLOOKUP(TableHandbook[[#This Row],[UDC]],TableSTRUBSCIM[],7,FALSE),"")</f>
        <v>AltCore</v>
      </c>
      <c r="AO63" s="209" t="str">
        <f>IFERROR(VLOOKUP(TableHandbook[[#This Row],[UDC]],TableSTRUCHEMB[],7,FALSE),"")</f>
        <v>AltCore</v>
      </c>
      <c r="AP63" s="209" t="str">
        <f>IFERROR(VLOOKUP(TableHandbook[[#This Row],[UDC]],TableSTRUECOB1[],7,FALSE),"")</f>
        <v/>
      </c>
      <c r="AQ63" s="209" t="str">
        <f>IFERROR(VLOOKUP(TableHandbook[[#This Row],[UDC]],TableSTRUENGLB[],7,FALSE),"")</f>
        <v/>
      </c>
      <c r="AR63" s="209" t="str">
        <f>IFERROR(VLOOKUP(TableHandbook[[#This Row],[UDC]],TableSTRUENGLM[],7,FALSE),"")</f>
        <v/>
      </c>
      <c r="AS63" s="209" t="str">
        <f>IFERROR(VLOOKUP(TableHandbook[[#This Row],[UDC]],TableSTRUGEOB1[],7,FALSE),"")</f>
        <v/>
      </c>
      <c r="AT63" s="209" t="str">
        <f>IFERROR(VLOOKUP(TableHandbook[[#This Row],[UDC]],TableSTRUGEOGM[],7,FALSE),"")</f>
        <v/>
      </c>
      <c r="AU63" s="209" t="str">
        <f>IFERROR(VLOOKUP(TableHandbook[[#This Row],[UDC]],TableSTRUHISB1[],7,FALSE),"")</f>
        <v/>
      </c>
      <c r="AV63" s="209" t="str">
        <f>IFERROR(VLOOKUP(TableHandbook[[#This Row],[UDC]],TableSTRUHISTM[],7,FALSE),"")</f>
        <v/>
      </c>
      <c r="AW63" s="209" t="str">
        <f>IFERROR(VLOOKUP(TableHandbook[[#This Row],[UDC]],TableSTRUHPEB1[],7,FALSE),"")</f>
        <v/>
      </c>
      <c r="AX63" s="209" t="str">
        <f>IFERROR(VLOOKUP(TableHandbook[[#This Row],[UDC]],TableSTRUHUMBB[],7,FALSE),"")</f>
        <v>Core</v>
      </c>
      <c r="AY63" s="209" t="str">
        <f>IFERROR(VLOOKUP(TableHandbook[[#This Row],[UDC]],TableSTRUMARTM[],7,FALSE),"")</f>
        <v/>
      </c>
      <c r="AZ63" s="209" t="str">
        <f>IFERROR(VLOOKUP(TableHandbook[[#This Row],[UDC]],TableSTRUMATHB[],7,FALSE),"")</f>
        <v/>
      </c>
      <c r="BA63" s="209" t="str">
        <f>IFERROR(VLOOKUP(TableHandbook[[#This Row],[UDC]],TableSTRUMATHM[],7,FALSE),"")</f>
        <v/>
      </c>
      <c r="BB63" s="209" t="str">
        <f>IFERROR(VLOOKUP(TableHandbook[[#This Row],[UDC]],TableSTRUPARTB[],7,FALSE),"")</f>
        <v/>
      </c>
      <c r="BC63" s="209" t="str">
        <f>IFERROR(VLOOKUP(TableHandbook[[#This Row],[UDC]],TableSTRUPARTM[],7,FALSE),"")</f>
        <v/>
      </c>
      <c r="BD63" s="209" t="str">
        <f>IFERROR(VLOOKUP(TableHandbook[[#This Row],[UDC]],TableSTRUPOLB1[],7,FALSE),"")</f>
        <v/>
      </c>
      <c r="BE63" s="209" t="str">
        <f>IFERROR(VLOOKUP(TableHandbook[[#This Row],[UDC]],TableSTRUPSYCB[],7,FALSE),"")</f>
        <v>Core</v>
      </c>
      <c r="BF63" s="209" t="str">
        <f>IFERROR(VLOOKUP(TableHandbook[[#This Row],[UDC]],TableSTRUPSYCM[],7,FALSE),"")</f>
        <v/>
      </c>
      <c r="BG63" s="209" t="str">
        <f>IFERROR(VLOOKUP(TableHandbook[[#This Row],[UDC]],TableSTRUVARTB[],7,FALSE),"")</f>
        <v/>
      </c>
      <c r="BH63" s="209" t="str">
        <f>IFERROR(VLOOKUP(TableHandbook[[#This Row],[UDC]],TableSTRUVARTM[],7,FALSE),"")</f>
        <v/>
      </c>
    </row>
    <row r="64" spans="1:60" x14ac:dyDescent="0.25">
      <c r="A64" s="6" t="s">
        <v>567</v>
      </c>
      <c r="B64" s="7">
        <v>1</v>
      </c>
      <c r="C64" s="7"/>
      <c r="D64" s="207" t="s">
        <v>828</v>
      </c>
      <c r="E64" s="7">
        <v>25</v>
      </c>
      <c r="F64" s="84" t="s">
        <v>783</v>
      </c>
      <c r="G64" s="75" t="str">
        <f>IFERROR(IF(VLOOKUP(TableHandbook[[#This Row],[UDC]],TableAvailabilities[],2,FALSE)&gt;0,"Y",""),"")</f>
        <v>Y</v>
      </c>
      <c r="H64" s="75" t="str">
        <f>IFERROR(IF(VLOOKUP(TableHandbook[[#This Row],[UDC]],TableAvailabilities[],3,FALSE)&gt;0,"Y",""),"")</f>
        <v>Y</v>
      </c>
      <c r="I64" s="75" t="str">
        <f>IFERROR(IF(VLOOKUP(TableHandbook[[#This Row],[UDC]],TableAvailabilities[],4,FALSE)&gt;0,"Y",""),"")</f>
        <v/>
      </c>
      <c r="J64" s="75" t="str">
        <f>IFERROR(IF(VLOOKUP(TableHandbook[[#This Row],[UDC]],TableAvailabilities[],5,FALSE)&gt;0,"Y",""),"")</f>
        <v>Y</v>
      </c>
      <c r="K64" s="75" t="str">
        <f>IFERROR(IF(VLOOKUP(TableHandbook[[#This Row],[UDC]],TableAvailabilities[],6,FALSE)&gt;0,"Y",""),"")</f>
        <v>Y</v>
      </c>
      <c r="L64" s="75" t="str">
        <f>IFERROR(IF(VLOOKUP(TableHandbook[[#This Row],[UDC]],TableAvailabilities[],7,FALSE)&gt;0,"Y",""),"")</f>
        <v/>
      </c>
      <c r="M64" s="207"/>
      <c r="N64" s="209" t="str">
        <f>IFERROR(VLOOKUP(TableHandbook[[#This Row],[UDC]],TableBEDUC[],7,FALSE),"")</f>
        <v/>
      </c>
      <c r="O64" s="209" t="str">
        <f>IFERROR(VLOOKUP(TableHandbook[[#This Row],[UDC]],TableBEDEC[],7,FALSE),"")</f>
        <v/>
      </c>
      <c r="P64" s="211" t="str">
        <f>IFERROR(VLOOKUP(TableHandbook[[#This Row],[UDC]],TableBEDPR[],7,FALSE),"")</f>
        <v/>
      </c>
      <c r="Q64" s="209" t="str">
        <f>IFERROR(VLOOKUP(TableHandbook[[#This Row],[UDC]],TableSTRUCATHL[],7,FALSE),"")</f>
        <v/>
      </c>
      <c r="R64" s="209" t="str">
        <f>IFERROR(VLOOKUP(TableHandbook[[#This Row],[UDC]],TableSTRUENGLL[],7,FALSE),"")</f>
        <v/>
      </c>
      <c r="S64" s="209" t="str">
        <f>IFERROR(VLOOKUP(TableHandbook[[#This Row],[UDC]],TableSTRUHLTPE[],7,FALSE),"")</f>
        <v/>
      </c>
      <c r="T64" s="209" t="str">
        <f>IFERROR(VLOOKUP(TableHandbook[[#This Row],[UDC]],TableSTRUISTEM[],7,FALSE),"")</f>
        <v/>
      </c>
      <c r="U64" s="209" t="str">
        <f>IFERROR(VLOOKUP(TableHandbook[[#This Row],[UDC]],TableSTRULITNU[],7,FALSE),"")</f>
        <v/>
      </c>
      <c r="V64" s="209" t="str">
        <f>IFERROR(VLOOKUP(TableHandbook[[#This Row],[UDC]],TableSTRUTECHS[],7,FALSE),"")</f>
        <v/>
      </c>
      <c r="W64" s="211" t="str">
        <f>IFERROR(VLOOKUP(TableHandbook[[#This Row],[UDC]],TableBEDSC[],7,FALSE),"")</f>
        <v/>
      </c>
      <c r="X64" s="211" t="str">
        <f>IFERROR(VLOOKUP(TableHandbook[[#This Row],[UDC]],TableMJRUARDR1[],7,FALSE),"")</f>
        <v/>
      </c>
      <c r="Y64" s="209" t="str">
        <f>IFERROR(VLOOKUP(TableHandbook[[#This Row],[UDC]],TableMJRUARME1[],7,FALSE),"")</f>
        <v/>
      </c>
      <c r="Z64" s="209" t="str">
        <f>IFERROR(VLOOKUP(TableHandbook[[#This Row],[UDC]],TableMJRUARVA1[],7,FALSE),"")</f>
        <v/>
      </c>
      <c r="AA64" s="209" t="str">
        <f>IFERROR(VLOOKUP(TableHandbook[[#This Row],[UDC]],TableMJRUENGL1[],7,FALSE),"")</f>
        <v/>
      </c>
      <c r="AB64" s="209" t="str">
        <f>IFERROR(VLOOKUP(TableHandbook[[#This Row],[UDC]],TableMJRUHSEC1[],7,FALSE),"")</f>
        <v>AltCore</v>
      </c>
      <c r="AC64" s="209" t="str">
        <f>IFERROR(VLOOKUP(TableHandbook[[#This Row],[UDC]],TableMJRUHSGE1[],7,FALSE),"")</f>
        <v/>
      </c>
      <c r="AD64" s="209" t="str">
        <f>IFERROR(VLOOKUP(TableHandbook[[#This Row],[UDC]],TableMJRUHSHI1[],7,FALSE),"")</f>
        <v/>
      </c>
      <c r="AE64" s="209" t="str">
        <f>IFERROR(VLOOKUP(TableHandbook[[#This Row],[UDC]],TableMJRUHSPL1[],7,FALSE),"")</f>
        <v/>
      </c>
      <c r="AF64" s="209" t="str">
        <f>IFERROR(VLOOKUP(TableHandbook[[#This Row],[UDC]],TableMJRUMATH1[],7,FALSE),"")</f>
        <v/>
      </c>
      <c r="AG64" s="209" t="str">
        <f>IFERROR(VLOOKUP(TableHandbook[[#This Row],[UDC]],TableMJRUPHYSE[],7,FALSE),"")</f>
        <v/>
      </c>
      <c r="AH64" s="209" t="str">
        <f>IFERROR(VLOOKUP(TableHandbook[[#This Row],[UDC]],TableMJRUSCBI1[],7,FALSE),"")</f>
        <v/>
      </c>
      <c r="AI64" s="209" t="str">
        <f>IFERROR(VLOOKUP(TableHandbook[[#This Row],[UDC]],TableMJRUSCCH1[],7,FALSE),"")</f>
        <v/>
      </c>
      <c r="AJ64" s="209" t="str">
        <f>IFERROR(VLOOKUP(TableHandbook[[#This Row],[UDC]],TableMJRUSCHB1[],7,FALSE),"")</f>
        <v/>
      </c>
      <c r="AK64" s="209" t="str">
        <f>IFERROR(VLOOKUP(TableHandbook[[#This Row],[UDC]],TableMJRUSCPH1[],7,FALSE),"")</f>
        <v/>
      </c>
      <c r="AL64" s="209" t="str">
        <f>IFERROR(VLOOKUP(TableHandbook[[#This Row],[UDC]],TableMJRUSCPS1[],7,FALSE),"")</f>
        <v/>
      </c>
      <c r="AM64" s="211" t="str">
        <f>IFERROR(VLOOKUP(TableHandbook[[#This Row],[UDC]],TableSTRUBIOLB[],7,FALSE),"")</f>
        <v/>
      </c>
      <c r="AN64" s="209" t="str">
        <f>IFERROR(VLOOKUP(TableHandbook[[#This Row],[UDC]],TableSTRUBSCIM[],7,FALSE),"")</f>
        <v/>
      </c>
      <c r="AO64" s="209" t="str">
        <f>IFERROR(VLOOKUP(TableHandbook[[#This Row],[UDC]],TableSTRUCHEMB[],7,FALSE),"")</f>
        <v/>
      </c>
      <c r="AP64" s="209" t="str">
        <f>IFERROR(VLOOKUP(TableHandbook[[#This Row],[UDC]],TableSTRUECOB1[],7,FALSE),"")</f>
        <v/>
      </c>
      <c r="AQ64" s="209" t="str">
        <f>IFERROR(VLOOKUP(TableHandbook[[#This Row],[UDC]],TableSTRUENGLB[],7,FALSE),"")</f>
        <v/>
      </c>
      <c r="AR64" s="209" t="str">
        <f>IFERROR(VLOOKUP(TableHandbook[[#This Row],[UDC]],TableSTRUENGLM[],7,FALSE),"")</f>
        <v/>
      </c>
      <c r="AS64" s="209" t="str">
        <f>IFERROR(VLOOKUP(TableHandbook[[#This Row],[UDC]],TableSTRUGEOB1[],7,FALSE),"")</f>
        <v/>
      </c>
      <c r="AT64" s="209" t="str">
        <f>IFERROR(VLOOKUP(TableHandbook[[#This Row],[UDC]],TableSTRUGEOGM[],7,FALSE),"")</f>
        <v/>
      </c>
      <c r="AU64" s="209" t="str">
        <f>IFERROR(VLOOKUP(TableHandbook[[#This Row],[UDC]],TableSTRUHISB1[],7,FALSE),"")</f>
        <v/>
      </c>
      <c r="AV64" s="209" t="str">
        <f>IFERROR(VLOOKUP(TableHandbook[[#This Row],[UDC]],TableSTRUHISTM[],7,FALSE),"")</f>
        <v/>
      </c>
      <c r="AW64" s="209" t="str">
        <f>IFERROR(VLOOKUP(TableHandbook[[#This Row],[UDC]],TableSTRUHPEB1[],7,FALSE),"")</f>
        <v/>
      </c>
      <c r="AX64" s="209" t="str">
        <f>IFERROR(VLOOKUP(TableHandbook[[#This Row],[UDC]],TableSTRUHUMBB[],7,FALSE),"")</f>
        <v/>
      </c>
      <c r="AY64" s="209" t="str">
        <f>IFERROR(VLOOKUP(TableHandbook[[#This Row],[UDC]],TableSTRUMARTM[],7,FALSE),"")</f>
        <v/>
      </c>
      <c r="AZ64" s="209" t="str">
        <f>IFERROR(VLOOKUP(TableHandbook[[#This Row],[UDC]],TableSTRUMATHB[],7,FALSE),"")</f>
        <v/>
      </c>
      <c r="BA64" s="209" t="str">
        <f>IFERROR(VLOOKUP(TableHandbook[[#This Row],[UDC]],TableSTRUMATHM[],7,FALSE),"")</f>
        <v/>
      </c>
      <c r="BB64" s="209" t="str">
        <f>IFERROR(VLOOKUP(TableHandbook[[#This Row],[UDC]],TableSTRUPARTB[],7,FALSE),"")</f>
        <v/>
      </c>
      <c r="BC64" s="209" t="str">
        <f>IFERROR(VLOOKUP(TableHandbook[[#This Row],[UDC]],TableSTRUPARTM[],7,FALSE),"")</f>
        <v/>
      </c>
      <c r="BD64" s="209" t="str">
        <f>IFERROR(VLOOKUP(TableHandbook[[#This Row],[UDC]],TableSTRUPOLB1[],7,FALSE),"")</f>
        <v/>
      </c>
      <c r="BE64" s="209" t="str">
        <f>IFERROR(VLOOKUP(TableHandbook[[#This Row],[UDC]],TableSTRUPSYCB[],7,FALSE),"")</f>
        <v/>
      </c>
      <c r="BF64" s="209" t="str">
        <f>IFERROR(VLOOKUP(TableHandbook[[#This Row],[UDC]],TableSTRUPSYCM[],7,FALSE),"")</f>
        <v/>
      </c>
      <c r="BG64" s="209" t="str">
        <f>IFERROR(VLOOKUP(TableHandbook[[#This Row],[UDC]],TableSTRUVARTB[],7,FALSE),"")</f>
        <v/>
      </c>
      <c r="BH64" s="209" t="str">
        <f>IFERROR(VLOOKUP(TableHandbook[[#This Row],[UDC]],TableSTRUVARTM[],7,FALSE),"")</f>
        <v/>
      </c>
    </row>
    <row r="65" spans="1:60" x14ac:dyDescent="0.25">
      <c r="A65" s="6" t="s">
        <v>634</v>
      </c>
      <c r="B65" s="7">
        <v>1</v>
      </c>
      <c r="C65" s="7"/>
      <c r="D65" s="207" t="s">
        <v>829</v>
      </c>
      <c r="E65" s="7">
        <v>25</v>
      </c>
      <c r="F65" s="84" t="s">
        <v>830</v>
      </c>
      <c r="G65" s="75" t="str">
        <f>IFERROR(IF(VLOOKUP(TableHandbook[[#This Row],[UDC]],TableAvailabilities[],2,FALSE)&gt;0,"Y",""),"")</f>
        <v>Y</v>
      </c>
      <c r="H65" s="75" t="str">
        <f>IFERROR(IF(VLOOKUP(TableHandbook[[#This Row],[UDC]],TableAvailabilities[],3,FALSE)&gt;0,"Y",""),"")</f>
        <v>Y</v>
      </c>
      <c r="I65" s="75" t="str">
        <f>IFERROR(IF(VLOOKUP(TableHandbook[[#This Row],[UDC]],TableAvailabilities[],4,FALSE)&gt;0,"Y",""),"")</f>
        <v/>
      </c>
      <c r="J65" s="75" t="str">
        <f>IFERROR(IF(VLOOKUP(TableHandbook[[#This Row],[UDC]],TableAvailabilities[],5,FALSE)&gt;0,"Y",""),"")</f>
        <v/>
      </c>
      <c r="K65" s="75" t="str">
        <f>IFERROR(IF(VLOOKUP(TableHandbook[[#This Row],[UDC]],TableAvailabilities[],6,FALSE)&gt;0,"Y",""),"")</f>
        <v/>
      </c>
      <c r="L65" s="75" t="str">
        <f>IFERROR(IF(VLOOKUP(TableHandbook[[#This Row],[UDC]],TableAvailabilities[],7,FALSE)&gt;0,"Y",""),"")</f>
        <v/>
      </c>
      <c r="M65" s="207"/>
      <c r="N65" s="209" t="str">
        <f>IFERROR(VLOOKUP(TableHandbook[[#This Row],[UDC]],TableBEDUC[],7,FALSE),"")</f>
        <v/>
      </c>
      <c r="O65" s="209" t="str">
        <f>IFERROR(VLOOKUP(TableHandbook[[#This Row],[UDC]],TableBEDEC[],7,FALSE),"")</f>
        <v/>
      </c>
      <c r="P65" s="211" t="str">
        <f>IFERROR(VLOOKUP(TableHandbook[[#This Row],[UDC]],TableBEDPR[],7,FALSE),"")</f>
        <v/>
      </c>
      <c r="Q65" s="209" t="str">
        <f>IFERROR(VLOOKUP(TableHandbook[[#This Row],[UDC]],TableSTRUCATHL[],7,FALSE),"")</f>
        <v/>
      </c>
      <c r="R65" s="209" t="str">
        <f>IFERROR(VLOOKUP(TableHandbook[[#This Row],[UDC]],TableSTRUENGLL[],7,FALSE),"")</f>
        <v/>
      </c>
      <c r="S65" s="209" t="str">
        <f>IFERROR(VLOOKUP(TableHandbook[[#This Row],[UDC]],TableSTRUHLTPE[],7,FALSE),"")</f>
        <v/>
      </c>
      <c r="T65" s="209" t="str">
        <f>IFERROR(VLOOKUP(TableHandbook[[#This Row],[UDC]],TableSTRUISTEM[],7,FALSE),"")</f>
        <v/>
      </c>
      <c r="U65" s="209" t="str">
        <f>IFERROR(VLOOKUP(TableHandbook[[#This Row],[UDC]],TableSTRULITNU[],7,FALSE),"")</f>
        <v/>
      </c>
      <c r="V65" s="209" t="str">
        <f>IFERROR(VLOOKUP(TableHandbook[[#This Row],[UDC]],TableSTRUTECHS[],7,FALSE),"")</f>
        <v/>
      </c>
      <c r="W65" s="211" t="str">
        <f>IFERROR(VLOOKUP(TableHandbook[[#This Row],[UDC]],TableBEDSC[],7,FALSE),"")</f>
        <v/>
      </c>
      <c r="X65" s="211" t="str">
        <f>IFERROR(VLOOKUP(TableHandbook[[#This Row],[UDC]],TableMJRUARDR1[],7,FALSE),"")</f>
        <v/>
      </c>
      <c r="Y65" s="209" t="str">
        <f>IFERROR(VLOOKUP(TableHandbook[[#This Row],[UDC]],TableMJRUARME1[],7,FALSE),"")</f>
        <v/>
      </c>
      <c r="Z65" s="209" t="str">
        <f>IFERROR(VLOOKUP(TableHandbook[[#This Row],[UDC]],TableMJRUARVA1[],7,FALSE),"")</f>
        <v/>
      </c>
      <c r="AA65" s="209" t="str">
        <f>IFERROR(VLOOKUP(TableHandbook[[#This Row],[UDC]],TableMJRUENGL1[],7,FALSE),"")</f>
        <v/>
      </c>
      <c r="AB65" s="209" t="str">
        <f>IFERROR(VLOOKUP(TableHandbook[[#This Row],[UDC]],TableMJRUHSEC1[],7,FALSE),"")</f>
        <v>Option</v>
      </c>
      <c r="AC65" s="209" t="str">
        <f>IFERROR(VLOOKUP(TableHandbook[[#This Row],[UDC]],TableMJRUHSGE1[],7,FALSE),"")</f>
        <v/>
      </c>
      <c r="AD65" s="209" t="str">
        <f>IFERROR(VLOOKUP(TableHandbook[[#This Row],[UDC]],TableMJRUHSHI1[],7,FALSE),"")</f>
        <v/>
      </c>
      <c r="AE65" s="209" t="str">
        <f>IFERROR(VLOOKUP(TableHandbook[[#This Row],[UDC]],TableMJRUHSPL1[],7,FALSE),"")</f>
        <v>Option</v>
      </c>
      <c r="AF65" s="209" t="str">
        <f>IFERROR(VLOOKUP(TableHandbook[[#This Row],[UDC]],TableMJRUMATH1[],7,FALSE),"")</f>
        <v/>
      </c>
      <c r="AG65" s="209" t="str">
        <f>IFERROR(VLOOKUP(TableHandbook[[#This Row],[UDC]],TableMJRUPHYSE[],7,FALSE),"")</f>
        <v/>
      </c>
      <c r="AH65" s="209" t="str">
        <f>IFERROR(VLOOKUP(TableHandbook[[#This Row],[UDC]],TableMJRUSCBI1[],7,FALSE),"")</f>
        <v/>
      </c>
      <c r="AI65" s="209" t="str">
        <f>IFERROR(VLOOKUP(TableHandbook[[#This Row],[UDC]],TableMJRUSCCH1[],7,FALSE),"")</f>
        <v/>
      </c>
      <c r="AJ65" s="209" t="str">
        <f>IFERROR(VLOOKUP(TableHandbook[[#This Row],[UDC]],TableMJRUSCHB1[],7,FALSE),"")</f>
        <v/>
      </c>
      <c r="AK65" s="209" t="str">
        <f>IFERROR(VLOOKUP(TableHandbook[[#This Row],[UDC]],TableMJRUSCPH1[],7,FALSE),"")</f>
        <v/>
      </c>
      <c r="AL65" s="209" t="str">
        <f>IFERROR(VLOOKUP(TableHandbook[[#This Row],[UDC]],TableMJRUSCPS1[],7,FALSE),"")</f>
        <v/>
      </c>
      <c r="AM65" s="211" t="str">
        <f>IFERROR(VLOOKUP(TableHandbook[[#This Row],[UDC]],TableSTRUBIOLB[],7,FALSE),"")</f>
        <v/>
      </c>
      <c r="AN65" s="209" t="str">
        <f>IFERROR(VLOOKUP(TableHandbook[[#This Row],[UDC]],TableSTRUBSCIM[],7,FALSE),"")</f>
        <v/>
      </c>
      <c r="AO65" s="209" t="str">
        <f>IFERROR(VLOOKUP(TableHandbook[[#This Row],[UDC]],TableSTRUCHEMB[],7,FALSE),"")</f>
        <v/>
      </c>
      <c r="AP65" s="209" t="str">
        <f>IFERROR(VLOOKUP(TableHandbook[[#This Row],[UDC]],TableSTRUECOB1[],7,FALSE),"")</f>
        <v/>
      </c>
      <c r="AQ65" s="209" t="str">
        <f>IFERROR(VLOOKUP(TableHandbook[[#This Row],[UDC]],TableSTRUENGLB[],7,FALSE),"")</f>
        <v/>
      </c>
      <c r="AR65" s="209" t="str">
        <f>IFERROR(VLOOKUP(TableHandbook[[#This Row],[UDC]],TableSTRUENGLM[],7,FALSE),"")</f>
        <v/>
      </c>
      <c r="AS65" s="209" t="str">
        <f>IFERROR(VLOOKUP(TableHandbook[[#This Row],[UDC]],TableSTRUGEOB1[],7,FALSE),"")</f>
        <v/>
      </c>
      <c r="AT65" s="209" t="str">
        <f>IFERROR(VLOOKUP(TableHandbook[[#This Row],[UDC]],TableSTRUGEOGM[],7,FALSE),"")</f>
        <v/>
      </c>
      <c r="AU65" s="209" t="str">
        <f>IFERROR(VLOOKUP(TableHandbook[[#This Row],[UDC]],TableSTRUHISB1[],7,FALSE),"")</f>
        <v/>
      </c>
      <c r="AV65" s="209" t="str">
        <f>IFERROR(VLOOKUP(TableHandbook[[#This Row],[UDC]],TableSTRUHISTM[],7,FALSE),"")</f>
        <v/>
      </c>
      <c r="AW65" s="209" t="str">
        <f>IFERROR(VLOOKUP(TableHandbook[[#This Row],[UDC]],TableSTRUHPEB1[],7,FALSE),"")</f>
        <v/>
      </c>
      <c r="AX65" s="209" t="str">
        <f>IFERROR(VLOOKUP(TableHandbook[[#This Row],[UDC]],TableSTRUHUMBB[],7,FALSE),"")</f>
        <v/>
      </c>
      <c r="AY65" s="209" t="str">
        <f>IFERROR(VLOOKUP(TableHandbook[[#This Row],[UDC]],TableSTRUMARTM[],7,FALSE),"")</f>
        <v/>
      </c>
      <c r="AZ65" s="209" t="str">
        <f>IFERROR(VLOOKUP(TableHandbook[[#This Row],[UDC]],TableSTRUMATHB[],7,FALSE),"")</f>
        <v/>
      </c>
      <c r="BA65" s="209" t="str">
        <f>IFERROR(VLOOKUP(TableHandbook[[#This Row],[UDC]],TableSTRUMATHM[],7,FALSE),"")</f>
        <v/>
      </c>
      <c r="BB65" s="209" t="str">
        <f>IFERROR(VLOOKUP(TableHandbook[[#This Row],[UDC]],TableSTRUPARTB[],7,FALSE),"")</f>
        <v/>
      </c>
      <c r="BC65" s="209" t="str">
        <f>IFERROR(VLOOKUP(TableHandbook[[#This Row],[UDC]],TableSTRUPARTM[],7,FALSE),"")</f>
        <v/>
      </c>
      <c r="BD65" s="209" t="str">
        <f>IFERROR(VLOOKUP(TableHandbook[[#This Row],[UDC]],TableSTRUPOLB1[],7,FALSE),"")</f>
        <v/>
      </c>
      <c r="BE65" s="209" t="str">
        <f>IFERROR(VLOOKUP(TableHandbook[[#This Row],[UDC]],TableSTRUPSYCB[],7,FALSE),"")</f>
        <v/>
      </c>
      <c r="BF65" s="209" t="str">
        <f>IFERROR(VLOOKUP(TableHandbook[[#This Row],[UDC]],TableSTRUPSYCM[],7,FALSE),"")</f>
        <v/>
      </c>
      <c r="BG65" s="209" t="str">
        <f>IFERROR(VLOOKUP(TableHandbook[[#This Row],[UDC]],TableSTRUVARTB[],7,FALSE),"")</f>
        <v/>
      </c>
      <c r="BH65" s="209" t="str">
        <f>IFERROR(VLOOKUP(TableHandbook[[#This Row],[UDC]],TableSTRUVARTM[],7,FALSE),"")</f>
        <v/>
      </c>
    </row>
    <row r="66" spans="1:60" x14ac:dyDescent="0.25">
      <c r="A66" s="6" t="s">
        <v>503</v>
      </c>
      <c r="B66" s="7">
        <v>1</v>
      </c>
      <c r="C66" s="7"/>
      <c r="D66" s="207" t="s">
        <v>831</v>
      </c>
      <c r="E66" s="7">
        <v>25</v>
      </c>
      <c r="F66" s="84" t="s">
        <v>478</v>
      </c>
      <c r="G66" s="75" t="str">
        <f>IFERROR(IF(VLOOKUP(TableHandbook[[#This Row],[UDC]],TableAvailabilities[],2,FALSE)&gt;0,"Y",""),"")</f>
        <v/>
      </c>
      <c r="H66" s="75" t="str">
        <f>IFERROR(IF(VLOOKUP(TableHandbook[[#This Row],[UDC]],TableAvailabilities[],3,FALSE)&gt;0,"Y",""),"")</f>
        <v/>
      </c>
      <c r="I66" s="75" t="str">
        <f>IFERROR(IF(VLOOKUP(TableHandbook[[#This Row],[UDC]],TableAvailabilities[],4,FALSE)&gt;0,"Y",""),"")</f>
        <v/>
      </c>
      <c r="J66" s="75" t="str">
        <f>IFERROR(IF(VLOOKUP(TableHandbook[[#This Row],[UDC]],TableAvailabilities[],5,FALSE)&gt;0,"Y",""),"")</f>
        <v>Y</v>
      </c>
      <c r="K66" s="75" t="str">
        <f>IFERROR(IF(VLOOKUP(TableHandbook[[#This Row],[UDC]],TableAvailabilities[],6,FALSE)&gt;0,"Y",""),"")</f>
        <v/>
      </c>
      <c r="L66" s="75" t="str">
        <f>IFERROR(IF(VLOOKUP(TableHandbook[[#This Row],[UDC]],TableAvailabilities[],7,FALSE)&gt;0,"Y",""),"")</f>
        <v/>
      </c>
      <c r="M66" s="207"/>
      <c r="N66" s="209" t="str">
        <f>IFERROR(VLOOKUP(TableHandbook[[#This Row],[UDC]],TableBEDUC[],7,FALSE),"")</f>
        <v/>
      </c>
      <c r="O66" s="209" t="str">
        <f>IFERROR(VLOOKUP(TableHandbook[[#This Row],[UDC]],TableBEDEC[],7,FALSE),"")</f>
        <v/>
      </c>
      <c r="P66" s="211" t="str">
        <f>IFERROR(VLOOKUP(TableHandbook[[#This Row],[UDC]],TableBEDPR[],7,FALSE),"")</f>
        <v/>
      </c>
      <c r="Q66" s="209" t="str">
        <f>IFERROR(VLOOKUP(TableHandbook[[#This Row],[UDC]],TableSTRUCATHL[],7,FALSE),"")</f>
        <v/>
      </c>
      <c r="R66" s="209" t="str">
        <f>IFERROR(VLOOKUP(TableHandbook[[#This Row],[UDC]],TableSTRUENGLL[],7,FALSE),"")</f>
        <v/>
      </c>
      <c r="S66" s="209" t="str">
        <f>IFERROR(VLOOKUP(TableHandbook[[#This Row],[UDC]],TableSTRUHLTPE[],7,FALSE),"")</f>
        <v/>
      </c>
      <c r="T66" s="209" t="str">
        <f>IFERROR(VLOOKUP(TableHandbook[[#This Row],[UDC]],TableSTRUISTEM[],7,FALSE),"")</f>
        <v/>
      </c>
      <c r="U66" s="209" t="str">
        <f>IFERROR(VLOOKUP(TableHandbook[[#This Row],[UDC]],TableSTRULITNU[],7,FALSE),"")</f>
        <v/>
      </c>
      <c r="V66" s="209" t="str">
        <f>IFERROR(VLOOKUP(TableHandbook[[#This Row],[UDC]],TableSTRUTECHS[],7,FALSE),"")</f>
        <v/>
      </c>
      <c r="W66" s="211" t="str">
        <f>IFERROR(VLOOKUP(TableHandbook[[#This Row],[UDC]],TableBEDSC[],7,FALSE),"")</f>
        <v/>
      </c>
      <c r="X66" s="211" t="str">
        <f>IFERROR(VLOOKUP(TableHandbook[[#This Row],[UDC]],TableMJRUARDR1[],7,FALSE),"")</f>
        <v/>
      </c>
      <c r="Y66" s="209" t="str">
        <f>IFERROR(VLOOKUP(TableHandbook[[#This Row],[UDC]],TableMJRUARME1[],7,FALSE),"")</f>
        <v/>
      </c>
      <c r="Z66" s="209" t="str">
        <f>IFERROR(VLOOKUP(TableHandbook[[#This Row],[UDC]],TableMJRUARVA1[],7,FALSE),"")</f>
        <v/>
      </c>
      <c r="AA66" s="209" t="str">
        <f>IFERROR(VLOOKUP(TableHandbook[[#This Row],[UDC]],TableMJRUENGL1[],7,FALSE),"")</f>
        <v/>
      </c>
      <c r="AB66" s="209" t="str">
        <f>IFERROR(VLOOKUP(TableHandbook[[#This Row],[UDC]],TableMJRUHSEC1[],7,FALSE),"")</f>
        <v/>
      </c>
      <c r="AC66" s="209" t="str">
        <f>IFERROR(VLOOKUP(TableHandbook[[#This Row],[UDC]],TableMJRUHSGE1[],7,FALSE),"")</f>
        <v/>
      </c>
      <c r="AD66" s="209" t="str">
        <f>IFERROR(VLOOKUP(TableHandbook[[#This Row],[UDC]],TableMJRUHSHI1[],7,FALSE),"")</f>
        <v/>
      </c>
      <c r="AE66" s="209" t="str">
        <f>IFERROR(VLOOKUP(TableHandbook[[#This Row],[UDC]],TableMJRUHSPL1[],7,FALSE),"")</f>
        <v/>
      </c>
      <c r="AF66" s="209" t="str">
        <f>IFERROR(VLOOKUP(TableHandbook[[#This Row],[UDC]],TableMJRUMATH1[],7,FALSE),"")</f>
        <v/>
      </c>
      <c r="AG66" s="209" t="str">
        <f>IFERROR(VLOOKUP(TableHandbook[[#This Row],[UDC]],TableMJRUPHYSE[],7,FALSE),"")</f>
        <v/>
      </c>
      <c r="AH66" s="209" t="str">
        <f>IFERROR(VLOOKUP(TableHandbook[[#This Row],[UDC]],TableMJRUSCBI1[],7,FALSE),"")</f>
        <v>Core</v>
      </c>
      <c r="AI66" s="209" t="str">
        <f>IFERROR(VLOOKUP(TableHandbook[[#This Row],[UDC]],TableMJRUSCCH1[],7,FALSE),"")</f>
        <v/>
      </c>
      <c r="AJ66" s="209" t="str">
        <f>IFERROR(VLOOKUP(TableHandbook[[#This Row],[UDC]],TableMJRUSCHB1[],7,FALSE),"")</f>
        <v/>
      </c>
      <c r="AK66" s="209" t="str">
        <f>IFERROR(VLOOKUP(TableHandbook[[#This Row],[UDC]],TableMJRUSCPH1[],7,FALSE),"")</f>
        <v/>
      </c>
      <c r="AL66" s="209" t="str">
        <f>IFERROR(VLOOKUP(TableHandbook[[#This Row],[UDC]],TableMJRUSCPS1[],7,FALSE),"")</f>
        <v/>
      </c>
      <c r="AM66" s="211" t="str">
        <f>IFERROR(VLOOKUP(TableHandbook[[#This Row],[UDC]],TableSTRUBIOLB[],7,FALSE),"")</f>
        <v/>
      </c>
      <c r="AN66" s="209" t="str">
        <f>IFERROR(VLOOKUP(TableHandbook[[#This Row],[UDC]],TableSTRUBSCIM[],7,FALSE),"")</f>
        <v>AltCore</v>
      </c>
      <c r="AO66" s="209" t="str">
        <f>IFERROR(VLOOKUP(TableHandbook[[#This Row],[UDC]],TableSTRUCHEMB[],7,FALSE),"")</f>
        <v/>
      </c>
      <c r="AP66" s="209" t="str">
        <f>IFERROR(VLOOKUP(TableHandbook[[#This Row],[UDC]],TableSTRUECOB1[],7,FALSE),"")</f>
        <v/>
      </c>
      <c r="AQ66" s="209" t="str">
        <f>IFERROR(VLOOKUP(TableHandbook[[#This Row],[UDC]],TableSTRUENGLB[],7,FALSE),"")</f>
        <v/>
      </c>
      <c r="AR66" s="209" t="str">
        <f>IFERROR(VLOOKUP(TableHandbook[[#This Row],[UDC]],TableSTRUENGLM[],7,FALSE),"")</f>
        <v/>
      </c>
      <c r="AS66" s="209" t="str">
        <f>IFERROR(VLOOKUP(TableHandbook[[#This Row],[UDC]],TableSTRUGEOB1[],7,FALSE),"")</f>
        <v/>
      </c>
      <c r="AT66" s="209" t="str">
        <f>IFERROR(VLOOKUP(TableHandbook[[#This Row],[UDC]],TableSTRUGEOGM[],7,FALSE),"")</f>
        <v/>
      </c>
      <c r="AU66" s="209" t="str">
        <f>IFERROR(VLOOKUP(TableHandbook[[#This Row],[UDC]],TableSTRUHISB1[],7,FALSE),"")</f>
        <v/>
      </c>
      <c r="AV66" s="209" t="str">
        <f>IFERROR(VLOOKUP(TableHandbook[[#This Row],[UDC]],TableSTRUHISTM[],7,FALSE),"")</f>
        <v/>
      </c>
      <c r="AW66" s="209" t="str">
        <f>IFERROR(VLOOKUP(TableHandbook[[#This Row],[UDC]],TableSTRUHPEB1[],7,FALSE),"")</f>
        <v/>
      </c>
      <c r="AX66" s="209" t="str">
        <f>IFERROR(VLOOKUP(TableHandbook[[#This Row],[UDC]],TableSTRUHUMBB[],7,FALSE),"")</f>
        <v>AltCore</v>
      </c>
      <c r="AY66" s="209" t="str">
        <f>IFERROR(VLOOKUP(TableHandbook[[#This Row],[UDC]],TableSTRUMARTM[],7,FALSE),"")</f>
        <v/>
      </c>
      <c r="AZ66" s="209" t="str">
        <f>IFERROR(VLOOKUP(TableHandbook[[#This Row],[UDC]],TableSTRUMATHB[],7,FALSE),"")</f>
        <v/>
      </c>
      <c r="BA66" s="209" t="str">
        <f>IFERROR(VLOOKUP(TableHandbook[[#This Row],[UDC]],TableSTRUMATHM[],7,FALSE),"")</f>
        <v/>
      </c>
      <c r="BB66" s="209" t="str">
        <f>IFERROR(VLOOKUP(TableHandbook[[#This Row],[UDC]],TableSTRUPARTB[],7,FALSE),"")</f>
        <v/>
      </c>
      <c r="BC66" s="209" t="str">
        <f>IFERROR(VLOOKUP(TableHandbook[[#This Row],[UDC]],TableSTRUPARTM[],7,FALSE),"")</f>
        <v/>
      </c>
      <c r="BD66" s="209" t="str">
        <f>IFERROR(VLOOKUP(TableHandbook[[#This Row],[UDC]],TableSTRUPOLB1[],7,FALSE),"")</f>
        <v/>
      </c>
      <c r="BE66" s="209" t="str">
        <f>IFERROR(VLOOKUP(TableHandbook[[#This Row],[UDC]],TableSTRUPSYCB[],7,FALSE),"")</f>
        <v>AltCore</v>
      </c>
      <c r="BF66" s="209" t="str">
        <f>IFERROR(VLOOKUP(TableHandbook[[#This Row],[UDC]],TableSTRUPSYCM[],7,FALSE),"")</f>
        <v/>
      </c>
      <c r="BG66" s="209" t="str">
        <f>IFERROR(VLOOKUP(TableHandbook[[#This Row],[UDC]],TableSTRUVARTB[],7,FALSE),"")</f>
        <v/>
      </c>
      <c r="BH66" s="209" t="str">
        <f>IFERROR(VLOOKUP(TableHandbook[[#This Row],[UDC]],TableSTRUVARTM[],7,FALSE),"")</f>
        <v/>
      </c>
    </row>
    <row r="67" spans="1:60" x14ac:dyDescent="0.25">
      <c r="A67" s="6" t="s">
        <v>457</v>
      </c>
      <c r="B67" s="7">
        <v>1</v>
      </c>
      <c r="C67" s="7"/>
      <c r="D67" s="207" t="s">
        <v>832</v>
      </c>
      <c r="E67" s="7">
        <v>25</v>
      </c>
      <c r="F67" s="84" t="s">
        <v>783</v>
      </c>
      <c r="G67" s="75" t="str">
        <f>IFERROR(IF(VLOOKUP(TableHandbook[[#This Row],[UDC]],TableAvailabilities[],2,FALSE)&gt;0,"Y",""),"")</f>
        <v>Y</v>
      </c>
      <c r="H67" s="75" t="str">
        <f>IFERROR(IF(VLOOKUP(TableHandbook[[#This Row],[UDC]],TableAvailabilities[],3,FALSE)&gt;0,"Y",""),"")</f>
        <v/>
      </c>
      <c r="I67" s="75" t="str">
        <f>IFERROR(IF(VLOOKUP(TableHandbook[[#This Row],[UDC]],TableAvailabilities[],4,FALSE)&gt;0,"Y",""),"")</f>
        <v/>
      </c>
      <c r="J67" s="75" t="str">
        <f>IFERROR(IF(VLOOKUP(TableHandbook[[#This Row],[UDC]],TableAvailabilities[],5,FALSE)&gt;0,"Y",""),"")</f>
        <v>Y</v>
      </c>
      <c r="K67" s="75" t="str">
        <f>IFERROR(IF(VLOOKUP(TableHandbook[[#This Row],[UDC]],TableAvailabilities[],6,FALSE)&gt;0,"Y",""),"")</f>
        <v/>
      </c>
      <c r="L67" s="75" t="str">
        <f>IFERROR(IF(VLOOKUP(TableHandbook[[#This Row],[UDC]],TableAvailabilities[],7,FALSE)&gt;0,"Y",""),"")</f>
        <v/>
      </c>
      <c r="M67" s="207"/>
      <c r="N67" s="209" t="str">
        <f>IFERROR(VLOOKUP(TableHandbook[[#This Row],[UDC]],TableBEDUC[],7,FALSE),"")</f>
        <v/>
      </c>
      <c r="O67" s="209" t="str">
        <f>IFERROR(VLOOKUP(TableHandbook[[#This Row],[UDC]],TableBEDEC[],7,FALSE),"")</f>
        <v/>
      </c>
      <c r="P67" s="211" t="str">
        <f>IFERROR(VLOOKUP(TableHandbook[[#This Row],[UDC]],TableBEDPR[],7,FALSE),"")</f>
        <v/>
      </c>
      <c r="Q67" s="209" t="str">
        <f>IFERROR(VLOOKUP(TableHandbook[[#This Row],[UDC]],TableSTRUCATHL[],7,FALSE),"")</f>
        <v/>
      </c>
      <c r="R67" s="209" t="str">
        <f>IFERROR(VLOOKUP(TableHandbook[[#This Row],[UDC]],TableSTRUENGLL[],7,FALSE),"")</f>
        <v/>
      </c>
      <c r="S67" s="209" t="str">
        <f>IFERROR(VLOOKUP(TableHandbook[[#This Row],[UDC]],TableSTRUHLTPE[],7,FALSE),"")</f>
        <v/>
      </c>
      <c r="T67" s="209" t="str">
        <f>IFERROR(VLOOKUP(TableHandbook[[#This Row],[UDC]],TableSTRUISTEM[],7,FALSE),"")</f>
        <v/>
      </c>
      <c r="U67" s="209" t="str">
        <f>IFERROR(VLOOKUP(TableHandbook[[#This Row],[UDC]],TableSTRULITNU[],7,FALSE),"")</f>
        <v/>
      </c>
      <c r="V67" s="209" t="str">
        <f>IFERROR(VLOOKUP(TableHandbook[[#This Row],[UDC]],TableSTRUTECHS[],7,FALSE),"")</f>
        <v/>
      </c>
      <c r="W67" s="211" t="str">
        <f>IFERROR(VLOOKUP(TableHandbook[[#This Row],[UDC]],TableBEDSC[],7,FALSE),"")</f>
        <v/>
      </c>
      <c r="X67" s="211" t="str">
        <f>IFERROR(VLOOKUP(TableHandbook[[#This Row],[UDC]],TableMJRUARDR1[],7,FALSE),"")</f>
        <v/>
      </c>
      <c r="Y67" s="209" t="str">
        <f>IFERROR(VLOOKUP(TableHandbook[[#This Row],[UDC]],TableMJRUARME1[],7,FALSE),"")</f>
        <v/>
      </c>
      <c r="Z67" s="209" t="str">
        <f>IFERROR(VLOOKUP(TableHandbook[[#This Row],[UDC]],TableMJRUARVA1[],7,FALSE),"")</f>
        <v/>
      </c>
      <c r="AA67" s="209" t="str">
        <f>IFERROR(VLOOKUP(TableHandbook[[#This Row],[UDC]],TableMJRUENGL1[],7,FALSE),"")</f>
        <v/>
      </c>
      <c r="AB67" s="209" t="str">
        <f>IFERROR(VLOOKUP(TableHandbook[[#This Row],[UDC]],TableMJRUHSEC1[],7,FALSE),"")</f>
        <v/>
      </c>
      <c r="AC67" s="209" t="str">
        <f>IFERROR(VLOOKUP(TableHandbook[[#This Row],[UDC]],TableMJRUHSGE1[],7,FALSE),"")</f>
        <v/>
      </c>
      <c r="AD67" s="209" t="str">
        <f>IFERROR(VLOOKUP(TableHandbook[[#This Row],[UDC]],TableMJRUHSHI1[],7,FALSE),"")</f>
        <v/>
      </c>
      <c r="AE67" s="209" t="str">
        <f>IFERROR(VLOOKUP(TableHandbook[[#This Row],[UDC]],TableMJRUHSPL1[],7,FALSE),"")</f>
        <v/>
      </c>
      <c r="AF67" s="209" t="str">
        <f>IFERROR(VLOOKUP(TableHandbook[[#This Row],[UDC]],TableMJRUMATH1[],7,FALSE),"")</f>
        <v/>
      </c>
      <c r="AG67" s="209" t="str">
        <f>IFERROR(VLOOKUP(TableHandbook[[#This Row],[UDC]],TableMJRUPHYSE[],7,FALSE),"")</f>
        <v/>
      </c>
      <c r="AH67" s="209" t="str">
        <f>IFERROR(VLOOKUP(TableHandbook[[#This Row],[UDC]],TableMJRUSCBI1[],7,FALSE),"")</f>
        <v/>
      </c>
      <c r="AI67" s="209" t="str">
        <f>IFERROR(VLOOKUP(TableHandbook[[#This Row],[UDC]],TableMJRUSCCH1[],7,FALSE),"")</f>
        <v>Core</v>
      </c>
      <c r="AJ67" s="209" t="str">
        <f>IFERROR(VLOOKUP(TableHandbook[[#This Row],[UDC]],TableMJRUSCHB1[],7,FALSE),"")</f>
        <v/>
      </c>
      <c r="AK67" s="209" t="str">
        <f>IFERROR(VLOOKUP(TableHandbook[[#This Row],[UDC]],TableMJRUSCPH1[],7,FALSE),"")</f>
        <v/>
      </c>
      <c r="AL67" s="209" t="str">
        <f>IFERROR(VLOOKUP(TableHandbook[[#This Row],[UDC]],TableMJRUSCPS1[],7,FALSE),"")</f>
        <v/>
      </c>
      <c r="AM67" s="211" t="str">
        <f>IFERROR(VLOOKUP(TableHandbook[[#This Row],[UDC]],TableSTRUBIOLB[],7,FALSE),"")</f>
        <v>AltCore</v>
      </c>
      <c r="AN67" s="209" t="str">
        <f>IFERROR(VLOOKUP(TableHandbook[[#This Row],[UDC]],TableSTRUBSCIM[],7,FALSE),"")</f>
        <v/>
      </c>
      <c r="AO67" s="209" t="str">
        <f>IFERROR(VLOOKUP(TableHandbook[[#This Row],[UDC]],TableSTRUCHEMB[],7,FALSE),"")</f>
        <v/>
      </c>
      <c r="AP67" s="209" t="str">
        <f>IFERROR(VLOOKUP(TableHandbook[[#This Row],[UDC]],TableSTRUECOB1[],7,FALSE),"")</f>
        <v/>
      </c>
      <c r="AQ67" s="209" t="str">
        <f>IFERROR(VLOOKUP(TableHandbook[[#This Row],[UDC]],TableSTRUENGLB[],7,FALSE),"")</f>
        <v/>
      </c>
      <c r="AR67" s="209" t="str">
        <f>IFERROR(VLOOKUP(TableHandbook[[#This Row],[UDC]],TableSTRUENGLM[],7,FALSE),"")</f>
        <v/>
      </c>
      <c r="AS67" s="209" t="str">
        <f>IFERROR(VLOOKUP(TableHandbook[[#This Row],[UDC]],TableSTRUGEOB1[],7,FALSE),"")</f>
        <v/>
      </c>
      <c r="AT67" s="209" t="str">
        <f>IFERROR(VLOOKUP(TableHandbook[[#This Row],[UDC]],TableSTRUGEOGM[],7,FALSE),"")</f>
        <v/>
      </c>
      <c r="AU67" s="209" t="str">
        <f>IFERROR(VLOOKUP(TableHandbook[[#This Row],[UDC]],TableSTRUHISB1[],7,FALSE),"")</f>
        <v/>
      </c>
      <c r="AV67" s="209" t="str">
        <f>IFERROR(VLOOKUP(TableHandbook[[#This Row],[UDC]],TableSTRUHISTM[],7,FALSE),"")</f>
        <v/>
      </c>
      <c r="AW67" s="209" t="str">
        <f>IFERROR(VLOOKUP(TableHandbook[[#This Row],[UDC]],TableSTRUHPEB1[],7,FALSE),"")</f>
        <v/>
      </c>
      <c r="AX67" s="209" t="str">
        <f>IFERROR(VLOOKUP(TableHandbook[[#This Row],[UDC]],TableSTRUHUMBB[],7,FALSE),"")</f>
        <v>AltCore</v>
      </c>
      <c r="AY67" s="209" t="str">
        <f>IFERROR(VLOOKUP(TableHandbook[[#This Row],[UDC]],TableSTRUMARTM[],7,FALSE),"")</f>
        <v/>
      </c>
      <c r="AZ67" s="209" t="str">
        <f>IFERROR(VLOOKUP(TableHandbook[[#This Row],[UDC]],TableSTRUMATHB[],7,FALSE),"")</f>
        <v/>
      </c>
      <c r="BA67" s="209" t="str">
        <f>IFERROR(VLOOKUP(TableHandbook[[#This Row],[UDC]],TableSTRUMATHM[],7,FALSE),"")</f>
        <v/>
      </c>
      <c r="BB67" s="209" t="str">
        <f>IFERROR(VLOOKUP(TableHandbook[[#This Row],[UDC]],TableSTRUPARTB[],7,FALSE),"")</f>
        <v/>
      </c>
      <c r="BC67" s="209" t="str">
        <f>IFERROR(VLOOKUP(TableHandbook[[#This Row],[UDC]],TableSTRUPARTM[],7,FALSE),"")</f>
        <v/>
      </c>
      <c r="BD67" s="209" t="str">
        <f>IFERROR(VLOOKUP(TableHandbook[[#This Row],[UDC]],TableSTRUPOLB1[],7,FALSE),"")</f>
        <v/>
      </c>
      <c r="BE67" s="209" t="str">
        <f>IFERROR(VLOOKUP(TableHandbook[[#This Row],[UDC]],TableSTRUPSYCB[],7,FALSE),"")</f>
        <v>AltCore</v>
      </c>
      <c r="BF67" s="209" t="str">
        <f>IFERROR(VLOOKUP(TableHandbook[[#This Row],[UDC]],TableSTRUPSYCM[],7,FALSE),"")</f>
        <v/>
      </c>
      <c r="BG67" s="209" t="str">
        <f>IFERROR(VLOOKUP(TableHandbook[[#This Row],[UDC]],TableSTRUVARTB[],7,FALSE),"")</f>
        <v/>
      </c>
      <c r="BH67" s="209" t="str">
        <f>IFERROR(VLOOKUP(TableHandbook[[#This Row],[UDC]],TableSTRUVARTM[],7,FALSE),"")</f>
        <v/>
      </c>
    </row>
    <row r="68" spans="1:60" x14ac:dyDescent="0.25">
      <c r="A68" s="6" t="s">
        <v>479</v>
      </c>
      <c r="B68" s="7">
        <v>1</v>
      </c>
      <c r="C68" s="7"/>
      <c r="D68" s="207" t="s">
        <v>833</v>
      </c>
      <c r="E68" s="7">
        <v>25</v>
      </c>
      <c r="F68" s="84" t="s">
        <v>834</v>
      </c>
      <c r="G68" s="75" t="str">
        <f>IFERROR(IF(VLOOKUP(TableHandbook[[#This Row],[UDC]],TableAvailabilities[],2,FALSE)&gt;0,"Y",""),"")</f>
        <v>Y</v>
      </c>
      <c r="H68" s="75" t="str">
        <f>IFERROR(IF(VLOOKUP(TableHandbook[[#This Row],[UDC]],TableAvailabilities[],3,FALSE)&gt;0,"Y",""),"")</f>
        <v/>
      </c>
      <c r="I68" s="75" t="str">
        <f>IFERROR(IF(VLOOKUP(TableHandbook[[#This Row],[UDC]],TableAvailabilities[],4,FALSE)&gt;0,"Y",""),"")</f>
        <v/>
      </c>
      <c r="J68" s="75" t="str">
        <f>IFERROR(IF(VLOOKUP(TableHandbook[[#This Row],[UDC]],TableAvailabilities[],5,FALSE)&gt;0,"Y",""),"")</f>
        <v>Y</v>
      </c>
      <c r="K68" s="75" t="str">
        <f>IFERROR(IF(VLOOKUP(TableHandbook[[#This Row],[UDC]],TableAvailabilities[],6,FALSE)&gt;0,"Y",""),"")</f>
        <v/>
      </c>
      <c r="L68" s="75" t="str">
        <f>IFERROR(IF(VLOOKUP(TableHandbook[[#This Row],[UDC]],TableAvailabilities[],7,FALSE)&gt;0,"Y",""),"")</f>
        <v/>
      </c>
      <c r="M68" s="207"/>
      <c r="N68" s="209" t="str">
        <f>IFERROR(VLOOKUP(TableHandbook[[#This Row],[UDC]],TableBEDUC[],7,FALSE),"")</f>
        <v/>
      </c>
      <c r="O68" s="209" t="str">
        <f>IFERROR(VLOOKUP(TableHandbook[[#This Row],[UDC]],TableBEDEC[],7,FALSE),"")</f>
        <v/>
      </c>
      <c r="P68" s="211" t="str">
        <f>IFERROR(VLOOKUP(TableHandbook[[#This Row],[UDC]],TableBEDPR[],7,FALSE),"")</f>
        <v/>
      </c>
      <c r="Q68" s="209" t="str">
        <f>IFERROR(VLOOKUP(TableHandbook[[#This Row],[UDC]],TableSTRUCATHL[],7,FALSE),"")</f>
        <v/>
      </c>
      <c r="R68" s="209" t="str">
        <f>IFERROR(VLOOKUP(TableHandbook[[#This Row],[UDC]],TableSTRUENGLL[],7,FALSE),"")</f>
        <v/>
      </c>
      <c r="S68" s="209" t="str">
        <f>IFERROR(VLOOKUP(TableHandbook[[#This Row],[UDC]],TableSTRUHLTPE[],7,FALSE),"")</f>
        <v/>
      </c>
      <c r="T68" s="209" t="str">
        <f>IFERROR(VLOOKUP(TableHandbook[[#This Row],[UDC]],TableSTRUISTEM[],7,FALSE),"")</f>
        <v/>
      </c>
      <c r="U68" s="209" t="str">
        <f>IFERROR(VLOOKUP(TableHandbook[[#This Row],[UDC]],TableSTRULITNU[],7,FALSE),"")</f>
        <v/>
      </c>
      <c r="V68" s="209" t="str">
        <f>IFERROR(VLOOKUP(TableHandbook[[#This Row],[UDC]],TableSTRUTECHS[],7,FALSE),"")</f>
        <v/>
      </c>
      <c r="W68" s="211" t="str">
        <f>IFERROR(VLOOKUP(TableHandbook[[#This Row],[UDC]],TableBEDSC[],7,FALSE),"")</f>
        <v/>
      </c>
      <c r="X68" s="211" t="str">
        <f>IFERROR(VLOOKUP(TableHandbook[[#This Row],[UDC]],TableMJRUARDR1[],7,FALSE),"")</f>
        <v/>
      </c>
      <c r="Y68" s="209" t="str">
        <f>IFERROR(VLOOKUP(TableHandbook[[#This Row],[UDC]],TableMJRUARME1[],7,FALSE),"")</f>
        <v/>
      </c>
      <c r="Z68" s="209" t="str">
        <f>IFERROR(VLOOKUP(TableHandbook[[#This Row],[UDC]],TableMJRUARVA1[],7,FALSE),"")</f>
        <v/>
      </c>
      <c r="AA68" s="209" t="str">
        <f>IFERROR(VLOOKUP(TableHandbook[[#This Row],[UDC]],TableMJRUENGL1[],7,FALSE),"")</f>
        <v/>
      </c>
      <c r="AB68" s="209" t="str">
        <f>IFERROR(VLOOKUP(TableHandbook[[#This Row],[UDC]],TableMJRUHSEC1[],7,FALSE),"")</f>
        <v/>
      </c>
      <c r="AC68" s="209" t="str">
        <f>IFERROR(VLOOKUP(TableHandbook[[#This Row],[UDC]],TableMJRUHSGE1[],7,FALSE),"")</f>
        <v/>
      </c>
      <c r="AD68" s="209" t="str">
        <f>IFERROR(VLOOKUP(TableHandbook[[#This Row],[UDC]],TableMJRUHSHI1[],7,FALSE),"")</f>
        <v/>
      </c>
      <c r="AE68" s="209" t="str">
        <f>IFERROR(VLOOKUP(TableHandbook[[#This Row],[UDC]],TableMJRUHSPL1[],7,FALSE),"")</f>
        <v/>
      </c>
      <c r="AF68" s="209" t="str">
        <f>IFERROR(VLOOKUP(TableHandbook[[#This Row],[UDC]],TableMJRUMATH1[],7,FALSE),"")</f>
        <v/>
      </c>
      <c r="AG68" s="209" t="str">
        <f>IFERROR(VLOOKUP(TableHandbook[[#This Row],[UDC]],TableMJRUPHYSE[],7,FALSE),"")</f>
        <v/>
      </c>
      <c r="AH68" s="209" t="str">
        <f>IFERROR(VLOOKUP(TableHandbook[[#This Row],[UDC]],TableMJRUSCBI1[],7,FALSE),"")</f>
        <v/>
      </c>
      <c r="AI68" s="209" t="str">
        <f>IFERROR(VLOOKUP(TableHandbook[[#This Row],[UDC]],TableMJRUSCCH1[],7,FALSE),"")</f>
        <v>Core</v>
      </c>
      <c r="AJ68" s="209" t="str">
        <f>IFERROR(VLOOKUP(TableHandbook[[#This Row],[UDC]],TableMJRUSCHB1[],7,FALSE),"")</f>
        <v/>
      </c>
      <c r="AK68" s="209" t="str">
        <f>IFERROR(VLOOKUP(TableHandbook[[#This Row],[UDC]],TableMJRUSCPH1[],7,FALSE),"")</f>
        <v/>
      </c>
      <c r="AL68" s="209" t="str">
        <f>IFERROR(VLOOKUP(TableHandbook[[#This Row],[UDC]],TableMJRUSCPS1[],7,FALSE),"")</f>
        <v/>
      </c>
      <c r="AM68" s="211" t="str">
        <f>IFERROR(VLOOKUP(TableHandbook[[#This Row],[UDC]],TableSTRUBIOLB[],7,FALSE),"")</f>
        <v/>
      </c>
      <c r="AN68" s="209" t="str">
        <f>IFERROR(VLOOKUP(TableHandbook[[#This Row],[UDC]],TableSTRUBSCIM[],7,FALSE),"")</f>
        <v/>
      </c>
      <c r="AO68" s="209" t="str">
        <f>IFERROR(VLOOKUP(TableHandbook[[#This Row],[UDC]],TableSTRUCHEMB[],7,FALSE),"")</f>
        <v/>
      </c>
      <c r="AP68" s="209" t="str">
        <f>IFERROR(VLOOKUP(TableHandbook[[#This Row],[UDC]],TableSTRUECOB1[],7,FALSE),"")</f>
        <v/>
      </c>
      <c r="AQ68" s="209" t="str">
        <f>IFERROR(VLOOKUP(TableHandbook[[#This Row],[UDC]],TableSTRUENGLB[],7,FALSE),"")</f>
        <v/>
      </c>
      <c r="AR68" s="209" t="str">
        <f>IFERROR(VLOOKUP(TableHandbook[[#This Row],[UDC]],TableSTRUENGLM[],7,FALSE),"")</f>
        <v/>
      </c>
      <c r="AS68" s="209" t="str">
        <f>IFERROR(VLOOKUP(TableHandbook[[#This Row],[UDC]],TableSTRUGEOB1[],7,FALSE),"")</f>
        <v/>
      </c>
      <c r="AT68" s="209" t="str">
        <f>IFERROR(VLOOKUP(TableHandbook[[#This Row],[UDC]],TableSTRUGEOGM[],7,FALSE),"")</f>
        <v/>
      </c>
      <c r="AU68" s="209" t="str">
        <f>IFERROR(VLOOKUP(TableHandbook[[#This Row],[UDC]],TableSTRUHISB1[],7,FALSE),"")</f>
        <v/>
      </c>
      <c r="AV68" s="209" t="str">
        <f>IFERROR(VLOOKUP(TableHandbook[[#This Row],[UDC]],TableSTRUHISTM[],7,FALSE),"")</f>
        <v/>
      </c>
      <c r="AW68" s="209" t="str">
        <f>IFERROR(VLOOKUP(TableHandbook[[#This Row],[UDC]],TableSTRUHPEB1[],7,FALSE),"")</f>
        <v/>
      </c>
      <c r="AX68" s="209" t="str">
        <f>IFERROR(VLOOKUP(TableHandbook[[#This Row],[UDC]],TableSTRUHUMBB[],7,FALSE),"")</f>
        <v/>
      </c>
      <c r="AY68" s="209" t="str">
        <f>IFERROR(VLOOKUP(TableHandbook[[#This Row],[UDC]],TableSTRUMARTM[],7,FALSE),"")</f>
        <v/>
      </c>
      <c r="AZ68" s="209" t="str">
        <f>IFERROR(VLOOKUP(TableHandbook[[#This Row],[UDC]],TableSTRUMATHB[],7,FALSE),"")</f>
        <v/>
      </c>
      <c r="BA68" s="209" t="str">
        <f>IFERROR(VLOOKUP(TableHandbook[[#This Row],[UDC]],TableSTRUMATHM[],7,FALSE),"")</f>
        <v/>
      </c>
      <c r="BB68" s="209" t="str">
        <f>IFERROR(VLOOKUP(TableHandbook[[#This Row],[UDC]],TableSTRUPARTB[],7,FALSE),"")</f>
        <v/>
      </c>
      <c r="BC68" s="209" t="str">
        <f>IFERROR(VLOOKUP(TableHandbook[[#This Row],[UDC]],TableSTRUPARTM[],7,FALSE),"")</f>
        <v/>
      </c>
      <c r="BD68" s="209" t="str">
        <f>IFERROR(VLOOKUP(TableHandbook[[#This Row],[UDC]],TableSTRUPOLB1[],7,FALSE),"")</f>
        <v/>
      </c>
      <c r="BE68" s="209" t="str">
        <f>IFERROR(VLOOKUP(TableHandbook[[#This Row],[UDC]],TableSTRUPSYCB[],7,FALSE),"")</f>
        <v/>
      </c>
      <c r="BF68" s="209" t="str">
        <f>IFERROR(VLOOKUP(TableHandbook[[#This Row],[UDC]],TableSTRUPSYCM[],7,FALSE),"")</f>
        <v/>
      </c>
      <c r="BG68" s="209" t="str">
        <f>IFERROR(VLOOKUP(TableHandbook[[#This Row],[UDC]],TableSTRUVARTB[],7,FALSE),"")</f>
        <v/>
      </c>
      <c r="BH68" s="209" t="str">
        <f>IFERROR(VLOOKUP(TableHandbook[[#This Row],[UDC]],TableSTRUVARTM[],7,FALSE),"")</f>
        <v/>
      </c>
    </row>
    <row r="69" spans="1:60" x14ac:dyDescent="0.25">
      <c r="A69" s="305" t="s">
        <v>749</v>
      </c>
      <c r="B69" s="7">
        <v>1</v>
      </c>
      <c r="C69" s="7"/>
      <c r="D69" s="207" t="s">
        <v>835</v>
      </c>
      <c r="E69" s="7">
        <v>25</v>
      </c>
      <c r="F69" s="84" t="s">
        <v>783</v>
      </c>
      <c r="G69" s="75" t="str">
        <f>IFERROR(IF(VLOOKUP(TableHandbook[[#This Row],[UDC]],TableAvailabilities[],2,FALSE)&gt;0,"Y",""),"")</f>
        <v>Y</v>
      </c>
      <c r="H69" s="75" t="str">
        <f>IFERROR(IF(VLOOKUP(TableHandbook[[#This Row],[UDC]],TableAvailabilities[],3,FALSE)&gt;0,"Y",""),"")</f>
        <v/>
      </c>
      <c r="I69" s="75" t="str">
        <f>IFERROR(IF(VLOOKUP(TableHandbook[[#This Row],[UDC]],TableAvailabilities[],4,FALSE)&gt;0,"Y",""),"")</f>
        <v/>
      </c>
      <c r="J69" s="75" t="str">
        <f>IFERROR(IF(VLOOKUP(TableHandbook[[#This Row],[UDC]],TableAvailabilities[],5,FALSE)&gt;0,"Y",""),"")</f>
        <v>Y</v>
      </c>
      <c r="K69" s="75" t="str">
        <f>IFERROR(IF(VLOOKUP(TableHandbook[[#This Row],[UDC]],TableAvailabilities[],6,FALSE)&gt;0,"Y",""),"")</f>
        <v/>
      </c>
      <c r="L69" s="75" t="str">
        <f>IFERROR(IF(VLOOKUP(TableHandbook[[#This Row],[UDC]],TableAvailabilities[],7,FALSE)&gt;0,"Y",""),"")</f>
        <v/>
      </c>
      <c r="M69" s="207"/>
      <c r="N69" s="209" t="str">
        <f>IFERROR(VLOOKUP(TableHandbook[[#This Row],[UDC]],TableBEDUC[],7,FALSE),"")</f>
        <v/>
      </c>
      <c r="O69" s="209" t="str">
        <f>IFERROR(VLOOKUP(TableHandbook[[#This Row],[UDC]],TableBEDEC[],7,FALSE),"")</f>
        <v/>
      </c>
      <c r="P69" s="211" t="str">
        <f>IFERROR(VLOOKUP(TableHandbook[[#This Row],[UDC]],TableBEDPR[],7,FALSE),"")</f>
        <v/>
      </c>
      <c r="Q69" s="209" t="str">
        <f>IFERROR(VLOOKUP(TableHandbook[[#This Row],[UDC]],TableSTRUCATHL[],7,FALSE),"")</f>
        <v/>
      </c>
      <c r="R69" s="209" t="str">
        <f>IFERROR(VLOOKUP(TableHandbook[[#This Row],[UDC]],TableSTRUENGLL[],7,FALSE),"")</f>
        <v/>
      </c>
      <c r="S69" s="209" t="str">
        <f>IFERROR(VLOOKUP(TableHandbook[[#This Row],[UDC]],TableSTRUHLTPE[],7,FALSE),"")</f>
        <v/>
      </c>
      <c r="T69" s="209" t="str">
        <f>IFERROR(VLOOKUP(TableHandbook[[#This Row],[UDC]],TableSTRUISTEM[],7,FALSE),"")</f>
        <v/>
      </c>
      <c r="U69" s="209" t="str">
        <f>IFERROR(VLOOKUP(TableHandbook[[#This Row],[UDC]],TableSTRULITNU[],7,FALSE),"")</f>
        <v/>
      </c>
      <c r="V69" s="209" t="str">
        <f>IFERROR(VLOOKUP(TableHandbook[[#This Row],[UDC]],TableSTRUTECHS[],7,FALSE),"")</f>
        <v/>
      </c>
      <c r="W69" s="211" t="str">
        <f>IFERROR(VLOOKUP(TableHandbook[[#This Row],[UDC]],TableBEDSC[],7,FALSE),"")</f>
        <v/>
      </c>
      <c r="X69" s="211" t="str">
        <f>IFERROR(VLOOKUP(TableHandbook[[#This Row],[UDC]],TableMJRUARDR1[],7,FALSE),"")</f>
        <v/>
      </c>
      <c r="Y69" s="209" t="str">
        <f>IFERROR(VLOOKUP(TableHandbook[[#This Row],[UDC]],TableMJRUARME1[],7,FALSE),"")</f>
        <v/>
      </c>
      <c r="Z69" s="209" t="str">
        <f>IFERROR(VLOOKUP(TableHandbook[[#This Row],[UDC]],TableMJRUARVA1[],7,FALSE),"")</f>
        <v/>
      </c>
      <c r="AA69" s="209" t="str">
        <f>IFERROR(VLOOKUP(TableHandbook[[#This Row],[UDC]],TableMJRUENGL1[],7,FALSE),"")</f>
        <v/>
      </c>
      <c r="AB69" s="209" t="str">
        <f>IFERROR(VLOOKUP(TableHandbook[[#This Row],[UDC]],TableMJRUHSEC1[],7,FALSE),"")</f>
        <v/>
      </c>
      <c r="AC69" s="209" t="str">
        <f>IFERROR(VLOOKUP(TableHandbook[[#This Row],[UDC]],TableMJRUHSGE1[],7,FALSE),"")</f>
        <v/>
      </c>
      <c r="AD69" s="209" t="str">
        <f>IFERROR(VLOOKUP(TableHandbook[[#This Row],[UDC]],TableMJRUHSHI1[],7,FALSE),"")</f>
        <v/>
      </c>
      <c r="AE69" s="209" t="str">
        <f>IFERROR(VLOOKUP(TableHandbook[[#This Row],[UDC]],TableMJRUHSPL1[],7,FALSE),"")</f>
        <v/>
      </c>
      <c r="AF69" s="209" t="str">
        <f>IFERROR(VLOOKUP(TableHandbook[[#This Row],[UDC]],TableMJRUMATH1[],7,FALSE),"")</f>
        <v/>
      </c>
      <c r="AG69" s="209" t="str">
        <f>IFERROR(VLOOKUP(TableHandbook[[#This Row],[UDC]],TableMJRUPHYSE[],7,FALSE),"")</f>
        <v/>
      </c>
      <c r="AH69" s="209" t="str">
        <f>IFERROR(VLOOKUP(TableHandbook[[#This Row],[UDC]],TableMJRUSCBI1[],7,FALSE),"")</f>
        <v/>
      </c>
      <c r="AI69" s="209" t="str">
        <f>IFERROR(VLOOKUP(TableHandbook[[#This Row],[UDC]],TableMJRUSCCH1[],7,FALSE),"")</f>
        <v/>
      </c>
      <c r="AJ69" s="209" t="str">
        <f>IFERROR(VLOOKUP(TableHandbook[[#This Row],[UDC]],TableMJRUSCHB1[],7,FALSE),"")</f>
        <v/>
      </c>
      <c r="AK69" s="209" t="str">
        <f>IFERROR(VLOOKUP(TableHandbook[[#This Row],[UDC]],TableMJRUSCPH1[],7,FALSE),"")</f>
        <v/>
      </c>
      <c r="AL69" s="209" t="str">
        <f>IFERROR(VLOOKUP(TableHandbook[[#This Row],[UDC]],TableMJRUSCPS1[],7,FALSE),"")</f>
        <v/>
      </c>
      <c r="AM69" s="211" t="str">
        <f>IFERROR(VLOOKUP(TableHandbook[[#This Row],[UDC]],TableSTRUBIOLB[],7,FALSE),"")</f>
        <v>AltCore</v>
      </c>
      <c r="AN69" s="209" t="str">
        <f>IFERROR(VLOOKUP(TableHandbook[[#This Row],[UDC]],TableSTRUBSCIM[],7,FALSE),"")</f>
        <v/>
      </c>
      <c r="AO69" s="209" t="str">
        <f>IFERROR(VLOOKUP(TableHandbook[[#This Row],[UDC]],TableSTRUCHEMB[],7,FALSE),"")</f>
        <v/>
      </c>
      <c r="AP69" s="209" t="str">
        <f>IFERROR(VLOOKUP(TableHandbook[[#This Row],[UDC]],TableSTRUECOB1[],7,FALSE),"")</f>
        <v/>
      </c>
      <c r="AQ69" s="209" t="str">
        <f>IFERROR(VLOOKUP(TableHandbook[[#This Row],[UDC]],TableSTRUENGLB[],7,FALSE),"")</f>
        <v/>
      </c>
      <c r="AR69" s="209" t="str">
        <f>IFERROR(VLOOKUP(TableHandbook[[#This Row],[UDC]],TableSTRUENGLM[],7,FALSE),"")</f>
        <v/>
      </c>
      <c r="AS69" s="209" t="str">
        <f>IFERROR(VLOOKUP(TableHandbook[[#This Row],[UDC]],TableSTRUGEOB1[],7,FALSE),"")</f>
        <v/>
      </c>
      <c r="AT69" s="209" t="str">
        <f>IFERROR(VLOOKUP(TableHandbook[[#This Row],[UDC]],TableSTRUGEOGM[],7,FALSE),"")</f>
        <v/>
      </c>
      <c r="AU69" s="209" t="str">
        <f>IFERROR(VLOOKUP(TableHandbook[[#This Row],[UDC]],TableSTRUHISB1[],7,FALSE),"")</f>
        <v/>
      </c>
      <c r="AV69" s="209" t="str">
        <f>IFERROR(VLOOKUP(TableHandbook[[#This Row],[UDC]],TableSTRUHISTM[],7,FALSE),"")</f>
        <v/>
      </c>
      <c r="AW69" s="209" t="str">
        <f>IFERROR(VLOOKUP(TableHandbook[[#This Row],[UDC]],TableSTRUHPEB1[],7,FALSE),"")</f>
        <v/>
      </c>
      <c r="AX69" s="209" t="str">
        <f>IFERROR(VLOOKUP(TableHandbook[[#This Row],[UDC]],TableSTRUHUMBB[],7,FALSE),"")</f>
        <v>AltCore</v>
      </c>
      <c r="AY69" s="209" t="str">
        <f>IFERROR(VLOOKUP(TableHandbook[[#This Row],[UDC]],TableSTRUMARTM[],7,FALSE),"")</f>
        <v/>
      </c>
      <c r="AZ69" s="209" t="str">
        <f>IFERROR(VLOOKUP(TableHandbook[[#This Row],[UDC]],TableSTRUMATHB[],7,FALSE),"")</f>
        <v/>
      </c>
      <c r="BA69" s="209" t="str">
        <f>IFERROR(VLOOKUP(TableHandbook[[#This Row],[UDC]],TableSTRUMATHM[],7,FALSE),"")</f>
        <v/>
      </c>
      <c r="BB69" s="209" t="str">
        <f>IFERROR(VLOOKUP(TableHandbook[[#This Row],[UDC]],TableSTRUPARTB[],7,FALSE),"")</f>
        <v/>
      </c>
      <c r="BC69" s="209" t="str">
        <f>IFERROR(VLOOKUP(TableHandbook[[#This Row],[UDC]],TableSTRUPARTM[],7,FALSE),"")</f>
        <v/>
      </c>
      <c r="BD69" s="209" t="str">
        <f>IFERROR(VLOOKUP(TableHandbook[[#This Row],[UDC]],TableSTRUPOLB1[],7,FALSE),"")</f>
        <v/>
      </c>
      <c r="BE69" s="209" t="str">
        <f>IFERROR(VLOOKUP(TableHandbook[[#This Row],[UDC]],TableSTRUPSYCB[],7,FALSE),"")</f>
        <v>AltCore</v>
      </c>
      <c r="BF69" s="209" t="str">
        <f>IFERROR(VLOOKUP(TableHandbook[[#This Row],[UDC]],TableSTRUPSYCM[],7,FALSE),"")</f>
        <v/>
      </c>
      <c r="BG69" s="209" t="str">
        <f>IFERROR(VLOOKUP(TableHandbook[[#This Row],[UDC]],TableSTRUVARTB[],7,FALSE),"")</f>
        <v/>
      </c>
      <c r="BH69" s="209" t="str">
        <f>IFERROR(VLOOKUP(TableHandbook[[#This Row],[UDC]],TableSTRUVARTM[],7,FALSE),"")</f>
        <v/>
      </c>
    </row>
    <row r="70" spans="1:60" x14ac:dyDescent="0.25">
      <c r="A70" s="296" t="s">
        <v>623</v>
      </c>
      <c r="B70" s="7">
        <v>1</v>
      </c>
      <c r="C70" s="7"/>
      <c r="D70" s="207" t="s">
        <v>836</v>
      </c>
      <c r="E70" s="7">
        <v>25</v>
      </c>
      <c r="F70" s="84" t="s">
        <v>479</v>
      </c>
      <c r="G70" s="75" t="str">
        <f>IFERROR(IF(VLOOKUP(TableHandbook[[#This Row],[UDC]],TableAvailabilities[],2,FALSE)&gt;0,"Y",""),"")</f>
        <v/>
      </c>
      <c r="H70" s="75" t="str">
        <f>IFERROR(IF(VLOOKUP(TableHandbook[[#This Row],[UDC]],TableAvailabilities[],3,FALSE)&gt;0,"Y",""),"")</f>
        <v/>
      </c>
      <c r="I70" s="75" t="str">
        <f>IFERROR(IF(VLOOKUP(TableHandbook[[#This Row],[UDC]],TableAvailabilities[],4,FALSE)&gt;0,"Y",""),"")</f>
        <v/>
      </c>
      <c r="J70" s="75" t="str">
        <f>IFERROR(IF(VLOOKUP(TableHandbook[[#This Row],[UDC]],TableAvailabilities[],5,FALSE)&gt;0,"Y",""),"")</f>
        <v>Y</v>
      </c>
      <c r="K70" s="75" t="str">
        <f>IFERROR(IF(VLOOKUP(TableHandbook[[#This Row],[UDC]],TableAvailabilities[],6,FALSE)&gt;0,"Y",""),"")</f>
        <v/>
      </c>
      <c r="L70" s="75" t="str">
        <f>IFERROR(IF(VLOOKUP(TableHandbook[[#This Row],[UDC]],TableAvailabilities[],7,FALSE)&gt;0,"Y",""),"")</f>
        <v/>
      </c>
      <c r="M70" s="207"/>
      <c r="N70" s="209" t="str">
        <f>IFERROR(VLOOKUP(TableHandbook[[#This Row],[UDC]],TableBEDUC[],7,FALSE),"")</f>
        <v/>
      </c>
      <c r="O70" s="209" t="str">
        <f>IFERROR(VLOOKUP(TableHandbook[[#This Row],[UDC]],TableBEDEC[],7,FALSE),"")</f>
        <v/>
      </c>
      <c r="P70" s="211" t="str">
        <f>IFERROR(VLOOKUP(TableHandbook[[#This Row],[UDC]],TableBEDPR[],7,FALSE),"")</f>
        <v/>
      </c>
      <c r="Q70" s="209" t="str">
        <f>IFERROR(VLOOKUP(TableHandbook[[#This Row],[UDC]],TableSTRUCATHL[],7,FALSE),"")</f>
        <v/>
      </c>
      <c r="R70" s="209" t="str">
        <f>IFERROR(VLOOKUP(TableHandbook[[#This Row],[UDC]],TableSTRUENGLL[],7,FALSE),"")</f>
        <v/>
      </c>
      <c r="S70" s="209" t="str">
        <f>IFERROR(VLOOKUP(TableHandbook[[#This Row],[UDC]],TableSTRUHLTPE[],7,FALSE),"")</f>
        <v/>
      </c>
      <c r="T70" s="209" t="str">
        <f>IFERROR(VLOOKUP(TableHandbook[[#This Row],[UDC]],TableSTRUISTEM[],7,FALSE),"")</f>
        <v/>
      </c>
      <c r="U70" s="209" t="str">
        <f>IFERROR(VLOOKUP(TableHandbook[[#This Row],[UDC]],TableSTRULITNU[],7,FALSE),"")</f>
        <v/>
      </c>
      <c r="V70" s="209" t="str">
        <f>IFERROR(VLOOKUP(TableHandbook[[#This Row],[UDC]],TableSTRUTECHS[],7,FALSE),"")</f>
        <v/>
      </c>
      <c r="W70" s="211" t="str">
        <f>IFERROR(VLOOKUP(TableHandbook[[#This Row],[UDC]],TableBEDSC[],7,FALSE),"")</f>
        <v/>
      </c>
      <c r="X70" s="211" t="str">
        <f>IFERROR(VLOOKUP(TableHandbook[[#This Row],[UDC]],TableMJRUARDR1[],7,FALSE),"")</f>
        <v/>
      </c>
      <c r="Y70" s="209" t="str">
        <f>IFERROR(VLOOKUP(TableHandbook[[#This Row],[UDC]],TableMJRUARME1[],7,FALSE),"")</f>
        <v/>
      </c>
      <c r="Z70" s="209" t="str">
        <f>IFERROR(VLOOKUP(TableHandbook[[#This Row],[UDC]],TableMJRUARVA1[],7,FALSE),"")</f>
        <v/>
      </c>
      <c r="AA70" s="209" t="str">
        <f>IFERROR(VLOOKUP(TableHandbook[[#This Row],[UDC]],TableMJRUENGL1[],7,FALSE),"")</f>
        <v/>
      </c>
      <c r="AB70" s="209" t="str">
        <f>IFERROR(VLOOKUP(TableHandbook[[#This Row],[UDC]],TableMJRUHSEC1[],7,FALSE),"")</f>
        <v/>
      </c>
      <c r="AC70" s="209" t="str">
        <f>IFERROR(VLOOKUP(TableHandbook[[#This Row],[UDC]],TableMJRUHSGE1[],7,FALSE),"")</f>
        <v/>
      </c>
      <c r="AD70" s="209" t="str">
        <f>IFERROR(VLOOKUP(TableHandbook[[#This Row],[UDC]],TableMJRUHSHI1[],7,FALSE),"")</f>
        <v/>
      </c>
      <c r="AE70" s="209" t="str">
        <f>IFERROR(VLOOKUP(TableHandbook[[#This Row],[UDC]],TableMJRUHSPL1[],7,FALSE),"")</f>
        <v/>
      </c>
      <c r="AF70" s="209" t="str">
        <f>IFERROR(VLOOKUP(TableHandbook[[#This Row],[UDC]],TableMJRUMATH1[],7,FALSE),"")</f>
        <v/>
      </c>
      <c r="AG70" s="209" t="str">
        <f>IFERROR(VLOOKUP(TableHandbook[[#This Row],[UDC]],TableMJRUPHYSE[],7,FALSE),"")</f>
        <v/>
      </c>
      <c r="AH70" s="209" t="str">
        <f>IFERROR(VLOOKUP(TableHandbook[[#This Row],[UDC]],TableMJRUSCBI1[],7,FALSE),"")</f>
        <v/>
      </c>
      <c r="AI70" s="209" t="str">
        <f>IFERROR(VLOOKUP(TableHandbook[[#This Row],[UDC]],TableMJRUSCCH1[],7,FALSE),"")</f>
        <v>Option</v>
      </c>
      <c r="AJ70" s="209" t="str">
        <f>IFERROR(VLOOKUP(TableHandbook[[#This Row],[UDC]],TableMJRUSCHB1[],7,FALSE),"")</f>
        <v/>
      </c>
      <c r="AK70" s="209" t="str">
        <f>IFERROR(VLOOKUP(TableHandbook[[#This Row],[UDC]],TableMJRUSCPH1[],7,FALSE),"")</f>
        <v/>
      </c>
      <c r="AL70" s="209" t="str">
        <f>IFERROR(VLOOKUP(TableHandbook[[#This Row],[UDC]],TableMJRUSCPS1[],7,FALSE),"")</f>
        <v/>
      </c>
      <c r="AM70" s="211" t="str">
        <f>IFERROR(VLOOKUP(TableHandbook[[#This Row],[UDC]],TableSTRUBIOLB[],7,FALSE),"")</f>
        <v/>
      </c>
      <c r="AN70" s="209" t="str">
        <f>IFERROR(VLOOKUP(TableHandbook[[#This Row],[UDC]],TableSTRUBSCIM[],7,FALSE),"")</f>
        <v/>
      </c>
      <c r="AO70" s="209" t="str">
        <f>IFERROR(VLOOKUP(TableHandbook[[#This Row],[UDC]],TableSTRUCHEMB[],7,FALSE),"")</f>
        <v/>
      </c>
      <c r="AP70" s="209" t="str">
        <f>IFERROR(VLOOKUP(TableHandbook[[#This Row],[UDC]],TableSTRUECOB1[],7,FALSE),"")</f>
        <v/>
      </c>
      <c r="AQ70" s="209" t="str">
        <f>IFERROR(VLOOKUP(TableHandbook[[#This Row],[UDC]],TableSTRUENGLB[],7,FALSE),"")</f>
        <v/>
      </c>
      <c r="AR70" s="209" t="str">
        <f>IFERROR(VLOOKUP(TableHandbook[[#This Row],[UDC]],TableSTRUENGLM[],7,FALSE),"")</f>
        <v/>
      </c>
      <c r="AS70" s="209" t="str">
        <f>IFERROR(VLOOKUP(TableHandbook[[#This Row],[UDC]],TableSTRUGEOB1[],7,FALSE),"")</f>
        <v/>
      </c>
      <c r="AT70" s="209" t="str">
        <f>IFERROR(VLOOKUP(TableHandbook[[#This Row],[UDC]],TableSTRUGEOGM[],7,FALSE),"")</f>
        <v/>
      </c>
      <c r="AU70" s="209" t="str">
        <f>IFERROR(VLOOKUP(TableHandbook[[#This Row],[UDC]],TableSTRUHISB1[],7,FALSE),"")</f>
        <v/>
      </c>
      <c r="AV70" s="209" t="str">
        <f>IFERROR(VLOOKUP(TableHandbook[[#This Row],[UDC]],TableSTRUHISTM[],7,FALSE),"")</f>
        <v/>
      </c>
      <c r="AW70" s="209" t="str">
        <f>IFERROR(VLOOKUP(TableHandbook[[#This Row],[UDC]],TableSTRUHPEB1[],7,FALSE),"")</f>
        <v/>
      </c>
      <c r="AX70" s="209" t="str">
        <f>IFERROR(VLOOKUP(TableHandbook[[#This Row],[UDC]],TableSTRUHUMBB[],7,FALSE),"")</f>
        <v/>
      </c>
      <c r="AY70" s="209" t="str">
        <f>IFERROR(VLOOKUP(TableHandbook[[#This Row],[UDC]],TableSTRUMARTM[],7,FALSE),"")</f>
        <v/>
      </c>
      <c r="AZ70" s="209" t="str">
        <f>IFERROR(VLOOKUP(TableHandbook[[#This Row],[UDC]],TableSTRUMATHB[],7,FALSE),"")</f>
        <v/>
      </c>
      <c r="BA70" s="209" t="str">
        <f>IFERROR(VLOOKUP(TableHandbook[[#This Row],[UDC]],TableSTRUMATHM[],7,FALSE),"")</f>
        <v/>
      </c>
      <c r="BB70" s="209" t="str">
        <f>IFERROR(VLOOKUP(TableHandbook[[#This Row],[UDC]],TableSTRUPARTB[],7,FALSE),"")</f>
        <v/>
      </c>
      <c r="BC70" s="209" t="str">
        <f>IFERROR(VLOOKUP(TableHandbook[[#This Row],[UDC]],TableSTRUPARTM[],7,FALSE),"")</f>
        <v/>
      </c>
      <c r="BD70" s="209" t="str">
        <f>IFERROR(VLOOKUP(TableHandbook[[#This Row],[UDC]],TableSTRUPOLB1[],7,FALSE),"")</f>
        <v/>
      </c>
      <c r="BE70" s="209" t="str">
        <f>IFERROR(VLOOKUP(TableHandbook[[#This Row],[UDC]],TableSTRUPSYCB[],7,FALSE),"")</f>
        <v/>
      </c>
      <c r="BF70" s="209" t="str">
        <f>IFERROR(VLOOKUP(TableHandbook[[#This Row],[UDC]],TableSTRUPSYCM[],7,FALSE),"")</f>
        <v/>
      </c>
      <c r="BG70" s="209" t="str">
        <f>IFERROR(VLOOKUP(TableHandbook[[#This Row],[UDC]],TableSTRUVARTB[],7,FALSE),"")</f>
        <v/>
      </c>
      <c r="BH70" s="209" t="str">
        <f>IFERROR(VLOOKUP(TableHandbook[[#This Row],[UDC]],TableSTRUVARTM[],7,FALSE),"")</f>
        <v/>
      </c>
    </row>
    <row r="71" spans="1:60" x14ac:dyDescent="0.25">
      <c r="A71" s="6" t="s">
        <v>517</v>
      </c>
      <c r="B71" s="7">
        <v>1</v>
      </c>
      <c r="C71" s="7"/>
      <c r="D71" s="207" t="s">
        <v>837</v>
      </c>
      <c r="E71" s="7">
        <v>25</v>
      </c>
      <c r="F71" s="84" t="s">
        <v>838</v>
      </c>
      <c r="G71" s="75" t="str">
        <f>IFERROR(IF(VLOOKUP(TableHandbook[[#This Row],[UDC]],TableAvailabilities[],2,FALSE)&gt;0,"Y",""),"")</f>
        <v>Y</v>
      </c>
      <c r="H71" s="75" t="str">
        <f>IFERROR(IF(VLOOKUP(TableHandbook[[#This Row],[UDC]],TableAvailabilities[],3,FALSE)&gt;0,"Y",""),"")</f>
        <v/>
      </c>
      <c r="I71" s="75" t="str">
        <f>IFERROR(IF(VLOOKUP(TableHandbook[[#This Row],[UDC]],TableAvailabilities[],4,FALSE)&gt;0,"Y",""),"")</f>
        <v/>
      </c>
      <c r="J71" s="75" t="str">
        <f>IFERROR(IF(VLOOKUP(TableHandbook[[#This Row],[UDC]],TableAvailabilities[],5,FALSE)&gt;0,"Y",""),"")</f>
        <v/>
      </c>
      <c r="K71" s="75" t="str">
        <f>IFERROR(IF(VLOOKUP(TableHandbook[[#This Row],[UDC]],TableAvailabilities[],6,FALSE)&gt;0,"Y",""),"")</f>
        <v/>
      </c>
      <c r="L71" s="75" t="str">
        <f>IFERROR(IF(VLOOKUP(TableHandbook[[#This Row],[UDC]],TableAvailabilities[],7,FALSE)&gt;0,"Y",""),"")</f>
        <v/>
      </c>
      <c r="M71" s="207"/>
      <c r="N71" s="209" t="str">
        <f>IFERROR(VLOOKUP(TableHandbook[[#This Row],[UDC]],TableBEDUC[],7,FALSE),"")</f>
        <v/>
      </c>
      <c r="O71" s="209" t="str">
        <f>IFERROR(VLOOKUP(TableHandbook[[#This Row],[UDC]],TableBEDEC[],7,FALSE),"")</f>
        <v/>
      </c>
      <c r="P71" s="211" t="str">
        <f>IFERROR(VLOOKUP(TableHandbook[[#This Row],[UDC]],TableBEDPR[],7,FALSE),"")</f>
        <v/>
      </c>
      <c r="Q71" s="209" t="str">
        <f>IFERROR(VLOOKUP(TableHandbook[[#This Row],[UDC]],TableSTRUCATHL[],7,FALSE),"")</f>
        <v/>
      </c>
      <c r="R71" s="209" t="str">
        <f>IFERROR(VLOOKUP(TableHandbook[[#This Row],[UDC]],TableSTRUENGLL[],7,FALSE),"")</f>
        <v/>
      </c>
      <c r="S71" s="209" t="str">
        <f>IFERROR(VLOOKUP(TableHandbook[[#This Row],[UDC]],TableSTRUHLTPE[],7,FALSE),"")</f>
        <v/>
      </c>
      <c r="T71" s="209" t="str">
        <f>IFERROR(VLOOKUP(TableHandbook[[#This Row],[UDC]],TableSTRUISTEM[],7,FALSE),"")</f>
        <v/>
      </c>
      <c r="U71" s="209" t="str">
        <f>IFERROR(VLOOKUP(TableHandbook[[#This Row],[UDC]],TableSTRULITNU[],7,FALSE),"")</f>
        <v/>
      </c>
      <c r="V71" s="209" t="str">
        <f>IFERROR(VLOOKUP(TableHandbook[[#This Row],[UDC]],TableSTRUTECHS[],7,FALSE),"")</f>
        <v/>
      </c>
      <c r="W71" s="211" t="str">
        <f>IFERROR(VLOOKUP(TableHandbook[[#This Row],[UDC]],TableBEDSC[],7,FALSE),"")</f>
        <v/>
      </c>
      <c r="X71" s="211" t="str">
        <f>IFERROR(VLOOKUP(TableHandbook[[#This Row],[UDC]],TableMJRUARDR1[],7,FALSE),"")</f>
        <v/>
      </c>
      <c r="Y71" s="209" t="str">
        <f>IFERROR(VLOOKUP(TableHandbook[[#This Row],[UDC]],TableMJRUARME1[],7,FALSE),"")</f>
        <v/>
      </c>
      <c r="Z71" s="209" t="str">
        <f>IFERROR(VLOOKUP(TableHandbook[[#This Row],[UDC]],TableMJRUARVA1[],7,FALSE),"")</f>
        <v/>
      </c>
      <c r="AA71" s="209" t="str">
        <f>IFERROR(VLOOKUP(TableHandbook[[#This Row],[UDC]],TableMJRUENGL1[],7,FALSE),"")</f>
        <v/>
      </c>
      <c r="AB71" s="209" t="str">
        <f>IFERROR(VLOOKUP(TableHandbook[[#This Row],[UDC]],TableMJRUHSEC1[],7,FALSE),"")</f>
        <v/>
      </c>
      <c r="AC71" s="209" t="str">
        <f>IFERROR(VLOOKUP(TableHandbook[[#This Row],[UDC]],TableMJRUHSGE1[],7,FALSE),"")</f>
        <v/>
      </c>
      <c r="AD71" s="209" t="str">
        <f>IFERROR(VLOOKUP(TableHandbook[[#This Row],[UDC]],TableMJRUHSHI1[],7,FALSE),"")</f>
        <v/>
      </c>
      <c r="AE71" s="209" t="str">
        <f>IFERROR(VLOOKUP(TableHandbook[[#This Row],[UDC]],TableMJRUHSPL1[],7,FALSE),"")</f>
        <v/>
      </c>
      <c r="AF71" s="209" t="str">
        <f>IFERROR(VLOOKUP(TableHandbook[[#This Row],[UDC]],TableMJRUMATH1[],7,FALSE),"")</f>
        <v/>
      </c>
      <c r="AG71" s="209" t="str">
        <f>IFERROR(VLOOKUP(TableHandbook[[#This Row],[UDC]],TableMJRUPHYSE[],7,FALSE),"")</f>
        <v/>
      </c>
      <c r="AH71" s="209" t="str">
        <f>IFERROR(VLOOKUP(TableHandbook[[#This Row],[UDC]],TableMJRUSCBI1[],7,FALSE),"")</f>
        <v/>
      </c>
      <c r="AI71" s="209" t="str">
        <f>IFERROR(VLOOKUP(TableHandbook[[#This Row],[UDC]],TableMJRUSCCH1[],7,FALSE),"")</f>
        <v>Core</v>
      </c>
      <c r="AJ71" s="209" t="str">
        <f>IFERROR(VLOOKUP(TableHandbook[[#This Row],[UDC]],TableMJRUSCHB1[],7,FALSE),"")</f>
        <v/>
      </c>
      <c r="AK71" s="209" t="str">
        <f>IFERROR(VLOOKUP(TableHandbook[[#This Row],[UDC]],TableMJRUSCPH1[],7,FALSE),"")</f>
        <v/>
      </c>
      <c r="AL71" s="209" t="str">
        <f>IFERROR(VLOOKUP(TableHandbook[[#This Row],[UDC]],TableMJRUSCPS1[],7,FALSE),"")</f>
        <v/>
      </c>
      <c r="AM71" s="211" t="str">
        <f>IFERROR(VLOOKUP(TableHandbook[[#This Row],[UDC]],TableSTRUBIOLB[],7,FALSE),"")</f>
        <v/>
      </c>
      <c r="AN71" s="209" t="str">
        <f>IFERROR(VLOOKUP(TableHandbook[[#This Row],[UDC]],TableSTRUBSCIM[],7,FALSE),"")</f>
        <v/>
      </c>
      <c r="AO71" s="209" t="str">
        <f>IFERROR(VLOOKUP(TableHandbook[[#This Row],[UDC]],TableSTRUCHEMB[],7,FALSE),"")</f>
        <v/>
      </c>
      <c r="AP71" s="209" t="str">
        <f>IFERROR(VLOOKUP(TableHandbook[[#This Row],[UDC]],TableSTRUECOB1[],7,FALSE),"")</f>
        <v/>
      </c>
      <c r="AQ71" s="209" t="str">
        <f>IFERROR(VLOOKUP(TableHandbook[[#This Row],[UDC]],TableSTRUENGLB[],7,FALSE),"")</f>
        <v/>
      </c>
      <c r="AR71" s="209" t="str">
        <f>IFERROR(VLOOKUP(TableHandbook[[#This Row],[UDC]],TableSTRUENGLM[],7,FALSE),"")</f>
        <v/>
      </c>
      <c r="AS71" s="209" t="str">
        <f>IFERROR(VLOOKUP(TableHandbook[[#This Row],[UDC]],TableSTRUGEOB1[],7,FALSE),"")</f>
        <v/>
      </c>
      <c r="AT71" s="209" t="str">
        <f>IFERROR(VLOOKUP(TableHandbook[[#This Row],[UDC]],TableSTRUGEOGM[],7,FALSE),"")</f>
        <v/>
      </c>
      <c r="AU71" s="209" t="str">
        <f>IFERROR(VLOOKUP(TableHandbook[[#This Row],[UDC]],TableSTRUHISB1[],7,FALSE),"")</f>
        <v/>
      </c>
      <c r="AV71" s="209" t="str">
        <f>IFERROR(VLOOKUP(TableHandbook[[#This Row],[UDC]],TableSTRUHISTM[],7,FALSE),"")</f>
        <v/>
      </c>
      <c r="AW71" s="209" t="str">
        <f>IFERROR(VLOOKUP(TableHandbook[[#This Row],[UDC]],TableSTRUHPEB1[],7,FALSE),"")</f>
        <v/>
      </c>
      <c r="AX71" s="209" t="str">
        <f>IFERROR(VLOOKUP(TableHandbook[[#This Row],[UDC]],TableSTRUHUMBB[],7,FALSE),"")</f>
        <v/>
      </c>
      <c r="AY71" s="209" t="str">
        <f>IFERROR(VLOOKUP(TableHandbook[[#This Row],[UDC]],TableSTRUMARTM[],7,FALSE),"")</f>
        <v/>
      </c>
      <c r="AZ71" s="209" t="str">
        <f>IFERROR(VLOOKUP(TableHandbook[[#This Row],[UDC]],TableSTRUMATHB[],7,FALSE),"")</f>
        <v/>
      </c>
      <c r="BA71" s="209" t="str">
        <f>IFERROR(VLOOKUP(TableHandbook[[#This Row],[UDC]],TableSTRUMATHM[],7,FALSE),"")</f>
        <v/>
      </c>
      <c r="BB71" s="209" t="str">
        <f>IFERROR(VLOOKUP(TableHandbook[[#This Row],[UDC]],TableSTRUPARTB[],7,FALSE),"")</f>
        <v/>
      </c>
      <c r="BC71" s="209" t="str">
        <f>IFERROR(VLOOKUP(TableHandbook[[#This Row],[UDC]],TableSTRUPARTM[],7,FALSE),"")</f>
        <v/>
      </c>
      <c r="BD71" s="209" t="str">
        <f>IFERROR(VLOOKUP(TableHandbook[[#This Row],[UDC]],TableSTRUPOLB1[],7,FALSE),"")</f>
        <v/>
      </c>
      <c r="BE71" s="209" t="str">
        <f>IFERROR(VLOOKUP(TableHandbook[[#This Row],[UDC]],TableSTRUPSYCB[],7,FALSE),"")</f>
        <v/>
      </c>
      <c r="BF71" s="209" t="str">
        <f>IFERROR(VLOOKUP(TableHandbook[[#This Row],[UDC]],TableSTRUPSYCM[],7,FALSE),"")</f>
        <v/>
      </c>
      <c r="BG71" s="209" t="str">
        <f>IFERROR(VLOOKUP(TableHandbook[[#This Row],[UDC]],TableSTRUVARTB[],7,FALSE),"")</f>
        <v/>
      </c>
      <c r="BH71" s="209" t="str">
        <f>IFERROR(VLOOKUP(TableHandbook[[#This Row],[UDC]],TableSTRUVARTM[],7,FALSE),"")</f>
        <v/>
      </c>
    </row>
    <row r="72" spans="1:60" x14ac:dyDescent="0.25">
      <c r="A72" s="6" t="s">
        <v>489</v>
      </c>
      <c r="B72" s="7">
        <v>1</v>
      </c>
      <c r="C72" s="7"/>
      <c r="D72" s="207" t="s">
        <v>839</v>
      </c>
      <c r="E72" s="7">
        <v>25</v>
      </c>
      <c r="F72" s="84" t="s">
        <v>838</v>
      </c>
      <c r="G72" s="75" t="str">
        <f>IFERROR(IF(VLOOKUP(TableHandbook[[#This Row],[UDC]],TableAvailabilities[],2,FALSE)&gt;0,"Y",""),"")</f>
        <v/>
      </c>
      <c r="H72" s="75" t="str">
        <f>IFERROR(IF(VLOOKUP(TableHandbook[[#This Row],[UDC]],TableAvailabilities[],3,FALSE)&gt;0,"Y",""),"")</f>
        <v/>
      </c>
      <c r="I72" s="75" t="str">
        <f>IFERROR(IF(VLOOKUP(TableHandbook[[#This Row],[UDC]],TableAvailabilities[],4,FALSE)&gt;0,"Y",""),"")</f>
        <v/>
      </c>
      <c r="J72" s="75" t="str">
        <f>IFERROR(IF(VLOOKUP(TableHandbook[[#This Row],[UDC]],TableAvailabilities[],5,FALSE)&gt;0,"Y",""),"")</f>
        <v>Y</v>
      </c>
      <c r="K72" s="75" t="str">
        <f>IFERROR(IF(VLOOKUP(TableHandbook[[#This Row],[UDC]],TableAvailabilities[],6,FALSE)&gt;0,"Y",""),"")</f>
        <v/>
      </c>
      <c r="L72" s="75" t="str">
        <f>IFERROR(IF(VLOOKUP(TableHandbook[[#This Row],[UDC]],TableAvailabilities[],7,FALSE)&gt;0,"Y",""),"")</f>
        <v/>
      </c>
      <c r="M72" s="207"/>
      <c r="N72" s="209" t="str">
        <f>IFERROR(VLOOKUP(TableHandbook[[#This Row],[UDC]],TableBEDUC[],7,FALSE),"")</f>
        <v/>
      </c>
      <c r="O72" s="209" t="str">
        <f>IFERROR(VLOOKUP(TableHandbook[[#This Row],[UDC]],TableBEDEC[],7,FALSE),"")</f>
        <v/>
      </c>
      <c r="P72" s="211" t="str">
        <f>IFERROR(VLOOKUP(TableHandbook[[#This Row],[UDC]],TableBEDPR[],7,FALSE),"")</f>
        <v/>
      </c>
      <c r="Q72" s="209" t="str">
        <f>IFERROR(VLOOKUP(TableHandbook[[#This Row],[UDC]],TableSTRUCATHL[],7,FALSE),"")</f>
        <v/>
      </c>
      <c r="R72" s="209" t="str">
        <f>IFERROR(VLOOKUP(TableHandbook[[#This Row],[UDC]],TableSTRUENGLL[],7,FALSE),"")</f>
        <v/>
      </c>
      <c r="S72" s="209" t="str">
        <f>IFERROR(VLOOKUP(TableHandbook[[#This Row],[UDC]],TableSTRUHLTPE[],7,FALSE),"")</f>
        <v/>
      </c>
      <c r="T72" s="209" t="str">
        <f>IFERROR(VLOOKUP(TableHandbook[[#This Row],[UDC]],TableSTRUISTEM[],7,FALSE),"")</f>
        <v/>
      </c>
      <c r="U72" s="209" t="str">
        <f>IFERROR(VLOOKUP(TableHandbook[[#This Row],[UDC]],TableSTRULITNU[],7,FALSE),"")</f>
        <v/>
      </c>
      <c r="V72" s="209" t="str">
        <f>IFERROR(VLOOKUP(TableHandbook[[#This Row],[UDC]],TableSTRUTECHS[],7,FALSE),"")</f>
        <v/>
      </c>
      <c r="W72" s="211" t="str">
        <f>IFERROR(VLOOKUP(TableHandbook[[#This Row],[UDC]],TableBEDSC[],7,FALSE),"")</f>
        <v/>
      </c>
      <c r="X72" s="211" t="str">
        <f>IFERROR(VLOOKUP(TableHandbook[[#This Row],[UDC]],TableMJRUARDR1[],7,FALSE),"")</f>
        <v/>
      </c>
      <c r="Y72" s="209" t="str">
        <f>IFERROR(VLOOKUP(TableHandbook[[#This Row],[UDC]],TableMJRUARME1[],7,FALSE),"")</f>
        <v/>
      </c>
      <c r="Z72" s="209" t="str">
        <f>IFERROR(VLOOKUP(TableHandbook[[#This Row],[UDC]],TableMJRUARVA1[],7,FALSE),"")</f>
        <v/>
      </c>
      <c r="AA72" s="209" t="str">
        <f>IFERROR(VLOOKUP(TableHandbook[[#This Row],[UDC]],TableMJRUENGL1[],7,FALSE),"")</f>
        <v/>
      </c>
      <c r="AB72" s="209" t="str">
        <f>IFERROR(VLOOKUP(TableHandbook[[#This Row],[UDC]],TableMJRUHSEC1[],7,FALSE),"")</f>
        <v/>
      </c>
      <c r="AC72" s="209" t="str">
        <f>IFERROR(VLOOKUP(TableHandbook[[#This Row],[UDC]],TableMJRUHSGE1[],7,FALSE),"")</f>
        <v/>
      </c>
      <c r="AD72" s="209" t="str">
        <f>IFERROR(VLOOKUP(TableHandbook[[#This Row],[UDC]],TableMJRUHSHI1[],7,FALSE),"")</f>
        <v/>
      </c>
      <c r="AE72" s="209" t="str">
        <f>IFERROR(VLOOKUP(TableHandbook[[#This Row],[UDC]],TableMJRUHSPL1[],7,FALSE),"")</f>
        <v/>
      </c>
      <c r="AF72" s="209" t="str">
        <f>IFERROR(VLOOKUP(TableHandbook[[#This Row],[UDC]],TableMJRUMATH1[],7,FALSE),"")</f>
        <v/>
      </c>
      <c r="AG72" s="209" t="str">
        <f>IFERROR(VLOOKUP(TableHandbook[[#This Row],[UDC]],TableMJRUPHYSE[],7,FALSE),"")</f>
        <v/>
      </c>
      <c r="AH72" s="209" t="str">
        <f>IFERROR(VLOOKUP(TableHandbook[[#This Row],[UDC]],TableMJRUSCBI1[],7,FALSE),"")</f>
        <v/>
      </c>
      <c r="AI72" s="209" t="str">
        <f>IFERROR(VLOOKUP(TableHandbook[[#This Row],[UDC]],TableMJRUSCCH1[],7,FALSE),"")</f>
        <v>Core</v>
      </c>
      <c r="AJ72" s="209" t="str">
        <f>IFERROR(VLOOKUP(TableHandbook[[#This Row],[UDC]],TableMJRUSCHB1[],7,FALSE),"")</f>
        <v/>
      </c>
      <c r="AK72" s="209" t="str">
        <f>IFERROR(VLOOKUP(TableHandbook[[#This Row],[UDC]],TableMJRUSCPH1[],7,FALSE),"")</f>
        <v/>
      </c>
      <c r="AL72" s="209" t="str">
        <f>IFERROR(VLOOKUP(TableHandbook[[#This Row],[UDC]],TableMJRUSCPS1[],7,FALSE),"")</f>
        <v/>
      </c>
      <c r="AM72" s="211" t="str">
        <f>IFERROR(VLOOKUP(TableHandbook[[#This Row],[UDC]],TableSTRUBIOLB[],7,FALSE),"")</f>
        <v/>
      </c>
      <c r="AN72" s="209" t="str">
        <f>IFERROR(VLOOKUP(TableHandbook[[#This Row],[UDC]],TableSTRUBSCIM[],7,FALSE),"")</f>
        <v/>
      </c>
      <c r="AO72" s="209" t="str">
        <f>IFERROR(VLOOKUP(TableHandbook[[#This Row],[UDC]],TableSTRUCHEMB[],7,FALSE),"")</f>
        <v/>
      </c>
      <c r="AP72" s="209" t="str">
        <f>IFERROR(VLOOKUP(TableHandbook[[#This Row],[UDC]],TableSTRUECOB1[],7,FALSE),"")</f>
        <v/>
      </c>
      <c r="AQ72" s="209" t="str">
        <f>IFERROR(VLOOKUP(TableHandbook[[#This Row],[UDC]],TableSTRUENGLB[],7,FALSE),"")</f>
        <v/>
      </c>
      <c r="AR72" s="209" t="str">
        <f>IFERROR(VLOOKUP(TableHandbook[[#This Row],[UDC]],TableSTRUENGLM[],7,FALSE),"")</f>
        <v/>
      </c>
      <c r="AS72" s="209" t="str">
        <f>IFERROR(VLOOKUP(TableHandbook[[#This Row],[UDC]],TableSTRUGEOB1[],7,FALSE),"")</f>
        <v/>
      </c>
      <c r="AT72" s="209" t="str">
        <f>IFERROR(VLOOKUP(TableHandbook[[#This Row],[UDC]],TableSTRUGEOGM[],7,FALSE),"")</f>
        <v/>
      </c>
      <c r="AU72" s="209" t="str">
        <f>IFERROR(VLOOKUP(TableHandbook[[#This Row],[UDC]],TableSTRUHISB1[],7,FALSE),"")</f>
        <v/>
      </c>
      <c r="AV72" s="209" t="str">
        <f>IFERROR(VLOOKUP(TableHandbook[[#This Row],[UDC]],TableSTRUHISTM[],7,FALSE),"")</f>
        <v/>
      </c>
      <c r="AW72" s="209" t="str">
        <f>IFERROR(VLOOKUP(TableHandbook[[#This Row],[UDC]],TableSTRUHPEB1[],7,FALSE),"")</f>
        <v/>
      </c>
      <c r="AX72" s="209" t="str">
        <f>IFERROR(VLOOKUP(TableHandbook[[#This Row],[UDC]],TableSTRUHUMBB[],7,FALSE),"")</f>
        <v/>
      </c>
      <c r="AY72" s="209" t="str">
        <f>IFERROR(VLOOKUP(TableHandbook[[#This Row],[UDC]],TableSTRUMARTM[],7,FALSE),"")</f>
        <v/>
      </c>
      <c r="AZ72" s="209" t="str">
        <f>IFERROR(VLOOKUP(TableHandbook[[#This Row],[UDC]],TableSTRUMATHB[],7,FALSE),"")</f>
        <v/>
      </c>
      <c r="BA72" s="209" t="str">
        <f>IFERROR(VLOOKUP(TableHandbook[[#This Row],[UDC]],TableSTRUMATHM[],7,FALSE),"")</f>
        <v/>
      </c>
      <c r="BB72" s="209" t="str">
        <f>IFERROR(VLOOKUP(TableHandbook[[#This Row],[UDC]],TableSTRUPARTB[],7,FALSE),"")</f>
        <v/>
      </c>
      <c r="BC72" s="209" t="str">
        <f>IFERROR(VLOOKUP(TableHandbook[[#This Row],[UDC]],TableSTRUPARTM[],7,FALSE),"")</f>
        <v/>
      </c>
      <c r="BD72" s="209" t="str">
        <f>IFERROR(VLOOKUP(TableHandbook[[#This Row],[UDC]],TableSTRUPOLB1[],7,FALSE),"")</f>
        <v/>
      </c>
      <c r="BE72" s="209" t="str">
        <f>IFERROR(VLOOKUP(TableHandbook[[#This Row],[UDC]],TableSTRUPSYCB[],7,FALSE),"")</f>
        <v/>
      </c>
      <c r="BF72" s="209" t="str">
        <f>IFERROR(VLOOKUP(TableHandbook[[#This Row],[UDC]],TableSTRUPSYCM[],7,FALSE),"")</f>
        <v/>
      </c>
      <c r="BG72" s="209" t="str">
        <f>IFERROR(VLOOKUP(TableHandbook[[#This Row],[UDC]],TableSTRUVARTB[],7,FALSE),"")</f>
        <v/>
      </c>
      <c r="BH72" s="209" t="str">
        <f>IFERROR(VLOOKUP(TableHandbook[[#This Row],[UDC]],TableSTRUVARTM[],7,FALSE),"")</f>
        <v/>
      </c>
    </row>
    <row r="73" spans="1:60" x14ac:dyDescent="0.25">
      <c r="A73" s="6" t="s">
        <v>740</v>
      </c>
      <c r="B73" s="7">
        <v>1</v>
      </c>
      <c r="C73" s="7"/>
      <c r="D73" s="207" t="s">
        <v>840</v>
      </c>
      <c r="E73" s="7">
        <v>25</v>
      </c>
      <c r="F73" s="84" t="s">
        <v>841</v>
      </c>
      <c r="G73" s="75" t="str">
        <f>IFERROR(IF(VLOOKUP(TableHandbook[[#This Row],[UDC]],TableAvailabilities[],2,FALSE)&gt;0,"Y",""),"")</f>
        <v/>
      </c>
      <c r="H73" s="75" t="str">
        <f>IFERROR(IF(VLOOKUP(TableHandbook[[#This Row],[UDC]],TableAvailabilities[],3,FALSE)&gt;0,"Y",""),"")</f>
        <v/>
      </c>
      <c r="I73" s="75" t="str">
        <f>IFERROR(IF(VLOOKUP(TableHandbook[[#This Row],[UDC]],TableAvailabilities[],4,FALSE)&gt;0,"Y",""),"")</f>
        <v/>
      </c>
      <c r="J73" s="75" t="str">
        <f>IFERROR(IF(VLOOKUP(TableHandbook[[#This Row],[UDC]],TableAvailabilities[],5,FALSE)&gt;0,"Y",""),"")</f>
        <v>Y</v>
      </c>
      <c r="K73" s="75" t="str">
        <f>IFERROR(IF(VLOOKUP(TableHandbook[[#This Row],[UDC]],TableAvailabilities[],6,FALSE)&gt;0,"Y",""),"")</f>
        <v/>
      </c>
      <c r="L73" s="75" t="str">
        <f>IFERROR(IF(VLOOKUP(TableHandbook[[#This Row],[UDC]],TableAvailabilities[],7,FALSE)&gt;0,"Y",""),"")</f>
        <v/>
      </c>
      <c r="M73" s="207"/>
      <c r="N73" s="209" t="str">
        <f>IFERROR(VLOOKUP(TableHandbook[[#This Row],[UDC]],TableBEDUC[],7,FALSE),"")</f>
        <v/>
      </c>
      <c r="O73" s="209" t="str">
        <f>IFERROR(VLOOKUP(TableHandbook[[#This Row],[UDC]],TableBEDEC[],7,FALSE),"")</f>
        <v/>
      </c>
      <c r="P73" s="211" t="str">
        <f>IFERROR(VLOOKUP(TableHandbook[[#This Row],[UDC]],TableBEDPR[],7,FALSE),"")</f>
        <v/>
      </c>
      <c r="Q73" s="209" t="str">
        <f>IFERROR(VLOOKUP(TableHandbook[[#This Row],[UDC]],TableSTRUCATHL[],7,FALSE),"")</f>
        <v/>
      </c>
      <c r="R73" s="209" t="str">
        <f>IFERROR(VLOOKUP(TableHandbook[[#This Row],[UDC]],TableSTRUENGLL[],7,FALSE),"")</f>
        <v/>
      </c>
      <c r="S73" s="209" t="str">
        <f>IFERROR(VLOOKUP(TableHandbook[[#This Row],[UDC]],TableSTRUHLTPE[],7,FALSE),"")</f>
        <v/>
      </c>
      <c r="T73" s="209" t="str">
        <f>IFERROR(VLOOKUP(TableHandbook[[#This Row],[UDC]],TableSTRUISTEM[],7,FALSE),"")</f>
        <v/>
      </c>
      <c r="U73" s="209" t="str">
        <f>IFERROR(VLOOKUP(TableHandbook[[#This Row],[UDC]],TableSTRULITNU[],7,FALSE),"")</f>
        <v/>
      </c>
      <c r="V73" s="209" t="str">
        <f>IFERROR(VLOOKUP(TableHandbook[[#This Row],[UDC]],TableSTRUTECHS[],7,FALSE),"")</f>
        <v/>
      </c>
      <c r="W73" s="211" t="str">
        <f>IFERROR(VLOOKUP(TableHandbook[[#This Row],[UDC]],TableBEDSC[],7,FALSE),"")</f>
        <v/>
      </c>
      <c r="X73" s="211" t="str">
        <f>IFERROR(VLOOKUP(TableHandbook[[#This Row],[UDC]],TableMJRUARDR1[],7,FALSE),"")</f>
        <v/>
      </c>
      <c r="Y73" s="209" t="str">
        <f>IFERROR(VLOOKUP(TableHandbook[[#This Row],[UDC]],TableMJRUARME1[],7,FALSE),"")</f>
        <v/>
      </c>
      <c r="Z73" s="209" t="str">
        <f>IFERROR(VLOOKUP(TableHandbook[[#This Row],[UDC]],TableMJRUARVA1[],7,FALSE),"")</f>
        <v/>
      </c>
      <c r="AA73" s="209" t="str">
        <f>IFERROR(VLOOKUP(TableHandbook[[#This Row],[UDC]],TableMJRUENGL1[],7,FALSE),"")</f>
        <v/>
      </c>
      <c r="AB73" s="209" t="str">
        <f>IFERROR(VLOOKUP(TableHandbook[[#This Row],[UDC]],TableMJRUHSEC1[],7,FALSE),"")</f>
        <v/>
      </c>
      <c r="AC73" s="209" t="str">
        <f>IFERROR(VLOOKUP(TableHandbook[[#This Row],[UDC]],TableMJRUHSGE1[],7,FALSE),"")</f>
        <v/>
      </c>
      <c r="AD73" s="209" t="str">
        <f>IFERROR(VLOOKUP(TableHandbook[[#This Row],[UDC]],TableMJRUHSHI1[],7,FALSE),"")</f>
        <v/>
      </c>
      <c r="AE73" s="209" t="str">
        <f>IFERROR(VLOOKUP(TableHandbook[[#This Row],[UDC]],TableMJRUHSPL1[],7,FALSE),"")</f>
        <v/>
      </c>
      <c r="AF73" s="209" t="str">
        <f>IFERROR(VLOOKUP(TableHandbook[[#This Row],[UDC]],TableMJRUMATH1[],7,FALSE),"")</f>
        <v/>
      </c>
      <c r="AG73" s="209" t="str">
        <f>IFERROR(VLOOKUP(TableHandbook[[#This Row],[UDC]],TableMJRUPHYSE[],7,FALSE),"")</f>
        <v/>
      </c>
      <c r="AH73" s="209" t="str">
        <f>IFERROR(VLOOKUP(TableHandbook[[#This Row],[UDC]],TableMJRUSCBI1[],7,FALSE),"")</f>
        <v/>
      </c>
      <c r="AI73" s="209" t="str">
        <f>IFERROR(VLOOKUP(TableHandbook[[#This Row],[UDC]],TableMJRUSCCH1[],7,FALSE),"")</f>
        <v/>
      </c>
      <c r="AJ73" s="209" t="str">
        <f>IFERROR(VLOOKUP(TableHandbook[[#This Row],[UDC]],TableMJRUSCHB1[],7,FALSE),"")</f>
        <v/>
      </c>
      <c r="AK73" s="209" t="str">
        <f>IFERROR(VLOOKUP(TableHandbook[[#This Row],[UDC]],TableMJRUSCPH1[],7,FALSE),"")</f>
        <v/>
      </c>
      <c r="AL73" s="209" t="str">
        <f>IFERROR(VLOOKUP(TableHandbook[[#This Row],[UDC]],TableMJRUSCPS1[],7,FALSE),"")</f>
        <v/>
      </c>
      <c r="AM73" s="211" t="str">
        <f>IFERROR(VLOOKUP(TableHandbook[[#This Row],[UDC]],TableSTRUBIOLB[],7,FALSE),"")</f>
        <v/>
      </c>
      <c r="AN73" s="209" t="str">
        <f>IFERROR(VLOOKUP(TableHandbook[[#This Row],[UDC]],TableSTRUBSCIM[],7,FALSE),"")</f>
        <v/>
      </c>
      <c r="AO73" s="209" t="str">
        <f>IFERROR(VLOOKUP(TableHandbook[[#This Row],[UDC]],TableSTRUCHEMB[],7,FALSE),"")</f>
        <v>Core</v>
      </c>
      <c r="AP73" s="209" t="str">
        <f>IFERROR(VLOOKUP(TableHandbook[[#This Row],[UDC]],TableSTRUECOB1[],7,FALSE),"")</f>
        <v/>
      </c>
      <c r="AQ73" s="209" t="str">
        <f>IFERROR(VLOOKUP(TableHandbook[[#This Row],[UDC]],TableSTRUENGLB[],7,FALSE),"")</f>
        <v/>
      </c>
      <c r="AR73" s="209" t="str">
        <f>IFERROR(VLOOKUP(TableHandbook[[#This Row],[UDC]],TableSTRUENGLM[],7,FALSE),"")</f>
        <v/>
      </c>
      <c r="AS73" s="209" t="str">
        <f>IFERROR(VLOOKUP(TableHandbook[[#This Row],[UDC]],TableSTRUGEOB1[],7,FALSE),"")</f>
        <v/>
      </c>
      <c r="AT73" s="209" t="str">
        <f>IFERROR(VLOOKUP(TableHandbook[[#This Row],[UDC]],TableSTRUGEOGM[],7,FALSE),"")</f>
        <v/>
      </c>
      <c r="AU73" s="209" t="str">
        <f>IFERROR(VLOOKUP(TableHandbook[[#This Row],[UDC]],TableSTRUHISB1[],7,FALSE),"")</f>
        <v/>
      </c>
      <c r="AV73" s="209" t="str">
        <f>IFERROR(VLOOKUP(TableHandbook[[#This Row],[UDC]],TableSTRUHISTM[],7,FALSE),"")</f>
        <v/>
      </c>
      <c r="AW73" s="209" t="str">
        <f>IFERROR(VLOOKUP(TableHandbook[[#This Row],[UDC]],TableSTRUHPEB1[],7,FALSE),"")</f>
        <v/>
      </c>
      <c r="AX73" s="209" t="str">
        <f>IFERROR(VLOOKUP(TableHandbook[[#This Row],[UDC]],TableSTRUHUMBB[],7,FALSE),"")</f>
        <v/>
      </c>
      <c r="AY73" s="209" t="str">
        <f>IFERROR(VLOOKUP(TableHandbook[[#This Row],[UDC]],TableSTRUMARTM[],7,FALSE),"")</f>
        <v/>
      </c>
      <c r="AZ73" s="209" t="str">
        <f>IFERROR(VLOOKUP(TableHandbook[[#This Row],[UDC]],TableSTRUMATHB[],7,FALSE),"")</f>
        <v/>
      </c>
      <c r="BA73" s="209" t="str">
        <f>IFERROR(VLOOKUP(TableHandbook[[#This Row],[UDC]],TableSTRUMATHM[],7,FALSE),"")</f>
        <v/>
      </c>
      <c r="BB73" s="209" t="str">
        <f>IFERROR(VLOOKUP(TableHandbook[[#This Row],[UDC]],TableSTRUPARTB[],7,FALSE),"")</f>
        <v/>
      </c>
      <c r="BC73" s="209" t="str">
        <f>IFERROR(VLOOKUP(TableHandbook[[#This Row],[UDC]],TableSTRUPARTM[],7,FALSE),"")</f>
        <v/>
      </c>
      <c r="BD73" s="209" t="str">
        <f>IFERROR(VLOOKUP(TableHandbook[[#This Row],[UDC]],TableSTRUPOLB1[],7,FALSE),"")</f>
        <v/>
      </c>
      <c r="BE73" s="209" t="str">
        <f>IFERROR(VLOOKUP(TableHandbook[[#This Row],[UDC]],TableSTRUPSYCB[],7,FALSE),"")</f>
        <v/>
      </c>
      <c r="BF73" s="209" t="str">
        <f>IFERROR(VLOOKUP(TableHandbook[[#This Row],[UDC]],TableSTRUPSYCM[],7,FALSE),"")</f>
        <v/>
      </c>
      <c r="BG73" s="209" t="str">
        <f>IFERROR(VLOOKUP(TableHandbook[[#This Row],[UDC]],TableSTRUVARTB[],7,FALSE),"")</f>
        <v/>
      </c>
      <c r="BH73" s="209" t="str">
        <f>IFERROR(VLOOKUP(TableHandbook[[#This Row],[UDC]],TableSTRUVARTM[],7,FALSE),"")</f>
        <v/>
      </c>
    </row>
    <row r="74" spans="1:60" x14ac:dyDescent="0.25">
      <c r="A74" s="296" t="s">
        <v>625</v>
      </c>
      <c r="B74" s="7">
        <v>1</v>
      </c>
      <c r="C74" s="7"/>
      <c r="D74" s="207" t="s">
        <v>842</v>
      </c>
      <c r="E74" s="7">
        <v>25</v>
      </c>
      <c r="F74" s="84" t="s">
        <v>843</v>
      </c>
      <c r="G74" s="75" t="str">
        <f>IFERROR(IF(VLOOKUP(TableHandbook[[#This Row],[UDC]],TableAvailabilities[],2,FALSE)&gt;0,"Y",""),"")</f>
        <v>Y</v>
      </c>
      <c r="H74" s="75" t="str">
        <f>IFERROR(IF(VLOOKUP(TableHandbook[[#This Row],[UDC]],TableAvailabilities[],3,FALSE)&gt;0,"Y",""),"")</f>
        <v/>
      </c>
      <c r="I74" s="75" t="str">
        <f>IFERROR(IF(VLOOKUP(TableHandbook[[#This Row],[UDC]],TableAvailabilities[],4,FALSE)&gt;0,"Y",""),"")</f>
        <v/>
      </c>
      <c r="J74" s="75" t="str">
        <f>IFERROR(IF(VLOOKUP(TableHandbook[[#This Row],[UDC]],TableAvailabilities[],5,FALSE)&gt;0,"Y",""),"")</f>
        <v/>
      </c>
      <c r="K74" s="75" t="str">
        <f>IFERROR(IF(VLOOKUP(TableHandbook[[#This Row],[UDC]],TableAvailabilities[],6,FALSE)&gt;0,"Y",""),"")</f>
        <v/>
      </c>
      <c r="L74" s="75" t="str">
        <f>IFERROR(IF(VLOOKUP(TableHandbook[[#This Row],[UDC]],TableAvailabilities[],7,FALSE)&gt;0,"Y",""),"")</f>
        <v/>
      </c>
      <c r="M74" s="207"/>
      <c r="N74" s="209" t="str">
        <f>IFERROR(VLOOKUP(TableHandbook[[#This Row],[UDC]],TableBEDUC[],7,FALSE),"")</f>
        <v/>
      </c>
      <c r="O74" s="209" t="str">
        <f>IFERROR(VLOOKUP(TableHandbook[[#This Row],[UDC]],TableBEDEC[],7,FALSE),"")</f>
        <v/>
      </c>
      <c r="P74" s="211" t="str">
        <f>IFERROR(VLOOKUP(TableHandbook[[#This Row],[UDC]],TableBEDPR[],7,FALSE),"")</f>
        <v/>
      </c>
      <c r="Q74" s="209" t="str">
        <f>IFERROR(VLOOKUP(TableHandbook[[#This Row],[UDC]],TableSTRUCATHL[],7,FALSE),"")</f>
        <v/>
      </c>
      <c r="R74" s="209" t="str">
        <f>IFERROR(VLOOKUP(TableHandbook[[#This Row],[UDC]],TableSTRUENGLL[],7,FALSE),"")</f>
        <v/>
      </c>
      <c r="S74" s="209" t="str">
        <f>IFERROR(VLOOKUP(TableHandbook[[#This Row],[UDC]],TableSTRUHLTPE[],7,FALSE),"")</f>
        <v/>
      </c>
      <c r="T74" s="209" t="str">
        <f>IFERROR(VLOOKUP(TableHandbook[[#This Row],[UDC]],TableSTRUISTEM[],7,FALSE),"")</f>
        <v/>
      </c>
      <c r="U74" s="209" t="str">
        <f>IFERROR(VLOOKUP(TableHandbook[[#This Row],[UDC]],TableSTRULITNU[],7,FALSE),"")</f>
        <v/>
      </c>
      <c r="V74" s="209" t="str">
        <f>IFERROR(VLOOKUP(TableHandbook[[#This Row],[UDC]],TableSTRUTECHS[],7,FALSE),"")</f>
        <v/>
      </c>
      <c r="W74" s="211" t="str">
        <f>IFERROR(VLOOKUP(TableHandbook[[#This Row],[UDC]],TableBEDSC[],7,FALSE),"")</f>
        <v/>
      </c>
      <c r="X74" s="211" t="str">
        <f>IFERROR(VLOOKUP(TableHandbook[[#This Row],[UDC]],TableMJRUARDR1[],7,FALSE),"")</f>
        <v/>
      </c>
      <c r="Y74" s="209" t="str">
        <f>IFERROR(VLOOKUP(TableHandbook[[#This Row],[UDC]],TableMJRUARME1[],7,FALSE),"")</f>
        <v/>
      </c>
      <c r="Z74" s="209" t="str">
        <f>IFERROR(VLOOKUP(TableHandbook[[#This Row],[UDC]],TableMJRUARVA1[],7,FALSE),"")</f>
        <v/>
      </c>
      <c r="AA74" s="209" t="str">
        <f>IFERROR(VLOOKUP(TableHandbook[[#This Row],[UDC]],TableMJRUENGL1[],7,FALSE),"")</f>
        <v/>
      </c>
      <c r="AB74" s="209" t="str">
        <f>IFERROR(VLOOKUP(TableHandbook[[#This Row],[UDC]],TableMJRUHSEC1[],7,FALSE),"")</f>
        <v/>
      </c>
      <c r="AC74" s="209" t="str">
        <f>IFERROR(VLOOKUP(TableHandbook[[#This Row],[UDC]],TableMJRUHSGE1[],7,FALSE),"")</f>
        <v/>
      </c>
      <c r="AD74" s="209" t="str">
        <f>IFERROR(VLOOKUP(TableHandbook[[#This Row],[UDC]],TableMJRUHSHI1[],7,FALSE),"")</f>
        <v/>
      </c>
      <c r="AE74" s="209" t="str">
        <f>IFERROR(VLOOKUP(TableHandbook[[#This Row],[UDC]],TableMJRUHSPL1[],7,FALSE),"")</f>
        <v/>
      </c>
      <c r="AF74" s="209" t="str">
        <f>IFERROR(VLOOKUP(TableHandbook[[#This Row],[UDC]],TableMJRUMATH1[],7,FALSE),"")</f>
        <v/>
      </c>
      <c r="AG74" s="209" t="str">
        <f>IFERROR(VLOOKUP(TableHandbook[[#This Row],[UDC]],TableMJRUPHYSE[],7,FALSE),"")</f>
        <v/>
      </c>
      <c r="AH74" s="209" t="str">
        <f>IFERROR(VLOOKUP(TableHandbook[[#This Row],[UDC]],TableMJRUSCBI1[],7,FALSE),"")</f>
        <v/>
      </c>
      <c r="AI74" s="209" t="str">
        <f>IFERROR(VLOOKUP(TableHandbook[[#This Row],[UDC]],TableMJRUSCCH1[],7,FALSE),"")</f>
        <v>Option</v>
      </c>
      <c r="AJ74" s="209" t="str">
        <f>IFERROR(VLOOKUP(TableHandbook[[#This Row],[UDC]],TableMJRUSCHB1[],7,FALSE),"")</f>
        <v/>
      </c>
      <c r="AK74" s="209" t="str">
        <f>IFERROR(VLOOKUP(TableHandbook[[#This Row],[UDC]],TableMJRUSCPH1[],7,FALSE),"")</f>
        <v/>
      </c>
      <c r="AL74" s="209" t="str">
        <f>IFERROR(VLOOKUP(TableHandbook[[#This Row],[UDC]],TableMJRUSCPS1[],7,FALSE),"")</f>
        <v/>
      </c>
      <c r="AM74" s="211" t="str">
        <f>IFERROR(VLOOKUP(TableHandbook[[#This Row],[UDC]],TableSTRUBIOLB[],7,FALSE),"")</f>
        <v/>
      </c>
      <c r="AN74" s="209" t="str">
        <f>IFERROR(VLOOKUP(TableHandbook[[#This Row],[UDC]],TableSTRUBSCIM[],7,FALSE),"")</f>
        <v/>
      </c>
      <c r="AO74" s="209" t="str">
        <f>IFERROR(VLOOKUP(TableHandbook[[#This Row],[UDC]],TableSTRUCHEMB[],7,FALSE),"")</f>
        <v/>
      </c>
      <c r="AP74" s="209" t="str">
        <f>IFERROR(VLOOKUP(TableHandbook[[#This Row],[UDC]],TableSTRUECOB1[],7,FALSE),"")</f>
        <v/>
      </c>
      <c r="AQ74" s="209" t="str">
        <f>IFERROR(VLOOKUP(TableHandbook[[#This Row],[UDC]],TableSTRUENGLB[],7,FALSE),"")</f>
        <v/>
      </c>
      <c r="AR74" s="209" t="str">
        <f>IFERROR(VLOOKUP(TableHandbook[[#This Row],[UDC]],TableSTRUENGLM[],7,FALSE),"")</f>
        <v/>
      </c>
      <c r="AS74" s="209" t="str">
        <f>IFERROR(VLOOKUP(TableHandbook[[#This Row],[UDC]],TableSTRUGEOB1[],7,FALSE),"")</f>
        <v/>
      </c>
      <c r="AT74" s="209" t="str">
        <f>IFERROR(VLOOKUP(TableHandbook[[#This Row],[UDC]],TableSTRUGEOGM[],7,FALSE),"")</f>
        <v/>
      </c>
      <c r="AU74" s="209" t="str">
        <f>IFERROR(VLOOKUP(TableHandbook[[#This Row],[UDC]],TableSTRUHISB1[],7,FALSE),"")</f>
        <v/>
      </c>
      <c r="AV74" s="209" t="str">
        <f>IFERROR(VLOOKUP(TableHandbook[[#This Row],[UDC]],TableSTRUHISTM[],7,FALSE),"")</f>
        <v/>
      </c>
      <c r="AW74" s="209" t="str">
        <f>IFERROR(VLOOKUP(TableHandbook[[#This Row],[UDC]],TableSTRUHPEB1[],7,FALSE),"")</f>
        <v/>
      </c>
      <c r="AX74" s="209" t="str">
        <f>IFERROR(VLOOKUP(TableHandbook[[#This Row],[UDC]],TableSTRUHUMBB[],7,FALSE),"")</f>
        <v/>
      </c>
      <c r="AY74" s="209" t="str">
        <f>IFERROR(VLOOKUP(TableHandbook[[#This Row],[UDC]],TableSTRUMARTM[],7,FALSE),"")</f>
        <v/>
      </c>
      <c r="AZ74" s="209" t="str">
        <f>IFERROR(VLOOKUP(TableHandbook[[#This Row],[UDC]],TableSTRUMATHB[],7,FALSE),"")</f>
        <v/>
      </c>
      <c r="BA74" s="209" t="str">
        <f>IFERROR(VLOOKUP(TableHandbook[[#This Row],[UDC]],TableSTRUMATHM[],7,FALSE),"")</f>
        <v/>
      </c>
      <c r="BB74" s="209" t="str">
        <f>IFERROR(VLOOKUP(TableHandbook[[#This Row],[UDC]],TableSTRUPARTB[],7,FALSE),"")</f>
        <v/>
      </c>
      <c r="BC74" s="209" t="str">
        <f>IFERROR(VLOOKUP(TableHandbook[[#This Row],[UDC]],TableSTRUPARTM[],7,FALSE),"")</f>
        <v/>
      </c>
      <c r="BD74" s="209" t="str">
        <f>IFERROR(VLOOKUP(TableHandbook[[#This Row],[UDC]],TableSTRUPOLB1[],7,FALSE),"")</f>
        <v/>
      </c>
      <c r="BE74" s="209" t="str">
        <f>IFERROR(VLOOKUP(TableHandbook[[#This Row],[UDC]],TableSTRUPSYCB[],7,FALSE),"")</f>
        <v/>
      </c>
      <c r="BF74" s="209" t="str">
        <f>IFERROR(VLOOKUP(TableHandbook[[#This Row],[UDC]],TableSTRUPSYCM[],7,FALSE),"")</f>
        <v/>
      </c>
      <c r="BG74" s="209" t="str">
        <f>IFERROR(VLOOKUP(TableHandbook[[#This Row],[UDC]],TableSTRUVARTB[],7,FALSE),"")</f>
        <v/>
      </c>
      <c r="BH74" s="209" t="str">
        <f>IFERROR(VLOOKUP(TableHandbook[[#This Row],[UDC]],TableSTRUVARTM[],7,FALSE),"")</f>
        <v/>
      </c>
    </row>
    <row r="75" spans="1:60" x14ac:dyDescent="0.25">
      <c r="A75" s="6" t="s">
        <v>573</v>
      </c>
      <c r="B75" s="7">
        <v>1</v>
      </c>
      <c r="C75" s="7"/>
      <c r="D75" s="207" t="s">
        <v>844</v>
      </c>
      <c r="E75" s="7">
        <v>25</v>
      </c>
      <c r="F75" s="84" t="s">
        <v>489</v>
      </c>
      <c r="G75" s="75" t="str">
        <f>IFERROR(IF(VLOOKUP(TableHandbook[[#This Row],[UDC]],TableAvailabilities[],2,FALSE)&gt;0,"Y",""),"")</f>
        <v/>
      </c>
      <c r="H75" s="75" t="str">
        <f>IFERROR(IF(VLOOKUP(TableHandbook[[#This Row],[UDC]],TableAvailabilities[],3,FALSE)&gt;0,"Y",""),"")</f>
        <v/>
      </c>
      <c r="I75" s="75" t="str">
        <f>IFERROR(IF(VLOOKUP(TableHandbook[[#This Row],[UDC]],TableAvailabilities[],4,FALSE)&gt;0,"Y",""),"")</f>
        <v/>
      </c>
      <c r="J75" s="75" t="str">
        <f>IFERROR(IF(VLOOKUP(TableHandbook[[#This Row],[UDC]],TableAvailabilities[],5,FALSE)&gt;0,"Y",""),"")</f>
        <v>Y</v>
      </c>
      <c r="K75" s="75" t="str">
        <f>IFERROR(IF(VLOOKUP(TableHandbook[[#This Row],[UDC]],TableAvailabilities[],6,FALSE)&gt;0,"Y",""),"")</f>
        <v/>
      </c>
      <c r="L75" s="75" t="str">
        <f>IFERROR(IF(VLOOKUP(TableHandbook[[#This Row],[UDC]],TableAvailabilities[],7,FALSE)&gt;0,"Y",""),"")</f>
        <v/>
      </c>
      <c r="M75" s="207"/>
      <c r="N75" s="209" t="str">
        <f>IFERROR(VLOOKUP(TableHandbook[[#This Row],[UDC]],TableBEDUC[],7,FALSE),"")</f>
        <v/>
      </c>
      <c r="O75" s="209" t="str">
        <f>IFERROR(VLOOKUP(TableHandbook[[#This Row],[UDC]],TableBEDEC[],7,FALSE),"")</f>
        <v/>
      </c>
      <c r="P75" s="211" t="str">
        <f>IFERROR(VLOOKUP(TableHandbook[[#This Row],[UDC]],TableBEDPR[],7,FALSE),"")</f>
        <v/>
      </c>
      <c r="Q75" s="209" t="str">
        <f>IFERROR(VLOOKUP(TableHandbook[[#This Row],[UDC]],TableSTRUCATHL[],7,FALSE),"")</f>
        <v/>
      </c>
      <c r="R75" s="209" t="str">
        <f>IFERROR(VLOOKUP(TableHandbook[[#This Row],[UDC]],TableSTRUENGLL[],7,FALSE),"")</f>
        <v/>
      </c>
      <c r="S75" s="209" t="str">
        <f>IFERROR(VLOOKUP(TableHandbook[[#This Row],[UDC]],TableSTRUHLTPE[],7,FALSE),"")</f>
        <v/>
      </c>
      <c r="T75" s="209" t="str">
        <f>IFERROR(VLOOKUP(TableHandbook[[#This Row],[UDC]],TableSTRUISTEM[],7,FALSE),"")</f>
        <v/>
      </c>
      <c r="U75" s="209" t="str">
        <f>IFERROR(VLOOKUP(TableHandbook[[#This Row],[UDC]],TableSTRULITNU[],7,FALSE),"")</f>
        <v/>
      </c>
      <c r="V75" s="209" t="str">
        <f>IFERROR(VLOOKUP(TableHandbook[[#This Row],[UDC]],TableSTRUTECHS[],7,FALSE),"")</f>
        <v/>
      </c>
      <c r="W75" s="211" t="str">
        <f>IFERROR(VLOOKUP(TableHandbook[[#This Row],[UDC]],TableBEDSC[],7,FALSE),"")</f>
        <v/>
      </c>
      <c r="X75" s="211" t="str">
        <f>IFERROR(VLOOKUP(TableHandbook[[#This Row],[UDC]],TableMJRUARDR1[],7,FALSE),"")</f>
        <v/>
      </c>
      <c r="Y75" s="209" t="str">
        <f>IFERROR(VLOOKUP(TableHandbook[[#This Row],[UDC]],TableMJRUARME1[],7,FALSE),"")</f>
        <v/>
      </c>
      <c r="Z75" s="209" t="str">
        <f>IFERROR(VLOOKUP(TableHandbook[[#This Row],[UDC]],TableMJRUARVA1[],7,FALSE),"")</f>
        <v/>
      </c>
      <c r="AA75" s="209" t="str">
        <f>IFERROR(VLOOKUP(TableHandbook[[#This Row],[UDC]],TableMJRUENGL1[],7,FALSE),"")</f>
        <v/>
      </c>
      <c r="AB75" s="209" t="str">
        <f>IFERROR(VLOOKUP(TableHandbook[[#This Row],[UDC]],TableMJRUHSEC1[],7,FALSE),"")</f>
        <v/>
      </c>
      <c r="AC75" s="209" t="str">
        <f>IFERROR(VLOOKUP(TableHandbook[[#This Row],[UDC]],TableMJRUHSGE1[],7,FALSE),"")</f>
        <v/>
      </c>
      <c r="AD75" s="209" t="str">
        <f>IFERROR(VLOOKUP(TableHandbook[[#This Row],[UDC]],TableMJRUHSHI1[],7,FALSE),"")</f>
        <v/>
      </c>
      <c r="AE75" s="209" t="str">
        <f>IFERROR(VLOOKUP(TableHandbook[[#This Row],[UDC]],TableMJRUHSPL1[],7,FALSE),"")</f>
        <v/>
      </c>
      <c r="AF75" s="209" t="str">
        <f>IFERROR(VLOOKUP(TableHandbook[[#This Row],[UDC]],TableMJRUMATH1[],7,FALSE),"")</f>
        <v/>
      </c>
      <c r="AG75" s="209" t="str">
        <f>IFERROR(VLOOKUP(TableHandbook[[#This Row],[UDC]],TableMJRUPHYSE[],7,FALSE),"")</f>
        <v/>
      </c>
      <c r="AH75" s="209" t="str">
        <f>IFERROR(VLOOKUP(TableHandbook[[#This Row],[UDC]],TableMJRUSCBI1[],7,FALSE),"")</f>
        <v/>
      </c>
      <c r="AI75" s="209" t="str">
        <f>IFERROR(VLOOKUP(TableHandbook[[#This Row],[UDC]],TableMJRUSCCH1[],7,FALSE),"")</f>
        <v>AltCore</v>
      </c>
      <c r="AJ75" s="209" t="str">
        <f>IFERROR(VLOOKUP(TableHandbook[[#This Row],[UDC]],TableMJRUSCHB1[],7,FALSE),"")</f>
        <v/>
      </c>
      <c r="AK75" s="209" t="str">
        <f>IFERROR(VLOOKUP(TableHandbook[[#This Row],[UDC]],TableMJRUSCPH1[],7,FALSE),"")</f>
        <v/>
      </c>
      <c r="AL75" s="209" t="str">
        <f>IFERROR(VLOOKUP(TableHandbook[[#This Row],[UDC]],TableMJRUSCPS1[],7,FALSE),"")</f>
        <v/>
      </c>
      <c r="AM75" s="211" t="str">
        <f>IFERROR(VLOOKUP(TableHandbook[[#This Row],[UDC]],TableSTRUBIOLB[],7,FALSE),"")</f>
        <v/>
      </c>
      <c r="AN75" s="209" t="str">
        <f>IFERROR(VLOOKUP(TableHandbook[[#This Row],[UDC]],TableSTRUBSCIM[],7,FALSE),"")</f>
        <v/>
      </c>
      <c r="AO75" s="209" t="str">
        <f>IFERROR(VLOOKUP(TableHandbook[[#This Row],[UDC]],TableSTRUCHEMB[],7,FALSE),"")</f>
        <v/>
      </c>
      <c r="AP75" s="209" t="str">
        <f>IFERROR(VLOOKUP(TableHandbook[[#This Row],[UDC]],TableSTRUECOB1[],7,FALSE),"")</f>
        <v/>
      </c>
      <c r="AQ75" s="209" t="str">
        <f>IFERROR(VLOOKUP(TableHandbook[[#This Row],[UDC]],TableSTRUENGLB[],7,FALSE),"")</f>
        <v/>
      </c>
      <c r="AR75" s="209" t="str">
        <f>IFERROR(VLOOKUP(TableHandbook[[#This Row],[UDC]],TableSTRUENGLM[],7,FALSE),"")</f>
        <v/>
      </c>
      <c r="AS75" s="209" t="str">
        <f>IFERROR(VLOOKUP(TableHandbook[[#This Row],[UDC]],TableSTRUGEOB1[],7,FALSE),"")</f>
        <v/>
      </c>
      <c r="AT75" s="209" t="str">
        <f>IFERROR(VLOOKUP(TableHandbook[[#This Row],[UDC]],TableSTRUGEOGM[],7,FALSE),"")</f>
        <v/>
      </c>
      <c r="AU75" s="209" t="str">
        <f>IFERROR(VLOOKUP(TableHandbook[[#This Row],[UDC]],TableSTRUHISB1[],7,FALSE),"")</f>
        <v/>
      </c>
      <c r="AV75" s="209" t="str">
        <f>IFERROR(VLOOKUP(TableHandbook[[#This Row],[UDC]],TableSTRUHISTM[],7,FALSE),"")</f>
        <v/>
      </c>
      <c r="AW75" s="209" t="str">
        <f>IFERROR(VLOOKUP(TableHandbook[[#This Row],[UDC]],TableSTRUHPEB1[],7,FALSE),"")</f>
        <v/>
      </c>
      <c r="AX75" s="209" t="str">
        <f>IFERROR(VLOOKUP(TableHandbook[[#This Row],[UDC]],TableSTRUHUMBB[],7,FALSE),"")</f>
        <v/>
      </c>
      <c r="AY75" s="209" t="str">
        <f>IFERROR(VLOOKUP(TableHandbook[[#This Row],[UDC]],TableSTRUMARTM[],7,FALSE),"")</f>
        <v/>
      </c>
      <c r="AZ75" s="209" t="str">
        <f>IFERROR(VLOOKUP(TableHandbook[[#This Row],[UDC]],TableSTRUMATHB[],7,FALSE),"")</f>
        <v/>
      </c>
      <c r="BA75" s="209" t="str">
        <f>IFERROR(VLOOKUP(TableHandbook[[#This Row],[UDC]],TableSTRUMATHM[],7,FALSE),"")</f>
        <v/>
      </c>
      <c r="BB75" s="209" t="str">
        <f>IFERROR(VLOOKUP(TableHandbook[[#This Row],[UDC]],TableSTRUPARTB[],7,FALSE),"")</f>
        <v/>
      </c>
      <c r="BC75" s="209" t="str">
        <f>IFERROR(VLOOKUP(TableHandbook[[#This Row],[UDC]],TableSTRUPARTM[],7,FALSE),"")</f>
        <v/>
      </c>
      <c r="BD75" s="209" t="str">
        <f>IFERROR(VLOOKUP(TableHandbook[[#This Row],[UDC]],TableSTRUPOLB1[],7,FALSE),"")</f>
        <v/>
      </c>
      <c r="BE75" s="209" t="str">
        <f>IFERROR(VLOOKUP(TableHandbook[[#This Row],[UDC]],TableSTRUPSYCB[],7,FALSE),"")</f>
        <v/>
      </c>
      <c r="BF75" s="209" t="str">
        <f>IFERROR(VLOOKUP(TableHandbook[[#This Row],[UDC]],TableSTRUPSYCM[],7,FALSE),"")</f>
        <v/>
      </c>
      <c r="BG75" s="209" t="str">
        <f>IFERROR(VLOOKUP(TableHandbook[[#This Row],[UDC]],TableSTRUVARTB[],7,FALSE),"")</f>
        <v/>
      </c>
      <c r="BH75" s="209" t="str">
        <f>IFERROR(VLOOKUP(TableHandbook[[#This Row],[UDC]],TableSTRUVARTM[],7,FALSE),"")</f>
        <v/>
      </c>
    </row>
    <row r="76" spans="1:60" x14ac:dyDescent="0.25">
      <c r="A76" s="296" t="s">
        <v>585</v>
      </c>
      <c r="B76" s="7">
        <v>2</v>
      </c>
      <c r="C76" s="7"/>
      <c r="D76" s="207" t="s">
        <v>845</v>
      </c>
      <c r="E76" s="7">
        <v>25</v>
      </c>
      <c r="F76" s="84" t="s">
        <v>846</v>
      </c>
      <c r="G76" s="75" t="str">
        <f>IFERROR(IF(VLOOKUP(TableHandbook[[#This Row],[UDC]],TableAvailabilities[],2,FALSE)&gt;0,"Y",""),"")</f>
        <v/>
      </c>
      <c r="H76" s="75" t="str">
        <f>IFERROR(IF(VLOOKUP(TableHandbook[[#This Row],[UDC]],TableAvailabilities[],3,FALSE)&gt;0,"Y",""),"")</f>
        <v/>
      </c>
      <c r="I76" s="75" t="str">
        <f>IFERROR(IF(VLOOKUP(TableHandbook[[#This Row],[UDC]],TableAvailabilities[],4,FALSE)&gt;0,"Y",""),"")</f>
        <v/>
      </c>
      <c r="J76" s="75" t="str">
        <f>IFERROR(IF(VLOOKUP(TableHandbook[[#This Row],[UDC]],TableAvailabilities[],5,FALSE)&gt;0,"Y",""),"")</f>
        <v>Y</v>
      </c>
      <c r="K76" s="75" t="str">
        <f>IFERROR(IF(VLOOKUP(TableHandbook[[#This Row],[UDC]],TableAvailabilities[],6,FALSE)&gt;0,"Y",""),"")</f>
        <v/>
      </c>
      <c r="L76" s="75" t="str">
        <f>IFERROR(IF(VLOOKUP(TableHandbook[[#This Row],[UDC]],TableAvailabilities[],7,FALSE)&gt;0,"Y",""),"")</f>
        <v/>
      </c>
      <c r="M76" s="207"/>
      <c r="N76" s="209" t="str">
        <f>IFERROR(VLOOKUP(TableHandbook[[#This Row],[UDC]],TableBEDUC[],7,FALSE),"")</f>
        <v/>
      </c>
      <c r="O76" s="209" t="str">
        <f>IFERROR(VLOOKUP(TableHandbook[[#This Row],[UDC]],TableBEDEC[],7,FALSE),"")</f>
        <v/>
      </c>
      <c r="P76" s="211" t="str">
        <f>IFERROR(VLOOKUP(TableHandbook[[#This Row],[UDC]],TableBEDPR[],7,FALSE),"")</f>
        <v/>
      </c>
      <c r="Q76" s="209" t="str">
        <f>IFERROR(VLOOKUP(TableHandbook[[#This Row],[UDC]],TableSTRUCATHL[],7,FALSE),"")</f>
        <v/>
      </c>
      <c r="R76" s="209" t="str">
        <f>IFERROR(VLOOKUP(TableHandbook[[#This Row],[UDC]],TableSTRUENGLL[],7,FALSE),"")</f>
        <v/>
      </c>
      <c r="S76" s="209" t="str">
        <f>IFERROR(VLOOKUP(TableHandbook[[#This Row],[UDC]],TableSTRUHLTPE[],7,FALSE),"")</f>
        <v/>
      </c>
      <c r="T76" s="209" t="str">
        <f>IFERROR(VLOOKUP(TableHandbook[[#This Row],[UDC]],TableSTRUISTEM[],7,FALSE),"")</f>
        <v/>
      </c>
      <c r="U76" s="209" t="str">
        <f>IFERROR(VLOOKUP(TableHandbook[[#This Row],[UDC]],TableSTRULITNU[],7,FALSE),"")</f>
        <v/>
      </c>
      <c r="V76" s="209" t="str">
        <f>IFERROR(VLOOKUP(TableHandbook[[#This Row],[UDC]],TableSTRUTECHS[],7,FALSE),"")</f>
        <v/>
      </c>
      <c r="W76" s="211" t="str">
        <f>IFERROR(VLOOKUP(TableHandbook[[#This Row],[UDC]],TableBEDSC[],7,FALSE),"")</f>
        <v/>
      </c>
      <c r="X76" s="211" t="str">
        <f>IFERROR(VLOOKUP(TableHandbook[[#This Row],[UDC]],TableMJRUARDR1[],7,FALSE),"")</f>
        <v/>
      </c>
      <c r="Y76" s="209" t="str">
        <f>IFERROR(VLOOKUP(TableHandbook[[#This Row],[UDC]],TableMJRUARME1[],7,FALSE),"")</f>
        <v/>
      </c>
      <c r="Z76" s="209" t="str">
        <f>IFERROR(VLOOKUP(TableHandbook[[#This Row],[UDC]],TableMJRUARVA1[],7,FALSE),"")</f>
        <v/>
      </c>
      <c r="AA76" s="209" t="str">
        <f>IFERROR(VLOOKUP(TableHandbook[[#This Row],[UDC]],TableMJRUENGL1[],7,FALSE),"")</f>
        <v/>
      </c>
      <c r="AB76" s="209" t="str">
        <f>IFERROR(VLOOKUP(TableHandbook[[#This Row],[UDC]],TableMJRUHSEC1[],7,FALSE),"")</f>
        <v/>
      </c>
      <c r="AC76" s="209" t="str">
        <f>IFERROR(VLOOKUP(TableHandbook[[#This Row],[UDC]],TableMJRUHSGE1[],7,FALSE),"")</f>
        <v/>
      </c>
      <c r="AD76" s="209" t="str">
        <f>IFERROR(VLOOKUP(TableHandbook[[#This Row],[UDC]],TableMJRUHSHI1[],7,FALSE),"")</f>
        <v/>
      </c>
      <c r="AE76" s="209" t="str">
        <f>IFERROR(VLOOKUP(TableHandbook[[#This Row],[UDC]],TableMJRUHSPL1[],7,FALSE),"")</f>
        <v/>
      </c>
      <c r="AF76" s="209" t="str">
        <f>IFERROR(VLOOKUP(TableHandbook[[#This Row],[UDC]],TableMJRUMATH1[],7,FALSE),"")</f>
        <v/>
      </c>
      <c r="AG76" s="209" t="str">
        <f>IFERROR(VLOOKUP(TableHandbook[[#This Row],[UDC]],TableMJRUPHYSE[],7,FALSE),"")</f>
        <v/>
      </c>
      <c r="AH76" s="209" t="str">
        <f>IFERROR(VLOOKUP(TableHandbook[[#This Row],[UDC]],TableMJRUSCBI1[],7,FALSE),"")</f>
        <v/>
      </c>
      <c r="AI76" s="209" t="str">
        <f>IFERROR(VLOOKUP(TableHandbook[[#This Row],[UDC]],TableMJRUSCCH1[],7,FALSE),"")</f>
        <v>AltCore</v>
      </c>
      <c r="AJ76" s="209" t="str">
        <f>IFERROR(VLOOKUP(TableHandbook[[#This Row],[UDC]],TableMJRUSCHB1[],7,FALSE),"")</f>
        <v/>
      </c>
      <c r="AK76" s="209" t="str">
        <f>IFERROR(VLOOKUP(TableHandbook[[#This Row],[UDC]],TableMJRUSCPH1[],7,FALSE),"")</f>
        <v/>
      </c>
      <c r="AL76" s="209" t="str">
        <f>IFERROR(VLOOKUP(TableHandbook[[#This Row],[UDC]],TableMJRUSCPS1[],7,FALSE),"")</f>
        <v/>
      </c>
      <c r="AM76" s="211" t="str">
        <f>IFERROR(VLOOKUP(TableHandbook[[#This Row],[UDC]],TableSTRUBIOLB[],7,FALSE),"")</f>
        <v/>
      </c>
      <c r="AN76" s="209" t="str">
        <f>IFERROR(VLOOKUP(TableHandbook[[#This Row],[UDC]],TableSTRUBSCIM[],7,FALSE),"")</f>
        <v/>
      </c>
      <c r="AO76" s="209" t="str">
        <f>IFERROR(VLOOKUP(TableHandbook[[#This Row],[UDC]],TableSTRUCHEMB[],7,FALSE),"")</f>
        <v/>
      </c>
      <c r="AP76" s="209" t="str">
        <f>IFERROR(VLOOKUP(TableHandbook[[#This Row],[UDC]],TableSTRUECOB1[],7,FALSE),"")</f>
        <v/>
      </c>
      <c r="AQ76" s="209" t="str">
        <f>IFERROR(VLOOKUP(TableHandbook[[#This Row],[UDC]],TableSTRUENGLB[],7,FALSE),"")</f>
        <v/>
      </c>
      <c r="AR76" s="209" t="str">
        <f>IFERROR(VLOOKUP(TableHandbook[[#This Row],[UDC]],TableSTRUENGLM[],7,FALSE),"")</f>
        <v/>
      </c>
      <c r="AS76" s="209" t="str">
        <f>IFERROR(VLOOKUP(TableHandbook[[#This Row],[UDC]],TableSTRUGEOB1[],7,FALSE),"")</f>
        <v/>
      </c>
      <c r="AT76" s="209" t="str">
        <f>IFERROR(VLOOKUP(TableHandbook[[#This Row],[UDC]],TableSTRUGEOGM[],7,FALSE),"")</f>
        <v/>
      </c>
      <c r="AU76" s="209" t="str">
        <f>IFERROR(VLOOKUP(TableHandbook[[#This Row],[UDC]],TableSTRUHISB1[],7,FALSE),"")</f>
        <v/>
      </c>
      <c r="AV76" s="209" t="str">
        <f>IFERROR(VLOOKUP(TableHandbook[[#This Row],[UDC]],TableSTRUHISTM[],7,FALSE),"")</f>
        <v/>
      </c>
      <c r="AW76" s="209" t="str">
        <f>IFERROR(VLOOKUP(TableHandbook[[#This Row],[UDC]],TableSTRUHPEB1[],7,FALSE),"")</f>
        <v/>
      </c>
      <c r="AX76" s="209" t="str">
        <f>IFERROR(VLOOKUP(TableHandbook[[#This Row],[UDC]],TableSTRUHUMBB[],7,FALSE),"")</f>
        <v/>
      </c>
      <c r="AY76" s="209" t="str">
        <f>IFERROR(VLOOKUP(TableHandbook[[#This Row],[UDC]],TableSTRUMARTM[],7,FALSE),"")</f>
        <v/>
      </c>
      <c r="AZ76" s="209" t="str">
        <f>IFERROR(VLOOKUP(TableHandbook[[#This Row],[UDC]],TableSTRUMATHB[],7,FALSE),"")</f>
        <v/>
      </c>
      <c r="BA76" s="209" t="str">
        <f>IFERROR(VLOOKUP(TableHandbook[[#This Row],[UDC]],TableSTRUMATHM[],7,FALSE),"")</f>
        <v/>
      </c>
      <c r="BB76" s="209" t="str">
        <f>IFERROR(VLOOKUP(TableHandbook[[#This Row],[UDC]],TableSTRUPARTB[],7,FALSE),"")</f>
        <v/>
      </c>
      <c r="BC76" s="209" t="str">
        <f>IFERROR(VLOOKUP(TableHandbook[[#This Row],[UDC]],TableSTRUPARTM[],7,FALSE),"")</f>
        <v/>
      </c>
      <c r="BD76" s="209" t="str">
        <f>IFERROR(VLOOKUP(TableHandbook[[#This Row],[UDC]],TableSTRUPOLB1[],7,FALSE),"")</f>
        <v/>
      </c>
      <c r="BE76" s="209" t="str">
        <f>IFERROR(VLOOKUP(TableHandbook[[#This Row],[UDC]],TableSTRUPSYCB[],7,FALSE),"")</f>
        <v/>
      </c>
      <c r="BF76" s="209" t="str">
        <f>IFERROR(VLOOKUP(TableHandbook[[#This Row],[UDC]],TableSTRUPSYCM[],7,FALSE),"")</f>
        <v/>
      </c>
      <c r="BG76" s="209" t="str">
        <f>IFERROR(VLOOKUP(TableHandbook[[#This Row],[UDC]],TableSTRUVARTB[],7,FALSE),"")</f>
        <v/>
      </c>
      <c r="BH76" s="209" t="str">
        <f>IFERROR(VLOOKUP(TableHandbook[[#This Row],[UDC]],TableSTRUVARTM[],7,FALSE),"")</f>
        <v/>
      </c>
    </row>
    <row r="77" spans="1:60" x14ac:dyDescent="0.25">
      <c r="A77" s="6" t="s">
        <v>596</v>
      </c>
      <c r="B77" s="7">
        <v>1</v>
      </c>
      <c r="C77" s="7"/>
      <c r="D77" s="207" t="s">
        <v>847</v>
      </c>
      <c r="E77" s="7">
        <v>25</v>
      </c>
      <c r="F77" s="84" t="s">
        <v>848</v>
      </c>
      <c r="G77" s="75" t="str">
        <f>IFERROR(IF(VLOOKUP(TableHandbook[[#This Row],[UDC]],TableAvailabilities[],2,FALSE)&gt;0,"Y",""),"")</f>
        <v>Y</v>
      </c>
      <c r="H77" s="75" t="str">
        <f>IFERROR(IF(VLOOKUP(TableHandbook[[#This Row],[UDC]],TableAvailabilities[],3,FALSE)&gt;0,"Y",""),"")</f>
        <v/>
      </c>
      <c r="I77" s="75" t="str">
        <f>IFERROR(IF(VLOOKUP(TableHandbook[[#This Row],[UDC]],TableAvailabilities[],4,FALSE)&gt;0,"Y",""),"")</f>
        <v/>
      </c>
      <c r="J77" s="75" t="str">
        <f>IFERROR(IF(VLOOKUP(TableHandbook[[#This Row],[UDC]],TableAvailabilities[],5,FALSE)&gt;0,"Y",""),"")</f>
        <v/>
      </c>
      <c r="K77" s="75" t="str">
        <f>IFERROR(IF(VLOOKUP(TableHandbook[[#This Row],[UDC]],TableAvailabilities[],6,FALSE)&gt;0,"Y",""),"")</f>
        <v/>
      </c>
      <c r="L77" s="75" t="str">
        <f>IFERROR(IF(VLOOKUP(TableHandbook[[#This Row],[UDC]],TableAvailabilities[],7,FALSE)&gt;0,"Y",""),"")</f>
        <v/>
      </c>
      <c r="M77" s="207"/>
      <c r="N77" s="209" t="str">
        <f>IFERROR(VLOOKUP(TableHandbook[[#This Row],[UDC]],TableBEDUC[],7,FALSE),"")</f>
        <v/>
      </c>
      <c r="O77" s="209" t="str">
        <f>IFERROR(VLOOKUP(TableHandbook[[#This Row],[UDC]],TableBEDEC[],7,FALSE),"")</f>
        <v/>
      </c>
      <c r="P77" s="211" t="str">
        <f>IFERROR(VLOOKUP(TableHandbook[[#This Row],[UDC]],TableBEDPR[],7,FALSE),"")</f>
        <v/>
      </c>
      <c r="Q77" s="209" t="str">
        <f>IFERROR(VLOOKUP(TableHandbook[[#This Row],[UDC]],TableSTRUCATHL[],7,FALSE),"")</f>
        <v/>
      </c>
      <c r="R77" s="209" t="str">
        <f>IFERROR(VLOOKUP(TableHandbook[[#This Row],[UDC]],TableSTRUENGLL[],7,FALSE),"")</f>
        <v/>
      </c>
      <c r="S77" s="209" t="str">
        <f>IFERROR(VLOOKUP(TableHandbook[[#This Row],[UDC]],TableSTRUHLTPE[],7,FALSE),"")</f>
        <v/>
      </c>
      <c r="T77" s="209" t="str">
        <f>IFERROR(VLOOKUP(TableHandbook[[#This Row],[UDC]],TableSTRUISTEM[],7,FALSE),"")</f>
        <v/>
      </c>
      <c r="U77" s="209" t="str">
        <f>IFERROR(VLOOKUP(TableHandbook[[#This Row],[UDC]],TableSTRULITNU[],7,FALSE),"")</f>
        <v/>
      </c>
      <c r="V77" s="209" t="str">
        <f>IFERROR(VLOOKUP(TableHandbook[[#This Row],[UDC]],TableSTRUTECHS[],7,FALSE),"")</f>
        <v/>
      </c>
      <c r="W77" s="211" t="str">
        <f>IFERROR(VLOOKUP(TableHandbook[[#This Row],[UDC]],TableBEDSC[],7,FALSE),"")</f>
        <v/>
      </c>
      <c r="X77" s="211" t="str">
        <f>IFERROR(VLOOKUP(TableHandbook[[#This Row],[UDC]],TableMJRUARDR1[],7,FALSE),"")</f>
        <v/>
      </c>
      <c r="Y77" s="209" t="str">
        <f>IFERROR(VLOOKUP(TableHandbook[[#This Row],[UDC]],TableMJRUARME1[],7,FALSE),"")</f>
        <v/>
      </c>
      <c r="Z77" s="209" t="str">
        <f>IFERROR(VLOOKUP(TableHandbook[[#This Row],[UDC]],TableMJRUARVA1[],7,FALSE),"")</f>
        <v/>
      </c>
      <c r="AA77" s="209" t="str">
        <f>IFERROR(VLOOKUP(TableHandbook[[#This Row],[UDC]],TableMJRUENGL1[],7,FALSE),"")</f>
        <v/>
      </c>
      <c r="AB77" s="209" t="str">
        <f>IFERROR(VLOOKUP(TableHandbook[[#This Row],[UDC]],TableMJRUHSEC1[],7,FALSE),"")</f>
        <v/>
      </c>
      <c r="AC77" s="209" t="str">
        <f>IFERROR(VLOOKUP(TableHandbook[[#This Row],[UDC]],TableMJRUHSGE1[],7,FALSE),"")</f>
        <v/>
      </c>
      <c r="AD77" s="209" t="str">
        <f>IFERROR(VLOOKUP(TableHandbook[[#This Row],[UDC]],TableMJRUHSHI1[],7,FALSE),"")</f>
        <v/>
      </c>
      <c r="AE77" s="209" t="str">
        <f>IFERROR(VLOOKUP(TableHandbook[[#This Row],[UDC]],TableMJRUHSPL1[],7,FALSE),"")</f>
        <v/>
      </c>
      <c r="AF77" s="209" t="str">
        <f>IFERROR(VLOOKUP(TableHandbook[[#This Row],[UDC]],TableMJRUMATH1[],7,FALSE),"")</f>
        <v/>
      </c>
      <c r="AG77" s="209" t="str">
        <f>IFERROR(VLOOKUP(TableHandbook[[#This Row],[UDC]],TableMJRUPHYSE[],7,FALSE),"")</f>
        <v/>
      </c>
      <c r="AH77" s="209" t="str">
        <f>IFERROR(VLOOKUP(TableHandbook[[#This Row],[UDC]],TableMJRUSCBI1[],7,FALSE),"")</f>
        <v/>
      </c>
      <c r="AI77" s="209" t="str">
        <f>IFERROR(VLOOKUP(TableHandbook[[#This Row],[UDC]],TableMJRUSCCH1[],7,FALSE),"")</f>
        <v>AltCore</v>
      </c>
      <c r="AJ77" s="209" t="str">
        <f>IFERROR(VLOOKUP(TableHandbook[[#This Row],[UDC]],TableMJRUSCHB1[],7,FALSE),"")</f>
        <v/>
      </c>
      <c r="AK77" s="209" t="str">
        <f>IFERROR(VLOOKUP(TableHandbook[[#This Row],[UDC]],TableMJRUSCPH1[],7,FALSE),"")</f>
        <v/>
      </c>
      <c r="AL77" s="209" t="str">
        <f>IFERROR(VLOOKUP(TableHandbook[[#This Row],[UDC]],TableMJRUSCPS1[],7,FALSE),"")</f>
        <v/>
      </c>
      <c r="AM77" s="211" t="str">
        <f>IFERROR(VLOOKUP(TableHandbook[[#This Row],[UDC]],TableSTRUBIOLB[],7,FALSE),"")</f>
        <v/>
      </c>
      <c r="AN77" s="209" t="str">
        <f>IFERROR(VLOOKUP(TableHandbook[[#This Row],[UDC]],TableSTRUBSCIM[],7,FALSE),"")</f>
        <v/>
      </c>
      <c r="AO77" s="209" t="str">
        <f>IFERROR(VLOOKUP(TableHandbook[[#This Row],[UDC]],TableSTRUCHEMB[],7,FALSE),"")</f>
        <v/>
      </c>
      <c r="AP77" s="209" t="str">
        <f>IFERROR(VLOOKUP(TableHandbook[[#This Row],[UDC]],TableSTRUECOB1[],7,FALSE),"")</f>
        <v/>
      </c>
      <c r="AQ77" s="209" t="str">
        <f>IFERROR(VLOOKUP(TableHandbook[[#This Row],[UDC]],TableSTRUENGLB[],7,FALSE),"")</f>
        <v/>
      </c>
      <c r="AR77" s="209" t="str">
        <f>IFERROR(VLOOKUP(TableHandbook[[#This Row],[UDC]],TableSTRUENGLM[],7,FALSE),"")</f>
        <v/>
      </c>
      <c r="AS77" s="209" t="str">
        <f>IFERROR(VLOOKUP(TableHandbook[[#This Row],[UDC]],TableSTRUGEOB1[],7,FALSE),"")</f>
        <v/>
      </c>
      <c r="AT77" s="209" t="str">
        <f>IFERROR(VLOOKUP(TableHandbook[[#This Row],[UDC]],TableSTRUGEOGM[],7,FALSE),"")</f>
        <v/>
      </c>
      <c r="AU77" s="209" t="str">
        <f>IFERROR(VLOOKUP(TableHandbook[[#This Row],[UDC]],TableSTRUHISB1[],7,FALSE),"")</f>
        <v/>
      </c>
      <c r="AV77" s="209" t="str">
        <f>IFERROR(VLOOKUP(TableHandbook[[#This Row],[UDC]],TableSTRUHISTM[],7,FALSE),"")</f>
        <v/>
      </c>
      <c r="AW77" s="209" t="str">
        <f>IFERROR(VLOOKUP(TableHandbook[[#This Row],[UDC]],TableSTRUHPEB1[],7,FALSE),"")</f>
        <v/>
      </c>
      <c r="AX77" s="209" t="str">
        <f>IFERROR(VLOOKUP(TableHandbook[[#This Row],[UDC]],TableSTRUHUMBB[],7,FALSE),"")</f>
        <v/>
      </c>
      <c r="AY77" s="209" t="str">
        <f>IFERROR(VLOOKUP(TableHandbook[[#This Row],[UDC]],TableSTRUMARTM[],7,FALSE),"")</f>
        <v/>
      </c>
      <c r="AZ77" s="209" t="str">
        <f>IFERROR(VLOOKUP(TableHandbook[[#This Row],[UDC]],TableSTRUMATHB[],7,FALSE),"")</f>
        <v/>
      </c>
      <c r="BA77" s="209" t="str">
        <f>IFERROR(VLOOKUP(TableHandbook[[#This Row],[UDC]],TableSTRUMATHM[],7,FALSE),"")</f>
        <v/>
      </c>
      <c r="BB77" s="209" t="str">
        <f>IFERROR(VLOOKUP(TableHandbook[[#This Row],[UDC]],TableSTRUPARTB[],7,FALSE),"")</f>
        <v/>
      </c>
      <c r="BC77" s="209" t="str">
        <f>IFERROR(VLOOKUP(TableHandbook[[#This Row],[UDC]],TableSTRUPARTM[],7,FALSE),"")</f>
        <v/>
      </c>
      <c r="BD77" s="209" t="str">
        <f>IFERROR(VLOOKUP(TableHandbook[[#This Row],[UDC]],TableSTRUPOLB1[],7,FALSE),"")</f>
        <v/>
      </c>
      <c r="BE77" s="209" t="str">
        <f>IFERROR(VLOOKUP(TableHandbook[[#This Row],[UDC]],TableSTRUPSYCB[],7,FALSE),"")</f>
        <v/>
      </c>
      <c r="BF77" s="209" t="str">
        <f>IFERROR(VLOOKUP(TableHandbook[[#This Row],[UDC]],TableSTRUPSYCM[],7,FALSE),"")</f>
        <v/>
      </c>
      <c r="BG77" s="209" t="str">
        <f>IFERROR(VLOOKUP(TableHandbook[[#This Row],[UDC]],TableSTRUVARTB[],7,FALSE),"")</f>
        <v/>
      </c>
      <c r="BH77" s="209" t="str">
        <f>IFERROR(VLOOKUP(TableHandbook[[#This Row],[UDC]],TableSTRUVARTM[],7,FALSE),"")</f>
        <v/>
      </c>
    </row>
    <row r="78" spans="1:60" x14ac:dyDescent="0.25">
      <c r="A78" s="296" t="s">
        <v>605</v>
      </c>
      <c r="B78" s="7">
        <v>1</v>
      </c>
      <c r="C78" s="7"/>
      <c r="D78" s="207" t="s">
        <v>849</v>
      </c>
      <c r="E78" s="7">
        <v>25</v>
      </c>
      <c r="F78" s="84" t="s">
        <v>850</v>
      </c>
      <c r="G78" s="75" t="str">
        <f>IFERROR(IF(VLOOKUP(TableHandbook[[#This Row],[UDC]],TableAvailabilities[],2,FALSE)&gt;0,"Y",""),"")</f>
        <v>Y</v>
      </c>
      <c r="H78" s="75" t="str">
        <f>IFERROR(IF(VLOOKUP(TableHandbook[[#This Row],[UDC]],TableAvailabilities[],3,FALSE)&gt;0,"Y",""),"")</f>
        <v/>
      </c>
      <c r="I78" s="75" t="str">
        <f>IFERROR(IF(VLOOKUP(TableHandbook[[#This Row],[UDC]],TableAvailabilities[],4,FALSE)&gt;0,"Y",""),"")</f>
        <v/>
      </c>
      <c r="J78" s="75" t="str">
        <f>IFERROR(IF(VLOOKUP(TableHandbook[[#This Row],[UDC]],TableAvailabilities[],5,FALSE)&gt;0,"Y",""),"")</f>
        <v/>
      </c>
      <c r="K78" s="75" t="str">
        <f>IFERROR(IF(VLOOKUP(TableHandbook[[#This Row],[UDC]],TableAvailabilities[],6,FALSE)&gt;0,"Y",""),"")</f>
        <v/>
      </c>
      <c r="L78" s="75" t="str">
        <f>IFERROR(IF(VLOOKUP(TableHandbook[[#This Row],[UDC]],TableAvailabilities[],7,FALSE)&gt;0,"Y",""),"")</f>
        <v/>
      </c>
      <c r="M78" s="207"/>
      <c r="N78" s="209" t="str">
        <f>IFERROR(VLOOKUP(TableHandbook[[#This Row],[UDC]],TableBEDUC[],7,FALSE),"")</f>
        <v/>
      </c>
      <c r="O78" s="209" t="str">
        <f>IFERROR(VLOOKUP(TableHandbook[[#This Row],[UDC]],TableBEDEC[],7,FALSE),"")</f>
        <v/>
      </c>
      <c r="P78" s="211" t="str">
        <f>IFERROR(VLOOKUP(TableHandbook[[#This Row],[UDC]],TableBEDPR[],7,FALSE),"")</f>
        <v/>
      </c>
      <c r="Q78" s="209" t="str">
        <f>IFERROR(VLOOKUP(TableHandbook[[#This Row],[UDC]],TableSTRUCATHL[],7,FALSE),"")</f>
        <v/>
      </c>
      <c r="R78" s="209" t="str">
        <f>IFERROR(VLOOKUP(TableHandbook[[#This Row],[UDC]],TableSTRUENGLL[],7,FALSE),"")</f>
        <v/>
      </c>
      <c r="S78" s="209" t="str">
        <f>IFERROR(VLOOKUP(TableHandbook[[#This Row],[UDC]],TableSTRUHLTPE[],7,FALSE),"")</f>
        <v/>
      </c>
      <c r="T78" s="209" t="str">
        <f>IFERROR(VLOOKUP(TableHandbook[[#This Row],[UDC]],TableSTRUISTEM[],7,FALSE),"")</f>
        <v/>
      </c>
      <c r="U78" s="209" t="str">
        <f>IFERROR(VLOOKUP(TableHandbook[[#This Row],[UDC]],TableSTRULITNU[],7,FALSE),"")</f>
        <v/>
      </c>
      <c r="V78" s="209" t="str">
        <f>IFERROR(VLOOKUP(TableHandbook[[#This Row],[UDC]],TableSTRUTECHS[],7,FALSE),"")</f>
        <v/>
      </c>
      <c r="W78" s="211" t="str">
        <f>IFERROR(VLOOKUP(TableHandbook[[#This Row],[UDC]],TableBEDSC[],7,FALSE),"")</f>
        <v/>
      </c>
      <c r="X78" s="211" t="str">
        <f>IFERROR(VLOOKUP(TableHandbook[[#This Row],[UDC]],TableMJRUARDR1[],7,FALSE),"")</f>
        <v/>
      </c>
      <c r="Y78" s="209" t="str">
        <f>IFERROR(VLOOKUP(TableHandbook[[#This Row],[UDC]],TableMJRUARME1[],7,FALSE),"")</f>
        <v/>
      </c>
      <c r="Z78" s="209" t="str">
        <f>IFERROR(VLOOKUP(TableHandbook[[#This Row],[UDC]],TableMJRUARVA1[],7,FALSE),"")</f>
        <v/>
      </c>
      <c r="AA78" s="209" t="str">
        <f>IFERROR(VLOOKUP(TableHandbook[[#This Row],[UDC]],TableMJRUENGL1[],7,FALSE),"")</f>
        <v/>
      </c>
      <c r="AB78" s="209" t="str">
        <f>IFERROR(VLOOKUP(TableHandbook[[#This Row],[UDC]],TableMJRUHSEC1[],7,FALSE),"")</f>
        <v/>
      </c>
      <c r="AC78" s="209" t="str">
        <f>IFERROR(VLOOKUP(TableHandbook[[#This Row],[UDC]],TableMJRUHSGE1[],7,FALSE),"")</f>
        <v/>
      </c>
      <c r="AD78" s="209" t="str">
        <f>IFERROR(VLOOKUP(TableHandbook[[#This Row],[UDC]],TableMJRUHSHI1[],7,FALSE),"")</f>
        <v/>
      </c>
      <c r="AE78" s="209" t="str">
        <f>IFERROR(VLOOKUP(TableHandbook[[#This Row],[UDC]],TableMJRUHSPL1[],7,FALSE),"")</f>
        <v/>
      </c>
      <c r="AF78" s="209" t="str">
        <f>IFERROR(VLOOKUP(TableHandbook[[#This Row],[UDC]],TableMJRUMATH1[],7,FALSE),"")</f>
        <v/>
      </c>
      <c r="AG78" s="209" t="str">
        <f>IFERROR(VLOOKUP(TableHandbook[[#This Row],[UDC]],TableMJRUPHYSE[],7,FALSE),"")</f>
        <v/>
      </c>
      <c r="AH78" s="209" t="str">
        <f>IFERROR(VLOOKUP(TableHandbook[[#This Row],[UDC]],TableMJRUSCBI1[],7,FALSE),"")</f>
        <v/>
      </c>
      <c r="AI78" s="209" t="str">
        <f>IFERROR(VLOOKUP(TableHandbook[[#This Row],[UDC]],TableMJRUSCCH1[],7,FALSE),"")</f>
        <v>AltCore</v>
      </c>
      <c r="AJ78" s="209" t="str">
        <f>IFERROR(VLOOKUP(TableHandbook[[#This Row],[UDC]],TableMJRUSCHB1[],7,FALSE),"")</f>
        <v/>
      </c>
      <c r="AK78" s="209" t="str">
        <f>IFERROR(VLOOKUP(TableHandbook[[#This Row],[UDC]],TableMJRUSCPH1[],7,FALSE),"")</f>
        <v/>
      </c>
      <c r="AL78" s="209" t="str">
        <f>IFERROR(VLOOKUP(TableHandbook[[#This Row],[UDC]],TableMJRUSCPS1[],7,FALSE),"")</f>
        <v/>
      </c>
      <c r="AM78" s="211" t="str">
        <f>IFERROR(VLOOKUP(TableHandbook[[#This Row],[UDC]],TableSTRUBIOLB[],7,FALSE),"")</f>
        <v/>
      </c>
      <c r="AN78" s="209" t="str">
        <f>IFERROR(VLOOKUP(TableHandbook[[#This Row],[UDC]],TableSTRUBSCIM[],7,FALSE),"")</f>
        <v/>
      </c>
      <c r="AO78" s="209" t="str">
        <f>IFERROR(VLOOKUP(TableHandbook[[#This Row],[UDC]],TableSTRUCHEMB[],7,FALSE),"")</f>
        <v/>
      </c>
      <c r="AP78" s="209" t="str">
        <f>IFERROR(VLOOKUP(TableHandbook[[#This Row],[UDC]],TableSTRUECOB1[],7,FALSE),"")</f>
        <v/>
      </c>
      <c r="AQ78" s="209" t="str">
        <f>IFERROR(VLOOKUP(TableHandbook[[#This Row],[UDC]],TableSTRUENGLB[],7,FALSE),"")</f>
        <v/>
      </c>
      <c r="AR78" s="209" t="str">
        <f>IFERROR(VLOOKUP(TableHandbook[[#This Row],[UDC]],TableSTRUENGLM[],7,FALSE),"")</f>
        <v/>
      </c>
      <c r="AS78" s="209" t="str">
        <f>IFERROR(VLOOKUP(TableHandbook[[#This Row],[UDC]],TableSTRUGEOB1[],7,FALSE),"")</f>
        <v/>
      </c>
      <c r="AT78" s="209" t="str">
        <f>IFERROR(VLOOKUP(TableHandbook[[#This Row],[UDC]],TableSTRUGEOGM[],7,FALSE),"")</f>
        <v/>
      </c>
      <c r="AU78" s="209" t="str">
        <f>IFERROR(VLOOKUP(TableHandbook[[#This Row],[UDC]],TableSTRUHISB1[],7,FALSE),"")</f>
        <v/>
      </c>
      <c r="AV78" s="209" t="str">
        <f>IFERROR(VLOOKUP(TableHandbook[[#This Row],[UDC]],TableSTRUHISTM[],7,FALSE),"")</f>
        <v/>
      </c>
      <c r="AW78" s="209" t="str">
        <f>IFERROR(VLOOKUP(TableHandbook[[#This Row],[UDC]],TableSTRUHPEB1[],7,FALSE),"")</f>
        <v/>
      </c>
      <c r="AX78" s="209" t="str">
        <f>IFERROR(VLOOKUP(TableHandbook[[#This Row],[UDC]],TableSTRUHUMBB[],7,FALSE),"")</f>
        <v/>
      </c>
      <c r="AY78" s="209" t="str">
        <f>IFERROR(VLOOKUP(TableHandbook[[#This Row],[UDC]],TableSTRUMARTM[],7,FALSE),"")</f>
        <v/>
      </c>
      <c r="AZ78" s="209" t="str">
        <f>IFERROR(VLOOKUP(TableHandbook[[#This Row],[UDC]],TableSTRUMATHB[],7,FALSE),"")</f>
        <v/>
      </c>
      <c r="BA78" s="209" t="str">
        <f>IFERROR(VLOOKUP(TableHandbook[[#This Row],[UDC]],TableSTRUMATHM[],7,FALSE),"")</f>
        <v/>
      </c>
      <c r="BB78" s="209" t="str">
        <f>IFERROR(VLOOKUP(TableHandbook[[#This Row],[UDC]],TableSTRUPARTB[],7,FALSE),"")</f>
        <v/>
      </c>
      <c r="BC78" s="209" t="str">
        <f>IFERROR(VLOOKUP(TableHandbook[[#This Row],[UDC]],TableSTRUPARTM[],7,FALSE),"")</f>
        <v/>
      </c>
      <c r="BD78" s="209" t="str">
        <f>IFERROR(VLOOKUP(TableHandbook[[#This Row],[UDC]],TableSTRUPOLB1[],7,FALSE),"")</f>
        <v/>
      </c>
      <c r="BE78" s="209" t="str">
        <f>IFERROR(VLOOKUP(TableHandbook[[#This Row],[UDC]],TableSTRUPSYCB[],7,FALSE),"")</f>
        <v/>
      </c>
      <c r="BF78" s="209" t="str">
        <f>IFERROR(VLOOKUP(TableHandbook[[#This Row],[UDC]],TableSTRUPSYCM[],7,FALSE),"")</f>
        <v/>
      </c>
      <c r="BG78" s="209" t="str">
        <f>IFERROR(VLOOKUP(TableHandbook[[#This Row],[UDC]],TableSTRUVARTB[],7,FALSE),"")</f>
        <v/>
      </c>
      <c r="BH78" s="209" t="str">
        <f>IFERROR(VLOOKUP(TableHandbook[[#This Row],[UDC]],TableSTRUVARTM[],7,FALSE),"")</f>
        <v/>
      </c>
    </row>
    <row r="79" spans="1:60" x14ac:dyDescent="0.25">
      <c r="A79" s="296" t="s">
        <v>494</v>
      </c>
      <c r="B79" s="7">
        <v>1</v>
      </c>
      <c r="C79" s="7"/>
      <c r="D79" s="207" t="s">
        <v>851</v>
      </c>
      <c r="E79" s="7">
        <v>25</v>
      </c>
      <c r="F79" s="84" t="s">
        <v>783</v>
      </c>
      <c r="G79" s="75" t="str">
        <f>IFERROR(IF(VLOOKUP(TableHandbook[[#This Row],[UDC]],TableAvailabilities[],2,FALSE)&gt;0,"Y",""),"")</f>
        <v>Y</v>
      </c>
      <c r="H79" s="75" t="str">
        <f>IFERROR(IF(VLOOKUP(TableHandbook[[#This Row],[UDC]],TableAvailabilities[],3,FALSE)&gt;0,"Y",""),"")</f>
        <v>Y</v>
      </c>
      <c r="I79" s="75" t="str">
        <f>IFERROR(IF(VLOOKUP(TableHandbook[[#This Row],[UDC]],TableAvailabilities[],4,FALSE)&gt;0,"Y",""),"")</f>
        <v/>
      </c>
      <c r="J79" s="75" t="str">
        <f>IFERROR(IF(VLOOKUP(TableHandbook[[#This Row],[UDC]],TableAvailabilities[],5,FALSE)&gt;0,"Y",""),"")</f>
        <v>Y</v>
      </c>
      <c r="K79" s="75" t="str">
        <f>IFERROR(IF(VLOOKUP(TableHandbook[[#This Row],[UDC]],TableAvailabilities[],6,FALSE)&gt;0,"Y",""),"")</f>
        <v>Y</v>
      </c>
      <c r="L79" s="75" t="str">
        <f>IFERROR(IF(VLOOKUP(TableHandbook[[#This Row],[UDC]],TableAvailabilities[],7,FALSE)&gt;0,"Y",""),"")</f>
        <v/>
      </c>
      <c r="M79" s="207"/>
      <c r="N79" s="209" t="str">
        <f>IFERROR(VLOOKUP(TableHandbook[[#This Row],[UDC]],TableBEDUC[],7,FALSE),"")</f>
        <v/>
      </c>
      <c r="O79" s="209" t="str">
        <f>IFERROR(VLOOKUP(TableHandbook[[#This Row],[UDC]],TableBEDEC[],7,FALSE),"")</f>
        <v/>
      </c>
      <c r="P79" s="211" t="str">
        <f>IFERROR(VLOOKUP(TableHandbook[[#This Row],[UDC]],TableBEDPR[],7,FALSE),"")</f>
        <v/>
      </c>
      <c r="Q79" s="209" t="str">
        <f>IFERROR(VLOOKUP(TableHandbook[[#This Row],[UDC]],TableSTRUCATHL[],7,FALSE),"")</f>
        <v/>
      </c>
      <c r="R79" s="209" t="str">
        <f>IFERROR(VLOOKUP(TableHandbook[[#This Row],[UDC]],TableSTRUENGLL[],7,FALSE),"")</f>
        <v/>
      </c>
      <c r="S79" s="209" t="str">
        <f>IFERROR(VLOOKUP(TableHandbook[[#This Row],[UDC]],TableSTRUHLTPE[],7,FALSE),"")</f>
        <v/>
      </c>
      <c r="T79" s="209" t="str">
        <f>IFERROR(VLOOKUP(TableHandbook[[#This Row],[UDC]],TableSTRUISTEM[],7,FALSE),"")</f>
        <v/>
      </c>
      <c r="U79" s="209" t="str">
        <f>IFERROR(VLOOKUP(TableHandbook[[#This Row],[UDC]],TableSTRULITNU[],7,FALSE),"")</f>
        <v/>
      </c>
      <c r="V79" s="209" t="str">
        <f>IFERROR(VLOOKUP(TableHandbook[[#This Row],[UDC]],TableSTRUTECHS[],7,FALSE),"")</f>
        <v/>
      </c>
      <c r="W79" s="211" t="str">
        <f>IFERROR(VLOOKUP(TableHandbook[[#This Row],[UDC]],TableBEDSC[],7,FALSE),"")</f>
        <v/>
      </c>
      <c r="X79" s="211" t="str">
        <f>IFERROR(VLOOKUP(TableHandbook[[#This Row],[UDC]],TableMJRUARDR1[],7,FALSE),"")</f>
        <v/>
      </c>
      <c r="Y79" s="209" t="str">
        <f>IFERROR(VLOOKUP(TableHandbook[[#This Row],[UDC]],TableMJRUARME1[],7,FALSE),"")</f>
        <v>Core</v>
      </c>
      <c r="Z79" s="209" t="str">
        <f>IFERROR(VLOOKUP(TableHandbook[[#This Row],[UDC]],TableMJRUARVA1[],7,FALSE),"")</f>
        <v/>
      </c>
      <c r="AA79" s="209" t="str">
        <f>IFERROR(VLOOKUP(TableHandbook[[#This Row],[UDC]],TableMJRUENGL1[],7,FALSE),"")</f>
        <v/>
      </c>
      <c r="AB79" s="209" t="str">
        <f>IFERROR(VLOOKUP(TableHandbook[[#This Row],[UDC]],TableMJRUHSEC1[],7,FALSE),"")</f>
        <v/>
      </c>
      <c r="AC79" s="209" t="str">
        <f>IFERROR(VLOOKUP(TableHandbook[[#This Row],[UDC]],TableMJRUHSGE1[],7,FALSE),"")</f>
        <v/>
      </c>
      <c r="AD79" s="209" t="str">
        <f>IFERROR(VLOOKUP(TableHandbook[[#This Row],[UDC]],TableMJRUHSHI1[],7,FALSE),"")</f>
        <v/>
      </c>
      <c r="AE79" s="209" t="str">
        <f>IFERROR(VLOOKUP(TableHandbook[[#This Row],[UDC]],TableMJRUHSPL1[],7,FALSE),"")</f>
        <v/>
      </c>
      <c r="AF79" s="209" t="str">
        <f>IFERROR(VLOOKUP(TableHandbook[[#This Row],[UDC]],TableMJRUMATH1[],7,FALSE),"")</f>
        <v/>
      </c>
      <c r="AG79" s="209" t="str">
        <f>IFERROR(VLOOKUP(TableHandbook[[#This Row],[UDC]],TableMJRUPHYSE[],7,FALSE),"")</f>
        <v/>
      </c>
      <c r="AH79" s="209" t="str">
        <f>IFERROR(VLOOKUP(TableHandbook[[#This Row],[UDC]],TableMJRUSCBI1[],7,FALSE),"")</f>
        <v/>
      </c>
      <c r="AI79" s="209" t="str">
        <f>IFERROR(VLOOKUP(TableHandbook[[#This Row],[UDC]],TableMJRUSCCH1[],7,FALSE),"")</f>
        <v/>
      </c>
      <c r="AJ79" s="209" t="str">
        <f>IFERROR(VLOOKUP(TableHandbook[[#This Row],[UDC]],TableMJRUSCHB1[],7,FALSE),"")</f>
        <v/>
      </c>
      <c r="AK79" s="209" t="str">
        <f>IFERROR(VLOOKUP(TableHandbook[[#This Row],[UDC]],TableMJRUSCPH1[],7,FALSE),"")</f>
        <v/>
      </c>
      <c r="AL79" s="209" t="str">
        <f>IFERROR(VLOOKUP(TableHandbook[[#This Row],[UDC]],TableMJRUSCPS1[],7,FALSE),"")</f>
        <v/>
      </c>
      <c r="AM79" s="211" t="str">
        <f>IFERROR(VLOOKUP(TableHandbook[[#This Row],[UDC]],TableSTRUBIOLB[],7,FALSE),"")</f>
        <v/>
      </c>
      <c r="AN79" s="209" t="str">
        <f>IFERROR(VLOOKUP(TableHandbook[[#This Row],[UDC]],TableSTRUBSCIM[],7,FALSE),"")</f>
        <v/>
      </c>
      <c r="AO79" s="209" t="str">
        <f>IFERROR(VLOOKUP(TableHandbook[[#This Row],[UDC]],TableSTRUCHEMB[],7,FALSE),"")</f>
        <v/>
      </c>
      <c r="AP79" s="209" t="str">
        <f>IFERROR(VLOOKUP(TableHandbook[[#This Row],[UDC]],TableSTRUECOB1[],7,FALSE),"")</f>
        <v/>
      </c>
      <c r="AQ79" s="209" t="str">
        <f>IFERROR(VLOOKUP(TableHandbook[[#This Row],[UDC]],TableSTRUENGLB[],7,FALSE),"")</f>
        <v/>
      </c>
      <c r="AR79" s="209" t="str">
        <f>IFERROR(VLOOKUP(TableHandbook[[#This Row],[UDC]],TableSTRUENGLM[],7,FALSE),"")</f>
        <v/>
      </c>
      <c r="AS79" s="209" t="str">
        <f>IFERROR(VLOOKUP(TableHandbook[[#This Row],[UDC]],TableSTRUGEOB1[],7,FALSE),"")</f>
        <v/>
      </c>
      <c r="AT79" s="209" t="str">
        <f>IFERROR(VLOOKUP(TableHandbook[[#This Row],[UDC]],TableSTRUGEOGM[],7,FALSE),"")</f>
        <v/>
      </c>
      <c r="AU79" s="209" t="str">
        <f>IFERROR(VLOOKUP(TableHandbook[[#This Row],[UDC]],TableSTRUHISB1[],7,FALSE),"")</f>
        <v/>
      </c>
      <c r="AV79" s="209" t="str">
        <f>IFERROR(VLOOKUP(TableHandbook[[#This Row],[UDC]],TableSTRUHISTM[],7,FALSE),"")</f>
        <v/>
      </c>
      <c r="AW79" s="209" t="str">
        <f>IFERROR(VLOOKUP(TableHandbook[[#This Row],[UDC]],TableSTRUHPEB1[],7,FALSE),"")</f>
        <v/>
      </c>
      <c r="AX79" s="209" t="str">
        <f>IFERROR(VLOOKUP(TableHandbook[[#This Row],[UDC]],TableSTRUHUMBB[],7,FALSE),"")</f>
        <v/>
      </c>
      <c r="AY79" s="209" t="str">
        <f>IFERROR(VLOOKUP(TableHandbook[[#This Row],[UDC]],TableSTRUMARTM[],7,FALSE),"")</f>
        <v>Core</v>
      </c>
      <c r="AZ79" s="209" t="str">
        <f>IFERROR(VLOOKUP(TableHandbook[[#This Row],[UDC]],TableSTRUMATHB[],7,FALSE),"")</f>
        <v/>
      </c>
      <c r="BA79" s="209" t="str">
        <f>IFERROR(VLOOKUP(TableHandbook[[#This Row],[UDC]],TableSTRUMATHM[],7,FALSE),"")</f>
        <v/>
      </c>
      <c r="BB79" s="209" t="str">
        <f>IFERROR(VLOOKUP(TableHandbook[[#This Row],[UDC]],TableSTRUPARTB[],7,FALSE),"")</f>
        <v/>
      </c>
      <c r="BC79" s="209" t="str">
        <f>IFERROR(VLOOKUP(TableHandbook[[#This Row],[UDC]],TableSTRUPARTM[],7,FALSE),"")</f>
        <v/>
      </c>
      <c r="BD79" s="209" t="str">
        <f>IFERROR(VLOOKUP(TableHandbook[[#This Row],[UDC]],TableSTRUPOLB1[],7,FALSE),"")</f>
        <v/>
      </c>
      <c r="BE79" s="209" t="str">
        <f>IFERROR(VLOOKUP(TableHandbook[[#This Row],[UDC]],TableSTRUPSYCB[],7,FALSE),"")</f>
        <v/>
      </c>
      <c r="BF79" s="209" t="str">
        <f>IFERROR(VLOOKUP(TableHandbook[[#This Row],[UDC]],TableSTRUPSYCM[],7,FALSE),"")</f>
        <v/>
      </c>
      <c r="BG79" s="209" t="str">
        <f>IFERROR(VLOOKUP(TableHandbook[[#This Row],[UDC]],TableSTRUVARTB[],7,FALSE),"")</f>
        <v/>
      </c>
      <c r="BH79" s="209" t="str">
        <f>IFERROR(VLOOKUP(TableHandbook[[#This Row],[UDC]],TableSTRUVARTM[],7,FALSE),"")</f>
        <v/>
      </c>
    </row>
    <row r="80" spans="1:60" x14ac:dyDescent="0.25">
      <c r="A80" s="296" t="s">
        <v>638</v>
      </c>
      <c r="B80" s="7">
        <v>3</v>
      </c>
      <c r="C80" s="7"/>
      <c r="D80" s="207" t="s">
        <v>852</v>
      </c>
      <c r="E80" s="7">
        <v>25</v>
      </c>
      <c r="F80" s="84" t="s">
        <v>783</v>
      </c>
      <c r="G80" s="75" t="str">
        <f>IFERROR(IF(VLOOKUP(TableHandbook[[#This Row],[UDC]],TableAvailabilities[],2,FALSE)&gt;0,"Y",""),"")</f>
        <v>Y</v>
      </c>
      <c r="H80" s="75" t="str">
        <f>IFERROR(IF(VLOOKUP(TableHandbook[[#This Row],[UDC]],TableAvailabilities[],3,FALSE)&gt;0,"Y",""),"")</f>
        <v>Y</v>
      </c>
      <c r="I80" s="75" t="str">
        <f>IFERROR(IF(VLOOKUP(TableHandbook[[#This Row],[UDC]],TableAvailabilities[],4,FALSE)&gt;0,"Y",""),"")</f>
        <v/>
      </c>
      <c r="J80" s="75" t="str">
        <f>IFERROR(IF(VLOOKUP(TableHandbook[[#This Row],[UDC]],TableAvailabilities[],5,FALSE)&gt;0,"Y",""),"")</f>
        <v>Y</v>
      </c>
      <c r="K80" s="75" t="str">
        <f>IFERROR(IF(VLOOKUP(TableHandbook[[#This Row],[UDC]],TableAvailabilities[],6,FALSE)&gt;0,"Y",""),"")</f>
        <v>Y</v>
      </c>
      <c r="L80" s="75" t="str">
        <f>IFERROR(IF(VLOOKUP(TableHandbook[[#This Row],[UDC]],TableAvailabilities[],7,FALSE)&gt;0,"Y",""),"")</f>
        <v/>
      </c>
      <c r="M80" s="207"/>
      <c r="N80" s="209" t="str">
        <f>IFERROR(VLOOKUP(TableHandbook[[#This Row],[UDC]],TableBEDUC[],7,FALSE),"")</f>
        <v/>
      </c>
      <c r="O80" s="209" t="str">
        <f>IFERROR(VLOOKUP(TableHandbook[[#This Row],[UDC]],TableBEDEC[],7,FALSE),"")</f>
        <v/>
      </c>
      <c r="P80" s="211" t="str">
        <f>IFERROR(VLOOKUP(TableHandbook[[#This Row],[UDC]],TableBEDPR[],7,FALSE),"")</f>
        <v/>
      </c>
      <c r="Q80" s="209" t="str">
        <f>IFERROR(VLOOKUP(TableHandbook[[#This Row],[UDC]],TableSTRUCATHL[],7,FALSE),"")</f>
        <v/>
      </c>
      <c r="R80" s="209" t="str">
        <f>IFERROR(VLOOKUP(TableHandbook[[#This Row],[UDC]],TableSTRUENGLL[],7,FALSE),"")</f>
        <v/>
      </c>
      <c r="S80" s="209" t="str">
        <f>IFERROR(VLOOKUP(TableHandbook[[#This Row],[UDC]],TableSTRUHLTPE[],7,FALSE),"")</f>
        <v/>
      </c>
      <c r="T80" s="209" t="str">
        <f>IFERROR(VLOOKUP(TableHandbook[[#This Row],[UDC]],TableSTRUISTEM[],7,FALSE),"")</f>
        <v/>
      </c>
      <c r="U80" s="209" t="str">
        <f>IFERROR(VLOOKUP(TableHandbook[[#This Row],[UDC]],TableSTRULITNU[],7,FALSE),"")</f>
        <v/>
      </c>
      <c r="V80" s="209" t="str">
        <f>IFERROR(VLOOKUP(TableHandbook[[#This Row],[UDC]],TableSTRUTECHS[],7,FALSE),"")</f>
        <v/>
      </c>
      <c r="W80" s="211" t="str">
        <f>IFERROR(VLOOKUP(TableHandbook[[#This Row],[UDC]],TableBEDSC[],7,FALSE),"")</f>
        <v/>
      </c>
      <c r="X80" s="211" t="str">
        <f>IFERROR(VLOOKUP(TableHandbook[[#This Row],[UDC]],TableMJRUARDR1[],7,FALSE),"")</f>
        <v/>
      </c>
      <c r="Y80" s="209" t="str">
        <f>IFERROR(VLOOKUP(TableHandbook[[#This Row],[UDC]],TableMJRUARME1[],7,FALSE),"")</f>
        <v/>
      </c>
      <c r="Z80" s="209" t="str">
        <f>IFERROR(VLOOKUP(TableHandbook[[#This Row],[UDC]],TableMJRUARVA1[],7,FALSE),"")</f>
        <v/>
      </c>
      <c r="AA80" s="209" t="str">
        <f>IFERROR(VLOOKUP(TableHandbook[[#This Row],[UDC]],TableMJRUENGL1[],7,FALSE),"")</f>
        <v/>
      </c>
      <c r="AB80" s="209" t="str">
        <f>IFERROR(VLOOKUP(TableHandbook[[#This Row],[UDC]],TableMJRUHSEC1[],7,FALSE),"")</f>
        <v/>
      </c>
      <c r="AC80" s="209" t="str">
        <f>IFERROR(VLOOKUP(TableHandbook[[#This Row],[UDC]],TableMJRUHSGE1[],7,FALSE),"")</f>
        <v/>
      </c>
      <c r="AD80" s="209" t="str">
        <f>IFERROR(VLOOKUP(TableHandbook[[#This Row],[UDC]],TableMJRUHSHI1[],7,FALSE),"")</f>
        <v>Option</v>
      </c>
      <c r="AE80" s="209" t="str">
        <f>IFERROR(VLOOKUP(TableHandbook[[#This Row],[UDC]],TableMJRUHSPL1[],7,FALSE),"")</f>
        <v/>
      </c>
      <c r="AF80" s="209" t="str">
        <f>IFERROR(VLOOKUP(TableHandbook[[#This Row],[UDC]],TableMJRUMATH1[],7,FALSE),"")</f>
        <v/>
      </c>
      <c r="AG80" s="209" t="str">
        <f>IFERROR(VLOOKUP(TableHandbook[[#This Row],[UDC]],TableMJRUPHYSE[],7,FALSE),"")</f>
        <v/>
      </c>
      <c r="AH80" s="209" t="str">
        <f>IFERROR(VLOOKUP(TableHandbook[[#This Row],[UDC]],TableMJRUSCBI1[],7,FALSE),"")</f>
        <v/>
      </c>
      <c r="AI80" s="209" t="str">
        <f>IFERROR(VLOOKUP(TableHandbook[[#This Row],[UDC]],TableMJRUSCCH1[],7,FALSE),"")</f>
        <v/>
      </c>
      <c r="AJ80" s="209" t="str">
        <f>IFERROR(VLOOKUP(TableHandbook[[#This Row],[UDC]],TableMJRUSCHB1[],7,FALSE),"")</f>
        <v/>
      </c>
      <c r="AK80" s="209" t="str">
        <f>IFERROR(VLOOKUP(TableHandbook[[#This Row],[UDC]],TableMJRUSCPH1[],7,FALSE),"")</f>
        <v/>
      </c>
      <c r="AL80" s="209" t="str">
        <f>IFERROR(VLOOKUP(TableHandbook[[#This Row],[UDC]],TableMJRUSCPS1[],7,FALSE),"")</f>
        <v/>
      </c>
      <c r="AM80" s="211" t="str">
        <f>IFERROR(VLOOKUP(TableHandbook[[#This Row],[UDC]],TableSTRUBIOLB[],7,FALSE),"")</f>
        <v/>
      </c>
      <c r="AN80" s="209" t="str">
        <f>IFERROR(VLOOKUP(TableHandbook[[#This Row],[UDC]],TableSTRUBSCIM[],7,FALSE),"")</f>
        <v/>
      </c>
      <c r="AO80" s="209" t="str">
        <f>IFERROR(VLOOKUP(TableHandbook[[#This Row],[UDC]],TableSTRUCHEMB[],7,FALSE),"")</f>
        <v/>
      </c>
      <c r="AP80" s="209" t="str">
        <f>IFERROR(VLOOKUP(TableHandbook[[#This Row],[UDC]],TableSTRUECOB1[],7,FALSE),"")</f>
        <v/>
      </c>
      <c r="AQ80" s="209" t="str">
        <f>IFERROR(VLOOKUP(TableHandbook[[#This Row],[UDC]],TableSTRUENGLB[],7,FALSE),"")</f>
        <v/>
      </c>
      <c r="AR80" s="209" t="str">
        <f>IFERROR(VLOOKUP(TableHandbook[[#This Row],[UDC]],TableSTRUENGLM[],7,FALSE),"")</f>
        <v/>
      </c>
      <c r="AS80" s="209" t="str">
        <f>IFERROR(VLOOKUP(TableHandbook[[#This Row],[UDC]],TableSTRUGEOB1[],7,FALSE),"")</f>
        <v/>
      </c>
      <c r="AT80" s="209" t="str">
        <f>IFERROR(VLOOKUP(TableHandbook[[#This Row],[UDC]],TableSTRUGEOGM[],7,FALSE),"")</f>
        <v/>
      </c>
      <c r="AU80" s="209" t="str">
        <f>IFERROR(VLOOKUP(TableHandbook[[#This Row],[UDC]],TableSTRUHISB1[],7,FALSE),"")</f>
        <v/>
      </c>
      <c r="AV80" s="209" t="str">
        <f>IFERROR(VLOOKUP(TableHandbook[[#This Row],[UDC]],TableSTRUHISTM[],7,FALSE),"")</f>
        <v/>
      </c>
      <c r="AW80" s="209" t="str">
        <f>IFERROR(VLOOKUP(TableHandbook[[#This Row],[UDC]],TableSTRUHPEB1[],7,FALSE),"")</f>
        <v/>
      </c>
      <c r="AX80" s="209" t="str">
        <f>IFERROR(VLOOKUP(TableHandbook[[#This Row],[UDC]],TableSTRUHUMBB[],7,FALSE),"")</f>
        <v/>
      </c>
      <c r="AY80" s="209" t="str">
        <f>IFERROR(VLOOKUP(TableHandbook[[#This Row],[UDC]],TableSTRUMARTM[],7,FALSE),"")</f>
        <v/>
      </c>
      <c r="AZ80" s="209" t="str">
        <f>IFERROR(VLOOKUP(TableHandbook[[#This Row],[UDC]],TableSTRUMATHB[],7,FALSE),"")</f>
        <v/>
      </c>
      <c r="BA80" s="209" t="str">
        <f>IFERROR(VLOOKUP(TableHandbook[[#This Row],[UDC]],TableSTRUMATHM[],7,FALSE),"")</f>
        <v/>
      </c>
      <c r="BB80" s="209" t="str">
        <f>IFERROR(VLOOKUP(TableHandbook[[#This Row],[UDC]],TableSTRUPARTB[],7,FALSE),"")</f>
        <v>AltCore</v>
      </c>
      <c r="BC80" s="209" t="str">
        <f>IFERROR(VLOOKUP(TableHandbook[[#This Row],[UDC]],TableSTRUPARTM[],7,FALSE),"")</f>
        <v/>
      </c>
      <c r="BD80" s="209" t="str">
        <f>IFERROR(VLOOKUP(TableHandbook[[#This Row],[UDC]],TableSTRUPOLB1[],7,FALSE),"")</f>
        <v/>
      </c>
      <c r="BE80" s="209" t="str">
        <f>IFERROR(VLOOKUP(TableHandbook[[#This Row],[UDC]],TableSTRUPSYCB[],7,FALSE),"")</f>
        <v/>
      </c>
      <c r="BF80" s="209" t="str">
        <f>IFERROR(VLOOKUP(TableHandbook[[#This Row],[UDC]],TableSTRUPSYCM[],7,FALSE),"")</f>
        <v/>
      </c>
      <c r="BG80" s="209" t="str">
        <f>IFERROR(VLOOKUP(TableHandbook[[#This Row],[UDC]],TableSTRUVARTB[],7,FALSE),"")</f>
        <v/>
      </c>
      <c r="BH80" s="209" t="str">
        <f>IFERROR(VLOOKUP(TableHandbook[[#This Row],[UDC]],TableSTRUVARTM[],7,FALSE),"")</f>
        <v/>
      </c>
    </row>
    <row r="81" spans="1:60" x14ac:dyDescent="0.25">
      <c r="A81" s="6" t="s">
        <v>695</v>
      </c>
      <c r="B81" s="7">
        <v>2</v>
      </c>
      <c r="C81" s="7"/>
      <c r="D81" s="207" t="s">
        <v>853</v>
      </c>
      <c r="E81" s="7">
        <v>25</v>
      </c>
      <c r="F81" s="84" t="s">
        <v>783</v>
      </c>
      <c r="G81" s="75" t="str">
        <f>IFERROR(IF(VLOOKUP(TableHandbook[[#This Row],[UDC]],TableAvailabilities[],2,FALSE)&gt;0,"Y",""),"")</f>
        <v>Y</v>
      </c>
      <c r="H81" s="75" t="str">
        <f>IFERROR(IF(VLOOKUP(TableHandbook[[#This Row],[UDC]],TableAvailabilities[],3,FALSE)&gt;0,"Y",""),"")</f>
        <v>Y</v>
      </c>
      <c r="I81" s="75" t="str">
        <f>IFERROR(IF(VLOOKUP(TableHandbook[[#This Row],[UDC]],TableAvailabilities[],4,FALSE)&gt;0,"Y",""),"")</f>
        <v/>
      </c>
      <c r="J81" s="75" t="str">
        <f>IFERROR(IF(VLOOKUP(TableHandbook[[#This Row],[UDC]],TableAvailabilities[],5,FALSE)&gt;0,"Y",""),"")</f>
        <v>Y</v>
      </c>
      <c r="K81" s="75" t="str">
        <f>IFERROR(IF(VLOOKUP(TableHandbook[[#This Row],[UDC]],TableAvailabilities[],6,FALSE)&gt;0,"Y",""),"")</f>
        <v>Y</v>
      </c>
      <c r="L81" s="75" t="str">
        <f>IFERROR(IF(VLOOKUP(TableHandbook[[#This Row],[UDC]],TableAvailabilities[],7,FALSE)&gt;0,"Y",""),"")</f>
        <v/>
      </c>
      <c r="M81" s="207"/>
      <c r="N81" s="209" t="str">
        <f>IFERROR(VLOOKUP(TableHandbook[[#This Row],[UDC]],TableBEDUC[],7,FALSE),"")</f>
        <v/>
      </c>
      <c r="O81" s="209" t="str">
        <f>IFERROR(VLOOKUP(TableHandbook[[#This Row],[UDC]],TableBEDEC[],7,FALSE),"")</f>
        <v/>
      </c>
      <c r="P81" s="211" t="str">
        <f>IFERROR(VLOOKUP(TableHandbook[[#This Row],[UDC]],TableBEDPR[],7,FALSE),"")</f>
        <v/>
      </c>
      <c r="Q81" s="209" t="str">
        <f>IFERROR(VLOOKUP(TableHandbook[[#This Row],[UDC]],TableSTRUCATHL[],7,FALSE),"")</f>
        <v/>
      </c>
      <c r="R81" s="209" t="str">
        <f>IFERROR(VLOOKUP(TableHandbook[[#This Row],[UDC]],TableSTRUENGLL[],7,FALSE),"")</f>
        <v/>
      </c>
      <c r="S81" s="209" t="str">
        <f>IFERROR(VLOOKUP(TableHandbook[[#This Row],[UDC]],TableSTRUHLTPE[],7,FALSE),"")</f>
        <v/>
      </c>
      <c r="T81" s="209" t="str">
        <f>IFERROR(VLOOKUP(TableHandbook[[#This Row],[UDC]],TableSTRUISTEM[],7,FALSE),"")</f>
        <v/>
      </c>
      <c r="U81" s="209" t="str">
        <f>IFERROR(VLOOKUP(TableHandbook[[#This Row],[UDC]],TableSTRULITNU[],7,FALSE),"")</f>
        <v/>
      </c>
      <c r="V81" s="209" t="str">
        <f>IFERROR(VLOOKUP(TableHandbook[[#This Row],[UDC]],TableSTRUTECHS[],7,FALSE),"")</f>
        <v/>
      </c>
      <c r="W81" s="211" t="str">
        <f>IFERROR(VLOOKUP(TableHandbook[[#This Row],[UDC]],TableBEDSC[],7,FALSE),"")</f>
        <v/>
      </c>
      <c r="X81" s="211" t="str">
        <f>IFERROR(VLOOKUP(TableHandbook[[#This Row],[UDC]],TableMJRUARDR1[],7,FALSE),"")</f>
        <v/>
      </c>
      <c r="Y81" s="209" t="str">
        <f>IFERROR(VLOOKUP(TableHandbook[[#This Row],[UDC]],TableMJRUARME1[],7,FALSE),"")</f>
        <v/>
      </c>
      <c r="Z81" s="209" t="str">
        <f>IFERROR(VLOOKUP(TableHandbook[[#This Row],[UDC]],TableMJRUARVA1[],7,FALSE),"")</f>
        <v/>
      </c>
      <c r="AA81" s="209" t="str">
        <f>IFERROR(VLOOKUP(TableHandbook[[#This Row],[UDC]],TableMJRUENGL1[],7,FALSE),"")</f>
        <v/>
      </c>
      <c r="AB81" s="209" t="str">
        <f>IFERROR(VLOOKUP(TableHandbook[[#This Row],[UDC]],TableMJRUHSEC1[],7,FALSE),"")</f>
        <v/>
      </c>
      <c r="AC81" s="209" t="str">
        <f>IFERROR(VLOOKUP(TableHandbook[[#This Row],[UDC]],TableMJRUHSGE1[],7,FALSE),"")</f>
        <v/>
      </c>
      <c r="AD81" s="209" t="str">
        <f>IFERROR(VLOOKUP(TableHandbook[[#This Row],[UDC]],TableMJRUHSHI1[],7,FALSE),"")</f>
        <v/>
      </c>
      <c r="AE81" s="209" t="str">
        <f>IFERROR(VLOOKUP(TableHandbook[[#This Row],[UDC]],TableMJRUHSPL1[],7,FALSE),"")</f>
        <v/>
      </c>
      <c r="AF81" s="209" t="str">
        <f>IFERROR(VLOOKUP(TableHandbook[[#This Row],[UDC]],TableMJRUMATH1[],7,FALSE),"")</f>
        <v/>
      </c>
      <c r="AG81" s="209" t="str">
        <f>IFERROR(VLOOKUP(TableHandbook[[#This Row],[UDC]],TableMJRUPHYSE[],7,FALSE),"")</f>
        <v/>
      </c>
      <c r="AH81" s="209" t="str">
        <f>IFERROR(VLOOKUP(TableHandbook[[#This Row],[UDC]],TableMJRUSCBI1[],7,FALSE),"")</f>
        <v/>
      </c>
      <c r="AI81" s="209" t="str">
        <f>IFERROR(VLOOKUP(TableHandbook[[#This Row],[UDC]],TableMJRUSCCH1[],7,FALSE),"")</f>
        <v/>
      </c>
      <c r="AJ81" s="209" t="str">
        <f>IFERROR(VLOOKUP(TableHandbook[[#This Row],[UDC]],TableMJRUSCHB1[],7,FALSE),"")</f>
        <v/>
      </c>
      <c r="AK81" s="209" t="str">
        <f>IFERROR(VLOOKUP(TableHandbook[[#This Row],[UDC]],TableMJRUSCPH1[],7,FALSE),"")</f>
        <v/>
      </c>
      <c r="AL81" s="209" t="str">
        <f>IFERROR(VLOOKUP(TableHandbook[[#This Row],[UDC]],TableMJRUSCPS1[],7,FALSE),"")</f>
        <v/>
      </c>
      <c r="AM81" s="211" t="str">
        <f>IFERROR(VLOOKUP(TableHandbook[[#This Row],[UDC]],TableSTRUBIOLB[],7,FALSE),"")</f>
        <v/>
      </c>
      <c r="AN81" s="209" t="str">
        <f>IFERROR(VLOOKUP(TableHandbook[[#This Row],[UDC]],TableSTRUBSCIM[],7,FALSE),"")</f>
        <v/>
      </c>
      <c r="AO81" s="209" t="str">
        <f>IFERROR(VLOOKUP(TableHandbook[[#This Row],[UDC]],TableSTRUCHEMB[],7,FALSE),"")</f>
        <v/>
      </c>
      <c r="AP81" s="209" t="str">
        <f>IFERROR(VLOOKUP(TableHandbook[[#This Row],[UDC]],TableSTRUECOB1[],7,FALSE),"")</f>
        <v/>
      </c>
      <c r="AQ81" s="209" t="str">
        <f>IFERROR(VLOOKUP(TableHandbook[[#This Row],[UDC]],TableSTRUENGLB[],7,FALSE),"")</f>
        <v>Core</v>
      </c>
      <c r="AR81" s="209" t="str">
        <f>IFERROR(VLOOKUP(TableHandbook[[#This Row],[UDC]],TableSTRUENGLM[],7,FALSE),"")</f>
        <v/>
      </c>
      <c r="AS81" s="209" t="str">
        <f>IFERROR(VLOOKUP(TableHandbook[[#This Row],[UDC]],TableSTRUGEOB1[],7,FALSE),"")</f>
        <v/>
      </c>
      <c r="AT81" s="209" t="str">
        <f>IFERROR(VLOOKUP(TableHandbook[[#This Row],[UDC]],TableSTRUGEOGM[],7,FALSE),"")</f>
        <v/>
      </c>
      <c r="AU81" s="209" t="str">
        <f>IFERROR(VLOOKUP(TableHandbook[[#This Row],[UDC]],TableSTRUHISB1[],7,FALSE),"")</f>
        <v/>
      </c>
      <c r="AV81" s="209" t="str">
        <f>IFERROR(VLOOKUP(TableHandbook[[#This Row],[UDC]],TableSTRUHISTM[],7,FALSE),"")</f>
        <v/>
      </c>
      <c r="AW81" s="209" t="str">
        <f>IFERROR(VLOOKUP(TableHandbook[[#This Row],[UDC]],TableSTRUHPEB1[],7,FALSE),"")</f>
        <v/>
      </c>
      <c r="AX81" s="209" t="str">
        <f>IFERROR(VLOOKUP(TableHandbook[[#This Row],[UDC]],TableSTRUHUMBB[],7,FALSE),"")</f>
        <v/>
      </c>
      <c r="AY81" s="209" t="str">
        <f>IFERROR(VLOOKUP(TableHandbook[[#This Row],[UDC]],TableSTRUMARTM[],7,FALSE),"")</f>
        <v/>
      </c>
      <c r="AZ81" s="209" t="str">
        <f>IFERROR(VLOOKUP(TableHandbook[[#This Row],[UDC]],TableSTRUMATHB[],7,FALSE),"")</f>
        <v/>
      </c>
      <c r="BA81" s="209" t="str">
        <f>IFERROR(VLOOKUP(TableHandbook[[#This Row],[UDC]],TableSTRUMATHM[],7,FALSE),"")</f>
        <v/>
      </c>
      <c r="BB81" s="209" t="str">
        <f>IFERROR(VLOOKUP(TableHandbook[[#This Row],[UDC]],TableSTRUPARTB[],7,FALSE),"")</f>
        <v/>
      </c>
      <c r="BC81" s="209" t="str">
        <f>IFERROR(VLOOKUP(TableHandbook[[#This Row],[UDC]],TableSTRUPARTM[],7,FALSE),"")</f>
        <v/>
      </c>
      <c r="BD81" s="209" t="str">
        <f>IFERROR(VLOOKUP(TableHandbook[[#This Row],[UDC]],TableSTRUPOLB1[],7,FALSE),"")</f>
        <v/>
      </c>
      <c r="BE81" s="209" t="str">
        <f>IFERROR(VLOOKUP(TableHandbook[[#This Row],[UDC]],TableSTRUPSYCB[],7,FALSE),"")</f>
        <v/>
      </c>
      <c r="BF81" s="209" t="str">
        <f>IFERROR(VLOOKUP(TableHandbook[[#This Row],[UDC]],TableSTRUPSYCM[],7,FALSE),"")</f>
        <v/>
      </c>
      <c r="BG81" s="209" t="str">
        <f>IFERROR(VLOOKUP(TableHandbook[[#This Row],[UDC]],TableSTRUVARTB[],7,FALSE),"")</f>
        <v/>
      </c>
      <c r="BH81" s="209" t="str">
        <f>IFERROR(VLOOKUP(TableHandbook[[#This Row],[UDC]],TableSTRUVARTM[],7,FALSE),"")</f>
        <v/>
      </c>
    </row>
    <row r="82" spans="1:60" x14ac:dyDescent="0.25">
      <c r="A82" s="296" t="s">
        <v>600</v>
      </c>
      <c r="B82" s="7">
        <v>2</v>
      </c>
      <c r="C82" s="7"/>
      <c r="D82" s="207" t="s">
        <v>854</v>
      </c>
      <c r="E82" s="7">
        <v>25</v>
      </c>
      <c r="F82" s="84" t="s">
        <v>855</v>
      </c>
      <c r="G82" s="75" t="str">
        <f>IFERROR(IF(VLOOKUP(TableHandbook[[#This Row],[UDC]],TableAvailabilities[],2,FALSE)&gt;0,"Y",""),"")</f>
        <v/>
      </c>
      <c r="H82" s="75" t="str">
        <f>IFERROR(IF(VLOOKUP(TableHandbook[[#This Row],[UDC]],TableAvailabilities[],3,FALSE)&gt;0,"Y",""),"")</f>
        <v/>
      </c>
      <c r="I82" s="75" t="str">
        <f>IFERROR(IF(VLOOKUP(TableHandbook[[#This Row],[UDC]],TableAvailabilities[],4,FALSE)&gt;0,"Y",""),"")</f>
        <v/>
      </c>
      <c r="J82" s="75" t="str">
        <f>IFERROR(IF(VLOOKUP(TableHandbook[[#This Row],[UDC]],TableAvailabilities[],5,FALSE)&gt;0,"Y",""),"")</f>
        <v>Y</v>
      </c>
      <c r="K82" s="75" t="str">
        <f>IFERROR(IF(VLOOKUP(TableHandbook[[#This Row],[UDC]],TableAvailabilities[],6,FALSE)&gt;0,"Y",""),"")</f>
        <v>Y</v>
      </c>
      <c r="L82" s="75" t="str">
        <f>IFERROR(IF(VLOOKUP(TableHandbook[[#This Row],[UDC]],TableAvailabilities[],7,FALSE)&gt;0,"Y",""),"")</f>
        <v/>
      </c>
      <c r="M82" s="207"/>
      <c r="N82" s="209" t="str">
        <f>IFERROR(VLOOKUP(TableHandbook[[#This Row],[UDC]],TableBEDUC[],7,FALSE),"")</f>
        <v/>
      </c>
      <c r="O82" s="209" t="str">
        <f>IFERROR(VLOOKUP(TableHandbook[[#This Row],[UDC]],TableBEDEC[],7,FALSE),"")</f>
        <v/>
      </c>
      <c r="P82" s="211" t="str">
        <f>IFERROR(VLOOKUP(TableHandbook[[#This Row],[UDC]],TableBEDPR[],7,FALSE),"")</f>
        <v/>
      </c>
      <c r="Q82" s="209" t="str">
        <f>IFERROR(VLOOKUP(TableHandbook[[#This Row],[UDC]],TableSTRUCATHL[],7,FALSE),"")</f>
        <v/>
      </c>
      <c r="R82" s="209" t="str">
        <f>IFERROR(VLOOKUP(TableHandbook[[#This Row],[UDC]],TableSTRUENGLL[],7,FALSE),"")</f>
        <v/>
      </c>
      <c r="S82" s="209" t="str">
        <f>IFERROR(VLOOKUP(TableHandbook[[#This Row],[UDC]],TableSTRUHLTPE[],7,FALSE),"")</f>
        <v/>
      </c>
      <c r="T82" s="209" t="str">
        <f>IFERROR(VLOOKUP(TableHandbook[[#This Row],[UDC]],TableSTRUISTEM[],7,FALSE),"")</f>
        <v/>
      </c>
      <c r="U82" s="209" t="str">
        <f>IFERROR(VLOOKUP(TableHandbook[[#This Row],[UDC]],TableSTRULITNU[],7,FALSE),"")</f>
        <v/>
      </c>
      <c r="V82" s="209" t="str">
        <f>IFERROR(VLOOKUP(TableHandbook[[#This Row],[UDC]],TableSTRUTECHS[],7,FALSE),"")</f>
        <v/>
      </c>
      <c r="W82" s="211" t="str">
        <f>IFERROR(VLOOKUP(TableHandbook[[#This Row],[UDC]],TableBEDSC[],7,FALSE),"")</f>
        <v/>
      </c>
      <c r="X82" s="211" t="str">
        <f>IFERROR(VLOOKUP(TableHandbook[[#This Row],[UDC]],TableMJRUARDR1[],7,FALSE),"")</f>
        <v/>
      </c>
      <c r="Y82" s="209" t="str">
        <f>IFERROR(VLOOKUP(TableHandbook[[#This Row],[UDC]],TableMJRUARME1[],7,FALSE),"")</f>
        <v/>
      </c>
      <c r="Z82" s="209" t="str">
        <f>IFERROR(VLOOKUP(TableHandbook[[#This Row],[UDC]],TableMJRUARVA1[],7,FALSE),"")</f>
        <v/>
      </c>
      <c r="AA82" s="209" t="str">
        <f>IFERROR(VLOOKUP(TableHandbook[[#This Row],[UDC]],TableMJRUENGL1[],7,FALSE),"")</f>
        <v>Option</v>
      </c>
      <c r="AB82" s="209" t="str">
        <f>IFERROR(VLOOKUP(TableHandbook[[#This Row],[UDC]],TableMJRUHSEC1[],7,FALSE),"")</f>
        <v/>
      </c>
      <c r="AC82" s="209" t="str">
        <f>IFERROR(VLOOKUP(TableHandbook[[#This Row],[UDC]],TableMJRUHSGE1[],7,FALSE),"")</f>
        <v/>
      </c>
      <c r="AD82" s="209" t="str">
        <f>IFERROR(VLOOKUP(TableHandbook[[#This Row],[UDC]],TableMJRUHSHI1[],7,FALSE),"")</f>
        <v/>
      </c>
      <c r="AE82" s="209" t="str">
        <f>IFERROR(VLOOKUP(TableHandbook[[#This Row],[UDC]],TableMJRUHSPL1[],7,FALSE),"")</f>
        <v/>
      </c>
      <c r="AF82" s="209" t="str">
        <f>IFERROR(VLOOKUP(TableHandbook[[#This Row],[UDC]],TableMJRUMATH1[],7,FALSE),"")</f>
        <v/>
      </c>
      <c r="AG82" s="209" t="str">
        <f>IFERROR(VLOOKUP(TableHandbook[[#This Row],[UDC]],TableMJRUPHYSE[],7,FALSE),"")</f>
        <v/>
      </c>
      <c r="AH82" s="209" t="str">
        <f>IFERROR(VLOOKUP(TableHandbook[[#This Row],[UDC]],TableMJRUSCBI1[],7,FALSE),"")</f>
        <v/>
      </c>
      <c r="AI82" s="209" t="str">
        <f>IFERROR(VLOOKUP(TableHandbook[[#This Row],[UDC]],TableMJRUSCCH1[],7,FALSE),"")</f>
        <v/>
      </c>
      <c r="AJ82" s="209" t="str">
        <f>IFERROR(VLOOKUP(TableHandbook[[#This Row],[UDC]],TableMJRUSCHB1[],7,FALSE),"")</f>
        <v/>
      </c>
      <c r="AK82" s="209" t="str">
        <f>IFERROR(VLOOKUP(TableHandbook[[#This Row],[UDC]],TableMJRUSCPH1[],7,FALSE),"")</f>
        <v/>
      </c>
      <c r="AL82" s="209" t="str">
        <f>IFERROR(VLOOKUP(TableHandbook[[#This Row],[UDC]],TableMJRUSCPS1[],7,FALSE),"")</f>
        <v/>
      </c>
      <c r="AM82" s="211" t="str">
        <f>IFERROR(VLOOKUP(TableHandbook[[#This Row],[UDC]],TableSTRUBIOLB[],7,FALSE),"")</f>
        <v/>
      </c>
      <c r="AN82" s="209" t="str">
        <f>IFERROR(VLOOKUP(TableHandbook[[#This Row],[UDC]],TableSTRUBSCIM[],7,FALSE),"")</f>
        <v/>
      </c>
      <c r="AO82" s="209" t="str">
        <f>IFERROR(VLOOKUP(TableHandbook[[#This Row],[UDC]],TableSTRUCHEMB[],7,FALSE),"")</f>
        <v/>
      </c>
      <c r="AP82" s="209" t="str">
        <f>IFERROR(VLOOKUP(TableHandbook[[#This Row],[UDC]],TableSTRUECOB1[],7,FALSE),"")</f>
        <v/>
      </c>
      <c r="AQ82" s="209" t="str">
        <f>IFERROR(VLOOKUP(TableHandbook[[#This Row],[UDC]],TableSTRUENGLB[],7,FALSE),"")</f>
        <v>Core</v>
      </c>
      <c r="AR82" s="209" t="str">
        <f>IFERROR(VLOOKUP(TableHandbook[[#This Row],[UDC]],TableSTRUENGLM[],7,FALSE),"")</f>
        <v/>
      </c>
      <c r="AS82" s="209" t="str">
        <f>IFERROR(VLOOKUP(TableHandbook[[#This Row],[UDC]],TableSTRUGEOB1[],7,FALSE),"")</f>
        <v/>
      </c>
      <c r="AT82" s="209" t="str">
        <f>IFERROR(VLOOKUP(TableHandbook[[#This Row],[UDC]],TableSTRUGEOGM[],7,FALSE),"")</f>
        <v/>
      </c>
      <c r="AU82" s="209" t="str">
        <f>IFERROR(VLOOKUP(TableHandbook[[#This Row],[UDC]],TableSTRUHISB1[],7,FALSE),"")</f>
        <v/>
      </c>
      <c r="AV82" s="209" t="str">
        <f>IFERROR(VLOOKUP(TableHandbook[[#This Row],[UDC]],TableSTRUHISTM[],7,FALSE),"")</f>
        <v/>
      </c>
      <c r="AW82" s="209" t="str">
        <f>IFERROR(VLOOKUP(TableHandbook[[#This Row],[UDC]],TableSTRUHPEB1[],7,FALSE),"")</f>
        <v/>
      </c>
      <c r="AX82" s="209" t="str">
        <f>IFERROR(VLOOKUP(TableHandbook[[#This Row],[UDC]],TableSTRUHUMBB[],7,FALSE),"")</f>
        <v/>
      </c>
      <c r="AY82" s="209" t="str">
        <f>IFERROR(VLOOKUP(TableHandbook[[#This Row],[UDC]],TableSTRUMARTM[],7,FALSE),"")</f>
        <v/>
      </c>
      <c r="AZ82" s="209" t="str">
        <f>IFERROR(VLOOKUP(TableHandbook[[#This Row],[UDC]],TableSTRUMATHB[],7,FALSE),"")</f>
        <v/>
      </c>
      <c r="BA82" s="209" t="str">
        <f>IFERROR(VLOOKUP(TableHandbook[[#This Row],[UDC]],TableSTRUMATHM[],7,FALSE),"")</f>
        <v/>
      </c>
      <c r="BB82" s="209" t="str">
        <f>IFERROR(VLOOKUP(TableHandbook[[#This Row],[UDC]],TableSTRUPARTB[],7,FALSE),"")</f>
        <v/>
      </c>
      <c r="BC82" s="209" t="str">
        <f>IFERROR(VLOOKUP(TableHandbook[[#This Row],[UDC]],TableSTRUPARTM[],7,FALSE),"")</f>
        <v/>
      </c>
      <c r="BD82" s="209" t="str">
        <f>IFERROR(VLOOKUP(TableHandbook[[#This Row],[UDC]],TableSTRUPOLB1[],7,FALSE),"")</f>
        <v/>
      </c>
      <c r="BE82" s="209" t="str">
        <f>IFERROR(VLOOKUP(TableHandbook[[#This Row],[UDC]],TableSTRUPSYCB[],7,FALSE),"")</f>
        <v/>
      </c>
      <c r="BF82" s="209" t="str">
        <f>IFERROR(VLOOKUP(TableHandbook[[#This Row],[UDC]],TableSTRUPSYCM[],7,FALSE),"")</f>
        <v/>
      </c>
      <c r="BG82" s="209" t="str">
        <f>IFERROR(VLOOKUP(TableHandbook[[#This Row],[UDC]],TableSTRUVARTB[],7,FALSE),"")</f>
        <v/>
      </c>
      <c r="BH82" s="209" t="str">
        <f>IFERROR(VLOOKUP(TableHandbook[[#This Row],[UDC]],TableSTRUVARTM[],7,FALSE),"")</f>
        <v/>
      </c>
    </row>
    <row r="83" spans="1:60" x14ac:dyDescent="0.25">
      <c r="A83" s="296" t="s">
        <v>607</v>
      </c>
      <c r="B83" s="7">
        <v>1</v>
      </c>
      <c r="C83" s="7"/>
      <c r="D83" s="207" t="s">
        <v>856</v>
      </c>
      <c r="E83" s="7">
        <v>25</v>
      </c>
      <c r="F83" s="84" t="s">
        <v>857</v>
      </c>
      <c r="G83" s="75" t="str">
        <f>IFERROR(IF(VLOOKUP(TableHandbook[[#This Row],[UDC]],TableAvailabilities[],2,FALSE)&gt;0,"Y",""),"")</f>
        <v>Y</v>
      </c>
      <c r="H83" s="75" t="str">
        <f>IFERROR(IF(VLOOKUP(TableHandbook[[#This Row],[UDC]],TableAvailabilities[],3,FALSE)&gt;0,"Y",""),"")</f>
        <v>Y</v>
      </c>
      <c r="I83" s="75" t="str">
        <f>IFERROR(IF(VLOOKUP(TableHandbook[[#This Row],[UDC]],TableAvailabilities[],4,FALSE)&gt;0,"Y",""),"")</f>
        <v/>
      </c>
      <c r="J83" s="75" t="str">
        <f>IFERROR(IF(VLOOKUP(TableHandbook[[#This Row],[UDC]],TableAvailabilities[],5,FALSE)&gt;0,"Y",""),"")</f>
        <v/>
      </c>
      <c r="K83" s="75" t="str">
        <f>IFERROR(IF(VLOOKUP(TableHandbook[[#This Row],[UDC]],TableAvailabilities[],6,FALSE)&gt;0,"Y",""),"")</f>
        <v/>
      </c>
      <c r="L83" s="75" t="str">
        <f>IFERROR(IF(VLOOKUP(TableHandbook[[#This Row],[UDC]],TableAvailabilities[],7,FALSE)&gt;0,"Y",""),"")</f>
        <v/>
      </c>
      <c r="M83" s="207"/>
      <c r="N83" s="209" t="str">
        <f>IFERROR(VLOOKUP(TableHandbook[[#This Row],[UDC]],TableBEDUC[],7,FALSE),"")</f>
        <v/>
      </c>
      <c r="O83" s="209" t="str">
        <f>IFERROR(VLOOKUP(TableHandbook[[#This Row],[UDC]],TableBEDEC[],7,FALSE),"")</f>
        <v/>
      </c>
      <c r="P83" s="211" t="str">
        <f>IFERROR(VLOOKUP(TableHandbook[[#This Row],[UDC]],TableBEDPR[],7,FALSE),"")</f>
        <v/>
      </c>
      <c r="Q83" s="209" t="str">
        <f>IFERROR(VLOOKUP(TableHandbook[[#This Row],[UDC]],TableSTRUCATHL[],7,FALSE),"")</f>
        <v/>
      </c>
      <c r="R83" s="209" t="str">
        <f>IFERROR(VLOOKUP(TableHandbook[[#This Row],[UDC]],TableSTRUENGLL[],7,FALSE),"")</f>
        <v/>
      </c>
      <c r="S83" s="209" t="str">
        <f>IFERROR(VLOOKUP(TableHandbook[[#This Row],[UDC]],TableSTRUHLTPE[],7,FALSE),"")</f>
        <v/>
      </c>
      <c r="T83" s="209" t="str">
        <f>IFERROR(VLOOKUP(TableHandbook[[#This Row],[UDC]],TableSTRUISTEM[],7,FALSE),"")</f>
        <v/>
      </c>
      <c r="U83" s="209" t="str">
        <f>IFERROR(VLOOKUP(TableHandbook[[#This Row],[UDC]],TableSTRULITNU[],7,FALSE),"")</f>
        <v/>
      </c>
      <c r="V83" s="209" t="str">
        <f>IFERROR(VLOOKUP(TableHandbook[[#This Row],[UDC]],TableSTRUTECHS[],7,FALSE),"")</f>
        <v/>
      </c>
      <c r="W83" s="211" t="str">
        <f>IFERROR(VLOOKUP(TableHandbook[[#This Row],[UDC]],TableBEDSC[],7,FALSE),"")</f>
        <v/>
      </c>
      <c r="X83" s="211" t="str">
        <f>IFERROR(VLOOKUP(TableHandbook[[#This Row],[UDC]],TableMJRUARDR1[],7,FALSE),"")</f>
        <v/>
      </c>
      <c r="Y83" s="209" t="str">
        <f>IFERROR(VLOOKUP(TableHandbook[[#This Row],[UDC]],TableMJRUARME1[],7,FALSE),"")</f>
        <v/>
      </c>
      <c r="Z83" s="209" t="str">
        <f>IFERROR(VLOOKUP(TableHandbook[[#This Row],[UDC]],TableMJRUARVA1[],7,FALSE),"")</f>
        <v/>
      </c>
      <c r="AA83" s="209" t="str">
        <f>IFERROR(VLOOKUP(TableHandbook[[#This Row],[UDC]],TableMJRUENGL1[],7,FALSE),"")</f>
        <v>Option</v>
      </c>
      <c r="AB83" s="209" t="str">
        <f>IFERROR(VLOOKUP(TableHandbook[[#This Row],[UDC]],TableMJRUHSEC1[],7,FALSE),"")</f>
        <v/>
      </c>
      <c r="AC83" s="209" t="str">
        <f>IFERROR(VLOOKUP(TableHandbook[[#This Row],[UDC]],TableMJRUHSGE1[],7,FALSE),"")</f>
        <v/>
      </c>
      <c r="AD83" s="209" t="str">
        <f>IFERROR(VLOOKUP(TableHandbook[[#This Row],[UDC]],TableMJRUHSHI1[],7,FALSE),"")</f>
        <v/>
      </c>
      <c r="AE83" s="209" t="str">
        <f>IFERROR(VLOOKUP(TableHandbook[[#This Row],[UDC]],TableMJRUHSPL1[],7,FALSE),"")</f>
        <v/>
      </c>
      <c r="AF83" s="209" t="str">
        <f>IFERROR(VLOOKUP(TableHandbook[[#This Row],[UDC]],TableMJRUMATH1[],7,FALSE),"")</f>
        <v/>
      </c>
      <c r="AG83" s="209" t="str">
        <f>IFERROR(VLOOKUP(TableHandbook[[#This Row],[UDC]],TableMJRUPHYSE[],7,FALSE),"")</f>
        <v/>
      </c>
      <c r="AH83" s="209" t="str">
        <f>IFERROR(VLOOKUP(TableHandbook[[#This Row],[UDC]],TableMJRUSCBI1[],7,FALSE),"")</f>
        <v/>
      </c>
      <c r="AI83" s="209" t="str">
        <f>IFERROR(VLOOKUP(TableHandbook[[#This Row],[UDC]],TableMJRUSCCH1[],7,FALSE),"")</f>
        <v/>
      </c>
      <c r="AJ83" s="209" t="str">
        <f>IFERROR(VLOOKUP(TableHandbook[[#This Row],[UDC]],TableMJRUSCHB1[],7,FALSE),"")</f>
        <v/>
      </c>
      <c r="AK83" s="209" t="str">
        <f>IFERROR(VLOOKUP(TableHandbook[[#This Row],[UDC]],TableMJRUSCPH1[],7,FALSE),"")</f>
        <v/>
      </c>
      <c r="AL83" s="209" t="str">
        <f>IFERROR(VLOOKUP(TableHandbook[[#This Row],[UDC]],TableMJRUSCPS1[],7,FALSE),"")</f>
        <v/>
      </c>
      <c r="AM83" s="211" t="str">
        <f>IFERROR(VLOOKUP(TableHandbook[[#This Row],[UDC]],TableSTRUBIOLB[],7,FALSE),"")</f>
        <v/>
      </c>
      <c r="AN83" s="209" t="str">
        <f>IFERROR(VLOOKUP(TableHandbook[[#This Row],[UDC]],TableSTRUBSCIM[],7,FALSE),"")</f>
        <v/>
      </c>
      <c r="AO83" s="209" t="str">
        <f>IFERROR(VLOOKUP(TableHandbook[[#This Row],[UDC]],TableSTRUCHEMB[],7,FALSE),"")</f>
        <v/>
      </c>
      <c r="AP83" s="209" t="str">
        <f>IFERROR(VLOOKUP(TableHandbook[[#This Row],[UDC]],TableSTRUECOB1[],7,FALSE),"")</f>
        <v/>
      </c>
      <c r="AQ83" s="209" t="str">
        <f>IFERROR(VLOOKUP(TableHandbook[[#This Row],[UDC]],TableSTRUENGLB[],7,FALSE),"")</f>
        <v/>
      </c>
      <c r="AR83" s="209" t="str">
        <f>IFERROR(VLOOKUP(TableHandbook[[#This Row],[UDC]],TableSTRUENGLM[],7,FALSE),"")</f>
        <v/>
      </c>
      <c r="AS83" s="209" t="str">
        <f>IFERROR(VLOOKUP(TableHandbook[[#This Row],[UDC]],TableSTRUGEOB1[],7,FALSE),"")</f>
        <v/>
      </c>
      <c r="AT83" s="209" t="str">
        <f>IFERROR(VLOOKUP(TableHandbook[[#This Row],[UDC]],TableSTRUGEOGM[],7,FALSE),"")</f>
        <v/>
      </c>
      <c r="AU83" s="209" t="str">
        <f>IFERROR(VLOOKUP(TableHandbook[[#This Row],[UDC]],TableSTRUHISB1[],7,FALSE),"")</f>
        <v/>
      </c>
      <c r="AV83" s="209" t="str">
        <f>IFERROR(VLOOKUP(TableHandbook[[#This Row],[UDC]],TableSTRUHISTM[],7,FALSE),"")</f>
        <v/>
      </c>
      <c r="AW83" s="209" t="str">
        <f>IFERROR(VLOOKUP(TableHandbook[[#This Row],[UDC]],TableSTRUHPEB1[],7,FALSE),"")</f>
        <v/>
      </c>
      <c r="AX83" s="209" t="str">
        <f>IFERROR(VLOOKUP(TableHandbook[[#This Row],[UDC]],TableSTRUHUMBB[],7,FALSE),"")</f>
        <v/>
      </c>
      <c r="AY83" s="209" t="str">
        <f>IFERROR(VLOOKUP(TableHandbook[[#This Row],[UDC]],TableSTRUMARTM[],7,FALSE),"")</f>
        <v/>
      </c>
      <c r="AZ83" s="209" t="str">
        <f>IFERROR(VLOOKUP(TableHandbook[[#This Row],[UDC]],TableSTRUMATHB[],7,FALSE),"")</f>
        <v/>
      </c>
      <c r="BA83" s="209" t="str">
        <f>IFERROR(VLOOKUP(TableHandbook[[#This Row],[UDC]],TableSTRUMATHM[],7,FALSE),"")</f>
        <v/>
      </c>
      <c r="BB83" s="209" t="str">
        <f>IFERROR(VLOOKUP(TableHandbook[[#This Row],[UDC]],TableSTRUPARTB[],7,FALSE),"")</f>
        <v>AltCore</v>
      </c>
      <c r="BC83" s="209" t="str">
        <f>IFERROR(VLOOKUP(TableHandbook[[#This Row],[UDC]],TableSTRUPARTM[],7,FALSE),"")</f>
        <v/>
      </c>
      <c r="BD83" s="209" t="str">
        <f>IFERROR(VLOOKUP(TableHandbook[[#This Row],[UDC]],TableSTRUPOLB1[],7,FALSE),"")</f>
        <v/>
      </c>
      <c r="BE83" s="209" t="str">
        <f>IFERROR(VLOOKUP(TableHandbook[[#This Row],[UDC]],TableSTRUPSYCB[],7,FALSE),"")</f>
        <v/>
      </c>
      <c r="BF83" s="209" t="str">
        <f>IFERROR(VLOOKUP(TableHandbook[[#This Row],[UDC]],TableSTRUPSYCM[],7,FALSE),"")</f>
        <v/>
      </c>
      <c r="BG83" s="209" t="str">
        <f>IFERROR(VLOOKUP(TableHandbook[[#This Row],[UDC]],TableSTRUVARTB[],7,FALSE),"")</f>
        <v/>
      </c>
      <c r="BH83" s="209" t="str">
        <f>IFERROR(VLOOKUP(TableHandbook[[#This Row],[UDC]],TableSTRUVARTM[],7,FALSE),"")</f>
        <v/>
      </c>
    </row>
    <row r="84" spans="1:60" x14ac:dyDescent="0.25">
      <c r="A84" s="6" t="s">
        <v>174</v>
      </c>
      <c r="B84" s="7">
        <v>2</v>
      </c>
      <c r="C84" s="7"/>
      <c r="D84" s="207" t="s">
        <v>858</v>
      </c>
      <c r="E84" s="7">
        <v>25</v>
      </c>
      <c r="F84" s="84" t="s">
        <v>783</v>
      </c>
      <c r="G84" s="75" t="str">
        <f>IFERROR(IF(VLOOKUP(TableHandbook[[#This Row],[UDC]],TableAvailabilities[],2,FALSE)&gt;0,"Y",""),"")</f>
        <v>Y</v>
      </c>
      <c r="H84" s="75" t="str">
        <f>IFERROR(IF(VLOOKUP(TableHandbook[[#This Row],[UDC]],TableAvailabilities[],3,FALSE)&gt;0,"Y",""),"")</f>
        <v>Y</v>
      </c>
      <c r="I84" s="75" t="str">
        <f>IFERROR(IF(VLOOKUP(TableHandbook[[#This Row],[UDC]],TableAvailabilities[],4,FALSE)&gt;0,"Y",""),"")</f>
        <v>Y</v>
      </c>
      <c r="J84" s="75" t="str">
        <f>IFERROR(IF(VLOOKUP(TableHandbook[[#This Row],[UDC]],TableAvailabilities[],5,FALSE)&gt;0,"Y",""),"")</f>
        <v/>
      </c>
      <c r="K84" s="75" t="str">
        <f>IFERROR(IF(VLOOKUP(TableHandbook[[#This Row],[UDC]],TableAvailabilities[],6,FALSE)&gt;0,"Y",""),"")</f>
        <v/>
      </c>
      <c r="L84" s="75" t="str">
        <f>IFERROR(IF(VLOOKUP(TableHandbook[[#This Row],[UDC]],TableAvailabilities[],7,FALSE)&gt;0,"Y",""),"")</f>
        <v/>
      </c>
      <c r="M84" s="207"/>
      <c r="N84" s="209" t="str">
        <f>IFERROR(VLOOKUP(TableHandbook[[#This Row],[UDC]],TableBEDUC[],7,FALSE),"")</f>
        <v/>
      </c>
      <c r="O84" s="209" t="str">
        <f>IFERROR(VLOOKUP(TableHandbook[[#This Row],[UDC]],TableBEDEC[],7,FALSE),"")</f>
        <v>Option</v>
      </c>
      <c r="P84" s="211" t="str">
        <f>IFERROR(VLOOKUP(TableHandbook[[#This Row],[UDC]],TableBEDPR[],7,FALSE),"")</f>
        <v/>
      </c>
      <c r="Q84" s="209" t="str">
        <f>IFERROR(VLOOKUP(TableHandbook[[#This Row],[UDC]],TableSTRUCATHL[],7,FALSE),"")</f>
        <v>Core</v>
      </c>
      <c r="R84" s="209" t="str">
        <f>IFERROR(VLOOKUP(TableHandbook[[#This Row],[UDC]],TableSTRUENGLL[],7,FALSE),"")</f>
        <v/>
      </c>
      <c r="S84" s="209" t="str">
        <f>IFERROR(VLOOKUP(TableHandbook[[#This Row],[UDC]],TableSTRUHLTPE[],7,FALSE),"")</f>
        <v/>
      </c>
      <c r="T84" s="209" t="str">
        <f>IFERROR(VLOOKUP(TableHandbook[[#This Row],[UDC]],TableSTRUISTEM[],7,FALSE),"")</f>
        <v/>
      </c>
      <c r="U84" s="209" t="str">
        <f>IFERROR(VLOOKUP(TableHandbook[[#This Row],[UDC]],TableSTRULITNU[],7,FALSE),"")</f>
        <v/>
      </c>
      <c r="V84" s="209" t="str">
        <f>IFERROR(VLOOKUP(TableHandbook[[#This Row],[UDC]],TableSTRUTECHS[],7,FALSE),"")</f>
        <v/>
      </c>
      <c r="W84" s="211" t="str">
        <f>IFERROR(VLOOKUP(TableHandbook[[#This Row],[UDC]],TableBEDSC[],7,FALSE),"")</f>
        <v/>
      </c>
      <c r="X84" s="211" t="str">
        <f>IFERROR(VLOOKUP(TableHandbook[[#This Row],[UDC]],TableMJRUARDR1[],7,FALSE),"")</f>
        <v/>
      </c>
      <c r="Y84" s="209" t="str">
        <f>IFERROR(VLOOKUP(TableHandbook[[#This Row],[UDC]],TableMJRUARME1[],7,FALSE),"")</f>
        <v/>
      </c>
      <c r="Z84" s="209" t="str">
        <f>IFERROR(VLOOKUP(TableHandbook[[#This Row],[UDC]],TableMJRUARVA1[],7,FALSE),"")</f>
        <v/>
      </c>
      <c r="AA84" s="209" t="str">
        <f>IFERROR(VLOOKUP(TableHandbook[[#This Row],[UDC]],TableMJRUENGL1[],7,FALSE),"")</f>
        <v/>
      </c>
      <c r="AB84" s="209" t="str">
        <f>IFERROR(VLOOKUP(TableHandbook[[#This Row],[UDC]],TableMJRUHSEC1[],7,FALSE),"")</f>
        <v/>
      </c>
      <c r="AC84" s="209" t="str">
        <f>IFERROR(VLOOKUP(TableHandbook[[#This Row],[UDC]],TableMJRUHSGE1[],7,FALSE),"")</f>
        <v/>
      </c>
      <c r="AD84" s="209" t="str">
        <f>IFERROR(VLOOKUP(TableHandbook[[#This Row],[UDC]],TableMJRUHSHI1[],7,FALSE),"")</f>
        <v/>
      </c>
      <c r="AE84" s="209" t="str">
        <f>IFERROR(VLOOKUP(TableHandbook[[#This Row],[UDC]],TableMJRUHSPL1[],7,FALSE),"")</f>
        <v/>
      </c>
      <c r="AF84" s="209" t="str">
        <f>IFERROR(VLOOKUP(TableHandbook[[#This Row],[UDC]],TableMJRUMATH1[],7,FALSE),"")</f>
        <v/>
      </c>
      <c r="AG84" s="209" t="str">
        <f>IFERROR(VLOOKUP(TableHandbook[[#This Row],[UDC]],TableMJRUPHYSE[],7,FALSE),"")</f>
        <v/>
      </c>
      <c r="AH84" s="209" t="str">
        <f>IFERROR(VLOOKUP(TableHandbook[[#This Row],[UDC]],TableMJRUSCBI1[],7,FALSE),"")</f>
        <v/>
      </c>
      <c r="AI84" s="209" t="str">
        <f>IFERROR(VLOOKUP(TableHandbook[[#This Row],[UDC]],TableMJRUSCCH1[],7,FALSE),"")</f>
        <v/>
      </c>
      <c r="AJ84" s="209" t="str">
        <f>IFERROR(VLOOKUP(TableHandbook[[#This Row],[UDC]],TableMJRUSCHB1[],7,FALSE),"")</f>
        <v/>
      </c>
      <c r="AK84" s="209" t="str">
        <f>IFERROR(VLOOKUP(TableHandbook[[#This Row],[UDC]],TableMJRUSCPH1[],7,FALSE),"")</f>
        <v/>
      </c>
      <c r="AL84" s="209" t="str">
        <f>IFERROR(VLOOKUP(TableHandbook[[#This Row],[UDC]],TableMJRUSCPS1[],7,FALSE),"")</f>
        <v/>
      </c>
      <c r="AM84" s="211" t="str">
        <f>IFERROR(VLOOKUP(TableHandbook[[#This Row],[UDC]],TableSTRUBIOLB[],7,FALSE),"")</f>
        <v/>
      </c>
      <c r="AN84" s="209" t="str">
        <f>IFERROR(VLOOKUP(TableHandbook[[#This Row],[UDC]],TableSTRUBSCIM[],7,FALSE),"")</f>
        <v/>
      </c>
      <c r="AO84" s="209" t="str">
        <f>IFERROR(VLOOKUP(TableHandbook[[#This Row],[UDC]],TableSTRUCHEMB[],7,FALSE),"")</f>
        <v/>
      </c>
      <c r="AP84" s="209" t="str">
        <f>IFERROR(VLOOKUP(TableHandbook[[#This Row],[UDC]],TableSTRUECOB1[],7,FALSE),"")</f>
        <v/>
      </c>
      <c r="AQ84" s="209" t="str">
        <f>IFERROR(VLOOKUP(TableHandbook[[#This Row],[UDC]],TableSTRUENGLB[],7,FALSE),"")</f>
        <v/>
      </c>
      <c r="AR84" s="209" t="str">
        <f>IFERROR(VLOOKUP(TableHandbook[[#This Row],[UDC]],TableSTRUENGLM[],7,FALSE),"")</f>
        <v/>
      </c>
      <c r="AS84" s="209" t="str">
        <f>IFERROR(VLOOKUP(TableHandbook[[#This Row],[UDC]],TableSTRUGEOB1[],7,FALSE),"")</f>
        <v/>
      </c>
      <c r="AT84" s="209" t="str">
        <f>IFERROR(VLOOKUP(TableHandbook[[#This Row],[UDC]],TableSTRUGEOGM[],7,FALSE),"")</f>
        <v/>
      </c>
      <c r="AU84" s="209" t="str">
        <f>IFERROR(VLOOKUP(TableHandbook[[#This Row],[UDC]],TableSTRUHISB1[],7,FALSE),"")</f>
        <v/>
      </c>
      <c r="AV84" s="209" t="str">
        <f>IFERROR(VLOOKUP(TableHandbook[[#This Row],[UDC]],TableSTRUHISTM[],7,FALSE),"")</f>
        <v/>
      </c>
      <c r="AW84" s="209" t="str">
        <f>IFERROR(VLOOKUP(TableHandbook[[#This Row],[UDC]],TableSTRUHPEB1[],7,FALSE),"")</f>
        <v>Option</v>
      </c>
      <c r="AX84" s="209" t="str">
        <f>IFERROR(VLOOKUP(TableHandbook[[#This Row],[UDC]],TableSTRUHUMBB[],7,FALSE),"")</f>
        <v/>
      </c>
      <c r="AY84" s="209" t="str">
        <f>IFERROR(VLOOKUP(TableHandbook[[#This Row],[UDC]],TableSTRUMARTM[],7,FALSE),"")</f>
        <v/>
      </c>
      <c r="AZ84" s="209" t="str">
        <f>IFERROR(VLOOKUP(TableHandbook[[#This Row],[UDC]],TableSTRUMATHB[],7,FALSE),"")</f>
        <v>Option</v>
      </c>
      <c r="BA84" s="209" t="str">
        <f>IFERROR(VLOOKUP(TableHandbook[[#This Row],[UDC]],TableSTRUMATHM[],7,FALSE),"")</f>
        <v/>
      </c>
      <c r="BB84" s="209" t="str">
        <f>IFERROR(VLOOKUP(TableHandbook[[#This Row],[UDC]],TableSTRUPARTB[],7,FALSE),"")</f>
        <v>Option</v>
      </c>
      <c r="BC84" s="209" t="str">
        <f>IFERROR(VLOOKUP(TableHandbook[[#This Row],[UDC]],TableSTRUPARTM[],7,FALSE),"")</f>
        <v/>
      </c>
      <c r="BD84" s="209" t="str">
        <f>IFERROR(VLOOKUP(TableHandbook[[#This Row],[UDC]],TableSTRUPOLB1[],7,FALSE),"")</f>
        <v/>
      </c>
      <c r="BE84" s="209" t="str">
        <f>IFERROR(VLOOKUP(TableHandbook[[#This Row],[UDC]],TableSTRUPSYCB[],7,FALSE),"")</f>
        <v/>
      </c>
      <c r="BF84" s="209" t="str">
        <f>IFERROR(VLOOKUP(TableHandbook[[#This Row],[UDC]],TableSTRUPSYCM[],7,FALSE),"")</f>
        <v/>
      </c>
      <c r="BG84" s="209" t="str">
        <f>IFERROR(VLOOKUP(TableHandbook[[#This Row],[UDC]],TableSTRUVARTB[],7,FALSE),"")</f>
        <v/>
      </c>
      <c r="BH84" s="209" t="str">
        <f>IFERROR(VLOOKUP(TableHandbook[[#This Row],[UDC]],TableSTRUVARTM[],7,FALSE),"")</f>
        <v/>
      </c>
    </row>
    <row r="85" spans="1:60" x14ac:dyDescent="0.25">
      <c r="A85" s="6" t="s">
        <v>167</v>
      </c>
      <c r="B85" s="7">
        <v>1</v>
      </c>
      <c r="C85" s="7"/>
      <c r="D85" s="207" t="s">
        <v>859</v>
      </c>
      <c r="E85" s="7">
        <v>25</v>
      </c>
      <c r="F85" s="84" t="s">
        <v>783</v>
      </c>
      <c r="G85" s="75" t="str">
        <f>IFERROR(IF(VLOOKUP(TableHandbook[[#This Row],[UDC]],TableAvailabilities[],2,FALSE)&gt;0,"Y",""),"")</f>
        <v/>
      </c>
      <c r="H85" s="75" t="str">
        <f>IFERROR(IF(VLOOKUP(TableHandbook[[#This Row],[UDC]],TableAvailabilities[],3,FALSE)&gt;0,"Y",""),"")</f>
        <v/>
      </c>
      <c r="I85" s="75" t="str">
        <f>IFERROR(IF(VLOOKUP(TableHandbook[[#This Row],[UDC]],TableAvailabilities[],4,FALSE)&gt;0,"Y",""),"")</f>
        <v/>
      </c>
      <c r="J85" s="75" t="str">
        <f>IFERROR(IF(VLOOKUP(TableHandbook[[#This Row],[UDC]],TableAvailabilities[],5,FALSE)&gt;0,"Y",""),"")</f>
        <v>Y</v>
      </c>
      <c r="K85" s="75" t="str">
        <f>IFERROR(IF(VLOOKUP(TableHandbook[[#This Row],[UDC]],TableAvailabilities[],6,FALSE)&gt;0,"Y",""),"")</f>
        <v>Y</v>
      </c>
      <c r="L85" s="75" t="str">
        <f>IFERROR(IF(VLOOKUP(TableHandbook[[#This Row],[UDC]],TableAvailabilities[],7,FALSE)&gt;0,"Y",""),"")</f>
        <v>Y</v>
      </c>
      <c r="M85" s="207"/>
      <c r="N85" s="209" t="str">
        <f>IFERROR(VLOOKUP(TableHandbook[[#This Row],[UDC]],TableBEDUC[],7,FALSE),"")</f>
        <v/>
      </c>
      <c r="O85" s="209" t="str">
        <f>IFERROR(VLOOKUP(TableHandbook[[#This Row],[UDC]],TableBEDEC[],7,FALSE),"")</f>
        <v>Option</v>
      </c>
      <c r="P85" s="211" t="str">
        <f>IFERROR(VLOOKUP(TableHandbook[[#This Row],[UDC]],TableBEDPR[],7,FALSE),"")</f>
        <v/>
      </c>
      <c r="Q85" s="209" t="str">
        <f>IFERROR(VLOOKUP(TableHandbook[[#This Row],[UDC]],TableSTRUCATHL[],7,FALSE),"")</f>
        <v>Core</v>
      </c>
      <c r="R85" s="209" t="str">
        <f>IFERROR(VLOOKUP(TableHandbook[[#This Row],[UDC]],TableSTRUENGLL[],7,FALSE),"")</f>
        <v/>
      </c>
      <c r="S85" s="209" t="str">
        <f>IFERROR(VLOOKUP(TableHandbook[[#This Row],[UDC]],TableSTRUHLTPE[],7,FALSE),"")</f>
        <v/>
      </c>
      <c r="T85" s="209" t="str">
        <f>IFERROR(VLOOKUP(TableHandbook[[#This Row],[UDC]],TableSTRUISTEM[],7,FALSE),"")</f>
        <v/>
      </c>
      <c r="U85" s="209" t="str">
        <f>IFERROR(VLOOKUP(TableHandbook[[#This Row],[UDC]],TableSTRULITNU[],7,FALSE),"")</f>
        <v/>
      </c>
      <c r="V85" s="209" t="str">
        <f>IFERROR(VLOOKUP(TableHandbook[[#This Row],[UDC]],TableSTRUTECHS[],7,FALSE),"")</f>
        <v/>
      </c>
      <c r="W85" s="211" t="str">
        <f>IFERROR(VLOOKUP(TableHandbook[[#This Row],[UDC]],TableBEDSC[],7,FALSE),"")</f>
        <v/>
      </c>
      <c r="X85" s="211" t="str">
        <f>IFERROR(VLOOKUP(TableHandbook[[#This Row],[UDC]],TableMJRUARDR1[],7,FALSE),"")</f>
        <v/>
      </c>
      <c r="Y85" s="209" t="str">
        <f>IFERROR(VLOOKUP(TableHandbook[[#This Row],[UDC]],TableMJRUARME1[],7,FALSE),"")</f>
        <v/>
      </c>
      <c r="Z85" s="209" t="str">
        <f>IFERROR(VLOOKUP(TableHandbook[[#This Row],[UDC]],TableMJRUARVA1[],7,FALSE),"")</f>
        <v/>
      </c>
      <c r="AA85" s="209" t="str">
        <f>IFERROR(VLOOKUP(TableHandbook[[#This Row],[UDC]],TableMJRUENGL1[],7,FALSE),"")</f>
        <v/>
      </c>
      <c r="AB85" s="209" t="str">
        <f>IFERROR(VLOOKUP(TableHandbook[[#This Row],[UDC]],TableMJRUHSEC1[],7,FALSE),"")</f>
        <v/>
      </c>
      <c r="AC85" s="209" t="str">
        <f>IFERROR(VLOOKUP(TableHandbook[[#This Row],[UDC]],TableMJRUHSGE1[],7,FALSE),"")</f>
        <v/>
      </c>
      <c r="AD85" s="209" t="str">
        <f>IFERROR(VLOOKUP(TableHandbook[[#This Row],[UDC]],TableMJRUHSHI1[],7,FALSE),"")</f>
        <v/>
      </c>
      <c r="AE85" s="209" t="str">
        <f>IFERROR(VLOOKUP(TableHandbook[[#This Row],[UDC]],TableMJRUHSPL1[],7,FALSE),"")</f>
        <v/>
      </c>
      <c r="AF85" s="209" t="str">
        <f>IFERROR(VLOOKUP(TableHandbook[[#This Row],[UDC]],TableMJRUMATH1[],7,FALSE),"")</f>
        <v/>
      </c>
      <c r="AG85" s="209" t="str">
        <f>IFERROR(VLOOKUP(TableHandbook[[#This Row],[UDC]],TableMJRUPHYSE[],7,FALSE),"")</f>
        <v/>
      </c>
      <c r="AH85" s="209" t="str">
        <f>IFERROR(VLOOKUP(TableHandbook[[#This Row],[UDC]],TableMJRUSCBI1[],7,FALSE),"")</f>
        <v/>
      </c>
      <c r="AI85" s="209" t="str">
        <f>IFERROR(VLOOKUP(TableHandbook[[#This Row],[UDC]],TableMJRUSCCH1[],7,FALSE),"")</f>
        <v/>
      </c>
      <c r="AJ85" s="209" t="str">
        <f>IFERROR(VLOOKUP(TableHandbook[[#This Row],[UDC]],TableMJRUSCHB1[],7,FALSE),"")</f>
        <v/>
      </c>
      <c r="AK85" s="209" t="str">
        <f>IFERROR(VLOOKUP(TableHandbook[[#This Row],[UDC]],TableMJRUSCPH1[],7,FALSE),"")</f>
        <v/>
      </c>
      <c r="AL85" s="209" t="str">
        <f>IFERROR(VLOOKUP(TableHandbook[[#This Row],[UDC]],TableMJRUSCPS1[],7,FALSE),"")</f>
        <v/>
      </c>
      <c r="AM85" s="211" t="str">
        <f>IFERROR(VLOOKUP(TableHandbook[[#This Row],[UDC]],TableSTRUBIOLB[],7,FALSE),"")</f>
        <v/>
      </c>
      <c r="AN85" s="209" t="str">
        <f>IFERROR(VLOOKUP(TableHandbook[[#This Row],[UDC]],TableSTRUBSCIM[],7,FALSE),"")</f>
        <v/>
      </c>
      <c r="AO85" s="209" t="str">
        <f>IFERROR(VLOOKUP(TableHandbook[[#This Row],[UDC]],TableSTRUCHEMB[],7,FALSE),"")</f>
        <v/>
      </c>
      <c r="AP85" s="209" t="str">
        <f>IFERROR(VLOOKUP(TableHandbook[[#This Row],[UDC]],TableSTRUECOB1[],7,FALSE),"")</f>
        <v/>
      </c>
      <c r="AQ85" s="209" t="str">
        <f>IFERROR(VLOOKUP(TableHandbook[[#This Row],[UDC]],TableSTRUENGLB[],7,FALSE),"")</f>
        <v/>
      </c>
      <c r="AR85" s="209" t="str">
        <f>IFERROR(VLOOKUP(TableHandbook[[#This Row],[UDC]],TableSTRUENGLM[],7,FALSE),"")</f>
        <v/>
      </c>
      <c r="AS85" s="209" t="str">
        <f>IFERROR(VLOOKUP(TableHandbook[[#This Row],[UDC]],TableSTRUGEOB1[],7,FALSE),"")</f>
        <v/>
      </c>
      <c r="AT85" s="209" t="str">
        <f>IFERROR(VLOOKUP(TableHandbook[[#This Row],[UDC]],TableSTRUGEOGM[],7,FALSE),"")</f>
        <v/>
      </c>
      <c r="AU85" s="209" t="str">
        <f>IFERROR(VLOOKUP(TableHandbook[[#This Row],[UDC]],TableSTRUHISB1[],7,FALSE),"")</f>
        <v/>
      </c>
      <c r="AV85" s="209" t="str">
        <f>IFERROR(VLOOKUP(TableHandbook[[#This Row],[UDC]],TableSTRUHISTM[],7,FALSE),"")</f>
        <v/>
      </c>
      <c r="AW85" s="209" t="str">
        <f>IFERROR(VLOOKUP(TableHandbook[[#This Row],[UDC]],TableSTRUHPEB1[],7,FALSE),"")</f>
        <v>Option</v>
      </c>
      <c r="AX85" s="209" t="str">
        <f>IFERROR(VLOOKUP(TableHandbook[[#This Row],[UDC]],TableSTRUHUMBB[],7,FALSE),"")</f>
        <v/>
      </c>
      <c r="AY85" s="209" t="str">
        <f>IFERROR(VLOOKUP(TableHandbook[[#This Row],[UDC]],TableSTRUMARTM[],7,FALSE),"")</f>
        <v/>
      </c>
      <c r="AZ85" s="209" t="str">
        <f>IFERROR(VLOOKUP(TableHandbook[[#This Row],[UDC]],TableSTRUMATHB[],7,FALSE),"")</f>
        <v>Option</v>
      </c>
      <c r="BA85" s="209" t="str">
        <f>IFERROR(VLOOKUP(TableHandbook[[#This Row],[UDC]],TableSTRUMATHM[],7,FALSE),"")</f>
        <v/>
      </c>
      <c r="BB85" s="209" t="str">
        <f>IFERROR(VLOOKUP(TableHandbook[[#This Row],[UDC]],TableSTRUPARTB[],7,FALSE),"")</f>
        <v>Option</v>
      </c>
      <c r="BC85" s="209" t="str">
        <f>IFERROR(VLOOKUP(TableHandbook[[#This Row],[UDC]],TableSTRUPARTM[],7,FALSE),"")</f>
        <v/>
      </c>
      <c r="BD85" s="209" t="str">
        <f>IFERROR(VLOOKUP(TableHandbook[[#This Row],[UDC]],TableSTRUPOLB1[],7,FALSE),"")</f>
        <v/>
      </c>
      <c r="BE85" s="209" t="str">
        <f>IFERROR(VLOOKUP(TableHandbook[[#This Row],[UDC]],TableSTRUPSYCB[],7,FALSE),"")</f>
        <v/>
      </c>
      <c r="BF85" s="209" t="str">
        <f>IFERROR(VLOOKUP(TableHandbook[[#This Row],[UDC]],TableSTRUPSYCM[],7,FALSE),"")</f>
        <v/>
      </c>
      <c r="BG85" s="209" t="str">
        <f>IFERROR(VLOOKUP(TableHandbook[[#This Row],[UDC]],TableSTRUVARTB[],7,FALSE),"")</f>
        <v/>
      </c>
      <c r="BH85" s="209" t="str">
        <f>IFERROR(VLOOKUP(TableHandbook[[#This Row],[UDC]],TableSTRUVARTM[],7,FALSE),"")</f>
        <v/>
      </c>
    </row>
    <row r="86" spans="1:60" x14ac:dyDescent="0.25">
      <c r="A86" s="6" t="s">
        <v>180</v>
      </c>
      <c r="B86" s="7">
        <v>1</v>
      </c>
      <c r="C86" s="7"/>
      <c r="D86" s="207" t="s">
        <v>860</v>
      </c>
      <c r="E86" s="7">
        <v>25</v>
      </c>
      <c r="F86" s="84" t="s">
        <v>783</v>
      </c>
      <c r="G86" s="75" t="str">
        <f>IFERROR(IF(VLOOKUP(TableHandbook[[#This Row],[UDC]],TableAvailabilities[],2,FALSE)&gt;0,"Y",""),"")</f>
        <v>Y</v>
      </c>
      <c r="H86" s="75" t="str">
        <f>IFERROR(IF(VLOOKUP(TableHandbook[[#This Row],[UDC]],TableAvailabilities[],3,FALSE)&gt;0,"Y",""),"")</f>
        <v>Y</v>
      </c>
      <c r="I86" s="75" t="str">
        <f>IFERROR(IF(VLOOKUP(TableHandbook[[#This Row],[UDC]],TableAvailabilities[],4,FALSE)&gt;0,"Y",""),"")</f>
        <v>Y</v>
      </c>
      <c r="J86" s="75" t="str">
        <f>IFERROR(IF(VLOOKUP(TableHandbook[[#This Row],[UDC]],TableAvailabilities[],5,FALSE)&gt;0,"Y",""),"")</f>
        <v/>
      </c>
      <c r="K86" s="75" t="str">
        <f>IFERROR(IF(VLOOKUP(TableHandbook[[#This Row],[UDC]],TableAvailabilities[],6,FALSE)&gt;0,"Y",""),"")</f>
        <v/>
      </c>
      <c r="L86" s="75" t="str">
        <f>IFERROR(IF(VLOOKUP(TableHandbook[[#This Row],[UDC]],TableAvailabilities[],7,FALSE)&gt;0,"Y",""),"")</f>
        <v/>
      </c>
      <c r="M86" s="207"/>
      <c r="N86" s="209" t="str">
        <f>IFERROR(VLOOKUP(TableHandbook[[#This Row],[UDC]],TableBEDUC[],7,FALSE),"")</f>
        <v/>
      </c>
      <c r="O86" s="209" t="str">
        <f>IFERROR(VLOOKUP(TableHandbook[[#This Row],[UDC]],TableBEDEC[],7,FALSE),"")</f>
        <v>Option</v>
      </c>
      <c r="P86" s="211" t="str">
        <f>IFERROR(VLOOKUP(TableHandbook[[#This Row],[UDC]],TableBEDPR[],7,FALSE),"")</f>
        <v/>
      </c>
      <c r="Q86" s="209" t="str">
        <f>IFERROR(VLOOKUP(TableHandbook[[#This Row],[UDC]],TableSTRUCATHL[],7,FALSE),"")</f>
        <v>Core</v>
      </c>
      <c r="R86" s="209" t="str">
        <f>IFERROR(VLOOKUP(TableHandbook[[#This Row],[UDC]],TableSTRUENGLL[],7,FALSE),"")</f>
        <v/>
      </c>
      <c r="S86" s="209" t="str">
        <f>IFERROR(VLOOKUP(TableHandbook[[#This Row],[UDC]],TableSTRUHLTPE[],7,FALSE),"")</f>
        <v/>
      </c>
      <c r="T86" s="209" t="str">
        <f>IFERROR(VLOOKUP(TableHandbook[[#This Row],[UDC]],TableSTRUISTEM[],7,FALSE),"")</f>
        <v/>
      </c>
      <c r="U86" s="209" t="str">
        <f>IFERROR(VLOOKUP(TableHandbook[[#This Row],[UDC]],TableSTRULITNU[],7,FALSE),"")</f>
        <v/>
      </c>
      <c r="V86" s="209" t="str">
        <f>IFERROR(VLOOKUP(TableHandbook[[#This Row],[UDC]],TableSTRUTECHS[],7,FALSE),"")</f>
        <v/>
      </c>
      <c r="W86" s="211" t="str">
        <f>IFERROR(VLOOKUP(TableHandbook[[#This Row],[UDC]],TableBEDSC[],7,FALSE),"")</f>
        <v/>
      </c>
      <c r="X86" s="211" t="str">
        <f>IFERROR(VLOOKUP(TableHandbook[[#This Row],[UDC]],TableMJRUARDR1[],7,FALSE),"")</f>
        <v/>
      </c>
      <c r="Y86" s="209" t="str">
        <f>IFERROR(VLOOKUP(TableHandbook[[#This Row],[UDC]],TableMJRUARME1[],7,FALSE),"")</f>
        <v/>
      </c>
      <c r="Z86" s="209" t="str">
        <f>IFERROR(VLOOKUP(TableHandbook[[#This Row],[UDC]],TableMJRUARVA1[],7,FALSE),"")</f>
        <v/>
      </c>
      <c r="AA86" s="209" t="str">
        <f>IFERROR(VLOOKUP(TableHandbook[[#This Row],[UDC]],TableMJRUENGL1[],7,FALSE),"")</f>
        <v/>
      </c>
      <c r="AB86" s="209" t="str">
        <f>IFERROR(VLOOKUP(TableHandbook[[#This Row],[UDC]],TableMJRUHSEC1[],7,FALSE),"")</f>
        <v/>
      </c>
      <c r="AC86" s="209" t="str">
        <f>IFERROR(VLOOKUP(TableHandbook[[#This Row],[UDC]],TableMJRUHSGE1[],7,FALSE),"")</f>
        <v/>
      </c>
      <c r="AD86" s="209" t="str">
        <f>IFERROR(VLOOKUP(TableHandbook[[#This Row],[UDC]],TableMJRUHSHI1[],7,FALSE),"")</f>
        <v/>
      </c>
      <c r="AE86" s="209" t="str">
        <f>IFERROR(VLOOKUP(TableHandbook[[#This Row],[UDC]],TableMJRUHSPL1[],7,FALSE),"")</f>
        <v/>
      </c>
      <c r="AF86" s="209" t="str">
        <f>IFERROR(VLOOKUP(TableHandbook[[#This Row],[UDC]],TableMJRUMATH1[],7,FALSE),"")</f>
        <v/>
      </c>
      <c r="AG86" s="209" t="str">
        <f>IFERROR(VLOOKUP(TableHandbook[[#This Row],[UDC]],TableMJRUPHYSE[],7,FALSE),"")</f>
        <v/>
      </c>
      <c r="AH86" s="209" t="str">
        <f>IFERROR(VLOOKUP(TableHandbook[[#This Row],[UDC]],TableMJRUSCBI1[],7,FALSE),"")</f>
        <v/>
      </c>
      <c r="AI86" s="209" t="str">
        <f>IFERROR(VLOOKUP(TableHandbook[[#This Row],[UDC]],TableMJRUSCCH1[],7,FALSE),"")</f>
        <v/>
      </c>
      <c r="AJ86" s="209" t="str">
        <f>IFERROR(VLOOKUP(TableHandbook[[#This Row],[UDC]],TableMJRUSCHB1[],7,FALSE),"")</f>
        <v/>
      </c>
      <c r="AK86" s="209" t="str">
        <f>IFERROR(VLOOKUP(TableHandbook[[#This Row],[UDC]],TableMJRUSCPH1[],7,FALSE),"")</f>
        <v/>
      </c>
      <c r="AL86" s="209" t="str">
        <f>IFERROR(VLOOKUP(TableHandbook[[#This Row],[UDC]],TableMJRUSCPS1[],7,FALSE),"")</f>
        <v/>
      </c>
      <c r="AM86" s="211" t="str">
        <f>IFERROR(VLOOKUP(TableHandbook[[#This Row],[UDC]],TableSTRUBIOLB[],7,FALSE),"")</f>
        <v/>
      </c>
      <c r="AN86" s="209" t="str">
        <f>IFERROR(VLOOKUP(TableHandbook[[#This Row],[UDC]],TableSTRUBSCIM[],7,FALSE),"")</f>
        <v/>
      </c>
      <c r="AO86" s="209" t="str">
        <f>IFERROR(VLOOKUP(TableHandbook[[#This Row],[UDC]],TableSTRUCHEMB[],7,FALSE),"")</f>
        <v/>
      </c>
      <c r="AP86" s="209" t="str">
        <f>IFERROR(VLOOKUP(TableHandbook[[#This Row],[UDC]],TableSTRUECOB1[],7,FALSE),"")</f>
        <v/>
      </c>
      <c r="AQ86" s="209" t="str">
        <f>IFERROR(VLOOKUP(TableHandbook[[#This Row],[UDC]],TableSTRUENGLB[],7,FALSE),"")</f>
        <v/>
      </c>
      <c r="AR86" s="209" t="str">
        <f>IFERROR(VLOOKUP(TableHandbook[[#This Row],[UDC]],TableSTRUENGLM[],7,FALSE),"")</f>
        <v/>
      </c>
      <c r="AS86" s="209" t="str">
        <f>IFERROR(VLOOKUP(TableHandbook[[#This Row],[UDC]],TableSTRUGEOB1[],7,FALSE),"")</f>
        <v/>
      </c>
      <c r="AT86" s="209" t="str">
        <f>IFERROR(VLOOKUP(TableHandbook[[#This Row],[UDC]],TableSTRUGEOGM[],7,FALSE),"")</f>
        <v/>
      </c>
      <c r="AU86" s="209" t="str">
        <f>IFERROR(VLOOKUP(TableHandbook[[#This Row],[UDC]],TableSTRUHISB1[],7,FALSE),"")</f>
        <v/>
      </c>
      <c r="AV86" s="209" t="str">
        <f>IFERROR(VLOOKUP(TableHandbook[[#This Row],[UDC]],TableSTRUHISTM[],7,FALSE),"")</f>
        <v/>
      </c>
      <c r="AW86" s="209" t="str">
        <f>IFERROR(VLOOKUP(TableHandbook[[#This Row],[UDC]],TableSTRUHPEB1[],7,FALSE),"")</f>
        <v>Option</v>
      </c>
      <c r="AX86" s="209" t="str">
        <f>IFERROR(VLOOKUP(TableHandbook[[#This Row],[UDC]],TableSTRUHUMBB[],7,FALSE),"")</f>
        <v/>
      </c>
      <c r="AY86" s="209" t="str">
        <f>IFERROR(VLOOKUP(TableHandbook[[#This Row],[UDC]],TableSTRUMARTM[],7,FALSE),"")</f>
        <v/>
      </c>
      <c r="AZ86" s="209" t="str">
        <f>IFERROR(VLOOKUP(TableHandbook[[#This Row],[UDC]],TableSTRUMATHB[],7,FALSE),"")</f>
        <v>Option</v>
      </c>
      <c r="BA86" s="209" t="str">
        <f>IFERROR(VLOOKUP(TableHandbook[[#This Row],[UDC]],TableSTRUMATHM[],7,FALSE),"")</f>
        <v/>
      </c>
      <c r="BB86" s="209" t="str">
        <f>IFERROR(VLOOKUP(TableHandbook[[#This Row],[UDC]],TableSTRUPARTB[],7,FALSE),"")</f>
        <v>Option</v>
      </c>
      <c r="BC86" s="209" t="str">
        <f>IFERROR(VLOOKUP(TableHandbook[[#This Row],[UDC]],TableSTRUPARTM[],7,FALSE),"")</f>
        <v/>
      </c>
      <c r="BD86" s="209" t="str">
        <f>IFERROR(VLOOKUP(TableHandbook[[#This Row],[UDC]],TableSTRUPOLB1[],7,FALSE),"")</f>
        <v/>
      </c>
      <c r="BE86" s="209" t="str">
        <f>IFERROR(VLOOKUP(TableHandbook[[#This Row],[UDC]],TableSTRUPSYCB[],7,FALSE),"")</f>
        <v/>
      </c>
      <c r="BF86" s="209" t="str">
        <f>IFERROR(VLOOKUP(TableHandbook[[#This Row],[UDC]],TableSTRUPSYCM[],7,FALSE),"")</f>
        <v/>
      </c>
      <c r="BG86" s="209" t="str">
        <f>IFERROR(VLOOKUP(TableHandbook[[#This Row],[UDC]],TableSTRUVARTB[],7,FALSE),"")</f>
        <v/>
      </c>
      <c r="BH86" s="209" t="str">
        <f>IFERROR(VLOOKUP(TableHandbook[[#This Row],[UDC]],TableSTRUVARTM[],7,FALSE),"")</f>
        <v/>
      </c>
    </row>
    <row r="87" spans="1:60" x14ac:dyDescent="0.25">
      <c r="A87" s="6" t="s">
        <v>451</v>
      </c>
      <c r="B87" s="7">
        <v>2</v>
      </c>
      <c r="C87" s="7"/>
      <c r="D87" s="207" t="s">
        <v>861</v>
      </c>
      <c r="E87" s="7">
        <v>25</v>
      </c>
      <c r="F87" s="84" t="s">
        <v>783</v>
      </c>
      <c r="G87" s="75" t="str">
        <f>IFERROR(IF(VLOOKUP(TableHandbook[[#This Row],[UDC]],TableAvailabilities[],2,FALSE)&gt;0,"Y",""),"")</f>
        <v/>
      </c>
      <c r="H87" s="75" t="str">
        <f>IFERROR(IF(VLOOKUP(TableHandbook[[#This Row],[UDC]],TableAvailabilities[],3,FALSE)&gt;0,"Y",""),"")</f>
        <v/>
      </c>
      <c r="I87" s="75" t="str">
        <f>IFERROR(IF(VLOOKUP(TableHandbook[[#This Row],[UDC]],TableAvailabilities[],4,FALSE)&gt;0,"Y",""),"")</f>
        <v/>
      </c>
      <c r="J87" s="75" t="str">
        <f>IFERROR(IF(VLOOKUP(TableHandbook[[#This Row],[UDC]],TableAvailabilities[],5,FALSE)&gt;0,"Y",""),"")</f>
        <v>Y</v>
      </c>
      <c r="K87" s="75" t="str">
        <f>IFERROR(IF(VLOOKUP(TableHandbook[[#This Row],[UDC]],TableAvailabilities[],6,FALSE)&gt;0,"Y",""),"")</f>
        <v>Y</v>
      </c>
      <c r="L87" s="75" t="str">
        <f>IFERROR(IF(VLOOKUP(TableHandbook[[#This Row],[UDC]],TableAvailabilities[],7,FALSE)&gt;0,"Y",""),"")</f>
        <v/>
      </c>
      <c r="M87" s="207"/>
      <c r="N87" s="209" t="str">
        <f>IFERROR(VLOOKUP(TableHandbook[[#This Row],[UDC]],TableBEDUC[],7,FALSE),"")</f>
        <v/>
      </c>
      <c r="O87" s="209" t="str">
        <f>IFERROR(VLOOKUP(TableHandbook[[#This Row],[UDC]],TableBEDEC[],7,FALSE),"")</f>
        <v/>
      </c>
      <c r="P87" s="211" t="str">
        <f>IFERROR(VLOOKUP(TableHandbook[[#This Row],[UDC]],TableBEDPR[],7,FALSE),"")</f>
        <v/>
      </c>
      <c r="Q87" s="209" t="str">
        <f>IFERROR(VLOOKUP(TableHandbook[[#This Row],[UDC]],TableSTRUCATHL[],7,FALSE),"")</f>
        <v/>
      </c>
      <c r="R87" s="209" t="str">
        <f>IFERROR(VLOOKUP(TableHandbook[[#This Row],[UDC]],TableSTRUENGLL[],7,FALSE),"")</f>
        <v/>
      </c>
      <c r="S87" s="209" t="str">
        <f>IFERROR(VLOOKUP(TableHandbook[[#This Row],[UDC]],TableSTRUHLTPE[],7,FALSE),"")</f>
        <v/>
      </c>
      <c r="T87" s="209" t="str">
        <f>IFERROR(VLOOKUP(TableHandbook[[#This Row],[UDC]],TableSTRUISTEM[],7,FALSE),"")</f>
        <v/>
      </c>
      <c r="U87" s="209" t="str">
        <f>IFERROR(VLOOKUP(TableHandbook[[#This Row],[UDC]],TableSTRULITNU[],7,FALSE),"")</f>
        <v/>
      </c>
      <c r="V87" s="209" t="str">
        <f>IFERROR(VLOOKUP(TableHandbook[[#This Row],[UDC]],TableSTRUTECHS[],7,FALSE),"")</f>
        <v/>
      </c>
      <c r="W87" s="211" t="str">
        <f>IFERROR(VLOOKUP(TableHandbook[[#This Row],[UDC]],TableBEDSC[],7,FALSE),"")</f>
        <v/>
      </c>
      <c r="X87" s="211" t="str">
        <f>IFERROR(VLOOKUP(TableHandbook[[#This Row],[UDC]],TableMJRUARDR1[],7,FALSE),"")</f>
        <v/>
      </c>
      <c r="Y87" s="209" t="str">
        <f>IFERROR(VLOOKUP(TableHandbook[[#This Row],[UDC]],TableMJRUARME1[],7,FALSE),"")</f>
        <v/>
      </c>
      <c r="Z87" s="209" t="str">
        <f>IFERROR(VLOOKUP(TableHandbook[[#This Row],[UDC]],TableMJRUARVA1[],7,FALSE),"")</f>
        <v/>
      </c>
      <c r="AA87" s="209" t="str">
        <f>IFERROR(VLOOKUP(TableHandbook[[#This Row],[UDC]],TableMJRUENGL1[],7,FALSE),"")</f>
        <v>Core</v>
      </c>
      <c r="AB87" s="209" t="str">
        <f>IFERROR(VLOOKUP(TableHandbook[[#This Row],[UDC]],TableMJRUHSEC1[],7,FALSE),"")</f>
        <v/>
      </c>
      <c r="AC87" s="209" t="str">
        <f>IFERROR(VLOOKUP(TableHandbook[[#This Row],[UDC]],TableMJRUHSGE1[],7,FALSE),"")</f>
        <v/>
      </c>
      <c r="AD87" s="209" t="str">
        <f>IFERROR(VLOOKUP(TableHandbook[[#This Row],[UDC]],TableMJRUHSHI1[],7,FALSE),"")</f>
        <v/>
      </c>
      <c r="AE87" s="209" t="str">
        <f>IFERROR(VLOOKUP(TableHandbook[[#This Row],[UDC]],TableMJRUHSPL1[],7,FALSE),"")</f>
        <v/>
      </c>
      <c r="AF87" s="209" t="str">
        <f>IFERROR(VLOOKUP(TableHandbook[[#This Row],[UDC]],TableMJRUMATH1[],7,FALSE),"")</f>
        <v/>
      </c>
      <c r="AG87" s="209" t="str">
        <f>IFERROR(VLOOKUP(TableHandbook[[#This Row],[UDC]],TableMJRUPHYSE[],7,FALSE),"")</f>
        <v/>
      </c>
      <c r="AH87" s="209" t="str">
        <f>IFERROR(VLOOKUP(TableHandbook[[#This Row],[UDC]],TableMJRUSCBI1[],7,FALSE),"")</f>
        <v/>
      </c>
      <c r="AI87" s="209" t="str">
        <f>IFERROR(VLOOKUP(TableHandbook[[#This Row],[UDC]],TableMJRUSCCH1[],7,FALSE),"")</f>
        <v/>
      </c>
      <c r="AJ87" s="209" t="str">
        <f>IFERROR(VLOOKUP(TableHandbook[[#This Row],[UDC]],TableMJRUSCHB1[],7,FALSE),"")</f>
        <v/>
      </c>
      <c r="AK87" s="209" t="str">
        <f>IFERROR(VLOOKUP(TableHandbook[[#This Row],[UDC]],TableMJRUSCPH1[],7,FALSE),"")</f>
        <v/>
      </c>
      <c r="AL87" s="209" t="str">
        <f>IFERROR(VLOOKUP(TableHandbook[[#This Row],[UDC]],TableMJRUSCPS1[],7,FALSE),"")</f>
        <v/>
      </c>
      <c r="AM87" s="211" t="str">
        <f>IFERROR(VLOOKUP(TableHandbook[[#This Row],[UDC]],TableSTRUBIOLB[],7,FALSE),"")</f>
        <v/>
      </c>
      <c r="AN87" s="209" t="str">
        <f>IFERROR(VLOOKUP(TableHandbook[[#This Row],[UDC]],TableSTRUBSCIM[],7,FALSE),"")</f>
        <v/>
      </c>
      <c r="AO87" s="209" t="str">
        <f>IFERROR(VLOOKUP(TableHandbook[[#This Row],[UDC]],TableSTRUCHEMB[],7,FALSE),"")</f>
        <v/>
      </c>
      <c r="AP87" s="209" t="str">
        <f>IFERROR(VLOOKUP(TableHandbook[[#This Row],[UDC]],TableSTRUECOB1[],7,FALSE),"")</f>
        <v/>
      </c>
      <c r="AQ87" s="209" t="str">
        <f>IFERROR(VLOOKUP(TableHandbook[[#This Row],[UDC]],TableSTRUENGLB[],7,FALSE),"")</f>
        <v/>
      </c>
      <c r="AR87" s="209" t="str">
        <f>IFERROR(VLOOKUP(TableHandbook[[#This Row],[UDC]],TableSTRUENGLM[],7,FALSE),"")</f>
        <v>Core</v>
      </c>
      <c r="AS87" s="209" t="str">
        <f>IFERROR(VLOOKUP(TableHandbook[[#This Row],[UDC]],TableSTRUGEOB1[],7,FALSE),"")</f>
        <v/>
      </c>
      <c r="AT87" s="209" t="str">
        <f>IFERROR(VLOOKUP(TableHandbook[[#This Row],[UDC]],TableSTRUGEOGM[],7,FALSE),"")</f>
        <v/>
      </c>
      <c r="AU87" s="209" t="str">
        <f>IFERROR(VLOOKUP(TableHandbook[[#This Row],[UDC]],TableSTRUHISB1[],7,FALSE),"")</f>
        <v/>
      </c>
      <c r="AV87" s="209" t="str">
        <f>IFERROR(VLOOKUP(TableHandbook[[#This Row],[UDC]],TableSTRUHISTM[],7,FALSE),"")</f>
        <v/>
      </c>
      <c r="AW87" s="209" t="str">
        <f>IFERROR(VLOOKUP(TableHandbook[[#This Row],[UDC]],TableSTRUHPEB1[],7,FALSE),"")</f>
        <v/>
      </c>
      <c r="AX87" s="209" t="str">
        <f>IFERROR(VLOOKUP(TableHandbook[[#This Row],[UDC]],TableSTRUHUMBB[],7,FALSE),"")</f>
        <v/>
      </c>
      <c r="AY87" s="209" t="str">
        <f>IFERROR(VLOOKUP(TableHandbook[[#This Row],[UDC]],TableSTRUMARTM[],7,FALSE),"")</f>
        <v/>
      </c>
      <c r="AZ87" s="209" t="str">
        <f>IFERROR(VLOOKUP(TableHandbook[[#This Row],[UDC]],TableSTRUMATHB[],7,FALSE),"")</f>
        <v/>
      </c>
      <c r="BA87" s="209" t="str">
        <f>IFERROR(VLOOKUP(TableHandbook[[#This Row],[UDC]],TableSTRUMATHM[],7,FALSE),"")</f>
        <v/>
      </c>
      <c r="BB87" s="209" t="str">
        <f>IFERROR(VLOOKUP(TableHandbook[[#This Row],[UDC]],TableSTRUPARTB[],7,FALSE),"")</f>
        <v/>
      </c>
      <c r="BC87" s="209" t="str">
        <f>IFERROR(VLOOKUP(TableHandbook[[#This Row],[UDC]],TableSTRUPARTM[],7,FALSE),"")</f>
        <v/>
      </c>
      <c r="BD87" s="209" t="str">
        <f>IFERROR(VLOOKUP(TableHandbook[[#This Row],[UDC]],TableSTRUPOLB1[],7,FALSE),"")</f>
        <v/>
      </c>
      <c r="BE87" s="209" t="str">
        <f>IFERROR(VLOOKUP(TableHandbook[[#This Row],[UDC]],TableSTRUPSYCB[],7,FALSE),"")</f>
        <v/>
      </c>
      <c r="BF87" s="209" t="str">
        <f>IFERROR(VLOOKUP(TableHandbook[[#This Row],[UDC]],TableSTRUPSYCM[],7,FALSE),"")</f>
        <v/>
      </c>
      <c r="BG87" s="209" t="str">
        <f>IFERROR(VLOOKUP(TableHandbook[[#This Row],[UDC]],TableSTRUVARTB[],7,FALSE),"")</f>
        <v/>
      </c>
      <c r="BH87" s="209" t="str">
        <f>IFERROR(VLOOKUP(TableHandbook[[#This Row],[UDC]],TableSTRUVARTM[],7,FALSE),"")</f>
        <v/>
      </c>
    </row>
    <row r="88" spans="1:60" x14ac:dyDescent="0.25">
      <c r="A88" s="6" t="s">
        <v>706</v>
      </c>
      <c r="B88" s="7">
        <v>1</v>
      </c>
      <c r="C88" s="7"/>
      <c r="D88" s="207" t="s">
        <v>862</v>
      </c>
      <c r="E88" s="7">
        <v>25</v>
      </c>
      <c r="F88" s="84" t="s">
        <v>783</v>
      </c>
      <c r="G88" s="75" t="str">
        <f>IFERROR(IF(VLOOKUP(TableHandbook[[#This Row],[UDC]],TableAvailabilities[],2,FALSE)&gt;0,"Y",""),"")</f>
        <v>Y</v>
      </c>
      <c r="H88" s="75" t="str">
        <f>IFERROR(IF(VLOOKUP(TableHandbook[[#This Row],[UDC]],TableAvailabilities[],3,FALSE)&gt;0,"Y",""),"")</f>
        <v/>
      </c>
      <c r="I88" s="75" t="str">
        <f>IFERROR(IF(VLOOKUP(TableHandbook[[#This Row],[UDC]],TableAvailabilities[],4,FALSE)&gt;0,"Y",""),"")</f>
        <v/>
      </c>
      <c r="J88" s="75" t="str">
        <f>IFERROR(IF(VLOOKUP(TableHandbook[[#This Row],[UDC]],TableAvailabilities[],5,FALSE)&gt;0,"Y",""),"")</f>
        <v/>
      </c>
      <c r="K88" s="75" t="str">
        <f>IFERROR(IF(VLOOKUP(TableHandbook[[#This Row],[UDC]],TableAvailabilities[],6,FALSE)&gt;0,"Y",""),"")</f>
        <v/>
      </c>
      <c r="L88" s="75" t="str">
        <f>IFERROR(IF(VLOOKUP(TableHandbook[[#This Row],[UDC]],TableAvailabilities[],7,FALSE)&gt;0,"Y",""),"")</f>
        <v/>
      </c>
      <c r="M88" s="207"/>
      <c r="N88" s="209" t="str">
        <f>IFERROR(VLOOKUP(TableHandbook[[#This Row],[UDC]],TableBEDUC[],7,FALSE),"")</f>
        <v/>
      </c>
      <c r="O88" s="209" t="str">
        <f>IFERROR(VLOOKUP(TableHandbook[[#This Row],[UDC]],TableBEDEC[],7,FALSE),"")</f>
        <v/>
      </c>
      <c r="P88" s="211" t="str">
        <f>IFERROR(VLOOKUP(TableHandbook[[#This Row],[UDC]],TableBEDPR[],7,FALSE),"")</f>
        <v/>
      </c>
      <c r="Q88" s="209" t="str">
        <f>IFERROR(VLOOKUP(TableHandbook[[#This Row],[UDC]],TableSTRUCATHL[],7,FALSE),"")</f>
        <v/>
      </c>
      <c r="R88" s="209" t="str">
        <f>IFERROR(VLOOKUP(TableHandbook[[#This Row],[UDC]],TableSTRUENGLL[],7,FALSE),"")</f>
        <v/>
      </c>
      <c r="S88" s="209" t="str">
        <f>IFERROR(VLOOKUP(TableHandbook[[#This Row],[UDC]],TableSTRUHLTPE[],7,FALSE),"")</f>
        <v/>
      </c>
      <c r="T88" s="209" t="str">
        <f>IFERROR(VLOOKUP(TableHandbook[[#This Row],[UDC]],TableSTRUISTEM[],7,FALSE),"")</f>
        <v/>
      </c>
      <c r="U88" s="209" t="str">
        <f>IFERROR(VLOOKUP(TableHandbook[[#This Row],[UDC]],TableSTRULITNU[],7,FALSE),"")</f>
        <v/>
      </c>
      <c r="V88" s="209" t="str">
        <f>IFERROR(VLOOKUP(TableHandbook[[#This Row],[UDC]],TableSTRUTECHS[],7,FALSE),"")</f>
        <v/>
      </c>
      <c r="W88" s="211" t="str">
        <f>IFERROR(VLOOKUP(TableHandbook[[#This Row],[UDC]],TableBEDSC[],7,FALSE),"")</f>
        <v/>
      </c>
      <c r="X88" s="211" t="str">
        <f>IFERROR(VLOOKUP(TableHandbook[[#This Row],[UDC]],TableMJRUARDR1[],7,FALSE),"")</f>
        <v/>
      </c>
      <c r="Y88" s="209" t="str">
        <f>IFERROR(VLOOKUP(TableHandbook[[#This Row],[UDC]],TableMJRUARME1[],7,FALSE),"")</f>
        <v/>
      </c>
      <c r="Z88" s="209" t="str">
        <f>IFERROR(VLOOKUP(TableHandbook[[#This Row],[UDC]],TableMJRUARVA1[],7,FALSE),"")</f>
        <v/>
      </c>
      <c r="AA88" s="209" t="str">
        <f>IFERROR(VLOOKUP(TableHandbook[[#This Row],[UDC]],TableMJRUENGL1[],7,FALSE),"")</f>
        <v/>
      </c>
      <c r="AB88" s="209" t="str">
        <f>IFERROR(VLOOKUP(TableHandbook[[#This Row],[UDC]],TableMJRUHSEC1[],7,FALSE),"")</f>
        <v/>
      </c>
      <c r="AC88" s="209" t="str">
        <f>IFERROR(VLOOKUP(TableHandbook[[#This Row],[UDC]],TableMJRUHSGE1[],7,FALSE),"")</f>
        <v/>
      </c>
      <c r="AD88" s="209" t="str">
        <f>IFERROR(VLOOKUP(TableHandbook[[#This Row],[UDC]],TableMJRUHSHI1[],7,FALSE),"")</f>
        <v/>
      </c>
      <c r="AE88" s="209" t="str">
        <f>IFERROR(VLOOKUP(TableHandbook[[#This Row],[UDC]],TableMJRUHSPL1[],7,FALSE),"")</f>
        <v/>
      </c>
      <c r="AF88" s="209" t="str">
        <f>IFERROR(VLOOKUP(TableHandbook[[#This Row],[UDC]],TableMJRUMATH1[],7,FALSE),"")</f>
        <v/>
      </c>
      <c r="AG88" s="209" t="str">
        <f>IFERROR(VLOOKUP(TableHandbook[[#This Row],[UDC]],TableMJRUPHYSE[],7,FALSE),"")</f>
        <v/>
      </c>
      <c r="AH88" s="209" t="str">
        <f>IFERROR(VLOOKUP(TableHandbook[[#This Row],[UDC]],TableMJRUSCBI1[],7,FALSE),"")</f>
        <v/>
      </c>
      <c r="AI88" s="209" t="str">
        <f>IFERROR(VLOOKUP(TableHandbook[[#This Row],[UDC]],TableMJRUSCCH1[],7,FALSE),"")</f>
        <v/>
      </c>
      <c r="AJ88" s="209" t="str">
        <f>IFERROR(VLOOKUP(TableHandbook[[#This Row],[UDC]],TableMJRUSCHB1[],7,FALSE),"")</f>
        <v/>
      </c>
      <c r="AK88" s="209" t="str">
        <f>IFERROR(VLOOKUP(TableHandbook[[#This Row],[UDC]],TableMJRUSCPH1[],7,FALSE),"")</f>
        <v/>
      </c>
      <c r="AL88" s="209" t="str">
        <f>IFERROR(VLOOKUP(TableHandbook[[#This Row],[UDC]],TableMJRUSCPS1[],7,FALSE),"")</f>
        <v/>
      </c>
      <c r="AM88" s="211" t="str">
        <f>IFERROR(VLOOKUP(TableHandbook[[#This Row],[UDC]],TableSTRUBIOLB[],7,FALSE),"")</f>
        <v/>
      </c>
      <c r="AN88" s="209" t="str">
        <f>IFERROR(VLOOKUP(TableHandbook[[#This Row],[UDC]],TableSTRUBSCIM[],7,FALSE),"")</f>
        <v/>
      </c>
      <c r="AO88" s="209" t="str">
        <f>IFERROR(VLOOKUP(TableHandbook[[#This Row],[UDC]],TableSTRUCHEMB[],7,FALSE),"")</f>
        <v/>
      </c>
      <c r="AP88" s="209" t="str">
        <f>IFERROR(VLOOKUP(TableHandbook[[#This Row],[UDC]],TableSTRUECOB1[],7,FALSE),"")</f>
        <v/>
      </c>
      <c r="AQ88" s="209" t="str">
        <f>IFERROR(VLOOKUP(TableHandbook[[#This Row],[UDC]],TableSTRUENGLB[],7,FALSE),"")</f>
        <v>Core</v>
      </c>
      <c r="AR88" s="209" t="str">
        <f>IFERROR(VLOOKUP(TableHandbook[[#This Row],[UDC]],TableSTRUENGLM[],7,FALSE),"")</f>
        <v/>
      </c>
      <c r="AS88" s="209" t="str">
        <f>IFERROR(VLOOKUP(TableHandbook[[#This Row],[UDC]],TableSTRUGEOB1[],7,FALSE),"")</f>
        <v/>
      </c>
      <c r="AT88" s="209" t="str">
        <f>IFERROR(VLOOKUP(TableHandbook[[#This Row],[UDC]],TableSTRUGEOGM[],7,FALSE),"")</f>
        <v/>
      </c>
      <c r="AU88" s="209" t="str">
        <f>IFERROR(VLOOKUP(TableHandbook[[#This Row],[UDC]],TableSTRUHISB1[],7,FALSE),"")</f>
        <v/>
      </c>
      <c r="AV88" s="209" t="str">
        <f>IFERROR(VLOOKUP(TableHandbook[[#This Row],[UDC]],TableSTRUHISTM[],7,FALSE),"")</f>
        <v/>
      </c>
      <c r="AW88" s="209" t="str">
        <f>IFERROR(VLOOKUP(TableHandbook[[#This Row],[UDC]],TableSTRUHPEB1[],7,FALSE),"")</f>
        <v/>
      </c>
      <c r="AX88" s="209" t="str">
        <f>IFERROR(VLOOKUP(TableHandbook[[#This Row],[UDC]],TableSTRUHUMBB[],7,FALSE),"")</f>
        <v/>
      </c>
      <c r="AY88" s="209" t="str">
        <f>IFERROR(VLOOKUP(TableHandbook[[#This Row],[UDC]],TableSTRUMARTM[],7,FALSE),"")</f>
        <v/>
      </c>
      <c r="AZ88" s="209" t="str">
        <f>IFERROR(VLOOKUP(TableHandbook[[#This Row],[UDC]],TableSTRUMATHB[],7,FALSE),"")</f>
        <v/>
      </c>
      <c r="BA88" s="209" t="str">
        <f>IFERROR(VLOOKUP(TableHandbook[[#This Row],[UDC]],TableSTRUMATHM[],7,FALSE),"")</f>
        <v/>
      </c>
      <c r="BB88" s="209" t="str">
        <f>IFERROR(VLOOKUP(TableHandbook[[#This Row],[UDC]],TableSTRUPARTB[],7,FALSE),"")</f>
        <v/>
      </c>
      <c r="BC88" s="209" t="str">
        <f>IFERROR(VLOOKUP(TableHandbook[[#This Row],[UDC]],TableSTRUPARTM[],7,FALSE),"")</f>
        <v/>
      </c>
      <c r="BD88" s="209" t="str">
        <f>IFERROR(VLOOKUP(TableHandbook[[#This Row],[UDC]],TableSTRUPOLB1[],7,FALSE),"")</f>
        <v/>
      </c>
      <c r="BE88" s="209" t="str">
        <f>IFERROR(VLOOKUP(TableHandbook[[#This Row],[UDC]],TableSTRUPSYCB[],7,FALSE),"")</f>
        <v/>
      </c>
      <c r="BF88" s="209" t="str">
        <f>IFERROR(VLOOKUP(TableHandbook[[#This Row],[UDC]],TableSTRUPSYCM[],7,FALSE),"")</f>
        <v/>
      </c>
      <c r="BG88" s="209" t="str">
        <f>IFERROR(VLOOKUP(TableHandbook[[#This Row],[UDC]],TableSTRUVARTB[],7,FALSE),"")</f>
        <v/>
      </c>
      <c r="BH88" s="209" t="str">
        <f>IFERROR(VLOOKUP(TableHandbook[[#This Row],[UDC]],TableSTRUVARTM[],7,FALSE),"")</f>
        <v/>
      </c>
    </row>
    <row r="89" spans="1:60" x14ac:dyDescent="0.25">
      <c r="A89" s="296" t="s">
        <v>610</v>
      </c>
      <c r="B89" s="307">
        <v>1</v>
      </c>
      <c r="C89" s="7"/>
      <c r="D89" s="207" t="s">
        <v>863</v>
      </c>
      <c r="E89" s="7">
        <v>25</v>
      </c>
      <c r="F89" s="84" t="s">
        <v>783</v>
      </c>
      <c r="G89" s="75" t="str">
        <f>IFERROR(IF(VLOOKUP(TableHandbook[[#This Row],[UDC]],TableAvailabilities[],2,FALSE)&gt;0,"Y",""),"")</f>
        <v>Y</v>
      </c>
      <c r="H89" s="75" t="str">
        <f>IFERROR(IF(VLOOKUP(TableHandbook[[#This Row],[UDC]],TableAvailabilities[],3,FALSE)&gt;0,"Y",""),"")</f>
        <v/>
      </c>
      <c r="I89" s="75" t="str">
        <f>IFERROR(IF(VLOOKUP(TableHandbook[[#This Row],[UDC]],TableAvailabilities[],4,FALSE)&gt;0,"Y",""),"")</f>
        <v/>
      </c>
      <c r="J89" s="75" t="str">
        <f>IFERROR(IF(VLOOKUP(TableHandbook[[#This Row],[UDC]],TableAvailabilities[],5,FALSE)&gt;0,"Y",""),"")</f>
        <v/>
      </c>
      <c r="K89" s="75" t="str">
        <f>IFERROR(IF(VLOOKUP(TableHandbook[[#This Row],[UDC]],TableAvailabilities[],6,FALSE)&gt;0,"Y",""),"")</f>
        <v/>
      </c>
      <c r="L89" s="75" t="str">
        <f>IFERROR(IF(VLOOKUP(TableHandbook[[#This Row],[UDC]],TableAvailabilities[],7,FALSE)&gt;0,"Y",""),"")</f>
        <v/>
      </c>
      <c r="M89" s="207"/>
      <c r="N89" s="209" t="str">
        <f>IFERROR(VLOOKUP(TableHandbook[[#This Row],[UDC]],TableBEDUC[],7,FALSE),"")</f>
        <v/>
      </c>
      <c r="O89" s="209" t="str">
        <f>IFERROR(VLOOKUP(TableHandbook[[#This Row],[UDC]],TableBEDEC[],7,FALSE),"")</f>
        <v/>
      </c>
      <c r="P89" s="211" t="str">
        <f>IFERROR(VLOOKUP(TableHandbook[[#This Row],[UDC]],TableBEDPR[],7,FALSE),"")</f>
        <v/>
      </c>
      <c r="Q89" s="209" t="str">
        <f>IFERROR(VLOOKUP(TableHandbook[[#This Row],[UDC]],TableSTRUCATHL[],7,FALSE),"")</f>
        <v/>
      </c>
      <c r="R89" s="209" t="str">
        <f>IFERROR(VLOOKUP(TableHandbook[[#This Row],[UDC]],TableSTRUENGLL[],7,FALSE),"")</f>
        <v/>
      </c>
      <c r="S89" s="209" t="str">
        <f>IFERROR(VLOOKUP(TableHandbook[[#This Row],[UDC]],TableSTRUHLTPE[],7,FALSE),"")</f>
        <v/>
      </c>
      <c r="T89" s="209" t="str">
        <f>IFERROR(VLOOKUP(TableHandbook[[#This Row],[UDC]],TableSTRUISTEM[],7,FALSE),"")</f>
        <v/>
      </c>
      <c r="U89" s="209" t="str">
        <f>IFERROR(VLOOKUP(TableHandbook[[#This Row],[UDC]],TableSTRULITNU[],7,FALSE),"")</f>
        <v/>
      </c>
      <c r="V89" s="209" t="str">
        <f>IFERROR(VLOOKUP(TableHandbook[[#This Row],[UDC]],TableSTRUTECHS[],7,FALSE),"")</f>
        <v/>
      </c>
      <c r="W89" s="211" t="str">
        <f>IFERROR(VLOOKUP(TableHandbook[[#This Row],[UDC]],TableBEDSC[],7,FALSE),"")</f>
        <v/>
      </c>
      <c r="X89" s="211" t="str">
        <f>IFERROR(VLOOKUP(TableHandbook[[#This Row],[UDC]],TableMJRUARDR1[],7,FALSE),"")</f>
        <v/>
      </c>
      <c r="Y89" s="209" t="str">
        <f>IFERROR(VLOOKUP(TableHandbook[[#This Row],[UDC]],TableMJRUARME1[],7,FALSE),"")</f>
        <v/>
      </c>
      <c r="Z89" s="209" t="str">
        <f>IFERROR(VLOOKUP(TableHandbook[[#This Row],[UDC]],TableMJRUARVA1[],7,FALSE),"")</f>
        <v/>
      </c>
      <c r="AA89" s="209" t="str">
        <f>IFERROR(VLOOKUP(TableHandbook[[#This Row],[UDC]],TableMJRUENGL1[],7,FALSE),"")</f>
        <v>Option</v>
      </c>
      <c r="AB89" s="209" t="str">
        <f>IFERROR(VLOOKUP(TableHandbook[[#This Row],[UDC]],TableMJRUHSEC1[],7,FALSE),"")</f>
        <v/>
      </c>
      <c r="AC89" s="209" t="str">
        <f>IFERROR(VLOOKUP(TableHandbook[[#This Row],[UDC]],TableMJRUHSGE1[],7,FALSE),"")</f>
        <v/>
      </c>
      <c r="AD89" s="209" t="str">
        <f>IFERROR(VLOOKUP(TableHandbook[[#This Row],[UDC]],TableMJRUHSHI1[],7,FALSE),"")</f>
        <v/>
      </c>
      <c r="AE89" s="209" t="str">
        <f>IFERROR(VLOOKUP(TableHandbook[[#This Row],[UDC]],TableMJRUHSPL1[],7,FALSE),"")</f>
        <v/>
      </c>
      <c r="AF89" s="209" t="str">
        <f>IFERROR(VLOOKUP(TableHandbook[[#This Row],[UDC]],TableMJRUMATH1[],7,FALSE),"")</f>
        <v/>
      </c>
      <c r="AG89" s="209" t="str">
        <f>IFERROR(VLOOKUP(TableHandbook[[#This Row],[UDC]],TableMJRUPHYSE[],7,FALSE),"")</f>
        <v/>
      </c>
      <c r="AH89" s="209" t="str">
        <f>IFERROR(VLOOKUP(TableHandbook[[#This Row],[UDC]],TableMJRUSCBI1[],7,FALSE),"")</f>
        <v/>
      </c>
      <c r="AI89" s="209" t="str">
        <f>IFERROR(VLOOKUP(TableHandbook[[#This Row],[UDC]],TableMJRUSCCH1[],7,FALSE),"")</f>
        <v/>
      </c>
      <c r="AJ89" s="209" t="str">
        <f>IFERROR(VLOOKUP(TableHandbook[[#This Row],[UDC]],TableMJRUSCHB1[],7,FALSE),"")</f>
        <v/>
      </c>
      <c r="AK89" s="209" t="str">
        <f>IFERROR(VLOOKUP(TableHandbook[[#This Row],[UDC]],TableMJRUSCPH1[],7,FALSE),"")</f>
        <v/>
      </c>
      <c r="AL89" s="209" t="str">
        <f>IFERROR(VLOOKUP(TableHandbook[[#This Row],[UDC]],TableMJRUSCPS1[],7,FALSE),"")</f>
        <v/>
      </c>
      <c r="AM89" s="211" t="str">
        <f>IFERROR(VLOOKUP(TableHandbook[[#This Row],[UDC]],TableSTRUBIOLB[],7,FALSE),"")</f>
        <v/>
      </c>
      <c r="AN89" s="209" t="str">
        <f>IFERROR(VLOOKUP(TableHandbook[[#This Row],[UDC]],TableSTRUBSCIM[],7,FALSE),"")</f>
        <v/>
      </c>
      <c r="AO89" s="209" t="str">
        <f>IFERROR(VLOOKUP(TableHandbook[[#This Row],[UDC]],TableSTRUCHEMB[],7,FALSE),"")</f>
        <v/>
      </c>
      <c r="AP89" s="209" t="str">
        <f>IFERROR(VLOOKUP(TableHandbook[[#This Row],[UDC]],TableSTRUECOB1[],7,FALSE),"")</f>
        <v/>
      </c>
      <c r="AQ89" s="209" t="str">
        <f>IFERROR(VLOOKUP(TableHandbook[[#This Row],[UDC]],TableSTRUENGLB[],7,FALSE),"")</f>
        <v/>
      </c>
      <c r="AR89" s="209" t="str">
        <f>IFERROR(VLOOKUP(TableHandbook[[#This Row],[UDC]],TableSTRUENGLM[],7,FALSE),"")</f>
        <v/>
      </c>
      <c r="AS89" s="209" t="str">
        <f>IFERROR(VLOOKUP(TableHandbook[[#This Row],[UDC]],TableSTRUGEOB1[],7,FALSE),"")</f>
        <v/>
      </c>
      <c r="AT89" s="209" t="str">
        <f>IFERROR(VLOOKUP(TableHandbook[[#This Row],[UDC]],TableSTRUGEOGM[],7,FALSE),"")</f>
        <v/>
      </c>
      <c r="AU89" s="209" t="str">
        <f>IFERROR(VLOOKUP(TableHandbook[[#This Row],[UDC]],TableSTRUHISB1[],7,FALSE),"")</f>
        <v/>
      </c>
      <c r="AV89" s="209" t="str">
        <f>IFERROR(VLOOKUP(TableHandbook[[#This Row],[UDC]],TableSTRUHISTM[],7,FALSE),"")</f>
        <v/>
      </c>
      <c r="AW89" s="209" t="str">
        <f>IFERROR(VLOOKUP(TableHandbook[[#This Row],[UDC]],TableSTRUHPEB1[],7,FALSE),"")</f>
        <v/>
      </c>
      <c r="AX89" s="209" t="str">
        <f>IFERROR(VLOOKUP(TableHandbook[[#This Row],[UDC]],TableSTRUHUMBB[],7,FALSE),"")</f>
        <v/>
      </c>
      <c r="AY89" s="209" t="str">
        <f>IFERROR(VLOOKUP(TableHandbook[[#This Row],[UDC]],TableSTRUMARTM[],7,FALSE),"")</f>
        <v/>
      </c>
      <c r="AZ89" s="209" t="str">
        <f>IFERROR(VLOOKUP(TableHandbook[[#This Row],[UDC]],TableSTRUMATHB[],7,FALSE),"")</f>
        <v/>
      </c>
      <c r="BA89" s="209" t="str">
        <f>IFERROR(VLOOKUP(TableHandbook[[#This Row],[UDC]],TableSTRUMATHM[],7,FALSE),"")</f>
        <v/>
      </c>
      <c r="BB89" s="209" t="str">
        <f>IFERROR(VLOOKUP(TableHandbook[[#This Row],[UDC]],TableSTRUPARTB[],7,FALSE),"")</f>
        <v/>
      </c>
      <c r="BC89" s="209" t="str">
        <f>IFERROR(VLOOKUP(TableHandbook[[#This Row],[UDC]],TableSTRUPARTM[],7,FALSE),"")</f>
        <v/>
      </c>
      <c r="BD89" s="209" t="str">
        <f>IFERROR(VLOOKUP(TableHandbook[[#This Row],[UDC]],TableSTRUPOLB1[],7,FALSE),"")</f>
        <v/>
      </c>
      <c r="BE89" s="209" t="str">
        <f>IFERROR(VLOOKUP(TableHandbook[[#This Row],[UDC]],TableSTRUPSYCB[],7,FALSE),"")</f>
        <v/>
      </c>
      <c r="BF89" s="209" t="str">
        <f>IFERROR(VLOOKUP(TableHandbook[[#This Row],[UDC]],TableSTRUPSYCM[],7,FALSE),"")</f>
        <v/>
      </c>
      <c r="BG89" s="209" t="str">
        <f>IFERROR(VLOOKUP(TableHandbook[[#This Row],[UDC]],TableSTRUVARTB[],7,FALSE),"")</f>
        <v/>
      </c>
      <c r="BH89" s="209" t="str">
        <f>IFERROR(VLOOKUP(TableHandbook[[#This Row],[UDC]],TableSTRUVARTM[],7,FALSE),"")</f>
        <v/>
      </c>
    </row>
    <row r="90" spans="1:60" x14ac:dyDescent="0.25">
      <c r="A90" s="6" t="s">
        <v>712</v>
      </c>
      <c r="B90" s="7">
        <v>1</v>
      </c>
      <c r="C90" s="7"/>
      <c r="D90" s="207" t="s">
        <v>864</v>
      </c>
      <c r="E90" s="7">
        <v>25</v>
      </c>
      <c r="F90" s="84" t="s">
        <v>783</v>
      </c>
      <c r="G90" s="75" t="str">
        <f>IFERROR(IF(VLOOKUP(TableHandbook[[#This Row],[UDC]],TableAvailabilities[],2,FALSE)&gt;0,"Y",""),"")</f>
        <v/>
      </c>
      <c r="H90" s="75" t="str">
        <f>IFERROR(IF(VLOOKUP(TableHandbook[[#This Row],[UDC]],TableAvailabilities[],3,FALSE)&gt;0,"Y",""),"")</f>
        <v/>
      </c>
      <c r="I90" s="75" t="str">
        <f>IFERROR(IF(VLOOKUP(TableHandbook[[#This Row],[UDC]],TableAvailabilities[],4,FALSE)&gt;0,"Y",""),"")</f>
        <v/>
      </c>
      <c r="J90" s="75" t="str">
        <f>IFERROR(IF(VLOOKUP(TableHandbook[[#This Row],[UDC]],TableAvailabilities[],5,FALSE)&gt;0,"Y",""),"")</f>
        <v>Y</v>
      </c>
      <c r="K90" s="75" t="str">
        <f>IFERROR(IF(VLOOKUP(TableHandbook[[#This Row],[UDC]],TableAvailabilities[],6,FALSE)&gt;0,"Y",""),"")</f>
        <v/>
      </c>
      <c r="L90" s="75" t="str">
        <f>IFERROR(IF(VLOOKUP(TableHandbook[[#This Row],[UDC]],TableAvailabilities[],7,FALSE)&gt;0,"Y",""),"")</f>
        <v/>
      </c>
      <c r="M90" s="207"/>
      <c r="N90" s="209" t="str">
        <f>IFERROR(VLOOKUP(TableHandbook[[#This Row],[UDC]],TableBEDUC[],7,FALSE),"")</f>
        <v/>
      </c>
      <c r="O90" s="209" t="str">
        <f>IFERROR(VLOOKUP(TableHandbook[[#This Row],[UDC]],TableBEDEC[],7,FALSE),"")</f>
        <v/>
      </c>
      <c r="P90" s="211" t="str">
        <f>IFERROR(VLOOKUP(TableHandbook[[#This Row],[UDC]],TableBEDPR[],7,FALSE),"")</f>
        <v/>
      </c>
      <c r="Q90" s="209" t="str">
        <f>IFERROR(VLOOKUP(TableHandbook[[#This Row],[UDC]],TableSTRUCATHL[],7,FALSE),"")</f>
        <v/>
      </c>
      <c r="R90" s="209" t="str">
        <f>IFERROR(VLOOKUP(TableHandbook[[#This Row],[UDC]],TableSTRUENGLL[],7,FALSE),"")</f>
        <v/>
      </c>
      <c r="S90" s="209" t="str">
        <f>IFERROR(VLOOKUP(TableHandbook[[#This Row],[UDC]],TableSTRUHLTPE[],7,FALSE),"")</f>
        <v/>
      </c>
      <c r="T90" s="209" t="str">
        <f>IFERROR(VLOOKUP(TableHandbook[[#This Row],[UDC]],TableSTRUISTEM[],7,FALSE),"")</f>
        <v/>
      </c>
      <c r="U90" s="209" t="str">
        <f>IFERROR(VLOOKUP(TableHandbook[[#This Row],[UDC]],TableSTRULITNU[],7,FALSE),"")</f>
        <v/>
      </c>
      <c r="V90" s="209" t="str">
        <f>IFERROR(VLOOKUP(TableHandbook[[#This Row],[UDC]],TableSTRUTECHS[],7,FALSE),"")</f>
        <v/>
      </c>
      <c r="W90" s="211" t="str">
        <f>IFERROR(VLOOKUP(TableHandbook[[#This Row],[UDC]],TableBEDSC[],7,FALSE),"")</f>
        <v/>
      </c>
      <c r="X90" s="211" t="str">
        <f>IFERROR(VLOOKUP(TableHandbook[[#This Row],[UDC]],TableMJRUARDR1[],7,FALSE),"")</f>
        <v/>
      </c>
      <c r="Y90" s="209" t="str">
        <f>IFERROR(VLOOKUP(TableHandbook[[#This Row],[UDC]],TableMJRUARME1[],7,FALSE),"")</f>
        <v/>
      </c>
      <c r="Z90" s="209" t="str">
        <f>IFERROR(VLOOKUP(TableHandbook[[#This Row],[UDC]],TableMJRUARVA1[],7,FALSE),"")</f>
        <v/>
      </c>
      <c r="AA90" s="209" t="str">
        <f>IFERROR(VLOOKUP(TableHandbook[[#This Row],[UDC]],TableMJRUENGL1[],7,FALSE),"")</f>
        <v/>
      </c>
      <c r="AB90" s="209" t="str">
        <f>IFERROR(VLOOKUP(TableHandbook[[#This Row],[UDC]],TableMJRUHSEC1[],7,FALSE),"")</f>
        <v/>
      </c>
      <c r="AC90" s="209" t="str">
        <f>IFERROR(VLOOKUP(TableHandbook[[#This Row],[UDC]],TableMJRUHSGE1[],7,FALSE),"")</f>
        <v/>
      </c>
      <c r="AD90" s="209" t="str">
        <f>IFERROR(VLOOKUP(TableHandbook[[#This Row],[UDC]],TableMJRUHSHI1[],7,FALSE),"")</f>
        <v/>
      </c>
      <c r="AE90" s="209" t="str">
        <f>IFERROR(VLOOKUP(TableHandbook[[#This Row],[UDC]],TableMJRUHSPL1[],7,FALSE),"")</f>
        <v/>
      </c>
      <c r="AF90" s="209" t="str">
        <f>IFERROR(VLOOKUP(TableHandbook[[#This Row],[UDC]],TableMJRUMATH1[],7,FALSE),"")</f>
        <v/>
      </c>
      <c r="AG90" s="209" t="str">
        <f>IFERROR(VLOOKUP(TableHandbook[[#This Row],[UDC]],TableMJRUPHYSE[],7,FALSE),"")</f>
        <v/>
      </c>
      <c r="AH90" s="209" t="str">
        <f>IFERROR(VLOOKUP(TableHandbook[[#This Row],[UDC]],TableMJRUSCBI1[],7,FALSE),"")</f>
        <v/>
      </c>
      <c r="AI90" s="209" t="str">
        <f>IFERROR(VLOOKUP(TableHandbook[[#This Row],[UDC]],TableMJRUSCCH1[],7,FALSE),"")</f>
        <v/>
      </c>
      <c r="AJ90" s="209" t="str">
        <f>IFERROR(VLOOKUP(TableHandbook[[#This Row],[UDC]],TableMJRUSCHB1[],7,FALSE),"")</f>
        <v/>
      </c>
      <c r="AK90" s="209" t="str">
        <f>IFERROR(VLOOKUP(TableHandbook[[#This Row],[UDC]],TableMJRUSCPH1[],7,FALSE),"")</f>
        <v/>
      </c>
      <c r="AL90" s="209" t="str">
        <f>IFERROR(VLOOKUP(TableHandbook[[#This Row],[UDC]],TableMJRUSCPS1[],7,FALSE),"")</f>
        <v/>
      </c>
      <c r="AM90" s="211" t="str">
        <f>IFERROR(VLOOKUP(TableHandbook[[#This Row],[UDC]],TableSTRUBIOLB[],7,FALSE),"")</f>
        <v/>
      </c>
      <c r="AN90" s="209" t="str">
        <f>IFERROR(VLOOKUP(TableHandbook[[#This Row],[UDC]],TableSTRUBSCIM[],7,FALSE),"")</f>
        <v/>
      </c>
      <c r="AO90" s="209" t="str">
        <f>IFERROR(VLOOKUP(TableHandbook[[#This Row],[UDC]],TableSTRUCHEMB[],7,FALSE),"")</f>
        <v/>
      </c>
      <c r="AP90" s="209" t="str">
        <f>IFERROR(VLOOKUP(TableHandbook[[#This Row],[UDC]],TableSTRUECOB1[],7,FALSE),"")</f>
        <v/>
      </c>
      <c r="AQ90" s="209" t="str">
        <f>IFERROR(VLOOKUP(TableHandbook[[#This Row],[UDC]],TableSTRUENGLB[],7,FALSE),"")</f>
        <v>Core</v>
      </c>
      <c r="AR90" s="209" t="str">
        <f>IFERROR(VLOOKUP(TableHandbook[[#This Row],[UDC]],TableSTRUENGLM[],7,FALSE),"")</f>
        <v/>
      </c>
      <c r="AS90" s="209" t="str">
        <f>IFERROR(VLOOKUP(TableHandbook[[#This Row],[UDC]],TableSTRUGEOB1[],7,FALSE),"")</f>
        <v/>
      </c>
      <c r="AT90" s="209" t="str">
        <f>IFERROR(VLOOKUP(TableHandbook[[#This Row],[UDC]],TableSTRUGEOGM[],7,FALSE),"")</f>
        <v/>
      </c>
      <c r="AU90" s="209" t="str">
        <f>IFERROR(VLOOKUP(TableHandbook[[#This Row],[UDC]],TableSTRUHISB1[],7,FALSE),"")</f>
        <v/>
      </c>
      <c r="AV90" s="209" t="str">
        <f>IFERROR(VLOOKUP(TableHandbook[[#This Row],[UDC]],TableSTRUHISTM[],7,FALSE),"")</f>
        <v/>
      </c>
      <c r="AW90" s="209" t="str">
        <f>IFERROR(VLOOKUP(TableHandbook[[#This Row],[UDC]],TableSTRUHPEB1[],7,FALSE),"")</f>
        <v/>
      </c>
      <c r="AX90" s="209" t="str">
        <f>IFERROR(VLOOKUP(TableHandbook[[#This Row],[UDC]],TableSTRUHUMBB[],7,FALSE),"")</f>
        <v/>
      </c>
      <c r="AY90" s="209" t="str">
        <f>IFERROR(VLOOKUP(TableHandbook[[#This Row],[UDC]],TableSTRUMARTM[],7,FALSE),"")</f>
        <v/>
      </c>
      <c r="AZ90" s="209" t="str">
        <f>IFERROR(VLOOKUP(TableHandbook[[#This Row],[UDC]],TableSTRUMATHB[],7,FALSE),"")</f>
        <v/>
      </c>
      <c r="BA90" s="209" t="str">
        <f>IFERROR(VLOOKUP(TableHandbook[[#This Row],[UDC]],TableSTRUMATHM[],7,FALSE),"")</f>
        <v/>
      </c>
      <c r="BB90" s="209" t="str">
        <f>IFERROR(VLOOKUP(TableHandbook[[#This Row],[UDC]],TableSTRUPARTB[],7,FALSE),"")</f>
        <v/>
      </c>
      <c r="BC90" s="209" t="str">
        <f>IFERROR(VLOOKUP(TableHandbook[[#This Row],[UDC]],TableSTRUPARTM[],7,FALSE),"")</f>
        <v/>
      </c>
      <c r="BD90" s="209" t="str">
        <f>IFERROR(VLOOKUP(TableHandbook[[#This Row],[UDC]],TableSTRUPOLB1[],7,FALSE),"")</f>
        <v/>
      </c>
      <c r="BE90" s="209" t="str">
        <f>IFERROR(VLOOKUP(TableHandbook[[#This Row],[UDC]],TableSTRUPSYCB[],7,FALSE),"")</f>
        <v/>
      </c>
      <c r="BF90" s="209" t="str">
        <f>IFERROR(VLOOKUP(TableHandbook[[#This Row],[UDC]],TableSTRUPSYCM[],7,FALSE),"")</f>
        <v/>
      </c>
      <c r="BG90" s="209" t="str">
        <f>IFERROR(VLOOKUP(TableHandbook[[#This Row],[UDC]],TableSTRUVARTB[],7,FALSE),"")</f>
        <v/>
      </c>
      <c r="BH90" s="209" t="str">
        <f>IFERROR(VLOOKUP(TableHandbook[[#This Row],[UDC]],TableSTRUVARTM[],7,FALSE),"")</f>
        <v/>
      </c>
    </row>
    <row r="91" spans="1:60" x14ac:dyDescent="0.25">
      <c r="A91" s="296" t="s">
        <v>617</v>
      </c>
      <c r="B91" s="307">
        <v>1</v>
      </c>
      <c r="C91" s="7"/>
      <c r="D91" s="207" t="s">
        <v>865</v>
      </c>
      <c r="E91" s="7">
        <v>25</v>
      </c>
      <c r="F91" s="84" t="s">
        <v>783</v>
      </c>
      <c r="G91" s="75" t="str">
        <f>IFERROR(IF(VLOOKUP(TableHandbook[[#This Row],[UDC]],TableAvailabilities[],2,FALSE)&gt;0,"Y",""),"")</f>
        <v>Y</v>
      </c>
      <c r="H91" s="75" t="str">
        <f>IFERROR(IF(VLOOKUP(TableHandbook[[#This Row],[UDC]],TableAvailabilities[],3,FALSE)&gt;0,"Y",""),"")</f>
        <v/>
      </c>
      <c r="I91" s="75" t="str">
        <f>IFERROR(IF(VLOOKUP(TableHandbook[[#This Row],[UDC]],TableAvailabilities[],4,FALSE)&gt;0,"Y",""),"")</f>
        <v/>
      </c>
      <c r="J91" s="75" t="str">
        <f>IFERROR(IF(VLOOKUP(TableHandbook[[#This Row],[UDC]],TableAvailabilities[],5,FALSE)&gt;0,"Y",""),"")</f>
        <v/>
      </c>
      <c r="K91" s="75" t="str">
        <f>IFERROR(IF(VLOOKUP(TableHandbook[[#This Row],[UDC]],TableAvailabilities[],6,FALSE)&gt;0,"Y",""),"")</f>
        <v/>
      </c>
      <c r="L91" s="75" t="str">
        <f>IFERROR(IF(VLOOKUP(TableHandbook[[#This Row],[UDC]],TableAvailabilities[],7,FALSE)&gt;0,"Y",""),"")</f>
        <v/>
      </c>
      <c r="M91" s="207"/>
      <c r="N91" s="209" t="str">
        <f>IFERROR(VLOOKUP(TableHandbook[[#This Row],[UDC]],TableBEDUC[],7,FALSE),"")</f>
        <v/>
      </c>
      <c r="O91" s="209" t="str">
        <f>IFERROR(VLOOKUP(TableHandbook[[#This Row],[UDC]],TableBEDEC[],7,FALSE),"")</f>
        <v/>
      </c>
      <c r="P91" s="211" t="str">
        <f>IFERROR(VLOOKUP(TableHandbook[[#This Row],[UDC]],TableBEDPR[],7,FALSE),"")</f>
        <v/>
      </c>
      <c r="Q91" s="209" t="str">
        <f>IFERROR(VLOOKUP(TableHandbook[[#This Row],[UDC]],TableSTRUCATHL[],7,FALSE),"")</f>
        <v/>
      </c>
      <c r="R91" s="209" t="str">
        <f>IFERROR(VLOOKUP(TableHandbook[[#This Row],[UDC]],TableSTRUENGLL[],7,FALSE),"")</f>
        <v/>
      </c>
      <c r="S91" s="209" t="str">
        <f>IFERROR(VLOOKUP(TableHandbook[[#This Row],[UDC]],TableSTRUHLTPE[],7,FALSE),"")</f>
        <v/>
      </c>
      <c r="T91" s="209" t="str">
        <f>IFERROR(VLOOKUP(TableHandbook[[#This Row],[UDC]],TableSTRUISTEM[],7,FALSE),"")</f>
        <v/>
      </c>
      <c r="U91" s="209" t="str">
        <f>IFERROR(VLOOKUP(TableHandbook[[#This Row],[UDC]],TableSTRULITNU[],7,FALSE),"")</f>
        <v/>
      </c>
      <c r="V91" s="209" t="str">
        <f>IFERROR(VLOOKUP(TableHandbook[[#This Row],[UDC]],TableSTRUTECHS[],7,FALSE),"")</f>
        <v/>
      </c>
      <c r="W91" s="211" t="str">
        <f>IFERROR(VLOOKUP(TableHandbook[[#This Row],[UDC]],TableBEDSC[],7,FALSE),"")</f>
        <v/>
      </c>
      <c r="X91" s="211" t="str">
        <f>IFERROR(VLOOKUP(TableHandbook[[#This Row],[UDC]],TableMJRUARDR1[],7,FALSE),"")</f>
        <v/>
      </c>
      <c r="Y91" s="209" t="str">
        <f>IFERROR(VLOOKUP(TableHandbook[[#This Row],[UDC]],TableMJRUARME1[],7,FALSE),"")</f>
        <v/>
      </c>
      <c r="Z91" s="209" t="str">
        <f>IFERROR(VLOOKUP(TableHandbook[[#This Row],[UDC]],TableMJRUARVA1[],7,FALSE),"")</f>
        <v/>
      </c>
      <c r="AA91" s="209" t="str">
        <f>IFERROR(VLOOKUP(TableHandbook[[#This Row],[UDC]],TableMJRUENGL1[],7,FALSE),"")</f>
        <v>Option</v>
      </c>
      <c r="AB91" s="209" t="str">
        <f>IFERROR(VLOOKUP(TableHandbook[[#This Row],[UDC]],TableMJRUHSEC1[],7,FALSE),"")</f>
        <v/>
      </c>
      <c r="AC91" s="209" t="str">
        <f>IFERROR(VLOOKUP(TableHandbook[[#This Row],[UDC]],TableMJRUHSGE1[],7,FALSE),"")</f>
        <v/>
      </c>
      <c r="AD91" s="209" t="str">
        <f>IFERROR(VLOOKUP(TableHandbook[[#This Row],[UDC]],TableMJRUHSHI1[],7,FALSE),"")</f>
        <v/>
      </c>
      <c r="AE91" s="209" t="str">
        <f>IFERROR(VLOOKUP(TableHandbook[[#This Row],[UDC]],TableMJRUHSPL1[],7,FALSE),"")</f>
        <v/>
      </c>
      <c r="AF91" s="209" t="str">
        <f>IFERROR(VLOOKUP(TableHandbook[[#This Row],[UDC]],TableMJRUMATH1[],7,FALSE),"")</f>
        <v/>
      </c>
      <c r="AG91" s="209" t="str">
        <f>IFERROR(VLOOKUP(TableHandbook[[#This Row],[UDC]],TableMJRUPHYSE[],7,FALSE),"")</f>
        <v/>
      </c>
      <c r="AH91" s="209" t="str">
        <f>IFERROR(VLOOKUP(TableHandbook[[#This Row],[UDC]],TableMJRUSCBI1[],7,FALSE),"")</f>
        <v/>
      </c>
      <c r="AI91" s="209" t="str">
        <f>IFERROR(VLOOKUP(TableHandbook[[#This Row],[UDC]],TableMJRUSCCH1[],7,FALSE),"")</f>
        <v/>
      </c>
      <c r="AJ91" s="209" t="str">
        <f>IFERROR(VLOOKUP(TableHandbook[[#This Row],[UDC]],TableMJRUSCHB1[],7,FALSE),"")</f>
        <v/>
      </c>
      <c r="AK91" s="209" t="str">
        <f>IFERROR(VLOOKUP(TableHandbook[[#This Row],[UDC]],TableMJRUSCPH1[],7,FALSE),"")</f>
        <v/>
      </c>
      <c r="AL91" s="209" t="str">
        <f>IFERROR(VLOOKUP(TableHandbook[[#This Row],[UDC]],TableMJRUSCPS1[],7,FALSE),"")</f>
        <v/>
      </c>
      <c r="AM91" s="211" t="str">
        <f>IFERROR(VLOOKUP(TableHandbook[[#This Row],[UDC]],TableSTRUBIOLB[],7,FALSE),"")</f>
        <v/>
      </c>
      <c r="AN91" s="209" t="str">
        <f>IFERROR(VLOOKUP(TableHandbook[[#This Row],[UDC]],TableSTRUBSCIM[],7,FALSE),"")</f>
        <v/>
      </c>
      <c r="AO91" s="209" t="str">
        <f>IFERROR(VLOOKUP(TableHandbook[[#This Row],[UDC]],TableSTRUCHEMB[],7,FALSE),"")</f>
        <v/>
      </c>
      <c r="AP91" s="209" t="str">
        <f>IFERROR(VLOOKUP(TableHandbook[[#This Row],[UDC]],TableSTRUECOB1[],7,FALSE),"")</f>
        <v/>
      </c>
      <c r="AQ91" s="209" t="str">
        <f>IFERROR(VLOOKUP(TableHandbook[[#This Row],[UDC]],TableSTRUENGLB[],7,FALSE),"")</f>
        <v/>
      </c>
      <c r="AR91" s="209" t="str">
        <f>IFERROR(VLOOKUP(TableHandbook[[#This Row],[UDC]],TableSTRUENGLM[],7,FALSE),"")</f>
        <v/>
      </c>
      <c r="AS91" s="209" t="str">
        <f>IFERROR(VLOOKUP(TableHandbook[[#This Row],[UDC]],TableSTRUGEOB1[],7,FALSE),"")</f>
        <v/>
      </c>
      <c r="AT91" s="209" t="str">
        <f>IFERROR(VLOOKUP(TableHandbook[[#This Row],[UDC]],TableSTRUGEOGM[],7,FALSE),"")</f>
        <v/>
      </c>
      <c r="AU91" s="209" t="str">
        <f>IFERROR(VLOOKUP(TableHandbook[[#This Row],[UDC]],TableSTRUHISB1[],7,FALSE),"")</f>
        <v/>
      </c>
      <c r="AV91" s="209" t="str">
        <f>IFERROR(VLOOKUP(TableHandbook[[#This Row],[UDC]],TableSTRUHISTM[],7,FALSE),"")</f>
        <v/>
      </c>
      <c r="AW91" s="209" t="str">
        <f>IFERROR(VLOOKUP(TableHandbook[[#This Row],[UDC]],TableSTRUHPEB1[],7,FALSE),"")</f>
        <v/>
      </c>
      <c r="AX91" s="209" t="str">
        <f>IFERROR(VLOOKUP(TableHandbook[[#This Row],[UDC]],TableSTRUHUMBB[],7,FALSE),"")</f>
        <v/>
      </c>
      <c r="AY91" s="209" t="str">
        <f>IFERROR(VLOOKUP(TableHandbook[[#This Row],[UDC]],TableSTRUMARTM[],7,FALSE),"")</f>
        <v/>
      </c>
      <c r="AZ91" s="209" t="str">
        <f>IFERROR(VLOOKUP(TableHandbook[[#This Row],[UDC]],TableSTRUMATHB[],7,FALSE),"")</f>
        <v/>
      </c>
      <c r="BA91" s="209" t="str">
        <f>IFERROR(VLOOKUP(TableHandbook[[#This Row],[UDC]],TableSTRUMATHM[],7,FALSE),"")</f>
        <v/>
      </c>
      <c r="BB91" s="209" t="str">
        <f>IFERROR(VLOOKUP(TableHandbook[[#This Row],[UDC]],TableSTRUPARTB[],7,FALSE),"")</f>
        <v/>
      </c>
      <c r="BC91" s="209" t="str">
        <f>IFERROR(VLOOKUP(TableHandbook[[#This Row],[UDC]],TableSTRUPARTM[],7,FALSE),"")</f>
        <v/>
      </c>
      <c r="BD91" s="209" t="str">
        <f>IFERROR(VLOOKUP(TableHandbook[[#This Row],[UDC]],TableSTRUPOLB1[],7,FALSE),"")</f>
        <v/>
      </c>
      <c r="BE91" s="209" t="str">
        <f>IFERROR(VLOOKUP(TableHandbook[[#This Row],[UDC]],TableSTRUPSYCB[],7,FALSE),"")</f>
        <v/>
      </c>
      <c r="BF91" s="209" t="str">
        <f>IFERROR(VLOOKUP(TableHandbook[[#This Row],[UDC]],TableSTRUPSYCM[],7,FALSE),"")</f>
        <v/>
      </c>
      <c r="BG91" s="209" t="str">
        <f>IFERROR(VLOOKUP(TableHandbook[[#This Row],[UDC]],TableSTRUVARTB[],7,FALSE),"")</f>
        <v/>
      </c>
      <c r="BH91" s="209" t="str">
        <f>IFERROR(VLOOKUP(TableHandbook[[#This Row],[UDC]],TableSTRUVARTM[],7,FALSE),"")</f>
        <v/>
      </c>
    </row>
    <row r="92" spans="1:60" x14ac:dyDescent="0.25">
      <c r="A92" s="6" t="s">
        <v>608</v>
      </c>
      <c r="B92" s="7">
        <v>1</v>
      </c>
      <c r="C92" s="7"/>
      <c r="D92" s="207" t="s">
        <v>866</v>
      </c>
      <c r="E92" s="7">
        <v>25</v>
      </c>
      <c r="F92" s="84" t="s">
        <v>867</v>
      </c>
      <c r="G92" s="75" t="str">
        <f>IFERROR(IF(VLOOKUP(TableHandbook[[#This Row],[UDC]],TableAvailabilities[],2,FALSE)&gt;0,"Y",""),"")</f>
        <v>Y</v>
      </c>
      <c r="H92" s="75" t="str">
        <f>IFERROR(IF(VLOOKUP(TableHandbook[[#This Row],[UDC]],TableAvailabilities[],3,FALSE)&gt;0,"Y",""),"")</f>
        <v/>
      </c>
      <c r="I92" s="75" t="str">
        <f>IFERROR(IF(VLOOKUP(TableHandbook[[#This Row],[UDC]],TableAvailabilities[],4,FALSE)&gt;0,"Y",""),"")</f>
        <v/>
      </c>
      <c r="J92" s="75" t="str">
        <f>IFERROR(IF(VLOOKUP(TableHandbook[[#This Row],[UDC]],TableAvailabilities[],5,FALSE)&gt;0,"Y",""),"")</f>
        <v/>
      </c>
      <c r="K92" s="75" t="str">
        <f>IFERROR(IF(VLOOKUP(TableHandbook[[#This Row],[UDC]],TableAvailabilities[],6,FALSE)&gt;0,"Y",""),"")</f>
        <v/>
      </c>
      <c r="L92" s="75" t="str">
        <f>IFERROR(IF(VLOOKUP(TableHandbook[[#This Row],[UDC]],TableAvailabilities[],7,FALSE)&gt;0,"Y",""),"")</f>
        <v/>
      </c>
      <c r="M92" s="207"/>
      <c r="N92" s="209" t="str">
        <f>IFERROR(VLOOKUP(TableHandbook[[#This Row],[UDC]],TableBEDUC[],7,FALSE),"")</f>
        <v/>
      </c>
      <c r="O92" s="209" t="str">
        <f>IFERROR(VLOOKUP(TableHandbook[[#This Row],[UDC]],TableBEDEC[],7,FALSE),"")</f>
        <v/>
      </c>
      <c r="P92" s="211" t="str">
        <f>IFERROR(VLOOKUP(TableHandbook[[#This Row],[UDC]],TableBEDPR[],7,FALSE),"")</f>
        <v/>
      </c>
      <c r="Q92" s="209" t="str">
        <f>IFERROR(VLOOKUP(TableHandbook[[#This Row],[UDC]],TableSTRUCATHL[],7,FALSE),"")</f>
        <v/>
      </c>
      <c r="R92" s="209" t="str">
        <f>IFERROR(VLOOKUP(TableHandbook[[#This Row],[UDC]],TableSTRUENGLL[],7,FALSE),"")</f>
        <v/>
      </c>
      <c r="S92" s="209" t="str">
        <f>IFERROR(VLOOKUP(TableHandbook[[#This Row],[UDC]],TableSTRUHLTPE[],7,FALSE),"")</f>
        <v/>
      </c>
      <c r="T92" s="209" t="str">
        <f>IFERROR(VLOOKUP(TableHandbook[[#This Row],[UDC]],TableSTRUISTEM[],7,FALSE),"")</f>
        <v/>
      </c>
      <c r="U92" s="209" t="str">
        <f>IFERROR(VLOOKUP(TableHandbook[[#This Row],[UDC]],TableSTRULITNU[],7,FALSE),"")</f>
        <v/>
      </c>
      <c r="V92" s="209" t="str">
        <f>IFERROR(VLOOKUP(TableHandbook[[#This Row],[UDC]],TableSTRUTECHS[],7,FALSE),"")</f>
        <v/>
      </c>
      <c r="W92" s="211" t="str">
        <f>IFERROR(VLOOKUP(TableHandbook[[#This Row],[UDC]],TableBEDSC[],7,FALSE),"")</f>
        <v/>
      </c>
      <c r="X92" s="211" t="str">
        <f>IFERROR(VLOOKUP(TableHandbook[[#This Row],[UDC]],TableMJRUARDR1[],7,FALSE),"")</f>
        <v/>
      </c>
      <c r="Y92" s="209" t="str">
        <f>IFERROR(VLOOKUP(TableHandbook[[#This Row],[UDC]],TableMJRUARME1[],7,FALSE),"")</f>
        <v/>
      </c>
      <c r="Z92" s="209" t="str">
        <f>IFERROR(VLOOKUP(TableHandbook[[#This Row],[UDC]],TableMJRUARVA1[],7,FALSE),"")</f>
        <v/>
      </c>
      <c r="AA92" s="209" t="str">
        <f>IFERROR(VLOOKUP(TableHandbook[[#This Row],[UDC]],TableMJRUENGL1[],7,FALSE),"")</f>
        <v/>
      </c>
      <c r="AB92" s="209" t="str">
        <f>IFERROR(VLOOKUP(TableHandbook[[#This Row],[UDC]],TableMJRUHSEC1[],7,FALSE),"")</f>
        <v/>
      </c>
      <c r="AC92" s="209" t="str">
        <f>IFERROR(VLOOKUP(TableHandbook[[#This Row],[UDC]],TableMJRUHSGE1[],7,FALSE),"")</f>
        <v/>
      </c>
      <c r="AD92" s="209" t="str">
        <f>IFERROR(VLOOKUP(TableHandbook[[#This Row],[UDC]],TableMJRUHSHI1[],7,FALSE),"")</f>
        <v/>
      </c>
      <c r="AE92" s="209" t="str">
        <f>IFERROR(VLOOKUP(TableHandbook[[#This Row],[UDC]],TableMJRUHSPL1[],7,FALSE),"")</f>
        <v/>
      </c>
      <c r="AF92" s="209" t="str">
        <f>IFERROR(VLOOKUP(TableHandbook[[#This Row],[UDC]],TableMJRUMATH1[],7,FALSE),"")</f>
        <v/>
      </c>
      <c r="AG92" s="209" t="str">
        <f>IFERROR(VLOOKUP(TableHandbook[[#This Row],[UDC]],TableMJRUPHYSE[],7,FALSE),"")</f>
        <v/>
      </c>
      <c r="AH92" s="209" t="str">
        <f>IFERROR(VLOOKUP(TableHandbook[[#This Row],[UDC]],TableMJRUSCBI1[],7,FALSE),"")</f>
        <v>Option</v>
      </c>
      <c r="AI92" s="209" t="str">
        <f>IFERROR(VLOOKUP(TableHandbook[[#This Row],[UDC]],TableMJRUSCCH1[],7,FALSE),"")</f>
        <v/>
      </c>
      <c r="AJ92" s="209" t="str">
        <f>IFERROR(VLOOKUP(TableHandbook[[#This Row],[UDC]],TableMJRUSCHB1[],7,FALSE),"")</f>
        <v/>
      </c>
      <c r="AK92" s="209" t="str">
        <f>IFERROR(VLOOKUP(TableHandbook[[#This Row],[UDC]],TableMJRUSCPH1[],7,FALSE),"")</f>
        <v/>
      </c>
      <c r="AL92" s="209" t="str">
        <f>IFERROR(VLOOKUP(TableHandbook[[#This Row],[UDC]],TableMJRUSCPS1[],7,FALSE),"")</f>
        <v/>
      </c>
      <c r="AM92" s="211" t="str">
        <f>IFERROR(VLOOKUP(TableHandbook[[#This Row],[UDC]],TableSTRUBIOLB[],7,FALSE),"")</f>
        <v/>
      </c>
      <c r="AN92" s="209" t="str">
        <f>IFERROR(VLOOKUP(TableHandbook[[#This Row],[UDC]],TableSTRUBSCIM[],7,FALSE),"")</f>
        <v/>
      </c>
      <c r="AO92" s="209" t="str">
        <f>IFERROR(VLOOKUP(TableHandbook[[#This Row],[UDC]],TableSTRUCHEMB[],7,FALSE),"")</f>
        <v/>
      </c>
      <c r="AP92" s="209" t="str">
        <f>IFERROR(VLOOKUP(TableHandbook[[#This Row],[UDC]],TableSTRUECOB1[],7,FALSE),"")</f>
        <v/>
      </c>
      <c r="AQ92" s="209" t="str">
        <f>IFERROR(VLOOKUP(TableHandbook[[#This Row],[UDC]],TableSTRUENGLB[],7,FALSE),"")</f>
        <v/>
      </c>
      <c r="AR92" s="209" t="str">
        <f>IFERROR(VLOOKUP(TableHandbook[[#This Row],[UDC]],TableSTRUENGLM[],7,FALSE),"")</f>
        <v/>
      </c>
      <c r="AS92" s="209" t="str">
        <f>IFERROR(VLOOKUP(TableHandbook[[#This Row],[UDC]],TableSTRUGEOB1[],7,FALSE),"")</f>
        <v/>
      </c>
      <c r="AT92" s="209" t="str">
        <f>IFERROR(VLOOKUP(TableHandbook[[#This Row],[UDC]],TableSTRUGEOGM[],7,FALSE),"")</f>
        <v/>
      </c>
      <c r="AU92" s="209" t="str">
        <f>IFERROR(VLOOKUP(TableHandbook[[#This Row],[UDC]],TableSTRUHISB1[],7,FALSE),"")</f>
        <v/>
      </c>
      <c r="AV92" s="209" t="str">
        <f>IFERROR(VLOOKUP(TableHandbook[[#This Row],[UDC]],TableSTRUHISTM[],7,FALSE),"")</f>
        <v/>
      </c>
      <c r="AW92" s="209" t="str">
        <f>IFERROR(VLOOKUP(TableHandbook[[#This Row],[UDC]],TableSTRUHPEB1[],7,FALSE),"")</f>
        <v/>
      </c>
      <c r="AX92" s="209" t="str">
        <f>IFERROR(VLOOKUP(TableHandbook[[#This Row],[UDC]],TableSTRUHUMBB[],7,FALSE),"")</f>
        <v/>
      </c>
      <c r="AY92" s="209" t="str">
        <f>IFERROR(VLOOKUP(TableHandbook[[#This Row],[UDC]],TableSTRUMARTM[],7,FALSE),"")</f>
        <v/>
      </c>
      <c r="AZ92" s="209" t="str">
        <f>IFERROR(VLOOKUP(TableHandbook[[#This Row],[UDC]],TableSTRUMATHB[],7,FALSE),"")</f>
        <v/>
      </c>
      <c r="BA92" s="209" t="str">
        <f>IFERROR(VLOOKUP(TableHandbook[[#This Row],[UDC]],TableSTRUMATHM[],7,FALSE),"")</f>
        <v/>
      </c>
      <c r="BB92" s="209" t="str">
        <f>IFERROR(VLOOKUP(TableHandbook[[#This Row],[UDC]],TableSTRUPARTB[],7,FALSE),"")</f>
        <v/>
      </c>
      <c r="BC92" s="209" t="str">
        <f>IFERROR(VLOOKUP(TableHandbook[[#This Row],[UDC]],TableSTRUPARTM[],7,FALSE),"")</f>
        <v/>
      </c>
      <c r="BD92" s="209" t="str">
        <f>IFERROR(VLOOKUP(TableHandbook[[#This Row],[UDC]],TableSTRUPOLB1[],7,FALSE),"")</f>
        <v/>
      </c>
      <c r="BE92" s="209" t="str">
        <f>IFERROR(VLOOKUP(TableHandbook[[#This Row],[UDC]],TableSTRUPSYCB[],7,FALSE),"")</f>
        <v/>
      </c>
      <c r="BF92" s="209" t="str">
        <f>IFERROR(VLOOKUP(TableHandbook[[#This Row],[UDC]],TableSTRUPSYCM[],7,FALSE),"")</f>
        <v/>
      </c>
      <c r="BG92" s="209" t="str">
        <f>IFERROR(VLOOKUP(TableHandbook[[#This Row],[UDC]],TableSTRUVARTB[],7,FALSE),"")</f>
        <v/>
      </c>
      <c r="BH92" s="209" t="str">
        <f>IFERROR(VLOOKUP(TableHandbook[[#This Row],[UDC]],TableSTRUVARTM[],7,FALSE),"")</f>
        <v/>
      </c>
    </row>
    <row r="93" spans="1:60" x14ac:dyDescent="0.25">
      <c r="A93" s="296" t="s">
        <v>580</v>
      </c>
      <c r="B93" s="7">
        <v>1</v>
      </c>
      <c r="C93" s="7"/>
      <c r="D93" s="207" t="s">
        <v>868</v>
      </c>
      <c r="E93" s="7">
        <v>25</v>
      </c>
      <c r="F93" s="84" t="s">
        <v>783</v>
      </c>
      <c r="G93" s="75" t="str">
        <f>IFERROR(IF(VLOOKUP(TableHandbook[[#This Row],[UDC]],TableAvailabilities[],2,FALSE)&gt;0,"Y",""),"")</f>
        <v>Y</v>
      </c>
      <c r="H93" s="75" t="str">
        <f>IFERROR(IF(VLOOKUP(TableHandbook[[#This Row],[UDC]],TableAvailabilities[],3,FALSE)&gt;0,"Y",""),"")</f>
        <v>Y</v>
      </c>
      <c r="I93" s="75" t="str">
        <f>IFERROR(IF(VLOOKUP(TableHandbook[[#This Row],[UDC]],TableAvailabilities[],4,FALSE)&gt;0,"Y",""),"")</f>
        <v>Y</v>
      </c>
      <c r="J93" s="75" t="str">
        <f>IFERROR(IF(VLOOKUP(TableHandbook[[#This Row],[UDC]],TableAvailabilities[],5,FALSE)&gt;0,"Y",""),"")</f>
        <v>Y</v>
      </c>
      <c r="K93" s="75" t="str">
        <f>IFERROR(IF(VLOOKUP(TableHandbook[[#This Row],[UDC]],TableAvailabilities[],6,FALSE)&gt;0,"Y",""),"")</f>
        <v>Y</v>
      </c>
      <c r="L93" s="75" t="str">
        <f>IFERROR(IF(VLOOKUP(TableHandbook[[#This Row],[UDC]],TableAvailabilities[],7,FALSE)&gt;0,"Y",""),"")</f>
        <v>Y</v>
      </c>
      <c r="M93" s="207"/>
      <c r="N93" s="209" t="str">
        <f>IFERROR(VLOOKUP(TableHandbook[[#This Row],[UDC]],TableBEDUC[],7,FALSE),"")</f>
        <v/>
      </c>
      <c r="O93" s="209" t="str">
        <f>IFERROR(VLOOKUP(TableHandbook[[#This Row],[UDC]],TableBEDEC[],7,FALSE),"")</f>
        <v/>
      </c>
      <c r="P93" s="211" t="str">
        <f>IFERROR(VLOOKUP(TableHandbook[[#This Row],[UDC]],TableBEDPR[],7,FALSE),"")</f>
        <v/>
      </c>
      <c r="Q93" s="209" t="str">
        <f>IFERROR(VLOOKUP(TableHandbook[[#This Row],[UDC]],TableSTRUCATHL[],7,FALSE),"")</f>
        <v/>
      </c>
      <c r="R93" s="209" t="str">
        <f>IFERROR(VLOOKUP(TableHandbook[[#This Row],[UDC]],TableSTRUENGLL[],7,FALSE),"")</f>
        <v/>
      </c>
      <c r="S93" s="209" t="str">
        <f>IFERROR(VLOOKUP(TableHandbook[[#This Row],[UDC]],TableSTRUHLTPE[],7,FALSE),"")</f>
        <v/>
      </c>
      <c r="T93" s="209" t="str">
        <f>IFERROR(VLOOKUP(TableHandbook[[#This Row],[UDC]],TableSTRUISTEM[],7,FALSE),"")</f>
        <v/>
      </c>
      <c r="U93" s="209" t="str">
        <f>IFERROR(VLOOKUP(TableHandbook[[#This Row],[UDC]],TableSTRULITNU[],7,FALSE),"")</f>
        <v/>
      </c>
      <c r="V93" s="209" t="str">
        <f>IFERROR(VLOOKUP(TableHandbook[[#This Row],[UDC]],TableSTRUTECHS[],7,FALSE),"")</f>
        <v/>
      </c>
      <c r="W93" s="211" t="str">
        <f>IFERROR(VLOOKUP(TableHandbook[[#This Row],[UDC]],TableBEDSC[],7,FALSE),"")</f>
        <v/>
      </c>
      <c r="X93" s="211" t="str">
        <f>IFERROR(VLOOKUP(TableHandbook[[#This Row],[UDC]],TableMJRUARDR1[],7,FALSE),"")</f>
        <v/>
      </c>
      <c r="Y93" s="209" t="str">
        <f>IFERROR(VLOOKUP(TableHandbook[[#This Row],[UDC]],TableMJRUARME1[],7,FALSE),"")</f>
        <v/>
      </c>
      <c r="Z93" s="209" t="str">
        <f>IFERROR(VLOOKUP(TableHandbook[[#This Row],[UDC]],TableMJRUARVA1[],7,FALSE),"")</f>
        <v/>
      </c>
      <c r="AA93" s="209" t="str">
        <f>IFERROR(VLOOKUP(TableHandbook[[#This Row],[UDC]],TableMJRUENGL1[],7,FALSE),"")</f>
        <v/>
      </c>
      <c r="AB93" s="209" t="str">
        <f>IFERROR(VLOOKUP(TableHandbook[[#This Row],[UDC]],TableMJRUHSEC1[],7,FALSE),"")</f>
        <v>AltCore</v>
      </c>
      <c r="AC93" s="209" t="str">
        <f>IFERROR(VLOOKUP(TableHandbook[[#This Row],[UDC]],TableMJRUHSGE1[],7,FALSE),"")</f>
        <v/>
      </c>
      <c r="AD93" s="209" t="str">
        <f>IFERROR(VLOOKUP(TableHandbook[[#This Row],[UDC]],TableMJRUHSHI1[],7,FALSE),"")</f>
        <v/>
      </c>
      <c r="AE93" s="209" t="str">
        <f>IFERROR(VLOOKUP(TableHandbook[[#This Row],[UDC]],TableMJRUHSPL1[],7,FALSE),"")</f>
        <v/>
      </c>
      <c r="AF93" s="209" t="str">
        <f>IFERROR(VLOOKUP(TableHandbook[[#This Row],[UDC]],TableMJRUMATH1[],7,FALSE),"")</f>
        <v/>
      </c>
      <c r="AG93" s="209" t="str">
        <f>IFERROR(VLOOKUP(TableHandbook[[#This Row],[UDC]],TableMJRUPHYSE[],7,FALSE),"")</f>
        <v/>
      </c>
      <c r="AH93" s="209" t="str">
        <f>IFERROR(VLOOKUP(TableHandbook[[#This Row],[UDC]],TableMJRUSCBI1[],7,FALSE),"")</f>
        <v/>
      </c>
      <c r="AI93" s="209" t="str">
        <f>IFERROR(VLOOKUP(TableHandbook[[#This Row],[UDC]],TableMJRUSCCH1[],7,FALSE),"")</f>
        <v/>
      </c>
      <c r="AJ93" s="209" t="str">
        <f>IFERROR(VLOOKUP(TableHandbook[[#This Row],[UDC]],TableMJRUSCHB1[],7,FALSE),"")</f>
        <v/>
      </c>
      <c r="AK93" s="209" t="str">
        <f>IFERROR(VLOOKUP(TableHandbook[[#This Row],[UDC]],TableMJRUSCPH1[],7,FALSE),"")</f>
        <v/>
      </c>
      <c r="AL93" s="209" t="str">
        <f>IFERROR(VLOOKUP(TableHandbook[[#This Row],[UDC]],TableMJRUSCPS1[],7,FALSE),"")</f>
        <v/>
      </c>
      <c r="AM93" s="211" t="str">
        <f>IFERROR(VLOOKUP(TableHandbook[[#This Row],[UDC]],TableSTRUBIOLB[],7,FALSE),"")</f>
        <v/>
      </c>
      <c r="AN93" s="209" t="str">
        <f>IFERROR(VLOOKUP(TableHandbook[[#This Row],[UDC]],TableSTRUBSCIM[],7,FALSE),"")</f>
        <v/>
      </c>
      <c r="AO93" s="209" t="str">
        <f>IFERROR(VLOOKUP(TableHandbook[[#This Row],[UDC]],TableSTRUCHEMB[],7,FALSE),"")</f>
        <v/>
      </c>
      <c r="AP93" s="209" t="str">
        <f>IFERROR(VLOOKUP(TableHandbook[[#This Row],[UDC]],TableSTRUECOB1[],7,FALSE),"")</f>
        <v/>
      </c>
      <c r="AQ93" s="209" t="str">
        <f>IFERROR(VLOOKUP(TableHandbook[[#This Row],[UDC]],TableSTRUENGLB[],7,FALSE),"")</f>
        <v/>
      </c>
      <c r="AR93" s="209" t="str">
        <f>IFERROR(VLOOKUP(TableHandbook[[#This Row],[UDC]],TableSTRUENGLM[],7,FALSE),"")</f>
        <v/>
      </c>
      <c r="AS93" s="209" t="str">
        <f>IFERROR(VLOOKUP(TableHandbook[[#This Row],[UDC]],TableSTRUGEOB1[],7,FALSE),"")</f>
        <v/>
      </c>
      <c r="AT93" s="209" t="str">
        <f>IFERROR(VLOOKUP(TableHandbook[[#This Row],[UDC]],TableSTRUGEOGM[],7,FALSE),"")</f>
        <v/>
      </c>
      <c r="AU93" s="209" t="str">
        <f>IFERROR(VLOOKUP(TableHandbook[[#This Row],[UDC]],TableSTRUHISB1[],7,FALSE),"")</f>
        <v/>
      </c>
      <c r="AV93" s="209" t="str">
        <f>IFERROR(VLOOKUP(TableHandbook[[#This Row],[UDC]],TableSTRUHISTM[],7,FALSE),"")</f>
        <v/>
      </c>
      <c r="AW93" s="209" t="str">
        <f>IFERROR(VLOOKUP(TableHandbook[[#This Row],[UDC]],TableSTRUHPEB1[],7,FALSE),"")</f>
        <v/>
      </c>
      <c r="AX93" s="209" t="str">
        <f>IFERROR(VLOOKUP(TableHandbook[[#This Row],[UDC]],TableSTRUHUMBB[],7,FALSE),"")</f>
        <v/>
      </c>
      <c r="AY93" s="209" t="str">
        <f>IFERROR(VLOOKUP(TableHandbook[[#This Row],[UDC]],TableSTRUMARTM[],7,FALSE),"")</f>
        <v/>
      </c>
      <c r="AZ93" s="209" t="str">
        <f>IFERROR(VLOOKUP(TableHandbook[[#This Row],[UDC]],TableSTRUMATHB[],7,FALSE),"")</f>
        <v/>
      </c>
      <c r="BA93" s="209" t="str">
        <f>IFERROR(VLOOKUP(TableHandbook[[#This Row],[UDC]],TableSTRUMATHM[],7,FALSE),"")</f>
        <v/>
      </c>
      <c r="BB93" s="209" t="str">
        <f>IFERROR(VLOOKUP(TableHandbook[[#This Row],[UDC]],TableSTRUPARTB[],7,FALSE),"")</f>
        <v/>
      </c>
      <c r="BC93" s="209" t="str">
        <f>IFERROR(VLOOKUP(TableHandbook[[#This Row],[UDC]],TableSTRUPARTM[],7,FALSE),"")</f>
        <v/>
      </c>
      <c r="BD93" s="209" t="str">
        <f>IFERROR(VLOOKUP(TableHandbook[[#This Row],[UDC]],TableSTRUPOLB1[],7,FALSE),"")</f>
        <v/>
      </c>
      <c r="BE93" s="209" t="str">
        <f>IFERROR(VLOOKUP(TableHandbook[[#This Row],[UDC]],TableSTRUPSYCB[],7,FALSE),"")</f>
        <v/>
      </c>
      <c r="BF93" s="209" t="str">
        <f>IFERROR(VLOOKUP(TableHandbook[[#This Row],[UDC]],TableSTRUPSYCM[],7,FALSE),"")</f>
        <v/>
      </c>
      <c r="BG93" s="209" t="str">
        <f>IFERROR(VLOOKUP(TableHandbook[[#This Row],[UDC]],TableSTRUVARTB[],7,FALSE),"")</f>
        <v/>
      </c>
      <c r="BH93" s="209" t="str">
        <f>IFERROR(VLOOKUP(TableHandbook[[#This Row],[UDC]],TableSTRUVARTM[],7,FALSE),"")</f>
        <v/>
      </c>
    </row>
    <row r="94" spans="1:60" x14ac:dyDescent="0.25">
      <c r="A94" s="6" t="s">
        <v>452</v>
      </c>
      <c r="B94" s="7">
        <v>1</v>
      </c>
      <c r="C94" s="7"/>
      <c r="D94" s="207" t="s">
        <v>869</v>
      </c>
      <c r="E94" s="7">
        <v>25</v>
      </c>
      <c r="F94" s="84" t="s">
        <v>783</v>
      </c>
      <c r="G94" s="75" t="str">
        <f>IFERROR(IF(VLOOKUP(TableHandbook[[#This Row],[UDC]],TableAvailabilities[],2,FALSE)&gt;0,"Y",""),"")</f>
        <v>Y</v>
      </c>
      <c r="H94" s="75" t="str">
        <f>IFERROR(IF(VLOOKUP(TableHandbook[[#This Row],[UDC]],TableAvailabilities[],3,FALSE)&gt;0,"Y",""),"")</f>
        <v>Y</v>
      </c>
      <c r="I94" s="75" t="str">
        <f>IFERROR(IF(VLOOKUP(TableHandbook[[#This Row],[UDC]],TableAvailabilities[],4,FALSE)&gt;0,"Y",""),"")</f>
        <v>Y</v>
      </c>
      <c r="J94" s="75" t="str">
        <f>IFERROR(IF(VLOOKUP(TableHandbook[[#This Row],[UDC]],TableAvailabilities[],5,FALSE)&gt;0,"Y",""),"")</f>
        <v>Y</v>
      </c>
      <c r="K94" s="75" t="str">
        <f>IFERROR(IF(VLOOKUP(TableHandbook[[#This Row],[UDC]],TableAvailabilities[],6,FALSE)&gt;0,"Y",""),"")</f>
        <v>Y</v>
      </c>
      <c r="L94" s="75" t="str">
        <f>IFERROR(IF(VLOOKUP(TableHandbook[[#This Row],[UDC]],TableAvailabilities[],7,FALSE)&gt;0,"Y",""),"")</f>
        <v>Y</v>
      </c>
      <c r="M94" s="207"/>
      <c r="N94" s="209" t="str">
        <f>IFERROR(VLOOKUP(TableHandbook[[#This Row],[UDC]],TableBEDUC[],7,FALSE),"")</f>
        <v/>
      </c>
      <c r="O94" s="209" t="str">
        <f>IFERROR(VLOOKUP(TableHandbook[[#This Row],[UDC]],TableBEDEC[],7,FALSE),"")</f>
        <v/>
      </c>
      <c r="P94" s="211" t="str">
        <f>IFERROR(VLOOKUP(TableHandbook[[#This Row],[UDC]],TableBEDPR[],7,FALSE),"")</f>
        <v/>
      </c>
      <c r="Q94" s="209" t="str">
        <f>IFERROR(VLOOKUP(TableHandbook[[#This Row],[UDC]],TableSTRUCATHL[],7,FALSE),"")</f>
        <v/>
      </c>
      <c r="R94" s="209" t="str">
        <f>IFERROR(VLOOKUP(TableHandbook[[#This Row],[UDC]],TableSTRUENGLL[],7,FALSE),"")</f>
        <v/>
      </c>
      <c r="S94" s="209" t="str">
        <f>IFERROR(VLOOKUP(TableHandbook[[#This Row],[UDC]],TableSTRUHLTPE[],7,FALSE),"")</f>
        <v/>
      </c>
      <c r="T94" s="209" t="str">
        <f>IFERROR(VLOOKUP(TableHandbook[[#This Row],[UDC]],TableSTRUISTEM[],7,FALSE),"")</f>
        <v/>
      </c>
      <c r="U94" s="209" t="str">
        <f>IFERROR(VLOOKUP(TableHandbook[[#This Row],[UDC]],TableSTRULITNU[],7,FALSE),"")</f>
        <v/>
      </c>
      <c r="V94" s="209" t="str">
        <f>IFERROR(VLOOKUP(TableHandbook[[#This Row],[UDC]],TableSTRUTECHS[],7,FALSE),"")</f>
        <v/>
      </c>
      <c r="W94" s="211" t="str">
        <f>IFERROR(VLOOKUP(TableHandbook[[#This Row],[UDC]],TableBEDSC[],7,FALSE),"")</f>
        <v/>
      </c>
      <c r="X94" s="211" t="str">
        <f>IFERROR(VLOOKUP(TableHandbook[[#This Row],[UDC]],TableMJRUARDR1[],7,FALSE),"")</f>
        <v/>
      </c>
      <c r="Y94" s="209" t="str">
        <f>IFERROR(VLOOKUP(TableHandbook[[#This Row],[UDC]],TableMJRUARME1[],7,FALSE),"")</f>
        <v/>
      </c>
      <c r="Z94" s="209" t="str">
        <f>IFERROR(VLOOKUP(TableHandbook[[#This Row],[UDC]],TableMJRUARVA1[],7,FALSE),"")</f>
        <v/>
      </c>
      <c r="AA94" s="209" t="str">
        <f>IFERROR(VLOOKUP(TableHandbook[[#This Row],[UDC]],TableMJRUENGL1[],7,FALSE),"")</f>
        <v/>
      </c>
      <c r="AB94" s="209" t="str">
        <f>IFERROR(VLOOKUP(TableHandbook[[#This Row],[UDC]],TableMJRUHSEC1[],7,FALSE),"")</f>
        <v>Core</v>
      </c>
      <c r="AC94" s="209" t="str">
        <f>IFERROR(VLOOKUP(TableHandbook[[#This Row],[UDC]],TableMJRUHSGE1[],7,FALSE),"")</f>
        <v/>
      </c>
      <c r="AD94" s="209" t="str">
        <f>IFERROR(VLOOKUP(TableHandbook[[#This Row],[UDC]],TableMJRUHSHI1[],7,FALSE),"")</f>
        <v/>
      </c>
      <c r="AE94" s="209" t="str">
        <f>IFERROR(VLOOKUP(TableHandbook[[#This Row],[UDC]],TableMJRUHSPL1[],7,FALSE),"")</f>
        <v/>
      </c>
      <c r="AF94" s="209" t="str">
        <f>IFERROR(VLOOKUP(TableHandbook[[#This Row],[UDC]],TableMJRUMATH1[],7,FALSE),"")</f>
        <v/>
      </c>
      <c r="AG94" s="209" t="str">
        <f>IFERROR(VLOOKUP(TableHandbook[[#This Row],[UDC]],TableMJRUPHYSE[],7,FALSE),"")</f>
        <v/>
      </c>
      <c r="AH94" s="209" t="str">
        <f>IFERROR(VLOOKUP(TableHandbook[[#This Row],[UDC]],TableMJRUSCBI1[],7,FALSE),"")</f>
        <v/>
      </c>
      <c r="AI94" s="209" t="str">
        <f>IFERROR(VLOOKUP(TableHandbook[[#This Row],[UDC]],TableMJRUSCCH1[],7,FALSE),"")</f>
        <v/>
      </c>
      <c r="AJ94" s="209" t="str">
        <f>IFERROR(VLOOKUP(TableHandbook[[#This Row],[UDC]],TableMJRUSCHB1[],7,FALSE),"")</f>
        <v/>
      </c>
      <c r="AK94" s="209" t="str">
        <f>IFERROR(VLOOKUP(TableHandbook[[#This Row],[UDC]],TableMJRUSCPH1[],7,FALSE),"")</f>
        <v/>
      </c>
      <c r="AL94" s="209" t="str">
        <f>IFERROR(VLOOKUP(TableHandbook[[#This Row],[UDC]],TableMJRUSCPS1[],7,FALSE),"")</f>
        <v/>
      </c>
      <c r="AM94" s="211" t="str">
        <f>IFERROR(VLOOKUP(TableHandbook[[#This Row],[UDC]],TableSTRUBIOLB[],7,FALSE),"")</f>
        <v/>
      </c>
      <c r="AN94" s="209" t="str">
        <f>IFERROR(VLOOKUP(TableHandbook[[#This Row],[UDC]],TableSTRUBSCIM[],7,FALSE),"")</f>
        <v/>
      </c>
      <c r="AO94" s="209" t="str">
        <f>IFERROR(VLOOKUP(TableHandbook[[#This Row],[UDC]],TableSTRUCHEMB[],7,FALSE),"")</f>
        <v/>
      </c>
      <c r="AP94" s="209" t="str">
        <f>IFERROR(VLOOKUP(TableHandbook[[#This Row],[UDC]],TableSTRUECOB1[],7,FALSE),"")</f>
        <v/>
      </c>
      <c r="AQ94" s="209" t="str">
        <f>IFERROR(VLOOKUP(TableHandbook[[#This Row],[UDC]],TableSTRUENGLB[],7,FALSE),"")</f>
        <v/>
      </c>
      <c r="AR94" s="209" t="str">
        <f>IFERROR(VLOOKUP(TableHandbook[[#This Row],[UDC]],TableSTRUENGLM[],7,FALSE),"")</f>
        <v/>
      </c>
      <c r="AS94" s="209" t="str">
        <f>IFERROR(VLOOKUP(TableHandbook[[#This Row],[UDC]],TableSTRUGEOB1[],7,FALSE),"")</f>
        <v>Core</v>
      </c>
      <c r="AT94" s="209" t="str">
        <f>IFERROR(VLOOKUP(TableHandbook[[#This Row],[UDC]],TableSTRUGEOGM[],7,FALSE),"")</f>
        <v/>
      </c>
      <c r="AU94" s="209" t="str">
        <f>IFERROR(VLOOKUP(TableHandbook[[#This Row],[UDC]],TableSTRUHISB1[],7,FALSE),"")</f>
        <v>Core</v>
      </c>
      <c r="AV94" s="209" t="str">
        <f>IFERROR(VLOOKUP(TableHandbook[[#This Row],[UDC]],TableSTRUHISTM[],7,FALSE),"")</f>
        <v/>
      </c>
      <c r="AW94" s="209" t="str">
        <f>IFERROR(VLOOKUP(TableHandbook[[#This Row],[UDC]],TableSTRUHPEB1[],7,FALSE),"")</f>
        <v/>
      </c>
      <c r="AX94" s="209" t="str">
        <f>IFERROR(VLOOKUP(TableHandbook[[#This Row],[UDC]],TableSTRUHUMBB[],7,FALSE),"")</f>
        <v/>
      </c>
      <c r="AY94" s="209" t="str">
        <f>IFERROR(VLOOKUP(TableHandbook[[#This Row],[UDC]],TableSTRUMARTM[],7,FALSE),"")</f>
        <v/>
      </c>
      <c r="AZ94" s="209" t="str">
        <f>IFERROR(VLOOKUP(TableHandbook[[#This Row],[UDC]],TableSTRUMATHB[],7,FALSE),"")</f>
        <v/>
      </c>
      <c r="BA94" s="209" t="str">
        <f>IFERROR(VLOOKUP(TableHandbook[[#This Row],[UDC]],TableSTRUMATHM[],7,FALSE),"")</f>
        <v/>
      </c>
      <c r="BB94" s="209" t="str">
        <f>IFERROR(VLOOKUP(TableHandbook[[#This Row],[UDC]],TableSTRUPARTB[],7,FALSE),"")</f>
        <v/>
      </c>
      <c r="BC94" s="209" t="str">
        <f>IFERROR(VLOOKUP(TableHandbook[[#This Row],[UDC]],TableSTRUPARTM[],7,FALSE),"")</f>
        <v/>
      </c>
      <c r="BD94" s="209" t="str">
        <f>IFERROR(VLOOKUP(TableHandbook[[#This Row],[UDC]],TableSTRUPOLB1[],7,FALSE),"")</f>
        <v>Core</v>
      </c>
      <c r="BE94" s="209" t="str">
        <f>IFERROR(VLOOKUP(TableHandbook[[#This Row],[UDC]],TableSTRUPSYCB[],7,FALSE),"")</f>
        <v/>
      </c>
      <c r="BF94" s="209" t="str">
        <f>IFERROR(VLOOKUP(TableHandbook[[#This Row],[UDC]],TableSTRUPSYCM[],7,FALSE),"")</f>
        <v/>
      </c>
      <c r="BG94" s="209" t="str">
        <f>IFERROR(VLOOKUP(TableHandbook[[#This Row],[UDC]],TableSTRUVARTB[],7,FALSE),"")</f>
        <v/>
      </c>
      <c r="BH94" s="209" t="str">
        <f>IFERROR(VLOOKUP(TableHandbook[[#This Row],[UDC]],TableSTRUVARTM[],7,FALSE),"")</f>
        <v/>
      </c>
    </row>
    <row r="95" spans="1:60" x14ac:dyDescent="0.25">
      <c r="A95" s="6" t="s">
        <v>497</v>
      </c>
      <c r="B95" s="7">
        <v>1</v>
      </c>
      <c r="C95" s="7"/>
      <c r="D95" s="207" t="s">
        <v>870</v>
      </c>
      <c r="E95" s="7">
        <v>25</v>
      </c>
      <c r="F95" s="84" t="s">
        <v>783</v>
      </c>
      <c r="G95" s="75" t="str">
        <f>IFERROR(IF(VLOOKUP(TableHandbook[[#This Row],[UDC]],TableAvailabilities[],2,FALSE)&gt;0,"Y",""),"")</f>
        <v/>
      </c>
      <c r="H95" s="75" t="str">
        <f>IFERROR(IF(VLOOKUP(TableHandbook[[#This Row],[UDC]],TableAvailabilities[],3,FALSE)&gt;0,"Y",""),"")</f>
        <v/>
      </c>
      <c r="I95" s="75" t="str">
        <f>IFERROR(IF(VLOOKUP(TableHandbook[[#This Row],[UDC]],TableAvailabilities[],4,FALSE)&gt;0,"Y",""),"")</f>
        <v/>
      </c>
      <c r="J95" s="75" t="str">
        <f>IFERROR(IF(VLOOKUP(TableHandbook[[#This Row],[UDC]],TableAvailabilities[],5,FALSE)&gt;0,"Y",""),"")</f>
        <v>Y</v>
      </c>
      <c r="K95" s="75" t="str">
        <f>IFERROR(IF(VLOOKUP(TableHandbook[[#This Row],[UDC]],TableAvailabilities[],6,FALSE)&gt;0,"Y",""),"")</f>
        <v>Y</v>
      </c>
      <c r="L95" s="75" t="str">
        <f>IFERROR(IF(VLOOKUP(TableHandbook[[#This Row],[UDC]],TableAvailabilities[],7,FALSE)&gt;0,"Y",""),"")</f>
        <v/>
      </c>
      <c r="M95" s="207"/>
      <c r="N95" s="209" t="str">
        <f>IFERROR(VLOOKUP(TableHandbook[[#This Row],[UDC]],TableBEDUC[],7,FALSE),"")</f>
        <v/>
      </c>
      <c r="O95" s="209" t="str">
        <f>IFERROR(VLOOKUP(TableHandbook[[#This Row],[UDC]],TableBEDEC[],7,FALSE),"")</f>
        <v/>
      </c>
      <c r="P95" s="211" t="str">
        <f>IFERROR(VLOOKUP(TableHandbook[[#This Row],[UDC]],TableBEDPR[],7,FALSE),"")</f>
        <v/>
      </c>
      <c r="Q95" s="209" t="str">
        <f>IFERROR(VLOOKUP(TableHandbook[[#This Row],[UDC]],TableSTRUCATHL[],7,FALSE),"")</f>
        <v/>
      </c>
      <c r="R95" s="209" t="str">
        <f>IFERROR(VLOOKUP(TableHandbook[[#This Row],[UDC]],TableSTRUENGLL[],7,FALSE),"")</f>
        <v/>
      </c>
      <c r="S95" s="209" t="str">
        <f>IFERROR(VLOOKUP(TableHandbook[[#This Row],[UDC]],TableSTRUHLTPE[],7,FALSE),"")</f>
        <v/>
      </c>
      <c r="T95" s="209" t="str">
        <f>IFERROR(VLOOKUP(TableHandbook[[#This Row],[UDC]],TableSTRUISTEM[],7,FALSE),"")</f>
        <v/>
      </c>
      <c r="U95" s="209" t="str">
        <f>IFERROR(VLOOKUP(TableHandbook[[#This Row],[UDC]],TableSTRULITNU[],7,FALSE),"")</f>
        <v/>
      </c>
      <c r="V95" s="209" t="str">
        <f>IFERROR(VLOOKUP(TableHandbook[[#This Row],[UDC]],TableSTRUTECHS[],7,FALSE),"")</f>
        <v/>
      </c>
      <c r="W95" s="211" t="str">
        <f>IFERROR(VLOOKUP(TableHandbook[[#This Row],[UDC]],TableBEDSC[],7,FALSE),"")</f>
        <v/>
      </c>
      <c r="X95" s="211" t="str">
        <f>IFERROR(VLOOKUP(TableHandbook[[#This Row],[UDC]],TableMJRUARDR1[],7,FALSE),"")</f>
        <v/>
      </c>
      <c r="Y95" s="209" t="str">
        <f>IFERROR(VLOOKUP(TableHandbook[[#This Row],[UDC]],TableMJRUARME1[],7,FALSE),"")</f>
        <v/>
      </c>
      <c r="Z95" s="209" t="str">
        <f>IFERROR(VLOOKUP(TableHandbook[[#This Row],[UDC]],TableMJRUARVA1[],7,FALSE),"")</f>
        <v/>
      </c>
      <c r="AA95" s="209" t="str">
        <f>IFERROR(VLOOKUP(TableHandbook[[#This Row],[UDC]],TableMJRUENGL1[],7,FALSE),"")</f>
        <v/>
      </c>
      <c r="AB95" s="209" t="str">
        <f>IFERROR(VLOOKUP(TableHandbook[[#This Row],[UDC]],TableMJRUHSEC1[],7,FALSE),"")</f>
        <v>Core</v>
      </c>
      <c r="AC95" s="209" t="str">
        <f>IFERROR(VLOOKUP(TableHandbook[[#This Row],[UDC]],TableMJRUHSGE1[],7,FALSE),"")</f>
        <v/>
      </c>
      <c r="AD95" s="209" t="str">
        <f>IFERROR(VLOOKUP(TableHandbook[[#This Row],[UDC]],TableMJRUHSHI1[],7,FALSE),"")</f>
        <v/>
      </c>
      <c r="AE95" s="209" t="str">
        <f>IFERROR(VLOOKUP(TableHandbook[[#This Row],[UDC]],TableMJRUHSPL1[],7,FALSE),"")</f>
        <v/>
      </c>
      <c r="AF95" s="209" t="str">
        <f>IFERROR(VLOOKUP(TableHandbook[[#This Row],[UDC]],TableMJRUMATH1[],7,FALSE),"")</f>
        <v/>
      </c>
      <c r="AG95" s="209" t="str">
        <f>IFERROR(VLOOKUP(TableHandbook[[#This Row],[UDC]],TableMJRUPHYSE[],7,FALSE),"")</f>
        <v/>
      </c>
      <c r="AH95" s="209" t="str">
        <f>IFERROR(VLOOKUP(TableHandbook[[#This Row],[UDC]],TableMJRUSCBI1[],7,FALSE),"")</f>
        <v/>
      </c>
      <c r="AI95" s="209" t="str">
        <f>IFERROR(VLOOKUP(TableHandbook[[#This Row],[UDC]],TableMJRUSCCH1[],7,FALSE),"")</f>
        <v/>
      </c>
      <c r="AJ95" s="209" t="str">
        <f>IFERROR(VLOOKUP(TableHandbook[[#This Row],[UDC]],TableMJRUSCHB1[],7,FALSE),"")</f>
        <v/>
      </c>
      <c r="AK95" s="209" t="str">
        <f>IFERROR(VLOOKUP(TableHandbook[[#This Row],[UDC]],TableMJRUSCPH1[],7,FALSE),"")</f>
        <v/>
      </c>
      <c r="AL95" s="209" t="str">
        <f>IFERROR(VLOOKUP(TableHandbook[[#This Row],[UDC]],TableMJRUSCPS1[],7,FALSE),"")</f>
        <v/>
      </c>
      <c r="AM95" s="211" t="str">
        <f>IFERROR(VLOOKUP(TableHandbook[[#This Row],[UDC]],TableSTRUBIOLB[],7,FALSE),"")</f>
        <v/>
      </c>
      <c r="AN95" s="209" t="str">
        <f>IFERROR(VLOOKUP(TableHandbook[[#This Row],[UDC]],TableSTRUBSCIM[],7,FALSE),"")</f>
        <v/>
      </c>
      <c r="AO95" s="209" t="str">
        <f>IFERROR(VLOOKUP(TableHandbook[[#This Row],[UDC]],TableSTRUCHEMB[],7,FALSE),"")</f>
        <v/>
      </c>
      <c r="AP95" s="209" t="str">
        <f>IFERROR(VLOOKUP(TableHandbook[[#This Row],[UDC]],TableSTRUECOB1[],7,FALSE),"")</f>
        <v/>
      </c>
      <c r="AQ95" s="209" t="str">
        <f>IFERROR(VLOOKUP(TableHandbook[[#This Row],[UDC]],TableSTRUENGLB[],7,FALSE),"")</f>
        <v/>
      </c>
      <c r="AR95" s="209" t="str">
        <f>IFERROR(VLOOKUP(TableHandbook[[#This Row],[UDC]],TableSTRUENGLM[],7,FALSE),"")</f>
        <v/>
      </c>
      <c r="AS95" s="209" t="str">
        <f>IFERROR(VLOOKUP(TableHandbook[[#This Row],[UDC]],TableSTRUGEOB1[],7,FALSE),"")</f>
        <v/>
      </c>
      <c r="AT95" s="209" t="str">
        <f>IFERROR(VLOOKUP(TableHandbook[[#This Row],[UDC]],TableSTRUGEOGM[],7,FALSE),"")</f>
        <v/>
      </c>
      <c r="AU95" s="209" t="str">
        <f>IFERROR(VLOOKUP(TableHandbook[[#This Row],[UDC]],TableSTRUHISB1[],7,FALSE),"")</f>
        <v/>
      </c>
      <c r="AV95" s="209" t="str">
        <f>IFERROR(VLOOKUP(TableHandbook[[#This Row],[UDC]],TableSTRUHISTM[],7,FALSE),"")</f>
        <v/>
      </c>
      <c r="AW95" s="209" t="str">
        <f>IFERROR(VLOOKUP(TableHandbook[[#This Row],[UDC]],TableSTRUHPEB1[],7,FALSE),"")</f>
        <v/>
      </c>
      <c r="AX95" s="209" t="str">
        <f>IFERROR(VLOOKUP(TableHandbook[[#This Row],[UDC]],TableSTRUHUMBB[],7,FALSE),"")</f>
        <v/>
      </c>
      <c r="AY95" s="209" t="str">
        <f>IFERROR(VLOOKUP(TableHandbook[[#This Row],[UDC]],TableSTRUMARTM[],7,FALSE),"")</f>
        <v/>
      </c>
      <c r="AZ95" s="209" t="str">
        <f>IFERROR(VLOOKUP(TableHandbook[[#This Row],[UDC]],TableSTRUMATHB[],7,FALSE),"")</f>
        <v/>
      </c>
      <c r="BA95" s="209" t="str">
        <f>IFERROR(VLOOKUP(TableHandbook[[#This Row],[UDC]],TableSTRUMATHM[],7,FALSE),"")</f>
        <v/>
      </c>
      <c r="BB95" s="209" t="str">
        <f>IFERROR(VLOOKUP(TableHandbook[[#This Row],[UDC]],TableSTRUPARTB[],7,FALSE),"")</f>
        <v/>
      </c>
      <c r="BC95" s="209" t="str">
        <f>IFERROR(VLOOKUP(TableHandbook[[#This Row],[UDC]],TableSTRUPARTM[],7,FALSE),"")</f>
        <v/>
      </c>
      <c r="BD95" s="209" t="str">
        <f>IFERROR(VLOOKUP(TableHandbook[[#This Row],[UDC]],TableSTRUPOLB1[],7,FALSE),"")</f>
        <v/>
      </c>
      <c r="BE95" s="209" t="str">
        <f>IFERROR(VLOOKUP(TableHandbook[[#This Row],[UDC]],TableSTRUPSYCB[],7,FALSE),"")</f>
        <v/>
      </c>
      <c r="BF95" s="209" t="str">
        <f>IFERROR(VLOOKUP(TableHandbook[[#This Row],[UDC]],TableSTRUPSYCM[],7,FALSE),"")</f>
        <v/>
      </c>
      <c r="BG95" s="209" t="str">
        <f>IFERROR(VLOOKUP(TableHandbook[[#This Row],[UDC]],TableSTRUVARTB[],7,FALSE),"")</f>
        <v/>
      </c>
      <c r="BH95" s="209" t="str">
        <f>IFERROR(VLOOKUP(TableHandbook[[#This Row],[UDC]],TableSTRUVARTM[],7,FALSE),"")</f>
        <v/>
      </c>
    </row>
    <row r="96" spans="1:60" x14ac:dyDescent="0.25">
      <c r="A96" s="6" t="s">
        <v>593</v>
      </c>
      <c r="B96" s="7">
        <v>1</v>
      </c>
      <c r="C96" s="7"/>
      <c r="D96" s="207" t="s">
        <v>871</v>
      </c>
      <c r="E96" s="7">
        <v>25</v>
      </c>
      <c r="F96" s="84" t="s">
        <v>783</v>
      </c>
      <c r="G96" s="75" t="str">
        <f>IFERROR(IF(VLOOKUP(TableHandbook[[#This Row],[UDC]],TableAvailabilities[],2,FALSE)&gt;0,"Y",""),"")</f>
        <v>Y</v>
      </c>
      <c r="H96" s="75" t="str">
        <f>IFERROR(IF(VLOOKUP(TableHandbook[[#This Row],[UDC]],TableAvailabilities[],3,FALSE)&gt;0,"Y",""),"")</f>
        <v>Y</v>
      </c>
      <c r="I96" s="75" t="str">
        <f>IFERROR(IF(VLOOKUP(TableHandbook[[#This Row],[UDC]],TableAvailabilities[],4,FALSE)&gt;0,"Y",""),"")</f>
        <v/>
      </c>
      <c r="J96" s="75" t="str">
        <f>IFERROR(IF(VLOOKUP(TableHandbook[[#This Row],[UDC]],TableAvailabilities[],5,FALSE)&gt;0,"Y",""),"")</f>
        <v/>
      </c>
      <c r="K96" s="75" t="str">
        <f>IFERROR(IF(VLOOKUP(TableHandbook[[#This Row],[UDC]],TableAvailabilities[],6,FALSE)&gt;0,"Y",""),"")</f>
        <v/>
      </c>
      <c r="L96" s="75" t="str">
        <f>IFERROR(IF(VLOOKUP(TableHandbook[[#This Row],[UDC]],TableAvailabilities[],7,FALSE)&gt;0,"Y",""),"")</f>
        <v/>
      </c>
      <c r="M96" s="207"/>
      <c r="N96" s="209" t="str">
        <f>IFERROR(VLOOKUP(TableHandbook[[#This Row],[UDC]],TableBEDUC[],7,FALSE),"")</f>
        <v/>
      </c>
      <c r="O96" s="209" t="str">
        <f>IFERROR(VLOOKUP(TableHandbook[[#This Row],[UDC]],TableBEDEC[],7,FALSE),"")</f>
        <v/>
      </c>
      <c r="P96" s="211" t="str">
        <f>IFERROR(VLOOKUP(TableHandbook[[#This Row],[UDC]],TableBEDPR[],7,FALSE),"")</f>
        <v/>
      </c>
      <c r="Q96" s="209" t="str">
        <f>IFERROR(VLOOKUP(TableHandbook[[#This Row],[UDC]],TableSTRUCATHL[],7,FALSE),"")</f>
        <v/>
      </c>
      <c r="R96" s="209" t="str">
        <f>IFERROR(VLOOKUP(TableHandbook[[#This Row],[UDC]],TableSTRUENGLL[],7,FALSE),"")</f>
        <v/>
      </c>
      <c r="S96" s="209" t="str">
        <f>IFERROR(VLOOKUP(TableHandbook[[#This Row],[UDC]],TableSTRUHLTPE[],7,FALSE),"")</f>
        <v/>
      </c>
      <c r="T96" s="209" t="str">
        <f>IFERROR(VLOOKUP(TableHandbook[[#This Row],[UDC]],TableSTRUISTEM[],7,FALSE),"")</f>
        <v/>
      </c>
      <c r="U96" s="209" t="str">
        <f>IFERROR(VLOOKUP(TableHandbook[[#This Row],[UDC]],TableSTRULITNU[],7,FALSE),"")</f>
        <v/>
      </c>
      <c r="V96" s="209" t="str">
        <f>IFERROR(VLOOKUP(TableHandbook[[#This Row],[UDC]],TableSTRUTECHS[],7,FALSE),"")</f>
        <v/>
      </c>
      <c r="W96" s="211" t="str">
        <f>IFERROR(VLOOKUP(TableHandbook[[#This Row],[UDC]],TableBEDSC[],7,FALSE),"")</f>
        <v/>
      </c>
      <c r="X96" s="211" t="str">
        <f>IFERROR(VLOOKUP(TableHandbook[[#This Row],[UDC]],TableMJRUARDR1[],7,FALSE),"")</f>
        <v/>
      </c>
      <c r="Y96" s="209" t="str">
        <f>IFERROR(VLOOKUP(TableHandbook[[#This Row],[UDC]],TableMJRUARME1[],7,FALSE),"")</f>
        <v/>
      </c>
      <c r="Z96" s="209" t="str">
        <f>IFERROR(VLOOKUP(TableHandbook[[#This Row],[UDC]],TableMJRUARVA1[],7,FALSE),"")</f>
        <v/>
      </c>
      <c r="AA96" s="209" t="str">
        <f>IFERROR(VLOOKUP(TableHandbook[[#This Row],[UDC]],TableMJRUENGL1[],7,FALSE),"")</f>
        <v/>
      </c>
      <c r="AB96" s="209" t="str">
        <f>IFERROR(VLOOKUP(TableHandbook[[#This Row],[UDC]],TableMJRUHSEC1[],7,FALSE),"")</f>
        <v>AltCore</v>
      </c>
      <c r="AC96" s="209" t="str">
        <f>IFERROR(VLOOKUP(TableHandbook[[#This Row],[UDC]],TableMJRUHSGE1[],7,FALSE),"")</f>
        <v/>
      </c>
      <c r="AD96" s="209" t="str">
        <f>IFERROR(VLOOKUP(TableHandbook[[#This Row],[UDC]],TableMJRUHSHI1[],7,FALSE),"")</f>
        <v/>
      </c>
      <c r="AE96" s="209" t="str">
        <f>IFERROR(VLOOKUP(TableHandbook[[#This Row],[UDC]],TableMJRUHSPL1[],7,FALSE),"")</f>
        <v/>
      </c>
      <c r="AF96" s="209" t="str">
        <f>IFERROR(VLOOKUP(TableHandbook[[#This Row],[UDC]],TableMJRUMATH1[],7,FALSE),"")</f>
        <v/>
      </c>
      <c r="AG96" s="209" t="str">
        <f>IFERROR(VLOOKUP(TableHandbook[[#This Row],[UDC]],TableMJRUPHYSE[],7,FALSE),"")</f>
        <v/>
      </c>
      <c r="AH96" s="209" t="str">
        <f>IFERROR(VLOOKUP(TableHandbook[[#This Row],[UDC]],TableMJRUSCBI1[],7,FALSE),"")</f>
        <v/>
      </c>
      <c r="AI96" s="209" t="str">
        <f>IFERROR(VLOOKUP(TableHandbook[[#This Row],[UDC]],TableMJRUSCCH1[],7,FALSE),"")</f>
        <v/>
      </c>
      <c r="AJ96" s="209" t="str">
        <f>IFERROR(VLOOKUP(TableHandbook[[#This Row],[UDC]],TableMJRUSCHB1[],7,FALSE),"")</f>
        <v/>
      </c>
      <c r="AK96" s="209" t="str">
        <f>IFERROR(VLOOKUP(TableHandbook[[#This Row],[UDC]],TableMJRUSCPH1[],7,FALSE),"")</f>
        <v/>
      </c>
      <c r="AL96" s="209" t="str">
        <f>IFERROR(VLOOKUP(TableHandbook[[#This Row],[UDC]],TableMJRUSCPS1[],7,FALSE),"")</f>
        <v/>
      </c>
      <c r="AM96" s="211" t="str">
        <f>IFERROR(VLOOKUP(TableHandbook[[#This Row],[UDC]],TableSTRUBIOLB[],7,FALSE),"")</f>
        <v/>
      </c>
      <c r="AN96" s="209" t="str">
        <f>IFERROR(VLOOKUP(TableHandbook[[#This Row],[UDC]],TableSTRUBSCIM[],7,FALSE),"")</f>
        <v/>
      </c>
      <c r="AO96" s="209" t="str">
        <f>IFERROR(VLOOKUP(TableHandbook[[#This Row],[UDC]],TableSTRUCHEMB[],7,FALSE),"")</f>
        <v/>
      </c>
      <c r="AP96" s="209" t="str">
        <f>IFERROR(VLOOKUP(TableHandbook[[#This Row],[UDC]],TableSTRUECOB1[],7,FALSE),"")</f>
        <v/>
      </c>
      <c r="AQ96" s="209" t="str">
        <f>IFERROR(VLOOKUP(TableHandbook[[#This Row],[UDC]],TableSTRUENGLB[],7,FALSE),"")</f>
        <v/>
      </c>
      <c r="AR96" s="209" t="str">
        <f>IFERROR(VLOOKUP(TableHandbook[[#This Row],[UDC]],TableSTRUENGLM[],7,FALSE),"")</f>
        <v/>
      </c>
      <c r="AS96" s="209" t="str">
        <f>IFERROR(VLOOKUP(TableHandbook[[#This Row],[UDC]],TableSTRUGEOB1[],7,FALSE),"")</f>
        <v/>
      </c>
      <c r="AT96" s="209" t="str">
        <f>IFERROR(VLOOKUP(TableHandbook[[#This Row],[UDC]],TableSTRUGEOGM[],7,FALSE),"")</f>
        <v/>
      </c>
      <c r="AU96" s="209" t="str">
        <f>IFERROR(VLOOKUP(TableHandbook[[#This Row],[UDC]],TableSTRUHISB1[],7,FALSE),"")</f>
        <v/>
      </c>
      <c r="AV96" s="209" t="str">
        <f>IFERROR(VLOOKUP(TableHandbook[[#This Row],[UDC]],TableSTRUHISTM[],7,FALSE),"")</f>
        <v/>
      </c>
      <c r="AW96" s="209" t="str">
        <f>IFERROR(VLOOKUP(TableHandbook[[#This Row],[UDC]],TableSTRUHPEB1[],7,FALSE),"")</f>
        <v/>
      </c>
      <c r="AX96" s="209" t="str">
        <f>IFERROR(VLOOKUP(TableHandbook[[#This Row],[UDC]],TableSTRUHUMBB[],7,FALSE),"")</f>
        <v/>
      </c>
      <c r="AY96" s="209" t="str">
        <f>IFERROR(VLOOKUP(TableHandbook[[#This Row],[UDC]],TableSTRUMARTM[],7,FALSE),"")</f>
        <v/>
      </c>
      <c r="AZ96" s="209" t="str">
        <f>IFERROR(VLOOKUP(TableHandbook[[#This Row],[UDC]],TableSTRUMATHB[],7,FALSE),"")</f>
        <v/>
      </c>
      <c r="BA96" s="209" t="str">
        <f>IFERROR(VLOOKUP(TableHandbook[[#This Row],[UDC]],TableSTRUMATHM[],7,FALSE),"")</f>
        <v/>
      </c>
      <c r="BB96" s="209" t="str">
        <f>IFERROR(VLOOKUP(TableHandbook[[#This Row],[UDC]],TableSTRUPARTB[],7,FALSE),"")</f>
        <v/>
      </c>
      <c r="BC96" s="209" t="str">
        <f>IFERROR(VLOOKUP(TableHandbook[[#This Row],[UDC]],TableSTRUPARTM[],7,FALSE),"")</f>
        <v/>
      </c>
      <c r="BD96" s="209" t="str">
        <f>IFERROR(VLOOKUP(TableHandbook[[#This Row],[UDC]],TableSTRUPOLB1[],7,FALSE),"")</f>
        <v/>
      </c>
      <c r="BE96" s="209" t="str">
        <f>IFERROR(VLOOKUP(TableHandbook[[#This Row],[UDC]],TableSTRUPSYCB[],7,FALSE),"")</f>
        <v/>
      </c>
      <c r="BF96" s="209" t="str">
        <f>IFERROR(VLOOKUP(TableHandbook[[#This Row],[UDC]],TableSTRUPSYCM[],7,FALSE),"")</f>
        <v/>
      </c>
      <c r="BG96" s="209" t="str">
        <f>IFERROR(VLOOKUP(TableHandbook[[#This Row],[UDC]],TableSTRUVARTB[],7,FALSE),"")</f>
        <v/>
      </c>
      <c r="BH96" s="209" t="str">
        <f>IFERROR(VLOOKUP(TableHandbook[[#This Row],[UDC]],TableSTRUVARTM[],7,FALSE),"")</f>
        <v/>
      </c>
    </row>
    <row r="97" spans="1:60" x14ac:dyDescent="0.25">
      <c r="A97" s="6" t="s">
        <v>601</v>
      </c>
      <c r="B97" s="7">
        <v>1</v>
      </c>
      <c r="C97" s="7"/>
      <c r="D97" s="207" t="s">
        <v>872</v>
      </c>
      <c r="E97" s="7">
        <v>25</v>
      </c>
      <c r="F97" s="84" t="s">
        <v>873</v>
      </c>
      <c r="G97" s="75" t="str">
        <f>IFERROR(IF(VLOOKUP(TableHandbook[[#This Row],[UDC]],TableAvailabilities[],2,FALSE)&gt;0,"Y",""),"")</f>
        <v>Y</v>
      </c>
      <c r="H97" s="75" t="str">
        <f>IFERROR(IF(VLOOKUP(TableHandbook[[#This Row],[UDC]],TableAvailabilities[],3,FALSE)&gt;0,"Y",""),"")</f>
        <v/>
      </c>
      <c r="I97" s="75" t="str">
        <f>IFERROR(IF(VLOOKUP(TableHandbook[[#This Row],[UDC]],TableAvailabilities[],4,FALSE)&gt;0,"Y",""),"")</f>
        <v/>
      </c>
      <c r="J97" s="75" t="str">
        <f>IFERROR(IF(VLOOKUP(TableHandbook[[#This Row],[UDC]],TableAvailabilities[],5,FALSE)&gt;0,"Y",""),"")</f>
        <v/>
      </c>
      <c r="K97" s="75" t="str">
        <f>IFERROR(IF(VLOOKUP(TableHandbook[[#This Row],[UDC]],TableAvailabilities[],6,FALSE)&gt;0,"Y",""),"")</f>
        <v/>
      </c>
      <c r="L97" s="75" t="str">
        <f>IFERROR(IF(VLOOKUP(TableHandbook[[#This Row],[UDC]],TableAvailabilities[],7,FALSE)&gt;0,"Y",""),"")</f>
        <v/>
      </c>
      <c r="M97" s="207"/>
      <c r="N97" s="209" t="str">
        <f>IFERROR(VLOOKUP(TableHandbook[[#This Row],[UDC]],TableBEDUC[],7,FALSE),"")</f>
        <v/>
      </c>
      <c r="O97" s="209" t="str">
        <f>IFERROR(VLOOKUP(TableHandbook[[#This Row],[UDC]],TableBEDEC[],7,FALSE),"")</f>
        <v/>
      </c>
      <c r="P97" s="211" t="str">
        <f>IFERROR(VLOOKUP(TableHandbook[[#This Row],[UDC]],TableBEDPR[],7,FALSE),"")</f>
        <v/>
      </c>
      <c r="Q97" s="209" t="str">
        <f>IFERROR(VLOOKUP(TableHandbook[[#This Row],[UDC]],TableSTRUCATHL[],7,FALSE),"")</f>
        <v/>
      </c>
      <c r="R97" s="209" t="str">
        <f>IFERROR(VLOOKUP(TableHandbook[[#This Row],[UDC]],TableSTRUENGLL[],7,FALSE),"")</f>
        <v/>
      </c>
      <c r="S97" s="209" t="str">
        <f>IFERROR(VLOOKUP(TableHandbook[[#This Row],[UDC]],TableSTRUHLTPE[],7,FALSE),"")</f>
        <v/>
      </c>
      <c r="T97" s="209" t="str">
        <f>IFERROR(VLOOKUP(TableHandbook[[#This Row],[UDC]],TableSTRUISTEM[],7,FALSE),"")</f>
        <v/>
      </c>
      <c r="U97" s="209" t="str">
        <f>IFERROR(VLOOKUP(TableHandbook[[#This Row],[UDC]],TableSTRULITNU[],7,FALSE),"")</f>
        <v/>
      </c>
      <c r="V97" s="209" t="str">
        <f>IFERROR(VLOOKUP(TableHandbook[[#This Row],[UDC]],TableSTRUTECHS[],7,FALSE),"")</f>
        <v/>
      </c>
      <c r="W97" s="211" t="str">
        <f>IFERROR(VLOOKUP(TableHandbook[[#This Row],[UDC]],TableBEDSC[],7,FALSE),"")</f>
        <v/>
      </c>
      <c r="X97" s="211" t="str">
        <f>IFERROR(VLOOKUP(TableHandbook[[#This Row],[UDC]],TableMJRUARDR1[],7,FALSE),"")</f>
        <v/>
      </c>
      <c r="Y97" s="209" t="str">
        <f>IFERROR(VLOOKUP(TableHandbook[[#This Row],[UDC]],TableMJRUARME1[],7,FALSE),"")</f>
        <v/>
      </c>
      <c r="Z97" s="209" t="str">
        <f>IFERROR(VLOOKUP(TableHandbook[[#This Row],[UDC]],TableMJRUARVA1[],7,FALSE),"")</f>
        <v/>
      </c>
      <c r="AA97" s="209" t="str">
        <f>IFERROR(VLOOKUP(TableHandbook[[#This Row],[UDC]],TableMJRUENGL1[],7,FALSE),"")</f>
        <v/>
      </c>
      <c r="AB97" s="209" t="str">
        <f>IFERROR(VLOOKUP(TableHandbook[[#This Row],[UDC]],TableMJRUHSEC1[],7,FALSE),"")</f>
        <v>AltCore</v>
      </c>
      <c r="AC97" s="209" t="str">
        <f>IFERROR(VLOOKUP(TableHandbook[[#This Row],[UDC]],TableMJRUHSGE1[],7,FALSE),"")</f>
        <v/>
      </c>
      <c r="AD97" s="209" t="str">
        <f>IFERROR(VLOOKUP(TableHandbook[[#This Row],[UDC]],TableMJRUHSHI1[],7,FALSE),"")</f>
        <v/>
      </c>
      <c r="AE97" s="209" t="str">
        <f>IFERROR(VLOOKUP(TableHandbook[[#This Row],[UDC]],TableMJRUHSPL1[],7,FALSE),"")</f>
        <v/>
      </c>
      <c r="AF97" s="209" t="str">
        <f>IFERROR(VLOOKUP(TableHandbook[[#This Row],[UDC]],TableMJRUMATH1[],7,FALSE),"")</f>
        <v/>
      </c>
      <c r="AG97" s="209" t="str">
        <f>IFERROR(VLOOKUP(TableHandbook[[#This Row],[UDC]],TableMJRUPHYSE[],7,FALSE),"")</f>
        <v/>
      </c>
      <c r="AH97" s="209" t="str">
        <f>IFERROR(VLOOKUP(TableHandbook[[#This Row],[UDC]],TableMJRUSCBI1[],7,FALSE),"")</f>
        <v/>
      </c>
      <c r="AI97" s="209" t="str">
        <f>IFERROR(VLOOKUP(TableHandbook[[#This Row],[UDC]],TableMJRUSCCH1[],7,FALSE),"")</f>
        <v/>
      </c>
      <c r="AJ97" s="209" t="str">
        <f>IFERROR(VLOOKUP(TableHandbook[[#This Row],[UDC]],TableMJRUSCHB1[],7,FALSE),"")</f>
        <v/>
      </c>
      <c r="AK97" s="209" t="str">
        <f>IFERROR(VLOOKUP(TableHandbook[[#This Row],[UDC]],TableMJRUSCPH1[],7,FALSE),"")</f>
        <v/>
      </c>
      <c r="AL97" s="209" t="str">
        <f>IFERROR(VLOOKUP(TableHandbook[[#This Row],[UDC]],TableMJRUSCPS1[],7,FALSE),"")</f>
        <v/>
      </c>
      <c r="AM97" s="211" t="str">
        <f>IFERROR(VLOOKUP(TableHandbook[[#This Row],[UDC]],TableSTRUBIOLB[],7,FALSE),"")</f>
        <v/>
      </c>
      <c r="AN97" s="209" t="str">
        <f>IFERROR(VLOOKUP(TableHandbook[[#This Row],[UDC]],TableSTRUBSCIM[],7,FALSE),"")</f>
        <v/>
      </c>
      <c r="AO97" s="209" t="str">
        <f>IFERROR(VLOOKUP(TableHandbook[[#This Row],[UDC]],TableSTRUCHEMB[],7,FALSE),"")</f>
        <v/>
      </c>
      <c r="AP97" s="209" t="str">
        <f>IFERROR(VLOOKUP(TableHandbook[[#This Row],[UDC]],TableSTRUECOB1[],7,FALSE),"")</f>
        <v/>
      </c>
      <c r="AQ97" s="209" t="str">
        <f>IFERROR(VLOOKUP(TableHandbook[[#This Row],[UDC]],TableSTRUENGLB[],7,FALSE),"")</f>
        <v/>
      </c>
      <c r="AR97" s="209" t="str">
        <f>IFERROR(VLOOKUP(TableHandbook[[#This Row],[UDC]],TableSTRUENGLM[],7,FALSE),"")</f>
        <v/>
      </c>
      <c r="AS97" s="209" t="str">
        <f>IFERROR(VLOOKUP(TableHandbook[[#This Row],[UDC]],TableSTRUGEOB1[],7,FALSE),"")</f>
        <v/>
      </c>
      <c r="AT97" s="209" t="str">
        <f>IFERROR(VLOOKUP(TableHandbook[[#This Row],[UDC]],TableSTRUGEOGM[],7,FALSE),"")</f>
        <v/>
      </c>
      <c r="AU97" s="209" t="str">
        <f>IFERROR(VLOOKUP(TableHandbook[[#This Row],[UDC]],TableSTRUHISB1[],7,FALSE),"")</f>
        <v/>
      </c>
      <c r="AV97" s="209" t="str">
        <f>IFERROR(VLOOKUP(TableHandbook[[#This Row],[UDC]],TableSTRUHISTM[],7,FALSE),"")</f>
        <v/>
      </c>
      <c r="AW97" s="209" t="str">
        <f>IFERROR(VLOOKUP(TableHandbook[[#This Row],[UDC]],TableSTRUHPEB1[],7,FALSE),"")</f>
        <v/>
      </c>
      <c r="AX97" s="209" t="str">
        <f>IFERROR(VLOOKUP(TableHandbook[[#This Row],[UDC]],TableSTRUHUMBB[],7,FALSE),"")</f>
        <v/>
      </c>
      <c r="AY97" s="209" t="str">
        <f>IFERROR(VLOOKUP(TableHandbook[[#This Row],[UDC]],TableSTRUMARTM[],7,FALSE),"")</f>
        <v/>
      </c>
      <c r="AZ97" s="209" t="str">
        <f>IFERROR(VLOOKUP(TableHandbook[[#This Row],[UDC]],TableSTRUMATHB[],7,FALSE),"")</f>
        <v/>
      </c>
      <c r="BA97" s="209" t="str">
        <f>IFERROR(VLOOKUP(TableHandbook[[#This Row],[UDC]],TableSTRUMATHM[],7,FALSE),"")</f>
        <v/>
      </c>
      <c r="BB97" s="209" t="str">
        <f>IFERROR(VLOOKUP(TableHandbook[[#This Row],[UDC]],TableSTRUPARTB[],7,FALSE),"")</f>
        <v/>
      </c>
      <c r="BC97" s="209" t="str">
        <f>IFERROR(VLOOKUP(TableHandbook[[#This Row],[UDC]],TableSTRUPARTM[],7,FALSE),"")</f>
        <v/>
      </c>
      <c r="BD97" s="209" t="str">
        <f>IFERROR(VLOOKUP(TableHandbook[[#This Row],[UDC]],TableSTRUPOLB1[],7,FALSE),"")</f>
        <v/>
      </c>
      <c r="BE97" s="209" t="str">
        <f>IFERROR(VLOOKUP(TableHandbook[[#This Row],[UDC]],TableSTRUPSYCB[],7,FALSE),"")</f>
        <v/>
      </c>
      <c r="BF97" s="209" t="str">
        <f>IFERROR(VLOOKUP(TableHandbook[[#This Row],[UDC]],TableSTRUPSYCM[],7,FALSE),"")</f>
        <v/>
      </c>
      <c r="BG97" s="209" t="str">
        <f>IFERROR(VLOOKUP(TableHandbook[[#This Row],[UDC]],TableSTRUVARTB[],7,FALSE),"")</f>
        <v/>
      </c>
      <c r="BH97" s="209" t="str">
        <f>IFERROR(VLOOKUP(TableHandbook[[#This Row],[UDC]],TableSTRUVARTM[],7,FALSE),"")</f>
        <v/>
      </c>
    </row>
    <row r="98" spans="1:60" x14ac:dyDescent="0.25">
      <c r="A98" s="6" t="s">
        <v>611</v>
      </c>
      <c r="B98" s="7">
        <v>1</v>
      </c>
      <c r="C98" s="7"/>
      <c r="D98" s="207" t="s">
        <v>874</v>
      </c>
      <c r="E98" s="7">
        <v>25</v>
      </c>
      <c r="F98" s="84" t="s">
        <v>497</v>
      </c>
      <c r="G98" s="75" t="str">
        <f>IFERROR(IF(VLOOKUP(TableHandbook[[#This Row],[UDC]],TableAvailabilities[],2,FALSE)&gt;0,"Y",""),"")</f>
        <v/>
      </c>
      <c r="H98" s="75" t="str">
        <f>IFERROR(IF(VLOOKUP(TableHandbook[[#This Row],[UDC]],TableAvailabilities[],3,FALSE)&gt;0,"Y",""),"")</f>
        <v/>
      </c>
      <c r="I98" s="75" t="str">
        <f>IFERROR(IF(VLOOKUP(TableHandbook[[#This Row],[UDC]],TableAvailabilities[],4,FALSE)&gt;0,"Y",""),"")</f>
        <v/>
      </c>
      <c r="J98" s="75" t="str">
        <f>IFERROR(IF(VLOOKUP(TableHandbook[[#This Row],[UDC]],TableAvailabilities[],5,FALSE)&gt;0,"Y",""),"")</f>
        <v>Y</v>
      </c>
      <c r="K98" s="75" t="str">
        <f>IFERROR(IF(VLOOKUP(TableHandbook[[#This Row],[UDC]],TableAvailabilities[],6,FALSE)&gt;0,"Y",""),"")</f>
        <v/>
      </c>
      <c r="L98" s="75" t="str">
        <f>IFERROR(IF(VLOOKUP(TableHandbook[[#This Row],[UDC]],TableAvailabilities[],7,FALSE)&gt;0,"Y",""),"")</f>
        <v/>
      </c>
      <c r="M98" s="207"/>
      <c r="N98" s="209" t="str">
        <f>IFERROR(VLOOKUP(TableHandbook[[#This Row],[UDC]],TableBEDUC[],7,FALSE),"")</f>
        <v/>
      </c>
      <c r="O98" s="209" t="str">
        <f>IFERROR(VLOOKUP(TableHandbook[[#This Row],[UDC]],TableBEDEC[],7,FALSE),"")</f>
        <v/>
      </c>
      <c r="P98" s="211" t="str">
        <f>IFERROR(VLOOKUP(TableHandbook[[#This Row],[UDC]],TableBEDPR[],7,FALSE),"")</f>
        <v/>
      </c>
      <c r="Q98" s="209" t="str">
        <f>IFERROR(VLOOKUP(TableHandbook[[#This Row],[UDC]],TableSTRUCATHL[],7,FALSE),"")</f>
        <v/>
      </c>
      <c r="R98" s="209" t="str">
        <f>IFERROR(VLOOKUP(TableHandbook[[#This Row],[UDC]],TableSTRUENGLL[],7,FALSE),"")</f>
        <v/>
      </c>
      <c r="S98" s="209" t="str">
        <f>IFERROR(VLOOKUP(TableHandbook[[#This Row],[UDC]],TableSTRUHLTPE[],7,FALSE),"")</f>
        <v/>
      </c>
      <c r="T98" s="209" t="str">
        <f>IFERROR(VLOOKUP(TableHandbook[[#This Row],[UDC]],TableSTRUISTEM[],7,FALSE),"")</f>
        <v/>
      </c>
      <c r="U98" s="209" t="str">
        <f>IFERROR(VLOOKUP(TableHandbook[[#This Row],[UDC]],TableSTRULITNU[],7,FALSE),"")</f>
        <v/>
      </c>
      <c r="V98" s="209" t="str">
        <f>IFERROR(VLOOKUP(TableHandbook[[#This Row],[UDC]],TableSTRUTECHS[],7,FALSE),"")</f>
        <v/>
      </c>
      <c r="W98" s="211" t="str">
        <f>IFERROR(VLOOKUP(TableHandbook[[#This Row],[UDC]],TableBEDSC[],7,FALSE),"")</f>
        <v/>
      </c>
      <c r="X98" s="211" t="str">
        <f>IFERROR(VLOOKUP(TableHandbook[[#This Row],[UDC]],TableMJRUARDR1[],7,FALSE),"")</f>
        <v/>
      </c>
      <c r="Y98" s="209" t="str">
        <f>IFERROR(VLOOKUP(TableHandbook[[#This Row],[UDC]],TableMJRUARME1[],7,FALSE),"")</f>
        <v/>
      </c>
      <c r="Z98" s="209" t="str">
        <f>IFERROR(VLOOKUP(TableHandbook[[#This Row],[UDC]],TableMJRUARVA1[],7,FALSE),"")</f>
        <v/>
      </c>
      <c r="AA98" s="209" t="str">
        <f>IFERROR(VLOOKUP(TableHandbook[[#This Row],[UDC]],TableMJRUENGL1[],7,FALSE),"")</f>
        <v/>
      </c>
      <c r="AB98" s="209" t="str">
        <f>IFERROR(VLOOKUP(TableHandbook[[#This Row],[UDC]],TableMJRUHSEC1[],7,FALSE),"")</f>
        <v>AltCore</v>
      </c>
      <c r="AC98" s="209" t="str">
        <f>IFERROR(VLOOKUP(TableHandbook[[#This Row],[UDC]],TableMJRUHSGE1[],7,FALSE),"")</f>
        <v/>
      </c>
      <c r="AD98" s="209" t="str">
        <f>IFERROR(VLOOKUP(TableHandbook[[#This Row],[UDC]],TableMJRUHSHI1[],7,FALSE),"")</f>
        <v/>
      </c>
      <c r="AE98" s="209" t="str">
        <f>IFERROR(VLOOKUP(TableHandbook[[#This Row],[UDC]],TableMJRUHSPL1[],7,FALSE),"")</f>
        <v/>
      </c>
      <c r="AF98" s="209" t="str">
        <f>IFERROR(VLOOKUP(TableHandbook[[#This Row],[UDC]],TableMJRUMATH1[],7,FALSE),"")</f>
        <v/>
      </c>
      <c r="AG98" s="209" t="str">
        <f>IFERROR(VLOOKUP(TableHandbook[[#This Row],[UDC]],TableMJRUPHYSE[],7,FALSE),"")</f>
        <v/>
      </c>
      <c r="AH98" s="209" t="str">
        <f>IFERROR(VLOOKUP(TableHandbook[[#This Row],[UDC]],TableMJRUSCBI1[],7,FALSE),"")</f>
        <v/>
      </c>
      <c r="AI98" s="209" t="str">
        <f>IFERROR(VLOOKUP(TableHandbook[[#This Row],[UDC]],TableMJRUSCCH1[],7,FALSE),"")</f>
        <v/>
      </c>
      <c r="AJ98" s="209" t="str">
        <f>IFERROR(VLOOKUP(TableHandbook[[#This Row],[UDC]],TableMJRUSCHB1[],7,FALSE),"")</f>
        <v/>
      </c>
      <c r="AK98" s="209" t="str">
        <f>IFERROR(VLOOKUP(TableHandbook[[#This Row],[UDC]],TableMJRUSCPH1[],7,FALSE),"")</f>
        <v/>
      </c>
      <c r="AL98" s="209" t="str">
        <f>IFERROR(VLOOKUP(TableHandbook[[#This Row],[UDC]],TableMJRUSCPS1[],7,FALSE),"")</f>
        <v/>
      </c>
      <c r="AM98" s="211" t="str">
        <f>IFERROR(VLOOKUP(TableHandbook[[#This Row],[UDC]],TableSTRUBIOLB[],7,FALSE),"")</f>
        <v/>
      </c>
      <c r="AN98" s="209" t="str">
        <f>IFERROR(VLOOKUP(TableHandbook[[#This Row],[UDC]],TableSTRUBSCIM[],7,FALSE),"")</f>
        <v/>
      </c>
      <c r="AO98" s="209" t="str">
        <f>IFERROR(VLOOKUP(TableHandbook[[#This Row],[UDC]],TableSTRUCHEMB[],7,FALSE),"")</f>
        <v/>
      </c>
      <c r="AP98" s="209" t="str">
        <f>IFERROR(VLOOKUP(TableHandbook[[#This Row],[UDC]],TableSTRUECOB1[],7,FALSE),"")</f>
        <v/>
      </c>
      <c r="AQ98" s="209" t="str">
        <f>IFERROR(VLOOKUP(TableHandbook[[#This Row],[UDC]],TableSTRUENGLB[],7,FALSE),"")</f>
        <v/>
      </c>
      <c r="AR98" s="209" t="str">
        <f>IFERROR(VLOOKUP(TableHandbook[[#This Row],[UDC]],TableSTRUENGLM[],7,FALSE),"")</f>
        <v/>
      </c>
      <c r="AS98" s="209" t="str">
        <f>IFERROR(VLOOKUP(TableHandbook[[#This Row],[UDC]],TableSTRUGEOB1[],7,FALSE),"")</f>
        <v/>
      </c>
      <c r="AT98" s="209" t="str">
        <f>IFERROR(VLOOKUP(TableHandbook[[#This Row],[UDC]],TableSTRUGEOGM[],7,FALSE),"")</f>
        <v/>
      </c>
      <c r="AU98" s="209" t="str">
        <f>IFERROR(VLOOKUP(TableHandbook[[#This Row],[UDC]],TableSTRUHISB1[],7,FALSE),"")</f>
        <v/>
      </c>
      <c r="AV98" s="209" t="str">
        <f>IFERROR(VLOOKUP(TableHandbook[[#This Row],[UDC]],TableSTRUHISTM[],7,FALSE),"")</f>
        <v/>
      </c>
      <c r="AW98" s="209" t="str">
        <f>IFERROR(VLOOKUP(TableHandbook[[#This Row],[UDC]],TableSTRUHPEB1[],7,FALSE),"")</f>
        <v/>
      </c>
      <c r="AX98" s="209" t="str">
        <f>IFERROR(VLOOKUP(TableHandbook[[#This Row],[UDC]],TableSTRUHUMBB[],7,FALSE),"")</f>
        <v/>
      </c>
      <c r="AY98" s="209" t="str">
        <f>IFERROR(VLOOKUP(TableHandbook[[#This Row],[UDC]],TableSTRUMARTM[],7,FALSE),"")</f>
        <v/>
      </c>
      <c r="AZ98" s="209" t="str">
        <f>IFERROR(VLOOKUP(TableHandbook[[#This Row],[UDC]],TableSTRUMATHB[],7,FALSE),"")</f>
        <v/>
      </c>
      <c r="BA98" s="209" t="str">
        <f>IFERROR(VLOOKUP(TableHandbook[[#This Row],[UDC]],TableSTRUMATHM[],7,FALSE),"")</f>
        <v/>
      </c>
      <c r="BB98" s="209" t="str">
        <f>IFERROR(VLOOKUP(TableHandbook[[#This Row],[UDC]],TableSTRUPARTB[],7,FALSE),"")</f>
        <v/>
      </c>
      <c r="BC98" s="209" t="str">
        <f>IFERROR(VLOOKUP(TableHandbook[[#This Row],[UDC]],TableSTRUPARTM[],7,FALSE),"")</f>
        <v/>
      </c>
      <c r="BD98" s="209" t="str">
        <f>IFERROR(VLOOKUP(TableHandbook[[#This Row],[UDC]],TableSTRUPOLB1[],7,FALSE),"")</f>
        <v/>
      </c>
      <c r="BE98" s="209" t="str">
        <f>IFERROR(VLOOKUP(TableHandbook[[#This Row],[UDC]],TableSTRUPSYCB[],7,FALSE),"")</f>
        <v/>
      </c>
      <c r="BF98" s="209" t="str">
        <f>IFERROR(VLOOKUP(TableHandbook[[#This Row],[UDC]],TableSTRUPSYCM[],7,FALSE),"")</f>
        <v/>
      </c>
      <c r="BG98" s="209" t="str">
        <f>IFERROR(VLOOKUP(TableHandbook[[#This Row],[UDC]],TableSTRUVARTB[],7,FALSE),"")</f>
        <v/>
      </c>
      <c r="BH98" s="209" t="str">
        <f>IFERROR(VLOOKUP(TableHandbook[[#This Row],[UDC]],TableSTRUVARTM[],7,FALSE),"")</f>
        <v/>
      </c>
    </row>
    <row r="99" spans="1:60" x14ac:dyDescent="0.25">
      <c r="A99" s="6" t="s">
        <v>618</v>
      </c>
      <c r="B99" s="7">
        <v>1</v>
      </c>
      <c r="C99" s="7"/>
      <c r="D99" s="207" t="s">
        <v>875</v>
      </c>
      <c r="E99" s="7">
        <v>25</v>
      </c>
      <c r="F99" s="84" t="s">
        <v>873</v>
      </c>
      <c r="G99" s="75" t="str">
        <f>IFERROR(IF(VLOOKUP(TableHandbook[[#This Row],[UDC]],TableAvailabilities[],2,FALSE)&gt;0,"Y",""),"")</f>
        <v/>
      </c>
      <c r="H99" s="75" t="str">
        <f>IFERROR(IF(VLOOKUP(TableHandbook[[#This Row],[UDC]],TableAvailabilities[],3,FALSE)&gt;0,"Y",""),"")</f>
        <v/>
      </c>
      <c r="I99" s="75" t="str">
        <f>IFERROR(IF(VLOOKUP(TableHandbook[[#This Row],[UDC]],TableAvailabilities[],4,FALSE)&gt;0,"Y",""),"")</f>
        <v/>
      </c>
      <c r="J99" s="75" t="str">
        <f>IFERROR(IF(VLOOKUP(TableHandbook[[#This Row],[UDC]],TableAvailabilities[],5,FALSE)&gt;0,"Y",""),"")</f>
        <v>Y</v>
      </c>
      <c r="K99" s="75" t="str">
        <f>IFERROR(IF(VLOOKUP(TableHandbook[[#This Row],[UDC]],TableAvailabilities[],6,FALSE)&gt;0,"Y",""),"")</f>
        <v/>
      </c>
      <c r="L99" s="75" t="str">
        <f>IFERROR(IF(VLOOKUP(TableHandbook[[#This Row],[UDC]],TableAvailabilities[],7,FALSE)&gt;0,"Y",""),"")</f>
        <v/>
      </c>
      <c r="M99" s="207"/>
      <c r="N99" s="209" t="str">
        <f>IFERROR(VLOOKUP(TableHandbook[[#This Row],[UDC]],TableBEDUC[],7,FALSE),"")</f>
        <v/>
      </c>
      <c r="O99" s="209" t="str">
        <f>IFERROR(VLOOKUP(TableHandbook[[#This Row],[UDC]],TableBEDEC[],7,FALSE),"")</f>
        <v/>
      </c>
      <c r="P99" s="211" t="str">
        <f>IFERROR(VLOOKUP(TableHandbook[[#This Row],[UDC]],TableBEDPR[],7,FALSE),"")</f>
        <v/>
      </c>
      <c r="Q99" s="209" t="str">
        <f>IFERROR(VLOOKUP(TableHandbook[[#This Row],[UDC]],TableSTRUCATHL[],7,FALSE),"")</f>
        <v/>
      </c>
      <c r="R99" s="209" t="str">
        <f>IFERROR(VLOOKUP(TableHandbook[[#This Row],[UDC]],TableSTRUENGLL[],7,FALSE),"")</f>
        <v/>
      </c>
      <c r="S99" s="209" t="str">
        <f>IFERROR(VLOOKUP(TableHandbook[[#This Row],[UDC]],TableSTRUHLTPE[],7,FALSE),"")</f>
        <v/>
      </c>
      <c r="T99" s="209" t="str">
        <f>IFERROR(VLOOKUP(TableHandbook[[#This Row],[UDC]],TableSTRUISTEM[],7,FALSE),"")</f>
        <v/>
      </c>
      <c r="U99" s="209" t="str">
        <f>IFERROR(VLOOKUP(TableHandbook[[#This Row],[UDC]],TableSTRULITNU[],7,FALSE),"")</f>
        <v/>
      </c>
      <c r="V99" s="209" t="str">
        <f>IFERROR(VLOOKUP(TableHandbook[[#This Row],[UDC]],TableSTRUTECHS[],7,FALSE),"")</f>
        <v/>
      </c>
      <c r="W99" s="211" t="str">
        <f>IFERROR(VLOOKUP(TableHandbook[[#This Row],[UDC]],TableBEDSC[],7,FALSE),"")</f>
        <v/>
      </c>
      <c r="X99" s="211" t="str">
        <f>IFERROR(VLOOKUP(TableHandbook[[#This Row],[UDC]],TableMJRUARDR1[],7,FALSE),"")</f>
        <v/>
      </c>
      <c r="Y99" s="209" t="str">
        <f>IFERROR(VLOOKUP(TableHandbook[[#This Row],[UDC]],TableMJRUARME1[],7,FALSE),"")</f>
        <v/>
      </c>
      <c r="Z99" s="209" t="str">
        <f>IFERROR(VLOOKUP(TableHandbook[[#This Row],[UDC]],TableMJRUARVA1[],7,FALSE),"")</f>
        <v/>
      </c>
      <c r="AA99" s="209" t="str">
        <f>IFERROR(VLOOKUP(TableHandbook[[#This Row],[UDC]],TableMJRUENGL1[],7,FALSE),"")</f>
        <v/>
      </c>
      <c r="AB99" s="209" t="str">
        <f>IFERROR(VLOOKUP(TableHandbook[[#This Row],[UDC]],TableMJRUHSEC1[],7,FALSE),"")</f>
        <v>AltCore</v>
      </c>
      <c r="AC99" s="209" t="str">
        <f>IFERROR(VLOOKUP(TableHandbook[[#This Row],[UDC]],TableMJRUHSGE1[],7,FALSE),"")</f>
        <v/>
      </c>
      <c r="AD99" s="209" t="str">
        <f>IFERROR(VLOOKUP(TableHandbook[[#This Row],[UDC]],TableMJRUHSHI1[],7,FALSE),"")</f>
        <v/>
      </c>
      <c r="AE99" s="209" t="str">
        <f>IFERROR(VLOOKUP(TableHandbook[[#This Row],[UDC]],TableMJRUHSPL1[],7,FALSE),"")</f>
        <v/>
      </c>
      <c r="AF99" s="209" t="str">
        <f>IFERROR(VLOOKUP(TableHandbook[[#This Row],[UDC]],TableMJRUMATH1[],7,FALSE),"")</f>
        <v/>
      </c>
      <c r="AG99" s="209" t="str">
        <f>IFERROR(VLOOKUP(TableHandbook[[#This Row],[UDC]],TableMJRUPHYSE[],7,FALSE),"")</f>
        <v/>
      </c>
      <c r="AH99" s="209" t="str">
        <f>IFERROR(VLOOKUP(TableHandbook[[#This Row],[UDC]],TableMJRUSCBI1[],7,FALSE),"")</f>
        <v/>
      </c>
      <c r="AI99" s="209" t="str">
        <f>IFERROR(VLOOKUP(TableHandbook[[#This Row],[UDC]],TableMJRUSCCH1[],7,FALSE),"")</f>
        <v/>
      </c>
      <c r="AJ99" s="209" t="str">
        <f>IFERROR(VLOOKUP(TableHandbook[[#This Row],[UDC]],TableMJRUSCHB1[],7,FALSE),"")</f>
        <v/>
      </c>
      <c r="AK99" s="209" t="str">
        <f>IFERROR(VLOOKUP(TableHandbook[[#This Row],[UDC]],TableMJRUSCPH1[],7,FALSE),"")</f>
        <v/>
      </c>
      <c r="AL99" s="209" t="str">
        <f>IFERROR(VLOOKUP(TableHandbook[[#This Row],[UDC]],TableMJRUSCPS1[],7,FALSE),"")</f>
        <v/>
      </c>
      <c r="AM99" s="211" t="str">
        <f>IFERROR(VLOOKUP(TableHandbook[[#This Row],[UDC]],TableSTRUBIOLB[],7,FALSE),"")</f>
        <v/>
      </c>
      <c r="AN99" s="209" t="str">
        <f>IFERROR(VLOOKUP(TableHandbook[[#This Row],[UDC]],TableSTRUBSCIM[],7,FALSE),"")</f>
        <v/>
      </c>
      <c r="AO99" s="209" t="str">
        <f>IFERROR(VLOOKUP(TableHandbook[[#This Row],[UDC]],TableSTRUCHEMB[],7,FALSE),"")</f>
        <v/>
      </c>
      <c r="AP99" s="209" t="str">
        <f>IFERROR(VLOOKUP(TableHandbook[[#This Row],[UDC]],TableSTRUECOB1[],7,FALSE),"")</f>
        <v/>
      </c>
      <c r="AQ99" s="209" t="str">
        <f>IFERROR(VLOOKUP(TableHandbook[[#This Row],[UDC]],TableSTRUENGLB[],7,FALSE),"")</f>
        <v/>
      </c>
      <c r="AR99" s="209" t="str">
        <f>IFERROR(VLOOKUP(TableHandbook[[#This Row],[UDC]],TableSTRUENGLM[],7,FALSE),"")</f>
        <v/>
      </c>
      <c r="AS99" s="209" t="str">
        <f>IFERROR(VLOOKUP(TableHandbook[[#This Row],[UDC]],TableSTRUGEOB1[],7,FALSE),"")</f>
        <v/>
      </c>
      <c r="AT99" s="209" t="str">
        <f>IFERROR(VLOOKUP(TableHandbook[[#This Row],[UDC]],TableSTRUGEOGM[],7,FALSE),"")</f>
        <v/>
      </c>
      <c r="AU99" s="209" t="str">
        <f>IFERROR(VLOOKUP(TableHandbook[[#This Row],[UDC]],TableSTRUHISB1[],7,FALSE),"")</f>
        <v/>
      </c>
      <c r="AV99" s="209" t="str">
        <f>IFERROR(VLOOKUP(TableHandbook[[#This Row],[UDC]],TableSTRUHISTM[],7,FALSE),"")</f>
        <v/>
      </c>
      <c r="AW99" s="209" t="str">
        <f>IFERROR(VLOOKUP(TableHandbook[[#This Row],[UDC]],TableSTRUHPEB1[],7,FALSE),"")</f>
        <v/>
      </c>
      <c r="AX99" s="209" t="str">
        <f>IFERROR(VLOOKUP(TableHandbook[[#This Row],[UDC]],TableSTRUHUMBB[],7,FALSE),"")</f>
        <v/>
      </c>
      <c r="AY99" s="209" t="str">
        <f>IFERROR(VLOOKUP(TableHandbook[[#This Row],[UDC]],TableSTRUMARTM[],7,FALSE),"")</f>
        <v/>
      </c>
      <c r="AZ99" s="209" t="str">
        <f>IFERROR(VLOOKUP(TableHandbook[[#This Row],[UDC]],TableSTRUMATHB[],7,FALSE),"")</f>
        <v/>
      </c>
      <c r="BA99" s="209" t="str">
        <f>IFERROR(VLOOKUP(TableHandbook[[#This Row],[UDC]],TableSTRUMATHM[],7,FALSE),"")</f>
        <v/>
      </c>
      <c r="BB99" s="209" t="str">
        <f>IFERROR(VLOOKUP(TableHandbook[[#This Row],[UDC]],TableSTRUPARTB[],7,FALSE),"")</f>
        <v/>
      </c>
      <c r="BC99" s="209" t="str">
        <f>IFERROR(VLOOKUP(TableHandbook[[#This Row],[UDC]],TableSTRUPARTM[],7,FALSE),"")</f>
        <v/>
      </c>
      <c r="BD99" s="209" t="str">
        <f>IFERROR(VLOOKUP(TableHandbook[[#This Row],[UDC]],TableSTRUPOLB1[],7,FALSE),"")</f>
        <v/>
      </c>
      <c r="BE99" s="209" t="str">
        <f>IFERROR(VLOOKUP(TableHandbook[[#This Row],[UDC]],TableSTRUPSYCB[],7,FALSE),"")</f>
        <v/>
      </c>
      <c r="BF99" s="209" t="str">
        <f>IFERROR(VLOOKUP(TableHandbook[[#This Row],[UDC]],TableSTRUPSYCM[],7,FALSE),"")</f>
        <v/>
      </c>
      <c r="BG99" s="209" t="str">
        <f>IFERROR(VLOOKUP(TableHandbook[[#This Row],[UDC]],TableSTRUVARTB[],7,FALSE),"")</f>
        <v/>
      </c>
      <c r="BH99" s="209" t="str">
        <f>IFERROR(VLOOKUP(TableHandbook[[#This Row],[UDC]],TableSTRUVARTM[],7,FALSE),"")</f>
        <v/>
      </c>
    </row>
    <row r="100" spans="1:60" x14ac:dyDescent="0.25">
      <c r="A100" s="6" t="s">
        <v>92</v>
      </c>
      <c r="B100" s="7">
        <v>2</v>
      </c>
      <c r="C100" s="7"/>
      <c r="D100" s="207" t="s">
        <v>876</v>
      </c>
      <c r="E100" s="7">
        <v>25</v>
      </c>
      <c r="F100" s="311" t="s">
        <v>877</v>
      </c>
      <c r="G100" s="75" t="str">
        <f>IFERROR(IF(VLOOKUP(TableHandbook[[#This Row],[UDC]],TableAvailabilities[],2,FALSE)&gt;0,"Y",""),"")</f>
        <v/>
      </c>
      <c r="H100" s="75" t="str">
        <f>IFERROR(IF(VLOOKUP(TableHandbook[[#This Row],[UDC]],TableAvailabilities[],3,FALSE)&gt;0,"Y",""),"")</f>
        <v/>
      </c>
      <c r="I100" s="75" t="str">
        <f>IFERROR(IF(VLOOKUP(TableHandbook[[#This Row],[UDC]],TableAvailabilities[],4,FALSE)&gt;0,"Y",""),"")</f>
        <v/>
      </c>
      <c r="J100" s="75" t="str">
        <f>IFERROR(IF(VLOOKUP(TableHandbook[[#This Row],[UDC]],TableAvailabilities[],5,FALSE)&gt;0,"Y",""),"")</f>
        <v>Y</v>
      </c>
      <c r="K100" s="75" t="str">
        <f>IFERROR(IF(VLOOKUP(TableHandbook[[#This Row],[UDC]],TableAvailabilities[],6,FALSE)&gt;0,"Y",""),"")</f>
        <v>Y</v>
      </c>
      <c r="L100" s="75" t="str">
        <f>IFERROR(IF(VLOOKUP(TableHandbook[[#This Row],[UDC]],TableAvailabilities[],7,FALSE)&gt;0,"Y",""),"")</f>
        <v>Y</v>
      </c>
      <c r="M100" s="207"/>
      <c r="N100" s="209" t="str">
        <f>IFERROR(VLOOKUP(TableHandbook[[#This Row],[UDC]],TableBEDUC[],7,FALSE),"")</f>
        <v/>
      </c>
      <c r="O100" s="209" t="str">
        <f>IFERROR(VLOOKUP(TableHandbook[[#This Row],[UDC]],TableBEDEC[],7,FALSE),"")</f>
        <v>Core</v>
      </c>
      <c r="P100" s="211" t="str">
        <f>IFERROR(VLOOKUP(TableHandbook[[#This Row],[UDC]],TableBEDPR[],7,FALSE),"")</f>
        <v/>
      </c>
      <c r="Q100" s="209" t="str">
        <f>IFERROR(VLOOKUP(TableHandbook[[#This Row],[UDC]],TableSTRUCATHL[],7,FALSE),"")</f>
        <v/>
      </c>
      <c r="R100" s="209" t="str">
        <f>IFERROR(VLOOKUP(TableHandbook[[#This Row],[UDC]],TableSTRUENGLL[],7,FALSE),"")</f>
        <v/>
      </c>
      <c r="S100" s="209" t="str">
        <f>IFERROR(VLOOKUP(TableHandbook[[#This Row],[UDC]],TableSTRUHLTPE[],7,FALSE),"")</f>
        <v/>
      </c>
      <c r="T100" s="209" t="str">
        <f>IFERROR(VLOOKUP(TableHandbook[[#This Row],[UDC]],TableSTRUISTEM[],7,FALSE),"")</f>
        <v/>
      </c>
      <c r="U100" s="209" t="str">
        <f>IFERROR(VLOOKUP(TableHandbook[[#This Row],[UDC]],TableSTRULITNU[],7,FALSE),"")</f>
        <v/>
      </c>
      <c r="V100" s="209" t="str">
        <f>IFERROR(VLOOKUP(TableHandbook[[#This Row],[UDC]],TableSTRUTECHS[],7,FALSE),"")</f>
        <v/>
      </c>
      <c r="W100" s="211" t="str">
        <f>IFERROR(VLOOKUP(TableHandbook[[#This Row],[UDC]],TableBEDSC[],7,FALSE),"")</f>
        <v/>
      </c>
      <c r="X100" s="211" t="str">
        <f>IFERROR(VLOOKUP(TableHandbook[[#This Row],[UDC]],TableMJRUARDR1[],7,FALSE),"")</f>
        <v/>
      </c>
      <c r="Y100" s="209" t="str">
        <f>IFERROR(VLOOKUP(TableHandbook[[#This Row],[UDC]],TableMJRUARME1[],7,FALSE),"")</f>
        <v/>
      </c>
      <c r="Z100" s="209" t="str">
        <f>IFERROR(VLOOKUP(TableHandbook[[#This Row],[UDC]],TableMJRUARVA1[],7,FALSE),"")</f>
        <v/>
      </c>
      <c r="AA100" s="209" t="str">
        <f>IFERROR(VLOOKUP(TableHandbook[[#This Row],[UDC]],TableMJRUENGL1[],7,FALSE),"")</f>
        <v/>
      </c>
      <c r="AB100" s="209" t="str">
        <f>IFERROR(VLOOKUP(TableHandbook[[#This Row],[UDC]],TableMJRUHSEC1[],7,FALSE),"")</f>
        <v/>
      </c>
      <c r="AC100" s="209" t="str">
        <f>IFERROR(VLOOKUP(TableHandbook[[#This Row],[UDC]],TableMJRUHSGE1[],7,FALSE),"")</f>
        <v/>
      </c>
      <c r="AD100" s="209" t="str">
        <f>IFERROR(VLOOKUP(TableHandbook[[#This Row],[UDC]],TableMJRUHSHI1[],7,FALSE),"")</f>
        <v/>
      </c>
      <c r="AE100" s="209" t="str">
        <f>IFERROR(VLOOKUP(TableHandbook[[#This Row],[UDC]],TableMJRUHSPL1[],7,FALSE),"")</f>
        <v/>
      </c>
      <c r="AF100" s="209" t="str">
        <f>IFERROR(VLOOKUP(TableHandbook[[#This Row],[UDC]],TableMJRUMATH1[],7,FALSE),"")</f>
        <v/>
      </c>
      <c r="AG100" s="209" t="str">
        <f>IFERROR(VLOOKUP(TableHandbook[[#This Row],[UDC]],TableMJRUPHYSE[],7,FALSE),"")</f>
        <v/>
      </c>
      <c r="AH100" s="209" t="str">
        <f>IFERROR(VLOOKUP(TableHandbook[[#This Row],[UDC]],TableMJRUSCBI1[],7,FALSE),"")</f>
        <v/>
      </c>
      <c r="AI100" s="209" t="str">
        <f>IFERROR(VLOOKUP(TableHandbook[[#This Row],[UDC]],TableMJRUSCCH1[],7,FALSE),"")</f>
        <v/>
      </c>
      <c r="AJ100" s="209" t="str">
        <f>IFERROR(VLOOKUP(TableHandbook[[#This Row],[UDC]],TableMJRUSCHB1[],7,FALSE),"")</f>
        <v/>
      </c>
      <c r="AK100" s="209" t="str">
        <f>IFERROR(VLOOKUP(TableHandbook[[#This Row],[UDC]],TableMJRUSCPH1[],7,FALSE),"")</f>
        <v/>
      </c>
      <c r="AL100" s="209" t="str">
        <f>IFERROR(VLOOKUP(TableHandbook[[#This Row],[UDC]],TableMJRUSCPS1[],7,FALSE),"")</f>
        <v/>
      </c>
      <c r="AM100" s="211" t="str">
        <f>IFERROR(VLOOKUP(TableHandbook[[#This Row],[UDC]],TableSTRUBIOLB[],7,FALSE),"")</f>
        <v/>
      </c>
      <c r="AN100" s="209" t="str">
        <f>IFERROR(VLOOKUP(TableHandbook[[#This Row],[UDC]],TableSTRUBSCIM[],7,FALSE),"")</f>
        <v/>
      </c>
      <c r="AO100" s="209" t="str">
        <f>IFERROR(VLOOKUP(TableHandbook[[#This Row],[UDC]],TableSTRUCHEMB[],7,FALSE),"")</f>
        <v/>
      </c>
      <c r="AP100" s="209" t="str">
        <f>IFERROR(VLOOKUP(TableHandbook[[#This Row],[UDC]],TableSTRUECOB1[],7,FALSE),"")</f>
        <v/>
      </c>
      <c r="AQ100" s="209" t="str">
        <f>IFERROR(VLOOKUP(TableHandbook[[#This Row],[UDC]],TableSTRUENGLB[],7,FALSE),"")</f>
        <v/>
      </c>
      <c r="AR100" s="209" t="str">
        <f>IFERROR(VLOOKUP(TableHandbook[[#This Row],[UDC]],TableSTRUENGLM[],7,FALSE),"")</f>
        <v/>
      </c>
      <c r="AS100" s="209" t="str">
        <f>IFERROR(VLOOKUP(TableHandbook[[#This Row],[UDC]],TableSTRUGEOB1[],7,FALSE),"")</f>
        <v/>
      </c>
      <c r="AT100" s="209" t="str">
        <f>IFERROR(VLOOKUP(TableHandbook[[#This Row],[UDC]],TableSTRUGEOGM[],7,FALSE),"")</f>
        <v/>
      </c>
      <c r="AU100" s="209" t="str">
        <f>IFERROR(VLOOKUP(TableHandbook[[#This Row],[UDC]],TableSTRUHISB1[],7,FALSE),"")</f>
        <v/>
      </c>
      <c r="AV100" s="209" t="str">
        <f>IFERROR(VLOOKUP(TableHandbook[[#This Row],[UDC]],TableSTRUHISTM[],7,FALSE),"")</f>
        <v/>
      </c>
      <c r="AW100" s="209" t="str">
        <f>IFERROR(VLOOKUP(TableHandbook[[#This Row],[UDC]],TableSTRUHPEB1[],7,FALSE),"")</f>
        <v/>
      </c>
      <c r="AX100" s="209" t="str">
        <f>IFERROR(VLOOKUP(TableHandbook[[#This Row],[UDC]],TableSTRUHUMBB[],7,FALSE),"")</f>
        <v/>
      </c>
      <c r="AY100" s="209" t="str">
        <f>IFERROR(VLOOKUP(TableHandbook[[#This Row],[UDC]],TableSTRUMARTM[],7,FALSE),"")</f>
        <v/>
      </c>
      <c r="AZ100" s="209" t="str">
        <f>IFERROR(VLOOKUP(TableHandbook[[#This Row],[UDC]],TableSTRUMATHB[],7,FALSE),"")</f>
        <v/>
      </c>
      <c r="BA100" s="209" t="str">
        <f>IFERROR(VLOOKUP(TableHandbook[[#This Row],[UDC]],TableSTRUMATHM[],7,FALSE),"")</f>
        <v/>
      </c>
      <c r="BB100" s="209" t="str">
        <f>IFERROR(VLOOKUP(TableHandbook[[#This Row],[UDC]],TableSTRUPARTB[],7,FALSE),"")</f>
        <v/>
      </c>
      <c r="BC100" s="209" t="str">
        <f>IFERROR(VLOOKUP(TableHandbook[[#This Row],[UDC]],TableSTRUPARTM[],7,FALSE),"")</f>
        <v/>
      </c>
      <c r="BD100" s="209" t="str">
        <f>IFERROR(VLOOKUP(TableHandbook[[#This Row],[UDC]],TableSTRUPOLB1[],7,FALSE),"")</f>
        <v/>
      </c>
      <c r="BE100" s="209" t="str">
        <f>IFERROR(VLOOKUP(TableHandbook[[#This Row],[UDC]],TableSTRUPSYCB[],7,FALSE),"")</f>
        <v/>
      </c>
      <c r="BF100" s="209" t="str">
        <f>IFERROR(VLOOKUP(TableHandbook[[#This Row],[UDC]],TableSTRUPSYCM[],7,FALSE),"")</f>
        <v/>
      </c>
      <c r="BG100" s="209" t="str">
        <f>IFERROR(VLOOKUP(TableHandbook[[#This Row],[UDC]],TableSTRUVARTB[],7,FALSE),"")</f>
        <v/>
      </c>
      <c r="BH100" s="209" t="str">
        <f>IFERROR(VLOOKUP(TableHandbook[[#This Row],[UDC]],TableSTRUVARTM[],7,FALSE),"")</f>
        <v/>
      </c>
    </row>
    <row r="101" spans="1:60" x14ac:dyDescent="0.25">
      <c r="A101" s="6" t="s">
        <v>107</v>
      </c>
      <c r="B101" s="7">
        <v>1</v>
      </c>
      <c r="C101" s="7"/>
      <c r="D101" s="207" t="s">
        <v>878</v>
      </c>
      <c r="E101" s="7">
        <v>25</v>
      </c>
      <c r="F101" s="309" t="s">
        <v>879</v>
      </c>
      <c r="G101" s="75" t="str">
        <f>IFERROR(IF(VLOOKUP(TableHandbook[[#This Row],[UDC]],TableAvailabilities[],2,FALSE)&gt;0,"Y",""),"")</f>
        <v>Y</v>
      </c>
      <c r="H101" s="75" t="str">
        <f>IFERROR(IF(VLOOKUP(TableHandbook[[#This Row],[UDC]],TableAvailabilities[],3,FALSE)&gt;0,"Y",""),"")</f>
        <v>Y</v>
      </c>
      <c r="I101" s="75" t="str">
        <f>IFERROR(IF(VLOOKUP(TableHandbook[[#This Row],[UDC]],TableAvailabilities[],4,FALSE)&gt;0,"Y",""),"")</f>
        <v>Y</v>
      </c>
      <c r="J101" s="75" t="str">
        <f>IFERROR(IF(VLOOKUP(TableHandbook[[#This Row],[UDC]],TableAvailabilities[],5,FALSE)&gt;0,"Y",""),"")</f>
        <v/>
      </c>
      <c r="K101" s="75" t="str">
        <f>IFERROR(IF(VLOOKUP(TableHandbook[[#This Row],[UDC]],TableAvailabilities[],6,FALSE)&gt;0,"Y",""),"")</f>
        <v/>
      </c>
      <c r="L101" s="75" t="str">
        <f>IFERROR(IF(VLOOKUP(TableHandbook[[#This Row],[UDC]],TableAvailabilities[],7,FALSE)&gt;0,"Y",""),"")</f>
        <v/>
      </c>
      <c r="M101" s="309" t="s">
        <v>880</v>
      </c>
      <c r="N101" s="209" t="str">
        <f>IFERROR(VLOOKUP(TableHandbook[[#This Row],[UDC]],TableBEDUC[],7,FALSE),"")</f>
        <v/>
      </c>
      <c r="O101" s="209" t="str">
        <f>IFERROR(VLOOKUP(TableHandbook[[#This Row],[UDC]],TableBEDEC[],7,FALSE),"")</f>
        <v>Core</v>
      </c>
      <c r="P101" s="211" t="str">
        <f>IFERROR(VLOOKUP(TableHandbook[[#This Row],[UDC]],TableBEDPR[],7,FALSE),"")</f>
        <v/>
      </c>
      <c r="Q101" s="209" t="str">
        <f>IFERROR(VLOOKUP(TableHandbook[[#This Row],[UDC]],TableSTRUCATHL[],7,FALSE),"")</f>
        <v/>
      </c>
      <c r="R101" s="209" t="str">
        <f>IFERROR(VLOOKUP(TableHandbook[[#This Row],[UDC]],TableSTRUENGLL[],7,FALSE),"")</f>
        <v/>
      </c>
      <c r="S101" s="209" t="str">
        <f>IFERROR(VLOOKUP(TableHandbook[[#This Row],[UDC]],TableSTRUHLTPE[],7,FALSE),"")</f>
        <v/>
      </c>
      <c r="T101" s="209" t="str">
        <f>IFERROR(VLOOKUP(TableHandbook[[#This Row],[UDC]],TableSTRUISTEM[],7,FALSE),"")</f>
        <v/>
      </c>
      <c r="U101" s="209" t="str">
        <f>IFERROR(VLOOKUP(TableHandbook[[#This Row],[UDC]],TableSTRULITNU[],7,FALSE),"")</f>
        <v/>
      </c>
      <c r="V101" s="209" t="str">
        <f>IFERROR(VLOOKUP(TableHandbook[[#This Row],[UDC]],TableSTRUTECHS[],7,FALSE),"")</f>
        <v/>
      </c>
      <c r="W101" s="211" t="str">
        <f>IFERROR(VLOOKUP(TableHandbook[[#This Row],[UDC]],TableBEDSC[],7,FALSE),"")</f>
        <v/>
      </c>
      <c r="X101" s="211" t="str">
        <f>IFERROR(VLOOKUP(TableHandbook[[#This Row],[UDC]],TableMJRUARDR1[],7,FALSE),"")</f>
        <v/>
      </c>
      <c r="Y101" s="209" t="str">
        <f>IFERROR(VLOOKUP(TableHandbook[[#This Row],[UDC]],TableMJRUARME1[],7,FALSE),"")</f>
        <v/>
      </c>
      <c r="Z101" s="209" t="str">
        <f>IFERROR(VLOOKUP(TableHandbook[[#This Row],[UDC]],TableMJRUARVA1[],7,FALSE),"")</f>
        <v/>
      </c>
      <c r="AA101" s="209" t="str">
        <f>IFERROR(VLOOKUP(TableHandbook[[#This Row],[UDC]],TableMJRUENGL1[],7,FALSE),"")</f>
        <v/>
      </c>
      <c r="AB101" s="209" t="str">
        <f>IFERROR(VLOOKUP(TableHandbook[[#This Row],[UDC]],TableMJRUHSEC1[],7,FALSE),"")</f>
        <v/>
      </c>
      <c r="AC101" s="209" t="str">
        <f>IFERROR(VLOOKUP(TableHandbook[[#This Row],[UDC]],TableMJRUHSGE1[],7,FALSE),"")</f>
        <v/>
      </c>
      <c r="AD101" s="209" t="str">
        <f>IFERROR(VLOOKUP(TableHandbook[[#This Row],[UDC]],TableMJRUHSHI1[],7,FALSE),"")</f>
        <v/>
      </c>
      <c r="AE101" s="209" t="str">
        <f>IFERROR(VLOOKUP(TableHandbook[[#This Row],[UDC]],TableMJRUHSPL1[],7,FALSE),"")</f>
        <v/>
      </c>
      <c r="AF101" s="209" t="str">
        <f>IFERROR(VLOOKUP(TableHandbook[[#This Row],[UDC]],TableMJRUMATH1[],7,FALSE),"")</f>
        <v/>
      </c>
      <c r="AG101" s="209" t="str">
        <f>IFERROR(VLOOKUP(TableHandbook[[#This Row],[UDC]],TableMJRUPHYSE[],7,FALSE),"")</f>
        <v/>
      </c>
      <c r="AH101" s="209" t="str">
        <f>IFERROR(VLOOKUP(TableHandbook[[#This Row],[UDC]],TableMJRUSCBI1[],7,FALSE),"")</f>
        <v/>
      </c>
      <c r="AI101" s="209" t="str">
        <f>IFERROR(VLOOKUP(TableHandbook[[#This Row],[UDC]],TableMJRUSCCH1[],7,FALSE),"")</f>
        <v/>
      </c>
      <c r="AJ101" s="209" t="str">
        <f>IFERROR(VLOOKUP(TableHandbook[[#This Row],[UDC]],TableMJRUSCHB1[],7,FALSE),"")</f>
        <v/>
      </c>
      <c r="AK101" s="209" t="str">
        <f>IFERROR(VLOOKUP(TableHandbook[[#This Row],[UDC]],TableMJRUSCPH1[],7,FALSE),"")</f>
        <v/>
      </c>
      <c r="AL101" s="209" t="str">
        <f>IFERROR(VLOOKUP(TableHandbook[[#This Row],[UDC]],TableMJRUSCPS1[],7,FALSE),"")</f>
        <v/>
      </c>
      <c r="AM101" s="211" t="str">
        <f>IFERROR(VLOOKUP(TableHandbook[[#This Row],[UDC]],TableSTRUBIOLB[],7,FALSE),"")</f>
        <v/>
      </c>
      <c r="AN101" s="209" t="str">
        <f>IFERROR(VLOOKUP(TableHandbook[[#This Row],[UDC]],TableSTRUBSCIM[],7,FALSE),"")</f>
        <v/>
      </c>
      <c r="AO101" s="209" t="str">
        <f>IFERROR(VLOOKUP(TableHandbook[[#This Row],[UDC]],TableSTRUCHEMB[],7,FALSE),"")</f>
        <v/>
      </c>
      <c r="AP101" s="209" t="str">
        <f>IFERROR(VLOOKUP(TableHandbook[[#This Row],[UDC]],TableSTRUECOB1[],7,FALSE),"")</f>
        <v/>
      </c>
      <c r="AQ101" s="209" t="str">
        <f>IFERROR(VLOOKUP(TableHandbook[[#This Row],[UDC]],TableSTRUENGLB[],7,FALSE),"")</f>
        <v/>
      </c>
      <c r="AR101" s="209" t="str">
        <f>IFERROR(VLOOKUP(TableHandbook[[#This Row],[UDC]],TableSTRUENGLM[],7,FALSE),"")</f>
        <v/>
      </c>
      <c r="AS101" s="209" t="str">
        <f>IFERROR(VLOOKUP(TableHandbook[[#This Row],[UDC]],TableSTRUGEOB1[],7,FALSE),"")</f>
        <v/>
      </c>
      <c r="AT101" s="209" t="str">
        <f>IFERROR(VLOOKUP(TableHandbook[[#This Row],[UDC]],TableSTRUGEOGM[],7,FALSE),"")</f>
        <v/>
      </c>
      <c r="AU101" s="209" t="str">
        <f>IFERROR(VLOOKUP(TableHandbook[[#This Row],[UDC]],TableSTRUHISB1[],7,FALSE),"")</f>
        <v/>
      </c>
      <c r="AV101" s="209" t="str">
        <f>IFERROR(VLOOKUP(TableHandbook[[#This Row],[UDC]],TableSTRUHISTM[],7,FALSE),"")</f>
        <v/>
      </c>
      <c r="AW101" s="209" t="str">
        <f>IFERROR(VLOOKUP(TableHandbook[[#This Row],[UDC]],TableSTRUHPEB1[],7,FALSE),"")</f>
        <v/>
      </c>
      <c r="AX101" s="209" t="str">
        <f>IFERROR(VLOOKUP(TableHandbook[[#This Row],[UDC]],TableSTRUHUMBB[],7,FALSE),"")</f>
        <v/>
      </c>
      <c r="AY101" s="209" t="str">
        <f>IFERROR(VLOOKUP(TableHandbook[[#This Row],[UDC]],TableSTRUMARTM[],7,FALSE),"")</f>
        <v/>
      </c>
      <c r="AZ101" s="209" t="str">
        <f>IFERROR(VLOOKUP(TableHandbook[[#This Row],[UDC]],TableSTRUMATHB[],7,FALSE),"")</f>
        <v/>
      </c>
      <c r="BA101" s="209" t="str">
        <f>IFERROR(VLOOKUP(TableHandbook[[#This Row],[UDC]],TableSTRUMATHM[],7,FALSE),"")</f>
        <v/>
      </c>
      <c r="BB101" s="209" t="str">
        <f>IFERROR(VLOOKUP(TableHandbook[[#This Row],[UDC]],TableSTRUPARTB[],7,FALSE),"")</f>
        <v/>
      </c>
      <c r="BC101" s="209" t="str">
        <f>IFERROR(VLOOKUP(TableHandbook[[#This Row],[UDC]],TableSTRUPARTM[],7,FALSE),"")</f>
        <v/>
      </c>
      <c r="BD101" s="209" t="str">
        <f>IFERROR(VLOOKUP(TableHandbook[[#This Row],[UDC]],TableSTRUPOLB1[],7,FALSE),"")</f>
        <v/>
      </c>
      <c r="BE101" s="209" t="str">
        <f>IFERROR(VLOOKUP(TableHandbook[[#This Row],[UDC]],TableSTRUPSYCB[],7,FALSE),"")</f>
        <v/>
      </c>
      <c r="BF101" s="209" t="str">
        <f>IFERROR(VLOOKUP(TableHandbook[[#This Row],[UDC]],TableSTRUPSYCM[],7,FALSE),"")</f>
        <v/>
      </c>
      <c r="BG101" s="209" t="str">
        <f>IFERROR(VLOOKUP(TableHandbook[[#This Row],[UDC]],TableSTRUVARTB[],7,FALSE),"")</f>
        <v/>
      </c>
      <c r="BH101" s="209" t="str">
        <f>IFERROR(VLOOKUP(TableHandbook[[#This Row],[UDC]],TableSTRUVARTM[],7,FALSE),"")</f>
        <v/>
      </c>
    </row>
    <row r="102" spans="1:60" x14ac:dyDescent="0.25">
      <c r="A102" s="6" t="s">
        <v>97</v>
      </c>
      <c r="B102" s="7">
        <v>1</v>
      </c>
      <c r="C102" s="7"/>
      <c r="D102" s="207" t="s">
        <v>881</v>
      </c>
      <c r="E102" s="7">
        <v>25</v>
      </c>
      <c r="F102" s="311" t="s">
        <v>877</v>
      </c>
      <c r="G102" s="75" t="str">
        <f>IFERROR(IF(VLOOKUP(TableHandbook[[#This Row],[UDC]],TableAvailabilities[],2,FALSE)&gt;0,"Y",""),"")</f>
        <v/>
      </c>
      <c r="H102" s="75" t="str">
        <f>IFERROR(IF(VLOOKUP(TableHandbook[[#This Row],[UDC]],TableAvailabilities[],3,FALSE)&gt;0,"Y",""),"")</f>
        <v/>
      </c>
      <c r="I102" s="75" t="str">
        <f>IFERROR(IF(VLOOKUP(TableHandbook[[#This Row],[UDC]],TableAvailabilities[],4,FALSE)&gt;0,"Y",""),"")</f>
        <v/>
      </c>
      <c r="J102" s="75" t="str">
        <f>IFERROR(IF(VLOOKUP(TableHandbook[[#This Row],[UDC]],TableAvailabilities[],5,FALSE)&gt;0,"Y",""),"")</f>
        <v>Y</v>
      </c>
      <c r="K102" s="75" t="str">
        <f>IFERROR(IF(VLOOKUP(TableHandbook[[#This Row],[UDC]],TableAvailabilities[],6,FALSE)&gt;0,"Y",""),"")</f>
        <v>Y</v>
      </c>
      <c r="L102" s="75" t="str">
        <f>IFERROR(IF(VLOOKUP(TableHandbook[[#This Row],[UDC]],TableAvailabilities[],7,FALSE)&gt;0,"Y",""),"")</f>
        <v>Y</v>
      </c>
      <c r="M102" s="207"/>
      <c r="N102" s="209" t="str">
        <f>IFERROR(VLOOKUP(TableHandbook[[#This Row],[UDC]],TableBEDUC[],7,FALSE),"")</f>
        <v/>
      </c>
      <c r="O102" s="209" t="str">
        <f>IFERROR(VLOOKUP(TableHandbook[[#This Row],[UDC]],TableBEDEC[],7,FALSE),"")</f>
        <v>Core</v>
      </c>
      <c r="P102" s="211" t="str">
        <f>IFERROR(VLOOKUP(TableHandbook[[#This Row],[UDC]],TableBEDPR[],7,FALSE),"")</f>
        <v/>
      </c>
      <c r="Q102" s="209" t="str">
        <f>IFERROR(VLOOKUP(TableHandbook[[#This Row],[UDC]],TableSTRUCATHL[],7,FALSE),"")</f>
        <v/>
      </c>
      <c r="R102" s="209" t="str">
        <f>IFERROR(VLOOKUP(TableHandbook[[#This Row],[UDC]],TableSTRUENGLL[],7,FALSE),"")</f>
        <v/>
      </c>
      <c r="S102" s="209" t="str">
        <f>IFERROR(VLOOKUP(TableHandbook[[#This Row],[UDC]],TableSTRUHLTPE[],7,FALSE),"")</f>
        <v/>
      </c>
      <c r="T102" s="209" t="str">
        <f>IFERROR(VLOOKUP(TableHandbook[[#This Row],[UDC]],TableSTRUISTEM[],7,FALSE),"")</f>
        <v/>
      </c>
      <c r="U102" s="209" t="str">
        <f>IFERROR(VLOOKUP(TableHandbook[[#This Row],[UDC]],TableSTRULITNU[],7,FALSE),"")</f>
        <v/>
      </c>
      <c r="V102" s="209" t="str">
        <f>IFERROR(VLOOKUP(TableHandbook[[#This Row],[UDC]],TableSTRUTECHS[],7,FALSE),"")</f>
        <v/>
      </c>
      <c r="W102" s="211" t="str">
        <f>IFERROR(VLOOKUP(TableHandbook[[#This Row],[UDC]],TableBEDSC[],7,FALSE),"")</f>
        <v/>
      </c>
      <c r="X102" s="211" t="str">
        <f>IFERROR(VLOOKUP(TableHandbook[[#This Row],[UDC]],TableMJRUARDR1[],7,FALSE),"")</f>
        <v/>
      </c>
      <c r="Y102" s="209" t="str">
        <f>IFERROR(VLOOKUP(TableHandbook[[#This Row],[UDC]],TableMJRUARME1[],7,FALSE),"")</f>
        <v/>
      </c>
      <c r="Z102" s="209" t="str">
        <f>IFERROR(VLOOKUP(TableHandbook[[#This Row],[UDC]],TableMJRUARVA1[],7,FALSE),"")</f>
        <v/>
      </c>
      <c r="AA102" s="209" t="str">
        <f>IFERROR(VLOOKUP(TableHandbook[[#This Row],[UDC]],TableMJRUENGL1[],7,FALSE),"")</f>
        <v/>
      </c>
      <c r="AB102" s="209" t="str">
        <f>IFERROR(VLOOKUP(TableHandbook[[#This Row],[UDC]],TableMJRUHSEC1[],7,FALSE),"")</f>
        <v/>
      </c>
      <c r="AC102" s="209" t="str">
        <f>IFERROR(VLOOKUP(TableHandbook[[#This Row],[UDC]],TableMJRUHSGE1[],7,FALSE),"")</f>
        <v/>
      </c>
      <c r="AD102" s="209" t="str">
        <f>IFERROR(VLOOKUP(TableHandbook[[#This Row],[UDC]],TableMJRUHSHI1[],7,FALSE),"")</f>
        <v/>
      </c>
      <c r="AE102" s="209" t="str">
        <f>IFERROR(VLOOKUP(TableHandbook[[#This Row],[UDC]],TableMJRUHSPL1[],7,FALSE),"")</f>
        <v/>
      </c>
      <c r="AF102" s="209" t="str">
        <f>IFERROR(VLOOKUP(TableHandbook[[#This Row],[UDC]],TableMJRUMATH1[],7,FALSE),"")</f>
        <v/>
      </c>
      <c r="AG102" s="209" t="str">
        <f>IFERROR(VLOOKUP(TableHandbook[[#This Row],[UDC]],TableMJRUPHYSE[],7,FALSE),"")</f>
        <v/>
      </c>
      <c r="AH102" s="209" t="str">
        <f>IFERROR(VLOOKUP(TableHandbook[[#This Row],[UDC]],TableMJRUSCBI1[],7,FALSE),"")</f>
        <v/>
      </c>
      <c r="AI102" s="209" t="str">
        <f>IFERROR(VLOOKUP(TableHandbook[[#This Row],[UDC]],TableMJRUSCCH1[],7,FALSE),"")</f>
        <v/>
      </c>
      <c r="AJ102" s="209" t="str">
        <f>IFERROR(VLOOKUP(TableHandbook[[#This Row],[UDC]],TableMJRUSCHB1[],7,FALSE),"")</f>
        <v/>
      </c>
      <c r="AK102" s="209" t="str">
        <f>IFERROR(VLOOKUP(TableHandbook[[#This Row],[UDC]],TableMJRUSCPH1[],7,FALSE),"")</f>
        <v/>
      </c>
      <c r="AL102" s="209" t="str">
        <f>IFERROR(VLOOKUP(TableHandbook[[#This Row],[UDC]],TableMJRUSCPS1[],7,FALSE),"")</f>
        <v/>
      </c>
      <c r="AM102" s="211" t="str">
        <f>IFERROR(VLOOKUP(TableHandbook[[#This Row],[UDC]],TableSTRUBIOLB[],7,FALSE),"")</f>
        <v/>
      </c>
      <c r="AN102" s="209" t="str">
        <f>IFERROR(VLOOKUP(TableHandbook[[#This Row],[UDC]],TableSTRUBSCIM[],7,FALSE),"")</f>
        <v/>
      </c>
      <c r="AO102" s="209" t="str">
        <f>IFERROR(VLOOKUP(TableHandbook[[#This Row],[UDC]],TableSTRUCHEMB[],7,FALSE),"")</f>
        <v/>
      </c>
      <c r="AP102" s="209" t="str">
        <f>IFERROR(VLOOKUP(TableHandbook[[#This Row],[UDC]],TableSTRUECOB1[],7,FALSE),"")</f>
        <v/>
      </c>
      <c r="AQ102" s="209" t="str">
        <f>IFERROR(VLOOKUP(TableHandbook[[#This Row],[UDC]],TableSTRUENGLB[],7,FALSE),"")</f>
        <v/>
      </c>
      <c r="AR102" s="209" t="str">
        <f>IFERROR(VLOOKUP(TableHandbook[[#This Row],[UDC]],TableSTRUENGLM[],7,FALSE),"")</f>
        <v/>
      </c>
      <c r="AS102" s="209" t="str">
        <f>IFERROR(VLOOKUP(TableHandbook[[#This Row],[UDC]],TableSTRUGEOB1[],7,FALSE),"")</f>
        <v/>
      </c>
      <c r="AT102" s="209" t="str">
        <f>IFERROR(VLOOKUP(TableHandbook[[#This Row],[UDC]],TableSTRUGEOGM[],7,FALSE),"")</f>
        <v/>
      </c>
      <c r="AU102" s="209" t="str">
        <f>IFERROR(VLOOKUP(TableHandbook[[#This Row],[UDC]],TableSTRUHISB1[],7,FALSE),"")</f>
        <v/>
      </c>
      <c r="AV102" s="209" t="str">
        <f>IFERROR(VLOOKUP(TableHandbook[[#This Row],[UDC]],TableSTRUHISTM[],7,FALSE),"")</f>
        <v/>
      </c>
      <c r="AW102" s="209" t="str">
        <f>IFERROR(VLOOKUP(TableHandbook[[#This Row],[UDC]],TableSTRUHPEB1[],7,FALSE),"")</f>
        <v/>
      </c>
      <c r="AX102" s="209" t="str">
        <f>IFERROR(VLOOKUP(TableHandbook[[#This Row],[UDC]],TableSTRUHUMBB[],7,FALSE),"")</f>
        <v/>
      </c>
      <c r="AY102" s="209" t="str">
        <f>IFERROR(VLOOKUP(TableHandbook[[#This Row],[UDC]],TableSTRUMARTM[],7,FALSE),"")</f>
        <v/>
      </c>
      <c r="AZ102" s="209" t="str">
        <f>IFERROR(VLOOKUP(TableHandbook[[#This Row],[UDC]],TableSTRUMATHB[],7,FALSE),"")</f>
        <v/>
      </c>
      <c r="BA102" s="209" t="str">
        <f>IFERROR(VLOOKUP(TableHandbook[[#This Row],[UDC]],TableSTRUMATHM[],7,FALSE),"")</f>
        <v/>
      </c>
      <c r="BB102" s="209" t="str">
        <f>IFERROR(VLOOKUP(TableHandbook[[#This Row],[UDC]],TableSTRUPARTB[],7,FALSE),"")</f>
        <v/>
      </c>
      <c r="BC102" s="209" t="str">
        <f>IFERROR(VLOOKUP(TableHandbook[[#This Row],[UDC]],TableSTRUPARTM[],7,FALSE),"")</f>
        <v/>
      </c>
      <c r="BD102" s="209" t="str">
        <f>IFERROR(VLOOKUP(TableHandbook[[#This Row],[UDC]],TableSTRUPOLB1[],7,FALSE),"")</f>
        <v/>
      </c>
      <c r="BE102" s="209" t="str">
        <f>IFERROR(VLOOKUP(TableHandbook[[#This Row],[UDC]],TableSTRUPSYCB[],7,FALSE),"")</f>
        <v/>
      </c>
      <c r="BF102" s="209" t="str">
        <f>IFERROR(VLOOKUP(TableHandbook[[#This Row],[UDC]],TableSTRUPSYCM[],7,FALSE),"")</f>
        <v/>
      </c>
      <c r="BG102" s="209" t="str">
        <f>IFERROR(VLOOKUP(TableHandbook[[#This Row],[UDC]],TableSTRUVARTB[],7,FALSE),"")</f>
        <v/>
      </c>
      <c r="BH102" s="209" t="str">
        <f>IFERROR(VLOOKUP(TableHandbook[[#This Row],[UDC]],TableSTRUVARTM[],7,FALSE),"")</f>
        <v/>
      </c>
    </row>
    <row r="103" spans="1:60" ht="26.25" x14ac:dyDescent="0.25">
      <c r="A103" s="6" t="s">
        <v>104</v>
      </c>
      <c r="B103" s="7">
        <v>1</v>
      </c>
      <c r="C103" s="7"/>
      <c r="D103" s="207" t="s">
        <v>882</v>
      </c>
      <c r="E103" s="7">
        <v>25</v>
      </c>
      <c r="F103" s="312" t="s">
        <v>830</v>
      </c>
      <c r="G103" s="75" t="str">
        <f>IFERROR(IF(VLOOKUP(TableHandbook[[#This Row],[UDC]],TableAvailabilities[],2,FALSE)&gt;0,"Y",""),"")</f>
        <v/>
      </c>
      <c r="H103" s="75" t="str">
        <f>IFERROR(IF(VLOOKUP(TableHandbook[[#This Row],[UDC]],TableAvailabilities[],3,FALSE)&gt;0,"Y",""),"")</f>
        <v/>
      </c>
      <c r="I103" s="75" t="str">
        <f>IFERROR(IF(VLOOKUP(TableHandbook[[#This Row],[UDC]],TableAvailabilities[],4,FALSE)&gt;0,"Y",""),"")</f>
        <v/>
      </c>
      <c r="J103" s="75" t="str">
        <f>IFERROR(IF(VLOOKUP(TableHandbook[[#This Row],[UDC]],TableAvailabilities[],5,FALSE)&gt;0,"Y",""),"")</f>
        <v>Y</v>
      </c>
      <c r="K103" s="75" t="str">
        <f>IFERROR(IF(VLOOKUP(TableHandbook[[#This Row],[UDC]],TableAvailabilities[],6,FALSE)&gt;0,"Y",""),"")</f>
        <v>Y</v>
      </c>
      <c r="L103" s="75" t="str">
        <f>IFERROR(IF(VLOOKUP(TableHandbook[[#This Row],[UDC]],TableAvailabilities[],7,FALSE)&gt;0,"Y",""),"")</f>
        <v>Y</v>
      </c>
      <c r="M103" s="313" t="s">
        <v>883</v>
      </c>
      <c r="N103" s="209" t="str">
        <f>IFERROR(VLOOKUP(TableHandbook[[#This Row],[UDC]],TableBEDUC[],7,FALSE),"")</f>
        <v/>
      </c>
      <c r="O103" s="209" t="str">
        <f>IFERROR(VLOOKUP(TableHandbook[[#This Row],[UDC]],TableBEDEC[],7,FALSE),"")</f>
        <v>Core</v>
      </c>
      <c r="P103" s="211" t="str">
        <f>IFERROR(VLOOKUP(TableHandbook[[#This Row],[UDC]],TableBEDPR[],7,FALSE),"")</f>
        <v/>
      </c>
      <c r="Q103" s="209" t="str">
        <f>IFERROR(VLOOKUP(TableHandbook[[#This Row],[UDC]],TableSTRUCATHL[],7,FALSE),"")</f>
        <v/>
      </c>
      <c r="R103" s="209" t="str">
        <f>IFERROR(VLOOKUP(TableHandbook[[#This Row],[UDC]],TableSTRUENGLL[],7,FALSE),"")</f>
        <v/>
      </c>
      <c r="S103" s="209" t="str">
        <f>IFERROR(VLOOKUP(TableHandbook[[#This Row],[UDC]],TableSTRUHLTPE[],7,FALSE),"")</f>
        <v/>
      </c>
      <c r="T103" s="209" t="str">
        <f>IFERROR(VLOOKUP(TableHandbook[[#This Row],[UDC]],TableSTRUISTEM[],7,FALSE),"")</f>
        <v/>
      </c>
      <c r="U103" s="209" t="str">
        <f>IFERROR(VLOOKUP(TableHandbook[[#This Row],[UDC]],TableSTRULITNU[],7,FALSE),"")</f>
        <v/>
      </c>
      <c r="V103" s="209" t="str">
        <f>IFERROR(VLOOKUP(TableHandbook[[#This Row],[UDC]],TableSTRUTECHS[],7,FALSE),"")</f>
        <v/>
      </c>
      <c r="W103" s="211" t="str">
        <f>IFERROR(VLOOKUP(TableHandbook[[#This Row],[UDC]],TableBEDSC[],7,FALSE),"")</f>
        <v/>
      </c>
      <c r="X103" s="211" t="str">
        <f>IFERROR(VLOOKUP(TableHandbook[[#This Row],[UDC]],TableMJRUARDR1[],7,FALSE),"")</f>
        <v/>
      </c>
      <c r="Y103" s="209" t="str">
        <f>IFERROR(VLOOKUP(TableHandbook[[#This Row],[UDC]],TableMJRUARME1[],7,FALSE),"")</f>
        <v/>
      </c>
      <c r="Z103" s="209" t="str">
        <f>IFERROR(VLOOKUP(TableHandbook[[#This Row],[UDC]],TableMJRUARVA1[],7,FALSE),"")</f>
        <v/>
      </c>
      <c r="AA103" s="209" t="str">
        <f>IFERROR(VLOOKUP(TableHandbook[[#This Row],[UDC]],TableMJRUENGL1[],7,FALSE),"")</f>
        <v/>
      </c>
      <c r="AB103" s="209" t="str">
        <f>IFERROR(VLOOKUP(TableHandbook[[#This Row],[UDC]],TableMJRUHSEC1[],7,FALSE),"")</f>
        <v/>
      </c>
      <c r="AC103" s="209" t="str">
        <f>IFERROR(VLOOKUP(TableHandbook[[#This Row],[UDC]],TableMJRUHSGE1[],7,FALSE),"")</f>
        <v/>
      </c>
      <c r="AD103" s="209" t="str">
        <f>IFERROR(VLOOKUP(TableHandbook[[#This Row],[UDC]],TableMJRUHSHI1[],7,FALSE),"")</f>
        <v/>
      </c>
      <c r="AE103" s="209" t="str">
        <f>IFERROR(VLOOKUP(TableHandbook[[#This Row],[UDC]],TableMJRUHSPL1[],7,FALSE),"")</f>
        <v/>
      </c>
      <c r="AF103" s="209" t="str">
        <f>IFERROR(VLOOKUP(TableHandbook[[#This Row],[UDC]],TableMJRUMATH1[],7,FALSE),"")</f>
        <v/>
      </c>
      <c r="AG103" s="209" t="str">
        <f>IFERROR(VLOOKUP(TableHandbook[[#This Row],[UDC]],TableMJRUPHYSE[],7,FALSE),"")</f>
        <v/>
      </c>
      <c r="AH103" s="209" t="str">
        <f>IFERROR(VLOOKUP(TableHandbook[[#This Row],[UDC]],TableMJRUSCBI1[],7,FALSE),"")</f>
        <v/>
      </c>
      <c r="AI103" s="209" t="str">
        <f>IFERROR(VLOOKUP(TableHandbook[[#This Row],[UDC]],TableMJRUSCCH1[],7,FALSE),"")</f>
        <v/>
      </c>
      <c r="AJ103" s="209" t="str">
        <f>IFERROR(VLOOKUP(TableHandbook[[#This Row],[UDC]],TableMJRUSCHB1[],7,FALSE),"")</f>
        <v/>
      </c>
      <c r="AK103" s="209" t="str">
        <f>IFERROR(VLOOKUP(TableHandbook[[#This Row],[UDC]],TableMJRUSCPH1[],7,FALSE),"")</f>
        <v/>
      </c>
      <c r="AL103" s="209" t="str">
        <f>IFERROR(VLOOKUP(TableHandbook[[#This Row],[UDC]],TableMJRUSCPS1[],7,FALSE),"")</f>
        <v/>
      </c>
      <c r="AM103" s="211" t="str">
        <f>IFERROR(VLOOKUP(TableHandbook[[#This Row],[UDC]],TableSTRUBIOLB[],7,FALSE),"")</f>
        <v/>
      </c>
      <c r="AN103" s="209" t="str">
        <f>IFERROR(VLOOKUP(TableHandbook[[#This Row],[UDC]],TableSTRUBSCIM[],7,FALSE),"")</f>
        <v/>
      </c>
      <c r="AO103" s="209" t="str">
        <f>IFERROR(VLOOKUP(TableHandbook[[#This Row],[UDC]],TableSTRUCHEMB[],7,FALSE),"")</f>
        <v/>
      </c>
      <c r="AP103" s="209" t="str">
        <f>IFERROR(VLOOKUP(TableHandbook[[#This Row],[UDC]],TableSTRUECOB1[],7,FALSE),"")</f>
        <v/>
      </c>
      <c r="AQ103" s="209" t="str">
        <f>IFERROR(VLOOKUP(TableHandbook[[#This Row],[UDC]],TableSTRUENGLB[],7,FALSE),"")</f>
        <v/>
      </c>
      <c r="AR103" s="209" t="str">
        <f>IFERROR(VLOOKUP(TableHandbook[[#This Row],[UDC]],TableSTRUENGLM[],7,FALSE),"")</f>
        <v/>
      </c>
      <c r="AS103" s="209" t="str">
        <f>IFERROR(VLOOKUP(TableHandbook[[#This Row],[UDC]],TableSTRUGEOB1[],7,FALSE),"")</f>
        <v/>
      </c>
      <c r="AT103" s="209" t="str">
        <f>IFERROR(VLOOKUP(TableHandbook[[#This Row],[UDC]],TableSTRUGEOGM[],7,FALSE),"")</f>
        <v/>
      </c>
      <c r="AU103" s="209" t="str">
        <f>IFERROR(VLOOKUP(TableHandbook[[#This Row],[UDC]],TableSTRUHISB1[],7,FALSE),"")</f>
        <v/>
      </c>
      <c r="AV103" s="209" t="str">
        <f>IFERROR(VLOOKUP(TableHandbook[[#This Row],[UDC]],TableSTRUHISTM[],7,FALSE),"")</f>
        <v/>
      </c>
      <c r="AW103" s="209" t="str">
        <f>IFERROR(VLOOKUP(TableHandbook[[#This Row],[UDC]],TableSTRUHPEB1[],7,FALSE),"")</f>
        <v/>
      </c>
      <c r="AX103" s="209" t="str">
        <f>IFERROR(VLOOKUP(TableHandbook[[#This Row],[UDC]],TableSTRUHUMBB[],7,FALSE),"")</f>
        <v/>
      </c>
      <c r="AY103" s="209" t="str">
        <f>IFERROR(VLOOKUP(TableHandbook[[#This Row],[UDC]],TableSTRUMARTM[],7,FALSE),"")</f>
        <v/>
      </c>
      <c r="AZ103" s="209" t="str">
        <f>IFERROR(VLOOKUP(TableHandbook[[#This Row],[UDC]],TableSTRUMATHB[],7,FALSE),"")</f>
        <v/>
      </c>
      <c r="BA103" s="209" t="str">
        <f>IFERROR(VLOOKUP(TableHandbook[[#This Row],[UDC]],TableSTRUMATHM[],7,FALSE),"")</f>
        <v/>
      </c>
      <c r="BB103" s="209" t="str">
        <f>IFERROR(VLOOKUP(TableHandbook[[#This Row],[UDC]],TableSTRUPARTB[],7,FALSE),"")</f>
        <v/>
      </c>
      <c r="BC103" s="209" t="str">
        <f>IFERROR(VLOOKUP(TableHandbook[[#This Row],[UDC]],TableSTRUPARTM[],7,FALSE),"")</f>
        <v/>
      </c>
      <c r="BD103" s="209" t="str">
        <f>IFERROR(VLOOKUP(TableHandbook[[#This Row],[UDC]],TableSTRUPOLB1[],7,FALSE),"")</f>
        <v/>
      </c>
      <c r="BE103" s="209" t="str">
        <f>IFERROR(VLOOKUP(TableHandbook[[#This Row],[UDC]],TableSTRUPSYCB[],7,FALSE),"")</f>
        <v/>
      </c>
      <c r="BF103" s="209" t="str">
        <f>IFERROR(VLOOKUP(TableHandbook[[#This Row],[UDC]],TableSTRUPSYCM[],7,FALSE),"")</f>
        <v/>
      </c>
      <c r="BG103" s="209" t="str">
        <f>IFERROR(VLOOKUP(TableHandbook[[#This Row],[UDC]],TableSTRUVARTB[],7,FALSE),"")</f>
        <v/>
      </c>
      <c r="BH103" s="209" t="str">
        <f>IFERROR(VLOOKUP(TableHandbook[[#This Row],[UDC]],TableSTRUVARTM[],7,FALSE),"")</f>
        <v/>
      </c>
    </row>
    <row r="104" spans="1:60" x14ac:dyDescent="0.25">
      <c r="A104" s="6" t="s">
        <v>103</v>
      </c>
      <c r="B104" s="7">
        <v>1</v>
      </c>
      <c r="C104" s="7"/>
      <c r="D104" s="207" t="s">
        <v>884</v>
      </c>
      <c r="E104" s="7">
        <v>25</v>
      </c>
      <c r="F104" s="311" t="s">
        <v>885</v>
      </c>
      <c r="G104" s="75" t="str">
        <f>IFERROR(IF(VLOOKUP(TableHandbook[[#This Row],[UDC]],TableAvailabilities[],2,FALSE)&gt;0,"Y",""),"")</f>
        <v>Y</v>
      </c>
      <c r="H104" s="75" t="str">
        <f>IFERROR(IF(VLOOKUP(TableHandbook[[#This Row],[UDC]],TableAvailabilities[],3,FALSE)&gt;0,"Y",""),"")</f>
        <v>Y</v>
      </c>
      <c r="I104" s="75" t="str">
        <f>IFERROR(IF(VLOOKUP(TableHandbook[[#This Row],[UDC]],TableAvailabilities[],4,FALSE)&gt;0,"Y",""),"")</f>
        <v>Y</v>
      </c>
      <c r="J104" s="75" t="str">
        <f>IFERROR(IF(VLOOKUP(TableHandbook[[#This Row],[UDC]],TableAvailabilities[],5,FALSE)&gt;0,"Y",""),"")</f>
        <v/>
      </c>
      <c r="K104" s="75" t="str">
        <f>IFERROR(IF(VLOOKUP(TableHandbook[[#This Row],[UDC]],TableAvailabilities[],6,FALSE)&gt;0,"Y",""),"")</f>
        <v/>
      </c>
      <c r="L104" s="75" t="str">
        <f>IFERROR(IF(VLOOKUP(TableHandbook[[#This Row],[UDC]],TableAvailabilities[],7,FALSE)&gt;0,"Y",""),"")</f>
        <v/>
      </c>
      <c r="M104" s="207"/>
      <c r="N104" s="209" t="str">
        <f>IFERROR(VLOOKUP(TableHandbook[[#This Row],[UDC]],TableBEDUC[],7,FALSE),"")</f>
        <v/>
      </c>
      <c r="O104" s="209" t="str">
        <f>IFERROR(VLOOKUP(TableHandbook[[#This Row],[UDC]],TableBEDEC[],7,FALSE),"")</f>
        <v>Core</v>
      </c>
      <c r="P104" s="211" t="str">
        <f>IFERROR(VLOOKUP(TableHandbook[[#This Row],[UDC]],TableBEDPR[],7,FALSE),"")</f>
        <v/>
      </c>
      <c r="Q104" s="209" t="str">
        <f>IFERROR(VLOOKUP(TableHandbook[[#This Row],[UDC]],TableSTRUCATHL[],7,FALSE),"")</f>
        <v/>
      </c>
      <c r="R104" s="209" t="str">
        <f>IFERROR(VLOOKUP(TableHandbook[[#This Row],[UDC]],TableSTRUENGLL[],7,FALSE),"")</f>
        <v/>
      </c>
      <c r="S104" s="209" t="str">
        <f>IFERROR(VLOOKUP(TableHandbook[[#This Row],[UDC]],TableSTRUHLTPE[],7,FALSE),"")</f>
        <v/>
      </c>
      <c r="T104" s="209" t="str">
        <f>IFERROR(VLOOKUP(TableHandbook[[#This Row],[UDC]],TableSTRUISTEM[],7,FALSE),"")</f>
        <v/>
      </c>
      <c r="U104" s="209" t="str">
        <f>IFERROR(VLOOKUP(TableHandbook[[#This Row],[UDC]],TableSTRULITNU[],7,FALSE),"")</f>
        <v/>
      </c>
      <c r="V104" s="209" t="str">
        <f>IFERROR(VLOOKUP(TableHandbook[[#This Row],[UDC]],TableSTRUTECHS[],7,FALSE),"")</f>
        <v/>
      </c>
      <c r="W104" s="211" t="str">
        <f>IFERROR(VLOOKUP(TableHandbook[[#This Row],[UDC]],TableBEDSC[],7,FALSE),"")</f>
        <v/>
      </c>
      <c r="X104" s="211" t="str">
        <f>IFERROR(VLOOKUP(TableHandbook[[#This Row],[UDC]],TableMJRUARDR1[],7,FALSE),"")</f>
        <v/>
      </c>
      <c r="Y104" s="209" t="str">
        <f>IFERROR(VLOOKUP(TableHandbook[[#This Row],[UDC]],TableMJRUARME1[],7,FALSE),"")</f>
        <v/>
      </c>
      <c r="Z104" s="209" t="str">
        <f>IFERROR(VLOOKUP(TableHandbook[[#This Row],[UDC]],TableMJRUARVA1[],7,FALSE),"")</f>
        <v/>
      </c>
      <c r="AA104" s="209" t="str">
        <f>IFERROR(VLOOKUP(TableHandbook[[#This Row],[UDC]],TableMJRUENGL1[],7,FALSE),"")</f>
        <v/>
      </c>
      <c r="AB104" s="209" t="str">
        <f>IFERROR(VLOOKUP(TableHandbook[[#This Row],[UDC]],TableMJRUHSEC1[],7,FALSE),"")</f>
        <v/>
      </c>
      <c r="AC104" s="209" t="str">
        <f>IFERROR(VLOOKUP(TableHandbook[[#This Row],[UDC]],TableMJRUHSGE1[],7,FALSE),"")</f>
        <v/>
      </c>
      <c r="AD104" s="209" t="str">
        <f>IFERROR(VLOOKUP(TableHandbook[[#This Row],[UDC]],TableMJRUHSHI1[],7,FALSE),"")</f>
        <v/>
      </c>
      <c r="AE104" s="209" t="str">
        <f>IFERROR(VLOOKUP(TableHandbook[[#This Row],[UDC]],TableMJRUHSPL1[],7,FALSE),"")</f>
        <v/>
      </c>
      <c r="AF104" s="209" t="str">
        <f>IFERROR(VLOOKUP(TableHandbook[[#This Row],[UDC]],TableMJRUMATH1[],7,FALSE),"")</f>
        <v/>
      </c>
      <c r="AG104" s="209" t="str">
        <f>IFERROR(VLOOKUP(TableHandbook[[#This Row],[UDC]],TableMJRUPHYSE[],7,FALSE),"")</f>
        <v/>
      </c>
      <c r="AH104" s="209" t="str">
        <f>IFERROR(VLOOKUP(TableHandbook[[#This Row],[UDC]],TableMJRUSCBI1[],7,FALSE),"")</f>
        <v/>
      </c>
      <c r="AI104" s="209" t="str">
        <f>IFERROR(VLOOKUP(TableHandbook[[#This Row],[UDC]],TableMJRUSCCH1[],7,FALSE),"")</f>
        <v/>
      </c>
      <c r="AJ104" s="209" t="str">
        <f>IFERROR(VLOOKUP(TableHandbook[[#This Row],[UDC]],TableMJRUSCHB1[],7,FALSE),"")</f>
        <v/>
      </c>
      <c r="AK104" s="209" t="str">
        <f>IFERROR(VLOOKUP(TableHandbook[[#This Row],[UDC]],TableMJRUSCPH1[],7,FALSE),"")</f>
        <v/>
      </c>
      <c r="AL104" s="209" t="str">
        <f>IFERROR(VLOOKUP(TableHandbook[[#This Row],[UDC]],TableMJRUSCPS1[],7,FALSE),"")</f>
        <v/>
      </c>
      <c r="AM104" s="211" t="str">
        <f>IFERROR(VLOOKUP(TableHandbook[[#This Row],[UDC]],TableSTRUBIOLB[],7,FALSE),"")</f>
        <v/>
      </c>
      <c r="AN104" s="209" t="str">
        <f>IFERROR(VLOOKUP(TableHandbook[[#This Row],[UDC]],TableSTRUBSCIM[],7,FALSE),"")</f>
        <v/>
      </c>
      <c r="AO104" s="209" t="str">
        <f>IFERROR(VLOOKUP(TableHandbook[[#This Row],[UDC]],TableSTRUCHEMB[],7,FALSE),"")</f>
        <v/>
      </c>
      <c r="AP104" s="209" t="str">
        <f>IFERROR(VLOOKUP(TableHandbook[[#This Row],[UDC]],TableSTRUECOB1[],7,FALSE),"")</f>
        <v/>
      </c>
      <c r="AQ104" s="209" t="str">
        <f>IFERROR(VLOOKUP(TableHandbook[[#This Row],[UDC]],TableSTRUENGLB[],7,FALSE),"")</f>
        <v/>
      </c>
      <c r="AR104" s="209" t="str">
        <f>IFERROR(VLOOKUP(TableHandbook[[#This Row],[UDC]],TableSTRUENGLM[],7,FALSE),"")</f>
        <v/>
      </c>
      <c r="AS104" s="209" t="str">
        <f>IFERROR(VLOOKUP(TableHandbook[[#This Row],[UDC]],TableSTRUGEOB1[],7,FALSE),"")</f>
        <v/>
      </c>
      <c r="AT104" s="209" t="str">
        <f>IFERROR(VLOOKUP(TableHandbook[[#This Row],[UDC]],TableSTRUGEOGM[],7,FALSE),"")</f>
        <v/>
      </c>
      <c r="AU104" s="209" t="str">
        <f>IFERROR(VLOOKUP(TableHandbook[[#This Row],[UDC]],TableSTRUHISB1[],7,FALSE),"")</f>
        <v/>
      </c>
      <c r="AV104" s="209" t="str">
        <f>IFERROR(VLOOKUP(TableHandbook[[#This Row],[UDC]],TableSTRUHISTM[],7,FALSE),"")</f>
        <v/>
      </c>
      <c r="AW104" s="209" t="str">
        <f>IFERROR(VLOOKUP(TableHandbook[[#This Row],[UDC]],TableSTRUHPEB1[],7,FALSE),"")</f>
        <v/>
      </c>
      <c r="AX104" s="209" t="str">
        <f>IFERROR(VLOOKUP(TableHandbook[[#This Row],[UDC]],TableSTRUHUMBB[],7,FALSE),"")</f>
        <v/>
      </c>
      <c r="AY104" s="209" t="str">
        <f>IFERROR(VLOOKUP(TableHandbook[[#This Row],[UDC]],TableSTRUMARTM[],7,FALSE),"")</f>
        <v/>
      </c>
      <c r="AZ104" s="209" t="str">
        <f>IFERROR(VLOOKUP(TableHandbook[[#This Row],[UDC]],TableSTRUMATHB[],7,FALSE),"")</f>
        <v/>
      </c>
      <c r="BA104" s="209" t="str">
        <f>IFERROR(VLOOKUP(TableHandbook[[#This Row],[UDC]],TableSTRUMATHM[],7,FALSE),"")</f>
        <v/>
      </c>
      <c r="BB104" s="209" t="str">
        <f>IFERROR(VLOOKUP(TableHandbook[[#This Row],[UDC]],TableSTRUPARTB[],7,FALSE),"")</f>
        <v/>
      </c>
      <c r="BC104" s="209" t="str">
        <f>IFERROR(VLOOKUP(TableHandbook[[#This Row],[UDC]],TableSTRUPARTM[],7,FALSE),"")</f>
        <v/>
      </c>
      <c r="BD104" s="209" t="str">
        <f>IFERROR(VLOOKUP(TableHandbook[[#This Row],[UDC]],TableSTRUPOLB1[],7,FALSE),"")</f>
        <v/>
      </c>
      <c r="BE104" s="209" t="str">
        <f>IFERROR(VLOOKUP(TableHandbook[[#This Row],[UDC]],TableSTRUPSYCB[],7,FALSE),"")</f>
        <v/>
      </c>
      <c r="BF104" s="209" t="str">
        <f>IFERROR(VLOOKUP(TableHandbook[[#This Row],[UDC]],TableSTRUPSYCM[],7,FALSE),"")</f>
        <v/>
      </c>
      <c r="BG104" s="209" t="str">
        <f>IFERROR(VLOOKUP(TableHandbook[[#This Row],[UDC]],TableSTRUVARTB[],7,FALSE),"")</f>
        <v/>
      </c>
      <c r="BH104" s="209" t="str">
        <f>IFERROR(VLOOKUP(TableHandbook[[#This Row],[UDC]],TableSTRUVARTM[],7,FALSE),"")</f>
        <v/>
      </c>
    </row>
    <row r="105" spans="1:60" x14ac:dyDescent="0.25">
      <c r="A105" s="6" t="s">
        <v>108</v>
      </c>
      <c r="B105" s="7">
        <v>1</v>
      </c>
      <c r="C105" s="7"/>
      <c r="D105" s="207" t="s">
        <v>886</v>
      </c>
      <c r="E105" s="7">
        <v>25</v>
      </c>
      <c r="F105" s="311" t="s">
        <v>887</v>
      </c>
      <c r="G105" s="75" t="str">
        <f>IFERROR(IF(VLOOKUP(TableHandbook[[#This Row],[UDC]],TableAvailabilities[],2,FALSE)&gt;0,"Y",""),"")</f>
        <v/>
      </c>
      <c r="H105" s="75" t="str">
        <f>IFERROR(IF(VLOOKUP(TableHandbook[[#This Row],[UDC]],TableAvailabilities[],3,FALSE)&gt;0,"Y",""),"")</f>
        <v/>
      </c>
      <c r="I105" s="75" t="str">
        <f>IFERROR(IF(VLOOKUP(TableHandbook[[#This Row],[UDC]],TableAvailabilities[],4,FALSE)&gt;0,"Y",""),"")</f>
        <v/>
      </c>
      <c r="J105" s="75" t="str">
        <f>IFERROR(IF(VLOOKUP(TableHandbook[[#This Row],[UDC]],TableAvailabilities[],5,FALSE)&gt;0,"Y",""),"")</f>
        <v>Y</v>
      </c>
      <c r="K105" s="75" t="str">
        <f>IFERROR(IF(VLOOKUP(TableHandbook[[#This Row],[UDC]],TableAvailabilities[],6,FALSE)&gt;0,"Y",""),"")</f>
        <v>Y</v>
      </c>
      <c r="L105" s="75" t="str">
        <f>IFERROR(IF(VLOOKUP(TableHandbook[[#This Row],[UDC]],TableAvailabilities[],7,FALSE)&gt;0,"Y",""),"")</f>
        <v>Y</v>
      </c>
      <c r="M105" s="207"/>
      <c r="N105" s="209" t="str">
        <f>IFERROR(VLOOKUP(TableHandbook[[#This Row],[UDC]],TableBEDUC[],7,FALSE),"")</f>
        <v/>
      </c>
      <c r="O105" s="209" t="str">
        <f>IFERROR(VLOOKUP(TableHandbook[[#This Row],[UDC]],TableBEDEC[],7,FALSE),"")</f>
        <v>Core</v>
      </c>
      <c r="P105" s="211" t="str">
        <f>IFERROR(VLOOKUP(TableHandbook[[#This Row],[UDC]],TableBEDPR[],7,FALSE),"")</f>
        <v/>
      </c>
      <c r="Q105" s="209" t="str">
        <f>IFERROR(VLOOKUP(TableHandbook[[#This Row],[UDC]],TableSTRUCATHL[],7,FALSE),"")</f>
        <v/>
      </c>
      <c r="R105" s="209" t="str">
        <f>IFERROR(VLOOKUP(TableHandbook[[#This Row],[UDC]],TableSTRUENGLL[],7,FALSE),"")</f>
        <v/>
      </c>
      <c r="S105" s="209" t="str">
        <f>IFERROR(VLOOKUP(TableHandbook[[#This Row],[UDC]],TableSTRUHLTPE[],7,FALSE),"")</f>
        <v/>
      </c>
      <c r="T105" s="209" t="str">
        <f>IFERROR(VLOOKUP(TableHandbook[[#This Row],[UDC]],TableSTRUISTEM[],7,FALSE),"")</f>
        <v/>
      </c>
      <c r="U105" s="209" t="str">
        <f>IFERROR(VLOOKUP(TableHandbook[[#This Row],[UDC]],TableSTRULITNU[],7,FALSE),"")</f>
        <v/>
      </c>
      <c r="V105" s="209" t="str">
        <f>IFERROR(VLOOKUP(TableHandbook[[#This Row],[UDC]],TableSTRUTECHS[],7,FALSE),"")</f>
        <v/>
      </c>
      <c r="W105" s="211" t="str">
        <f>IFERROR(VLOOKUP(TableHandbook[[#This Row],[UDC]],TableBEDSC[],7,FALSE),"")</f>
        <v/>
      </c>
      <c r="X105" s="211" t="str">
        <f>IFERROR(VLOOKUP(TableHandbook[[#This Row],[UDC]],TableMJRUARDR1[],7,FALSE),"")</f>
        <v/>
      </c>
      <c r="Y105" s="209" t="str">
        <f>IFERROR(VLOOKUP(TableHandbook[[#This Row],[UDC]],TableMJRUARME1[],7,FALSE),"")</f>
        <v/>
      </c>
      <c r="Z105" s="209" t="str">
        <f>IFERROR(VLOOKUP(TableHandbook[[#This Row],[UDC]],TableMJRUARVA1[],7,FALSE),"")</f>
        <v/>
      </c>
      <c r="AA105" s="209" t="str">
        <f>IFERROR(VLOOKUP(TableHandbook[[#This Row],[UDC]],TableMJRUENGL1[],7,FALSE),"")</f>
        <v/>
      </c>
      <c r="AB105" s="209" t="str">
        <f>IFERROR(VLOOKUP(TableHandbook[[#This Row],[UDC]],TableMJRUHSEC1[],7,FALSE),"")</f>
        <v/>
      </c>
      <c r="AC105" s="209" t="str">
        <f>IFERROR(VLOOKUP(TableHandbook[[#This Row],[UDC]],TableMJRUHSGE1[],7,FALSE),"")</f>
        <v/>
      </c>
      <c r="AD105" s="209" t="str">
        <f>IFERROR(VLOOKUP(TableHandbook[[#This Row],[UDC]],TableMJRUHSHI1[],7,FALSE),"")</f>
        <v/>
      </c>
      <c r="AE105" s="209" t="str">
        <f>IFERROR(VLOOKUP(TableHandbook[[#This Row],[UDC]],TableMJRUHSPL1[],7,FALSE),"")</f>
        <v/>
      </c>
      <c r="AF105" s="209" t="str">
        <f>IFERROR(VLOOKUP(TableHandbook[[#This Row],[UDC]],TableMJRUMATH1[],7,FALSE),"")</f>
        <v/>
      </c>
      <c r="AG105" s="209" t="str">
        <f>IFERROR(VLOOKUP(TableHandbook[[#This Row],[UDC]],TableMJRUPHYSE[],7,FALSE),"")</f>
        <v/>
      </c>
      <c r="AH105" s="209" t="str">
        <f>IFERROR(VLOOKUP(TableHandbook[[#This Row],[UDC]],TableMJRUSCBI1[],7,FALSE),"")</f>
        <v/>
      </c>
      <c r="AI105" s="209" t="str">
        <f>IFERROR(VLOOKUP(TableHandbook[[#This Row],[UDC]],TableMJRUSCCH1[],7,FALSE),"")</f>
        <v/>
      </c>
      <c r="AJ105" s="209" t="str">
        <f>IFERROR(VLOOKUP(TableHandbook[[#This Row],[UDC]],TableMJRUSCHB1[],7,FALSE),"")</f>
        <v/>
      </c>
      <c r="AK105" s="209" t="str">
        <f>IFERROR(VLOOKUP(TableHandbook[[#This Row],[UDC]],TableMJRUSCPH1[],7,FALSE),"")</f>
        <v/>
      </c>
      <c r="AL105" s="209" t="str">
        <f>IFERROR(VLOOKUP(TableHandbook[[#This Row],[UDC]],TableMJRUSCPS1[],7,FALSE),"")</f>
        <v/>
      </c>
      <c r="AM105" s="211" t="str">
        <f>IFERROR(VLOOKUP(TableHandbook[[#This Row],[UDC]],TableSTRUBIOLB[],7,FALSE),"")</f>
        <v/>
      </c>
      <c r="AN105" s="209" t="str">
        <f>IFERROR(VLOOKUP(TableHandbook[[#This Row],[UDC]],TableSTRUBSCIM[],7,FALSE),"")</f>
        <v/>
      </c>
      <c r="AO105" s="209" t="str">
        <f>IFERROR(VLOOKUP(TableHandbook[[#This Row],[UDC]],TableSTRUCHEMB[],7,FALSE),"")</f>
        <v/>
      </c>
      <c r="AP105" s="209" t="str">
        <f>IFERROR(VLOOKUP(TableHandbook[[#This Row],[UDC]],TableSTRUECOB1[],7,FALSE),"")</f>
        <v/>
      </c>
      <c r="AQ105" s="209" t="str">
        <f>IFERROR(VLOOKUP(TableHandbook[[#This Row],[UDC]],TableSTRUENGLB[],7,FALSE),"")</f>
        <v/>
      </c>
      <c r="AR105" s="209" t="str">
        <f>IFERROR(VLOOKUP(TableHandbook[[#This Row],[UDC]],TableSTRUENGLM[],7,FALSE),"")</f>
        <v/>
      </c>
      <c r="AS105" s="209" t="str">
        <f>IFERROR(VLOOKUP(TableHandbook[[#This Row],[UDC]],TableSTRUGEOB1[],7,FALSE),"")</f>
        <v/>
      </c>
      <c r="AT105" s="209" t="str">
        <f>IFERROR(VLOOKUP(TableHandbook[[#This Row],[UDC]],TableSTRUGEOGM[],7,FALSE),"")</f>
        <v/>
      </c>
      <c r="AU105" s="209" t="str">
        <f>IFERROR(VLOOKUP(TableHandbook[[#This Row],[UDC]],TableSTRUHISB1[],7,FALSE),"")</f>
        <v/>
      </c>
      <c r="AV105" s="209" t="str">
        <f>IFERROR(VLOOKUP(TableHandbook[[#This Row],[UDC]],TableSTRUHISTM[],7,FALSE),"")</f>
        <v/>
      </c>
      <c r="AW105" s="209" t="str">
        <f>IFERROR(VLOOKUP(TableHandbook[[#This Row],[UDC]],TableSTRUHPEB1[],7,FALSE),"")</f>
        <v/>
      </c>
      <c r="AX105" s="209" t="str">
        <f>IFERROR(VLOOKUP(TableHandbook[[#This Row],[UDC]],TableSTRUHUMBB[],7,FALSE),"")</f>
        <v/>
      </c>
      <c r="AY105" s="209" t="str">
        <f>IFERROR(VLOOKUP(TableHandbook[[#This Row],[UDC]],TableSTRUMARTM[],7,FALSE),"")</f>
        <v/>
      </c>
      <c r="AZ105" s="209" t="str">
        <f>IFERROR(VLOOKUP(TableHandbook[[#This Row],[UDC]],TableSTRUMATHB[],7,FALSE),"")</f>
        <v/>
      </c>
      <c r="BA105" s="209" t="str">
        <f>IFERROR(VLOOKUP(TableHandbook[[#This Row],[UDC]],TableSTRUMATHM[],7,FALSE),"")</f>
        <v/>
      </c>
      <c r="BB105" s="209" t="str">
        <f>IFERROR(VLOOKUP(TableHandbook[[#This Row],[UDC]],TableSTRUPARTB[],7,FALSE),"")</f>
        <v/>
      </c>
      <c r="BC105" s="209" t="str">
        <f>IFERROR(VLOOKUP(TableHandbook[[#This Row],[UDC]],TableSTRUPARTM[],7,FALSE),"")</f>
        <v/>
      </c>
      <c r="BD105" s="209" t="str">
        <f>IFERROR(VLOOKUP(TableHandbook[[#This Row],[UDC]],TableSTRUPOLB1[],7,FALSE),"")</f>
        <v/>
      </c>
      <c r="BE105" s="209" t="str">
        <f>IFERROR(VLOOKUP(TableHandbook[[#This Row],[UDC]],TableSTRUPSYCB[],7,FALSE),"")</f>
        <v/>
      </c>
      <c r="BF105" s="209" t="str">
        <f>IFERROR(VLOOKUP(TableHandbook[[#This Row],[UDC]],TableSTRUPSYCM[],7,FALSE),"")</f>
        <v/>
      </c>
      <c r="BG105" s="209" t="str">
        <f>IFERROR(VLOOKUP(TableHandbook[[#This Row],[UDC]],TableSTRUVARTB[],7,FALSE),"")</f>
        <v/>
      </c>
      <c r="BH105" s="209" t="str">
        <f>IFERROR(VLOOKUP(TableHandbook[[#This Row],[UDC]],TableSTRUVARTM[],7,FALSE),"")</f>
        <v/>
      </c>
    </row>
    <row r="106" spans="1:60" ht="26.25" x14ac:dyDescent="0.25">
      <c r="A106" s="6" t="s">
        <v>125</v>
      </c>
      <c r="B106" s="7">
        <v>1</v>
      </c>
      <c r="C106" s="7"/>
      <c r="D106" s="207" t="s">
        <v>888</v>
      </c>
      <c r="E106" s="7">
        <v>25</v>
      </c>
      <c r="F106" s="311" t="s">
        <v>107</v>
      </c>
      <c r="G106" s="75" t="str">
        <f>IFERROR(IF(VLOOKUP(TableHandbook[[#This Row],[UDC]],TableAvailabilities[],2,FALSE)&gt;0,"Y",""),"")</f>
        <v>Y</v>
      </c>
      <c r="H106" s="75" t="str">
        <f>IFERROR(IF(VLOOKUP(TableHandbook[[#This Row],[UDC]],TableAvailabilities[],3,FALSE)&gt;0,"Y",""),"")</f>
        <v>Y</v>
      </c>
      <c r="I106" s="75" t="str">
        <f>IFERROR(IF(VLOOKUP(TableHandbook[[#This Row],[UDC]],TableAvailabilities[],4,FALSE)&gt;0,"Y",""),"")</f>
        <v>Y</v>
      </c>
      <c r="J106" s="75" t="str">
        <f>IFERROR(IF(VLOOKUP(TableHandbook[[#This Row],[UDC]],TableAvailabilities[],5,FALSE)&gt;0,"Y",""),"")</f>
        <v/>
      </c>
      <c r="K106" s="75" t="str">
        <f>IFERROR(IF(VLOOKUP(TableHandbook[[#This Row],[UDC]],TableAvailabilities[],6,FALSE)&gt;0,"Y",""),"")</f>
        <v/>
      </c>
      <c r="L106" s="75" t="str">
        <f>IFERROR(IF(VLOOKUP(TableHandbook[[#This Row],[UDC]],TableAvailabilities[],7,FALSE)&gt;0,"Y",""),"")</f>
        <v/>
      </c>
      <c r="M106" s="207"/>
      <c r="N106" s="209" t="str">
        <f>IFERROR(VLOOKUP(TableHandbook[[#This Row],[UDC]],TableBEDUC[],7,FALSE),"")</f>
        <v/>
      </c>
      <c r="O106" s="209" t="str">
        <f>IFERROR(VLOOKUP(TableHandbook[[#This Row],[UDC]],TableBEDEC[],7,FALSE),"")</f>
        <v>Core</v>
      </c>
      <c r="P106" s="211" t="str">
        <f>IFERROR(VLOOKUP(TableHandbook[[#This Row],[UDC]],TableBEDPR[],7,FALSE),"")</f>
        <v/>
      </c>
      <c r="Q106" s="209" t="str">
        <f>IFERROR(VLOOKUP(TableHandbook[[#This Row],[UDC]],TableSTRUCATHL[],7,FALSE),"")</f>
        <v/>
      </c>
      <c r="R106" s="209" t="str">
        <f>IFERROR(VLOOKUP(TableHandbook[[#This Row],[UDC]],TableSTRUENGLL[],7,FALSE),"")</f>
        <v/>
      </c>
      <c r="S106" s="209" t="str">
        <f>IFERROR(VLOOKUP(TableHandbook[[#This Row],[UDC]],TableSTRUHLTPE[],7,FALSE),"")</f>
        <v/>
      </c>
      <c r="T106" s="209" t="str">
        <f>IFERROR(VLOOKUP(TableHandbook[[#This Row],[UDC]],TableSTRUISTEM[],7,FALSE),"")</f>
        <v/>
      </c>
      <c r="U106" s="209" t="str">
        <f>IFERROR(VLOOKUP(TableHandbook[[#This Row],[UDC]],TableSTRULITNU[],7,FALSE),"")</f>
        <v/>
      </c>
      <c r="V106" s="209" t="str">
        <f>IFERROR(VLOOKUP(TableHandbook[[#This Row],[UDC]],TableSTRUTECHS[],7,FALSE),"")</f>
        <v/>
      </c>
      <c r="W106" s="211" t="str">
        <f>IFERROR(VLOOKUP(TableHandbook[[#This Row],[UDC]],TableBEDSC[],7,FALSE),"")</f>
        <v/>
      </c>
      <c r="X106" s="211" t="str">
        <f>IFERROR(VLOOKUP(TableHandbook[[#This Row],[UDC]],TableMJRUARDR1[],7,FALSE),"")</f>
        <v/>
      </c>
      <c r="Y106" s="209" t="str">
        <f>IFERROR(VLOOKUP(TableHandbook[[#This Row],[UDC]],TableMJRUARME1[],7,FALSE),"")</f>
        <v/>
      </c>
      <c r="Z106" s="209" t="str">
        <f>IFERROR(VLOOKUP(TableHandbook[[#This Row],[UDC]],TableMJRUARVA1[],7,FALSE),"")</f>
        <v/>
      </c>
      <c r="AA106" s="209" t="str">
        <f>IFERROR(VLOOKUP(TableHandbook[[#This Row],[UDC]],TableMJRUENGL1[],7,FALSE),"")</f>
        <v/>
      </c>
      <c r="AB106" s="209" t="str">
        <f>IFERROR(VLOOKUP(TableHandbook[[#This Row],[UDC]],TableMJRUHSEC1[],7,FALSE),"")</f>
        <v/>
      </c>
      <c r="AC106" s="209" t="str">
        <f>IFERROR(VLOOKUP(TableHandbook[[#This Row],[UDC]],TableMJRUHSGE1[],7,FALSE),"")</f>
        <v/>
      </c>
      <c r="AD106" s="209" t="str">
        <f>IFERROR(VLOOKUP(TableHandbook[[#This Row],[UDC]],TableMJRUHSHI1[],7,FALSE),"")</f>
        <v/>
      </c>
      <c r="AE106" s="209" t="str">
        <f>IFERROR(VLOOKUP(TableHandbook[[#This Row],[UDC]],TableMJRUHSPL1[],7,FALSE),"")</f>
        <v/>
      </c>
      <c r="AF106" s="209" t="str">
        <f>IFERROR(VLOOKUP(TableHandbook[[#This Row],[UDC]],TableMJRUMATH1[],7,FALSE),"")</f>
        <v/>
      </c>
      <c r="AG106" s="209" t="str">
        <f>IFERROR(VLOOKUP(TableHandbook[[#This Row],[UDC]],TableMJRUPHYSE[],7,FALSE),"")</f>
        <v/>
      </c>
      <c r="AH106" s="209" t="str">
        <f>IFERROR(VLOOKUP(TableHandbook[[#This Row],[UDC]],TableMJRUSCBI1[],7,FALSE),"")</f>
        <v/>
      </c>
      <c r="AI106" s="209" t="str">
        <f>IFERROR(VLOOKUP(TableHandbook[[#This Row],[UDC]],TableMJRUSCCH1[],7,FALSE),"")</f>
        <v/>
      </c>
      <c r="AJ106" s="209" t="str">
        <f>IFERROR(VLOOKUP(TableHandbook[[#This Row],[UDC]],TableMJRUSCHB1[],7,FALSE),"")</f>
        <v/>
      </c>
      <c r="AK106" s="209" t="str">
        <f>IFERROR(VLOOKUP(TableHandbook[[#This Row],[UDC]],TableMJRUSCPH1[],7,FALSE),"")</f>
        <v/>
      </c>
      <c r="AL106" s="209" t="str">
        <f>IFERROR(VLOOKUP(TableHandbook[[#This Row],[UDC]],TableMJRUSCPS1[],7,FALSE),"")</f>
        <v/>
      </c>
      <c r="AM106" s="211" t="str">
        <f>IFERROR(VLOOKUP(TableHandbook[[#This Row],[UDC]],TableSTRUBIOLB[],7,FALSE),"")</f>
        <v/>
      </c>
      <c r="AN106" s="209" t="str">
        <f>IFERROR(VLOOKUP(TableHandbook[[#This Row],[UDC]],TableSTRUBSCIM[],7,FALSE),"")</f>
        <v/>
      </c>
      <c r="AO106" s="209" t="str">
        <f>IFERROR(VLOOKUP(TableHandbook[[#This Row],[UDC]],TableSTRUCHEMB[],7,FALSE),"")</f>
        <v/>
      </c>
      <c r="AP106" s="209" t="str">
        <f>IFERROR(VLOOKUP(TableHandbook[[#This Row],[UDC]],TableSTRUECOB1[],7,FALSE),"")</f>
        <v/>
      </c>
      <c r="AQ106" s="209" t="str">
        <f>IFERROR(VLOOKUP(TableHandbook[[#This Row],[UDC]],TableSTRUENGLB[],7,FALSE),"")</f>
        <v/>
      </c>
      <c r="AR106" s="209" t="str">
        <f>IFERROR(VLOOKUP(TableHandbook[[#This Row],[UDC]],TableSTRUENGLM[],7,FALSE),"")</f>
        <v/>
      </c>
      <c r="AS106" s="209" t="str">
        <f>IFERROR(VLOOKUP(TableHandbook[[#This Row],[UDC]],TableSTRUGEOB1[],7,FALSE),"")</f>
        <v/>
      </c>
      <c r="AT106" s="209" t="str">
        <f>IFERROR(VLOOKUP(TableHandbook[[#This Row],[UDC]],TableSTRUGEOGM[],7,FALSE),"")</f>
        <v/>
      </c>
      <c r="AU106" s="209" t="str">
        <f>IFERROR(VLOOKUP(TableHandbook[[#This Row],[UDC]],TableSTRUHISB1[],7,FALSE),"")</f>
        <v/>
      </c>
      <c r="AV106" s="209" t="str">
        <f>IFERROR(VLOOKUP(TableHandbook[[#This Row],[UDC]],TableSTRUHISTM[],7,FALSE),"")</f>
        <v/>
      </c>
      <c r="AW106" s="209" t="str">
        <f>IFERROR(VLOOKUP(TableHandbook[[#This Row],[UDC]],TableSTRUHPEB1[],7,FALSE),"")</f>
        <v/>
      </c>
      <c r="AX106" s="209" t="str">
        <f>IFERROR(VLOOKUP(TableHandbook[[#This Row],[UDC]],TableSTRUHUMBB[],7,FALSE),"")</f>
        <v/>
      </c>
      <c r="AY106" s="209" t="str">
        <f>IFERROR(VLOOKUP(TableHandbook[[#This Row],[UDC]],TableSTRUMARTM[],7,FALSE),"")</f>
        <v/>
      </c>
      <c r="AZ106" s="209" t="str">
        <f>IFERROR(VLOOKUP(TableHandbook[[#This Row],[UDC]],TableSTRUMATHB[],7,FALSE),"")</f>
        <v/>
      </c>
      <c r="BA106" s="209" t="str">
        <f>IFERROR(VLOOKUP(TableHandbook[[#This Row],[UDC]],TableSTRUMATHM[],7,FALSE),"")</f>
        <v/>
      </c>
      <c r="BB106" s="209" t="str">
        <f>IFERROR(VLOOKUP(TableHandbook[[#This Row],[UDC]],TableSTRUPARTB[],7,FALSE),"")</f>
        <v/>
      </c>
      <c r="BC106" s="209" t="str">
        <f>IFERROR(VLOOKUP(TableHandbook[[#This Row],[UDC]],TableSTRUPARTM[],7,FALSE),"")</f>
        <v/>
      </c>
      <c r="BD106" s="209" t="str">
        <f>IFERROR(VLOOKUP(TableHandbook[[#This Row],[UDC]],TableSTRUPOLB1[],7,FALSE),"")</f>
        <v/>
      </c>
      <c r="BE106" s="209" t="str">
        <f>IFERROR(VLOOKUP(TableHandbook[[#This Row],[UDC]],TableSTRUPSYCB[],7,FALSE),"")</f>
        <v/>
      </c>
      <c r="BF106" s="209" t="str">
        <f>IFERROR(VLOOKUP(TableHandbook[[#This Row],[UDC]],TableSTRUPSYCM[],7,FALSE),"")</f>
        <v/>
      </c>
      <c r="BG106" s="209" t="str">
        <f>IFERROR(VLOOKUP(TableHandbook[[#This Row],[UDC]],TableSTRUVARTB[],7,FALSE),"")</f>
        <v/>
      </c>
      <c r="BH106" s="209" t="str">
        <f>IFERROR(VLOOKUP(TableHandbook[[#This Row],[UDC]],TableSTRUVARTM[],7,FALSE),"")</f>
        <v/>
      </c>
    </row>
    <row r="107" spans="1:60" ht="26.25" x14ac:dyDescent="0.25">
      <c r="A107" s="6" t="s">
        <v>145</v>
      </c>
      <c r="B107" s="7">
        <v>1</v>
      </c>
      <c r="C107" s="7"/>
      <c r="D107" s="207" t="s">
        <v>889</v>
      </c>
      <c r="E107" s="7">
        <v>25</v>
      </c>
      <c r="F107" s="311" t="s">
        <v>890</v>
      </c>
      <c r="G107" s="75" t="str">
        <f>IFERROR(IF(VLOOKUP(TableHandbook[[#This Row],[UDC]],TableAvailabilities[],2,FALSE)&gt;0,"Y",""),"")</f>
        <v/>
      </c>
      <c r="H107" s="75" t="str">
        <f>IFERROR(IF(VLOOKUP(TableHandbook[[#This Row],[UDC]],TableAvailabilities[],3,FALSE)&gt;0,"Y",""),"")</f>
        <v/>
      </c>
      <c r="I107" s="75" t="str">
        <f>IFERROR(IF(VLOOKUP(TableHandbook[[#This Row],[UDC]],TableAvailabilities[],4,FALSE)&gt;0,"Y",""),"")</f>
        <v/>
      </c>
      <c r="J107" s="75" t="str">
        <f>IFERROR(IF(VLOOKUP(TableHandbook[[#This Row],[UDC]],TableAvailabilities[],5,FALSE)&gt;0,"Y",""),"")</f>
        <v>Y</v>
      </c>
      <c r="K107" s="75" t="str">
        <f>IFERROR(IF(VLOOKUP(TableHandbook[[#This Row],[UDC]],TableAvailabilities[],6,FALSE)&gt;0,"Y",""),"")</f>
        <v>Y</v>
      </c>
      <c r="L107" s="75" t="str">
        <f>IFERROR(IF(VLOOKUP(TableHandbook[[#This Row],[UDC]],TableAvailabilities[],7,FALSE)&gt;0,"Y",""),"")</f>
        <v>Y</v>
      </c>
      <c r="M107" s="207"/>
      <c r="N107" s="209" t="str">
        <f>IFERROR(VLOOKUP(TableHandbook[[#This Row],[UDC]],TableBEDUC[],7,FALSE),"")</f>
        <v/>
      </c>
      <c r="O107" s="209" t="str">
        <f>IFERROR(VLOOKUP(TableHandbook[[#This Row],[UDC]],TableBEDEC[],7,FALSE),"")</f>
        <v>Core</v>
      </c>
      <c r="P107" s="211" t="str">
        <f>IFERROR(VLOOKUP(TableHandbook[[#This Row],[UDC]],TableBEDPR[],7,FALSE),"")</f>
        <v/>
      </c>
      <c r="Q107" s="209" t="str">
        <f>IFERROR(VLOOKUP(TableHandbook[[#This Row],[UDC]],TableSTRUCATHL[],7,FALSE),"")</f>
        <v/>
      </c>
      <c r="R107" s="209" t="str">
        <f>IFERROR(VLOOKUP(TableHandbook[[#This Row],[UDC]],TableSTRUENGLL[],7,FALSE),"")</f>
        <v/>
      </c>
      <c r="S107" s="209" t="str">
        <f>IFERROR(VLOOKUP(TableHandbook[[#This Row],[UDC]],TableSTRUHLTPE[],7,FALSE),"")</f>
        <v/>
      </c>
      <c r="T107" s="209" t="str">
        <f>IFERROR(VLOOKUP(TableHandbook[[#This Row],[UDC]],TableSTRUISTEM[],7,FALSE),"")</f>
        <v/>
      </c>
      <c r="U107" s="209" t="str">
        <f>IFERROR(VLOOKUP(TableHandbook[[#This Row],[UDC]],TableSTRULITNU[],7,FALSE),"")</f>
        <v/>
      </c>
      <c r="V107" s="209" t="str">
        <f>IFERROR(VLOOKUP(TableHandbook[[#This Row],[UDC]],TableSTRUTECHS[],7,FALSE),"")</f>
        <v/>
      </c>
      <c r="W107" s="211" t="str">
        <f>IFERROR(VLOOKUP(TableHandbook[[#This Row],[UDC]],TableBEDSC[],7,FALSE),"")</f>
        <v/>
      </c>
      <c r="X107" s="211" t="str">
        <f>IFERROR(VLOOKUP(TableHandbook[[#This Row],[UDC]],TableMJRUARDR1[],7,FALSE),"")</f>
        <v/>
      </c>
      <c r="Y107" s="209" t="str">
        <f>IFERROR(VLOOKUP(TableHandbook[[#This Row],[UDC]],TableMJRUARME1[],7,FALSE),"")</f>
        <v/>
      </c>
      <c r="Z107" s="209" t="str">
        <f>IFERROR(VLOOKUP(TableHandbook[[#This Row],[UDC]],TableMJRUARVA1[],7,FALSE),"")</f>
        <v/>
      </c>
      <c r="AA107" s="209" t="str">
        <f>IFERROR(VLOOKUP(TableHandbook[[#This Row],[UDC]],TableMJRUENGL1[],7,FALSE),"")</f>
        <v/>
      </c>
      <c r="AB107" s="209" t="str">
        <f>IFERROR(VLOOKUP(TableHandbook[[#This Row],[UDC]],TableMJRUHSEC1[],7,FALSE),"")</f>
        <v/>
      </c>
      <c r="AC107" s="209" t="str">
        <f>IFERROR(VLOOKUP(TableHandbook[[#This Row],[UDC]],TableMJRUHSGE1[],7,FALSE),"")</f>
        <v/>
      </c>
      <c r="AD107" s="209" t="str">
        <f>IFERROR(VLOOKUP(TableHandbook[[#This Row],[UDC]],TableMJRUHSHI1[],7,FALSE),"")</f>
        <v/>
      </c>
      <c r="AE107" s="209" t="str">
        <f>IFERROR(VLOOKUP(TableHandbook[[#This Row],[UDC]],TableMJRUHSPL1[],7,FALSE),"")</f>
        <v/>
      </c>
      <c r="AF107" s="209" t="str">
        <f>IFERROR(VLOOKUP(TableHandbook[[#This Row],[UDC]],TableMJRUMATH1[],7,FALSE),"")</f>
        <v/>
      </c>
      <c r="AG107" s="209" t="str">
        <f>IFERROR(VLOOKUP(TableHandbook[[#This Row],[UDC]],TableMJRUPHYSE[],7,FALSE),"")</f>
        <v/>
      </c>
      <c r="AH107" s="209" t="str">
        <f>IFERROR(VLOOKUP(TableHandbook[[#This Row],[UDC]],TableMJRUSCBI1[],7,FALSE),"")</f>
        <v/>
      </c>
      <c r="AI107" s="209" t="str">
        <f>IFERROR(VLOOKUP(TableHandbook[[#This Row],[UDC]],TableMJRUSCCH1[],7,FALSE),"")</f>
        <v/>
      </c>
      <c r="AJ107" s="209" t="str">
        <f>IFERROR(VLOOKUP(TableHandbook[[#This Row],[UDC]],TableMJRUSCHB1[],7,FALSE),"")</f>
        <v/>
      </c>
      <c r="AK107" s="209" t="str">
        <f>IFERROR(VLOOKUP(TableHandbook[[#This Row],[UDC]],TableMJRUSCPH1[],7,FALSE),"")</f>
        <v/>
      </c>
      <c r="AL107" s="209" t="str">
        <f>IFERROR(VLOOKUP(TableHandbook[[#This Row],[UDC]],TableMJRUSCPS1[],7,FALSE),"")</f>
        <v/>
      </c>
      <c r="AM107" s="211" t="str">
        <f>IFERROR(VLOOKUP(TableHandbook[[#This Row],[UDC]],TableSTRUBIOLB[],7,FALSE),"")</f>
        <v/>
      </c>
      <c r="AN107" s="209" t="str">
        <f>IFERROR(VLOOKUP(TableHandbook[[#This Row],[UDC]],TableSTRUBSCIM[],7,FALSE),"")</f>
        <v/>
      </c>
      <c r="AO107" s="209" t="str">
        <f>IFERROR(VLOOKUP(TableHandbook[[#This Row],[UDC]],TableSTRUCHEMB[],7,FALSE),"")</f>
        <v/>
      </c>
      <c r="AP107" s="209" t="str">
        <f>IFERROR(VLOOKUP(TableHandbook[[#This Row],[UDC]],TableSTRUECOB1[],7,FALSE),"")</f>
        <v/>
      </c>
      <c r="AQ107" s="209" t="str">
        <f>IFERROR(VLOOKUP(TableHandbook[[#This Row],[UDC]],TableSTRUENGLB[],7,FALSE),"")</f>
        <v/>
      </c>
      <c r="AR107" s="209" t="str">
        <f>IFERROR(VLOOKUP(TableHandbook[[#This Row],[UDC]],TableSTRUENGLM[],7,FALSE),"")</f>
        <v/>
      </c>
      <c r="AS107" s="209" t="str">
        <f>IFERROR(VLOOKUP(TableHandbook[[#This Row],[UDC]],TableSTRUGEOB1[],7,FALSE),"")</f>
        <v/>
      </c>
      <c r="AT107" s="209" t="str">
        <f>IFERROR(VLOOKUP(TableHandbook[[#This Row],[UDC]],TableSTRUGEOGM[],7,FALSE),"")</f>
        <v/>
      </c>
      <c r="AU107" s="209" t="str">
        <f>IFERROR(VLOOKUP(TableHandbook[[#This Row],[UDC]],TableSTRUHISB1[],7,FALSE),"")</f>
        <v/>
      </c>
      <c r="AV107" s="209" t="str">
        <f>IFERROR(VLOOKUP(TableHandbook[[#This Row],[UDC]],TableSTRUHISTM[],7,FALSE),"")</f>
        <v/>
      </c>
      <c r="AW107" s="209" t="str">
        <f>IFERROR(VLOOKUP(TableHandbook[[#This Row],[UDC]],TableSTRUHPEB1[],7,FALSE),"")</f>
        <v/>
      </c>
      <c r="AX107" s="209" t="str">
        <f>IFERROR(VLOOKUP(TableHandbook[[#This Row],[UDC]],TableSTRUHUMBB[],7,FALSE),"")</f>
        <v/>
      </c>
      <c r="AY107" s="209" t="str">
        <f>IFERROR(VLOOKUP(TableHandbook[[#This Row],[UDC]],TableSTRUMARTM[],7,FALSE),"")</f>
        <v/>
      </c>
      <c r="AZ107" s="209" t="str">
        <f>IFERROR(VLOOKUP(TableHandbook[[#This Row],[UDC]],TableSTRUMATHB[],7,FALSE),"")</f>
        <v/>
      </c>
      <c r="BA107" s="209" t="str">
        <f>IFERROR(VLOOKUP(TableHandbook[[#This Row],[UDC]],TableSTRUMATHM[],7,FALSE),"")</f>
        <v/>
      </c>
      <c r="BB107" s="209" t="str">
        <f>IFERROR(VLOOKUP(TableHandbook[[#This Row],[UDC]],TableSTRUPARTB[],7,FALSE),"")</f>
        <v/>
      </c>
      <c r="BC107" s="209" t="str">
        <f>IFERROR(VLOOKUP(TableHandbook[[#This Row],[UDC]],TableSTRUPARTM[],7,FALSE),"")</f>
        <v/>
      </c>
      <c r="BD107" s="209" t="str">
        <f>IFERROR(VLOOKUP(TableHandbook[[#This Row],[UDC]],TableSTRUPOLB1[],7,FALSE),"")</f>
        <v/>
      </c>
      <c r="BE107" s="209" t="str">
        <f>IFERROR(VLOOKUP(TableHandbook[[#This Row],[UDC]],TableSTRUPSYCB[],7,FALSE),"")</f>
        <v/>
      </c>
      <c r="BF107" s="209" t="str">
        <f>IFERROR(VLOOKUP(TableHandbook[[#This Row],[UDC]],TableSTRUPSYCM[],7,FALSE),"")</f>
        <v/>
      </c>
      <c r="BG107" s="209" t="str">
        <f>IFERROR(VLOOKUP(TableHandbook[[#This Row],[UDC]],TableSTRUVARTB[],7,FALSE),"")</f>
        <v/>
      </c>
      <c r="BH107" s="209" t="str">
        <f>IFERROR(VLOOKUP(TableHandbook[[#This Row],[UDC]],TableSTRUVARTM[],7,FALSE),"")</f>
        <v/>
      </c>
    </row>
    <row r="108" spans="1:60" x14ac:dyDescent="0.25">
      <c r="A108" s="6" t="s">
        <v>139</v>
      </c>
      <c r="B108" s="7">
        <v>1</v>
      </c>
      <c r="C108" s="7"/>
      <c r="D108" s="207" t="s">
        <v>891</v>
      </c>
      <c r="E108" s="7">
        <v>25</v>
      </c>
      <c r="F108" s="311" t="s">
        <v>892</v>
      </c>
      <c r="G108" s="75" t="str">
        <f>IFERROR(IF(VLOOKUP(TableHandbook[[#This Row],[UDC]],TableAvailabilities[],2,FALSE)&gt;0,"Y",""),"")</f>
        <v>Y</v>
      </c>
      <c r="H108" s="75" t="str">
        <f>IFERROR(IF(VLOOKUP(TableHandbook[[#This Row],[UDC]],TableAvailabilities[],3,FALSE)&gt;0,"Y",""),"")</f>
        <v>Y</v>
      </c>
      <c r="I108" s="75" t="str">
        <f>IFERROR(IF(VLOOKUP(TableHandbook[[#This Row],[UDC]],TableAvailabilities[],4,FALSE)&gt;0,"Y",""),"")</f>
        <v>Y</v>
      </c>
      <c r="J108" s="75" t="str">
        <f>IFERROR(IF(VLOOKUP(TableHandbook[[#This Row],[UDC]],TableAvailabilities[],5,FALSE)&gt;0,"Y",""),"")</f>
        <v/>
      </c>
      <c r="K108" s="75" t="str">
        <f>IFERROR(IF(VLOOKUP(TableHandbook[[#This Row],[UDC]],TableAvailabilities[],6,FALSE)&gt;0,"Y",""),"")</f>
        <v/>
      </c>
      <c r="L108" s="75" t="str">
        <f>IFERROR(IF(VLOOKUP(TableHandbook[[#This Row],[UDC]],TableAvailabilities[],7,FALSE)&gt;0,"Y",""),"")</f>
        <v/>
      </c>
      <c r="M108" s="207"/>
      <c r="N108" s="209" t="str">
        <f>IFERROR(VLOOKUP(TableHandbook[[#This Row],[UDC]],TableBEDUC[],7,FALSE),"")</f>
        <v/>
      </c>
      <c r="O108" s="209" t="str">
        <f>IFERROR(VLOOKUP(TableHandbook[[#This Row],[UDC]],TableBEDEC[],7,FALSE),"")</f>
        <v>Core</v>
      </c>
      <c r="P108" s="211" t="str">
        <f>IFERROR(VLOOKUP(TableHandbook[[#This Row],[UDC]],TableBEDPR[],7,FALSE),"")</f>
        <v/>
      </c>
      <c r="Q108" s="209" t="str">
        <f>IFERROR(VLOOKUP(TableHandbook[[#This Row],[UDC]],TableSTRUCATHL[],7,FALSE),"")</f>
        <v/>
      </c>
      <c r="R108" s="209" t="str">
        <f>IFERROR(VLOOKUP(TableHandbook[[#This Row],[UDC]],TableSTRUENGLL[],7,FALSE),"")</f>
        <v/>
      </c>
      <c r="S108" s="209" t="str">
        <f>IFERROR(VLOOKUP(TableHandbook[[#This Row],[UDC]],TableSTRUHLTPE[],7,FALSE),"")</f>
        <v/>
      </c>
      <c r="T108" s="209" t="str">
        <f>IFERROR(VLOOKUP(TableHandbook[[#This Row],[UDC]],TableSTRUISTEM[],7,FALSE),"")</f>
        <v/>
      </c>
      <c r="U108" s="209" t="str">
        <f>IFERROR(VLOOKUP(TableHandbook[[#This Row],[UDC]],TableSTRULITNU[],7,FALSE),"")</f>
        <v/>
      </c>
      <c r="V108" s="209" t="str">
        <f>IFERROR(VLOOKUP(TableHandbook[[#This Row],[UDC]],TableSTRUTECHS[],7,FALSE),"")</f>
        <v/>
      </c>
      <c r="W108" s="211" t="str">
        <f>IFERROR(VLOOKUP(TableHandbook[[#This Row],[UDC]],TableBEDSC[],7,FALSE),"")</f>
        <v/>
      </c>
      <c r="X108" s="211" t="str">
        <f>IFERROR(VLOOKUP(TableHandbook[[#This Row],[UDC]],TableMJRUARDR1[],7,FALSE),"")</f>
        <v/>
      </c>
      <c r="Y108" s="209" t="str">
        <f>IFERROR(VLOOKUP(TableHandbook[[#This Row],[UDC]],TableMJRUARME1[],7,FALSE),"")</f>
        <v/>
      </c>
      <c r="Z108" s="209" t="str">
        <f>IFERROR(VLOOKUP(TableHandbook[[#This Row],[UDC]],TableMJRUARVA1[],7,FALSE),"")</f>
        <v/>
      </c>
      <c r="AA108" s="209" t="str">
        <f>IFERROR(VLOOKUP(TableHandbook[[#This Row],[UDC]],TableMJRUENGL1[],7,FALSE),"")</f>
        <v/>
      </c>
      <c r="AB108" s="209" t="str">
        <f>IFERROR(VLOOKUP(TableHandbook[[#This Row],[UDC]],TableMJRUHSEC1[],7,FALSE),"")</f>
        <v/>
      </c>
      <c r="AC108" s="209" t="str">
        <f>IFERROR(VLOOKUP(TableHandbook[[#This Row],[UDC]],TableMJRUHSGE1[],7,FALSE),"")</f>
        <v/>
      </c>
      <c r="AD108" s="209" t="str">
        <f>IFERROR(VLOOKUP(TableHandbook[[#This Row],[UDC]],TableMJRUHSHI1[],7,FALSE),"")</f>
        <v/>
      </c>
      <c r="AE108" s="209" t="str">
        <f>IFERROR(VLOOKUP(TableHandbook[[#This Row],[UDC]],TableMJRUHSPL1[],7,FALSE),"")</f>
        <v/>
      </c>
      <c r="AF108" s="209" t="str">
        <f>IFERROR(VLOOKUP(TableHandbook[[#This Row],[UDC]],TableMJRUMATH1[],7,FALSE),"")</f>
        <v/>
      </c>
      <c r="AG108" s="209" t="str">
        <f>IFERROR(VLOOKUP(TableHandbook[[#This Row],[UDC]],TableMJRUPHYSE[],7,FALSE),"")</f>
        <v/>
      </c>
      <c r="AH108" s="209" t="str">
        <f>IFERROR(VLOOKUP(TableHandbook[[#This Row],[UDC]],TableMJRUSCBI1[],7,FALSE),"")</f>
        <v/>
      </c>
      <c r="AI108" s="209" t="str">
        <f>IFERROR(VLOOKUP(TableHandbook[[#This Row],[UDC]],TableMJRUSCCH1[],7,FALSE),"")</f>
        <v/>
      </c>
      <c r="AJ108" s="209" t="str">
        <f>IFERROR(VLOOKUP(TableHandbook[[#This Row],[UDC]],TableMJRUSCHB1[],7,FALSE),"")</f>
        <v/>
      </c>
      <c r="AK108" s="209" t="str">
        <f>IFERROR(VLOOKUP(TableHandbook[[#This Row],[UDC]],TableMJRUSCPH1[],7,FALSE),"")</f>
        <v/>
      </c>
      <c r="AL108" s="209" t="str">
        <f>IFERROR(VLOOKUP(TableHandbook[[#This Row],[UDC]],TableMJRUSCPS1[],7,FALSE),"")</f>
        <v/>
      </c>
      <c r="AM108" s="211" t="str">
        <f>IFERROR(VLOOKUP(TableHandbook[[#This Row],[UDC]],TableSTRUBIOLB[],7,FALSE),"")</f>
        <v/>
      </c>
      <c r="AN108" s="209" t="str">
        <f>IFERROR(VLOOKUP(TableHandbook[[#This Row],[UDC]],TableSTRUBSCIM[],7,FALSE),"")</f>
        <v/>
      </c>
      <c r="AO108" s="209" t="str">
        <f>IFERROR(VLOOKUP(TableHandbook[[#This Row],[UDC]],TableSTRUCHEMB[],7,FALSE),"")</f>
        <v/>
      </c>
      <c r="AP108" s="209" t="str">
        <f>IFERROR(VLOOKUP(TableHandbook[[#This Row],[UDC]],TableSTRUECOB1[],7,FALSE),"")</f>
        <v/>
      </c>
      <c r="AQ108" s="209" t="str">
        <f>IFERROR(VLOOKUP(TableHandbook[[#This Row],[UDC]],TableSTRUENGLB[],7,FALSE),"")</f>
        <v/>
      </c>
      <c r="AR108" s="209" t="str">
        <f>IFERROR(VLOOKUP(TableHandbook[[#This Row],[UDC]],TableSTRUENGLM[],7,FALSE),"")</f>
        <v/>
      </c>
      <c r="AS108" s="209" t="str">
        <f>IFERROR(VLOOKUP(TableHandbook[[#This Row],[UDC]],TableSTRUGEOB1[],7,FALSE),"")</f>
        <v/>
      </c>
      <c r="AT108" s="209" t="str">
        <f>IFERROR(VLOOKUP(TableHandbook[[#This Row],[UDC]],TableSTRUGEOGM[],7,FALSE),"")</f>
        <v/>
      </c>
      <c r="AU108" s="209" t="str">
        <f>IFERROR(VLOOKUP(TableHandbook[[#This Row],[UDC]],TableSTRUHISB1[],7,FALSE),"")</f>
        <v/>
      </c>
      <c r="AV108" s="209" t="str">
        <f>IFERROR(VLOOKUP(TableHandbook[[#This Row],[UDC]],TableSTRUHISTM[],7,FALSE),"")</f>
        <v/>
      </c>
      <c r="AW108" s="209" t="str">
        <f>IFERROR(VLOOKUP(TableHandbook[[#This Row],[UDC]],TableSTRUHPEB1[],7,FALSE),"")</f>
        <v/>
      </c>
      <c r="AX108" s="209" t="str">
        <f>IFERROR(VLOOKUP(TableHandbook[[#This Row],[UDC]],TableSTRUHUMBB[],7,FALSE),"")</f>
        <v/>
      </c>
      <c r="AY108" s="209" t="str">
        <f>IFERROR(VLOOKUP(TableHandbook[[#This Row],[UDC]],TableSTRUMARTM[],7,FALSE),"")</f>
        <v/>
      </c>
      <c r="AZ108" s="209" t="str">
        <f>IFERROR(VLOOKUP(TableHandbook[[#This Row],[UDC]],TableSTRUMATHB[],7,FALSE),"")</f>
        <v/>
      </c>
      <c r="BA108" s="209" t="str">
        <f>IFERROR(VLOOKUP(TableHandbook[[#This Row],[UDC]],TableSTRUMATHM[],7,FALSE),"")</f>
        <v/>
      </c>
      <c r="BB108" s="209" t="str">
        <f>IFERROR(VLOOKUP(TableHandbook[[#This Row],[UDC]],TableSTRUPARTB[],7,FALSE),"")</f>
        <v/>
      </c>
      <c r="BC108" s="209" t="str">
        <f>IFERROR(VLOOKUP(TableHandbook[[#This Row],[UDC]],TableSTRUPARTM[],7,FALSE),"")</f>
        <v/>
      </c>
      <c r="BD108" s="209" t="str">
        <f>IFERROR(VLOOKUP(TableHandbook[[#This Row],[UDC]],TableSTRUPOLB1[],7,FALSE),"")</f>
        <v/>
      </c>
      <c r="BE108" s="209" t="str">
        <f>IFERROR(VLOOKUP(TableHandbook[[#This Row],[UDC]],TableSTRUPSYCB[],7,FALSE),"")</f>
        <v/>
      </c>
      <c r="BF108" s="209" t="str">
        <f>IFERROR(VLOOKUP(TableHandbook[[#This Row],[UDC]],TableSTRUPSYCM[],7,FALSE),"")</f>
        <v/>
      </c>
      <c r="BG108" s="209" t="str">
        <f>IFERROR(VLOOKUP(TableHandbook[[#This Row],[UDC]],TableSTRUVARTB[],7,FALSE),"")</f>
        <v/>
      </c>
      <c r="BH108" s="209" t="str">
        <f>IFERROR(VLOOKUP(TableHandbook[[#This Row],[UDC]],TableSTRUVARTM[],7,FALSE),"")</f>
        <v/>
      </c>
    </row>
    <row r="109" spans="1:60" x14ac:dyDescent="0.25">
      <c r="A109" s="6" t="s">
        <v>130</v>
      </c>
      <c r="B109" s="7">
        <v>1</v>
      </c>
      <c r="C109" s="7"/>
      <c r="D109" s="207" t="s">
        <v>893</v>
      </c>
      <c r="E109" s="7">
        <v>25</v>
      </c>
      <c r="F109" s="311" t="s">
        <v>894</v>
      </c>
      <c r="G109" s="75" t="str">
        <f>IFERROR(IF(VLOOKUP(TableHandbook[[#This Row],[UDC]],TableAvailabilities[],2,FALSE)&gt;0,"Y",""),"")</f>
        <v>Y</v>
      </c>
      <c r="H109" s="75" t="str">
        <f>IFERROR(IF(VLOOKUP(TableHandbook[[#This Row],[UDC]],TableAvailabilities[],3,FALSE)&gt;0,"Y",""),"")</f>
        <v>Y</v>
      </c>
      <c r="I109" s="75" t="str">
        <f>IFERROR(IF(VLOOKUP(TableHandbook[[#This Row],[UDC]],TableAvailabilities[],4,FALSE)&gt;0,"Y",""),"")</f>
        <v>Y</v>
      </c>
      <c r="J109" s="75" t="str">
        <f>IFERROR(IF(VLOOKUP(TableHandbook[[#This Row],[UDC]],TableAvailabilities[],5,FALSE)&gt;0,"Y",""),"")</f>
        <v/>
      </c>
      <c r="K109" s="75" t="str">
        <f>IFERROR(IF(VLOOKUP(TableHandbook[[#This Row],[UDC]],TableAvailabilities[],6,FALSE)&gt;0,"Y",""),"")</f>
        <v/>
      </c>
      <c r="L109" s="75" t="str">
        <f>IFERROR(IF(VLOOKUP(TableHandbook[[#This Row],[UDC]],TableAvailabilities[],7,FALSE)&gt;0,"Y",""),"")</f>
        <v/>
      </c>
      <c r="M109" s="207"/>
      <c r="N109" s="209" t="str">
        <f>IFERROR(VLOOKUP(TableHandbook[[#This Row],[UDC]],TableBEDUC[],7,FALSE),"")</f>
        <v/>
      </c>
      <c r="O109" s="209" t="str">
        <f>IFERROR(VLOOKUP(TableHandbook[[#This Row],[UDC]],TableBEDEC[],7,FALSE),"")</f>
        <v>Core</v>
      </c>
      <c r="P109" s="211" t="str">
        <f>IFERROR(VLOOKUP(TableHandbook[[#This Row],[UDC]],TableBEDPR[],7,FALSE),"")</f>
        <v/>
      </c>
      <c r="Q109" s="209" t="str">
        <f>IFERROR(VLOOKUP(TableHandbook[[#This Row],[UDC]],TableSTRUCATHL[],7,FALSE),"")</f>
        <v/>
      </c>
      <c r="R109" s="209" t="str">
        <f>IFERROR(VLOOKUP(TableHandbook[[#This Row],[UDC]],TableSTRUENGLL[],7,FALSE),"")</f>
        <v/>
      </c>
      <c r="S109" s="209" t="str">
        <f>IFERROR(VLOOKUP(TableHandbook[[#This Row],[UDC]],TableSTRUHLTPE[],7,FALSE),"")</f>
        <v/>
      </c>
      <c r="T109" s="209" t="str">
        <f>IFERROR(VLOOKUP(TableHandbook[[#This Row],[UDC]],TableSTRUISTEM[],7,FALSE),"")</f>
        <v/>
      </c>
      <c r="U109" s="209" t="str">
        <f>IFERROR(VLOOKUP(TableHandbook[[#This Row],[UDC]],TableSTRULITNU[],7,FALSE),"")</f>
        <v/>
      </c>
      <c r="V109" s="209" t="str">
        <f>IFERROR(VLOOKUP(TableHandbook[[#This Row],[UDC]],TableSTRUTECHS[],7,FALSE),"")</f>
        <v/>
      </c>
      <c r="W109" s="211" t="str">
        <f>IFERROR(VLOOKUP(TableHandbook[[#This Row],[UDC]],TableBEDSC[],7,FALSE),"")</f>
        <v/>
      </c>
      <c r="X109" s="211" t="str">
        <f>IFERROR(VLOOKUP(TableHandbook[[#This Row],[UDC]],TableMJRUARDR1[],7,FALSE),"")</f>
        <v/>
      </c>
      <c r="Y109" s="209" t="str">
        <f>IFERROR(VLOOKUP(TableHandbook[[#This Row],[UDC]],TableMJRUARME1[],7,FALSE),"")</f>
        <v/>
      </c>
      <c r="Z109" s="209" t="str">
        <f>IFERROR(VLOOKUP(TableHandbook[[#This Row],[UDC]],TableMJRUARVA1[],7,FALSE),"")</f>
        <v/>
      </c>
      <c r="AA109" s="209" t="str">
        <f>IFERROR(VLOOKUP(TableHandbook[[#This Row],[UDC]],TableMJRUENGL1[],7,FALSE),"")</f>
        <v/>
      </c>
      <c r="AB109" s="209" t="str">
        <f>IFERROR(VLOOKUP(TableHandbook[[#This Row],[UDC]],TableMJRUHSEC1[],7,FALSE),"")</f>
        <v/>
      </c>
      <c r="AC109" s="209" t="str">
        <f>IFERROR(VLOOKUP(TableHandbook[[#This Row],[UDC]],TableMJRUHSGE1[],7,FALSE),"")</f>
        <v/>
      </c>
      <c r="AD109" s="209" t="str">
        <f>IFERROR(VLOOKUP(TableHandbook[[#This Row],[UDC]],TableMJRUHSHI1[],7,FALSE),"")</f>
        <v/>
      </c>
      <c r="AE109" s="209" t="str">
        <f>IFERROR(VLOOKUP(TableHandbook[[#This Row],[UDC]],TableMJRUHSPL1[],7,FALSE),"")</f>
        <v/>
      </c>
      <c r="AF109" s="209" t="str">
        <f>IFERROR(VLOOKUP(TableHandbook[[#This Row],[UDC]],TableMJRUMATH1[],7,FALSE),"")</f>
        <v/>
      </c>
      <c r="AG109" s="209" t="str">
        <f>IFERROR(VLOOKUP(TableHandbook[[#This Row],[UDC]],TableMJRUPHYSE[],7,FALSE),"")</f>
        <v/>
      </c>
      <c r="AH109" s="209" t="str">
        <f>IFERROR(VLOOKUP(TableHandbook[[#This Row],[UDC]],TableMJRUSCBI1[],7,FALSE),"")</f>
        <v/>
      </c>
      <c r="AI109" s="209" t="str">
        <f>IFERROR(VLOOKUP(TableHandbook[[#This Row],[UDC]],TableMJRUSCCH1[],7,FALSE),"")</f>
        <v/>
      </c>
      <c r="AJ109" s="209" t="str">
        <f>IFERROR(VLOOKUP(TableHandbook[[#This Row],[UDC]],TableMJRUSCHB1[],7,FALSE),"")</f>
        <v/>
      </c>
      <c r="AK109" s="209" t="str">
        <f>IFERROR(VLOOKUP(TableHandbook[[#This Row],[UDC]],TableMJRUSCPH1[],7,FALSE),"")</f>
        <v/>
      </c>
      <c r="AL109" s="209" t="str">
        <f>IFERROR(VLOOKUP(TableHandbook[[#This Row],[UDC]],TableMJRUSCPS1[],7,FALSE),"")</f>
        <v/>
      </c>
      <c r="AM109" s="211" t="str">
        <f>IFERROR(VLOOKUP(TableHandbook[[#This Row],[UDC]],TableSTRUBIOLB[],7,FALSE),"")</f>
        <v/>
      </c>
      <c r="AN109" s="209" t="str">
        <f>IFERROR(VLOOKUP(TableHandbook[[#This Row],[UDC]],TableSTRUBSCIM[],7,FALSE),"")</f>
        <v/>
      </c>
      <c r="AO109" s="209" t="str">
        <f>IFERROR(VLOOKUP(TableHandbook[[#This Row],[UDC]],TableSTRUCHEMB[],7,FALSE),"")</f>
        <v/>
      </c>
      <c r="AP109" s="209" t="str">
        <f>IFERROR(VLOOKUP(TableHandbook[[#This Row],[UDC]],TableSTRUECOB1[],7,FALSE),"")</f>
        <v/>
      </c>
      <c r="AQ109" s="209" t="str">
        <f>IFERROR(VLOOKUP(TableHandbook[[#This Row],[UDC]],TableSTRUENGLB[],7,FALSE),"")</f>
        <v/>
      </c>
      <c r="AR109" s="209" t="str">
        <f>IFERROR(VLOOKUP(TableHandbook[[#This Row],[UDC]],TableSTRUENGLM[],7,FALSE),"")</f>
        <v/>
      </c>
      <c r="AS109" s="209" t="str">
        <f>IFERROR(VLOOKUP(TableHandbook[[#This Row],[UDC]],TableSTRUGEOB1[],7,FALSE),"")</f>
        <v/>
      </c>
      <c r="AT109" s="209" t="str">
        <f>IFERROR(VLOOKUP(TableHandbook[[#This Row],[UDC]],TableSTRUGEOGM[],7,FALSE),"")</f>
        <v/>
      </c>
      <c r="AU109" s="209" t="str">
        <f>IFERROR(VLOOKUP(TableHandbook[[#This Row],[UDC]],TableSTRUHISB1[],7,FALSE),"")</f>
        <v/>
      </c>
      <c r="AV109" s="209" t="str">
        <f>IFERROR(VLOOKUP(TableHandbook[[#This Row],[UDC]],TableSTRUHISTM[],7,FALSE),"")</f>
        <v/>
      </c>
      <c r="AW109" s="209" t="str">
        <f>IFERROR(VLOOKUP(TableHandbook[[#This Row],[UDC]],TableSTRUHPEB1[],7,FALSE),"")</f>
        <v/>
      </c>
      <c r="AX109" s="209" t="str">
        <f>IFERROR(VLOOKUP(TableHandbook[[#This Row],[UDC]],TableSTRUHUMBB[],7,FALSE),"")</f>
        <v/>
      </c>
      <c r="AY109" s="209" t="str">
        <f>IFERROR(VLOOKUP(TableHandbook[[#This Row],[UDC]],TableSTRUMARTM[],7,FALSE),"")</f>
        <v/>
      </c>
      <c r="AZ109" s="209" t="str">
        <f>IFERROR(VLOOKUP(TableHandbook[[#This Row],[UDC]],TableSTRUMATHB[],7,FALSE),"")</f>
        <v/>
      </c>
      <c r="BA109" s="209" t="str">
        <f>IFERROR(VLOOKUP(TableHandbook[[#This Row],[UDC]],TableSTRUMATHM[],7,FALSE),"")</f>
        <v/>
      </c>
      <c r="BB109" s="209" t="str">
        <f>IFERROR(VLOOKUP(TableHandbook[[#This Row],[UDC]],TableSTRUPARTB[],7,FALSE),"")</f>
        <v/>
      </c>
      <c r="BC109" s="209" t="str">
        <f>IFERROR(VLOOKUP(TableHandbook[[#This Row],[UDC]],TableSTRUPARTM[],7,FALSE),"")</f>
        <v/>
      </c>
      <c r="BD109" s="209" t="str">
        <f>IFERROR(VLOOKUP(TableHandbook[[#This Row],[UDC]],TableSTRUPOLB1[],7,FALSE),"")</f>
        <v/>
      </c>
      <c r="BE109" s="209" t="str">
        <f>IFERROR(VLOOKUP(TableHandbook[[#This Row],[UDC]],TableSTRUPSYCB[],7,FALSE),"")</f>
        <v/>
      </c>
      <c r="BF109" s="209" t="str">
        <f>IFERROR(VLOOKUP(TableHandbook[[#This Row],[UDC]],TableSTRUPSYCM[],7,FALSE),"")</f>
        <v/>
      </c>
      <c r="BG109" s="209" t="str">
        <f>IFERROR(VLOOKUP(TableHandbook[[#This Row],[UDC]],TableSTRUVARTB[],7,FALSE),"")</f>
        <v/>
      </c>
      <c r="BH109" s="209" t="str">
        <f>IFERROR(VLOOKUP(TableHandbook[[#This Row],[UDC]],TableSTRUVARTM[],7,FALSE),"")</f>
        <v/>
      </c>
    </row>
    <row r="110" spans="1:60" x14ac:dyDescent="0.25">
      <c r="A110" s="6" t="s">
        <v>126</v>
      </c>
      <c r="B110" s="7">
        <v>1</v>
      </c>
      <c r="C110" s="7"/>
      <c r="D110" s="207" t="s">
        <v>895</v>
      </c>
      <c r="E110" s="7">
        <v>25</v>
      </c>
      <c r="F110" s="311" t="s">
        <v>91</v>
      </c>
      <c r="G110" s="75" t="str">
        <f>IFERROR(IF(VLOOKUP(TableHandbook[[#This Row],[UDC]],TableAvailabilities[],2,FALSE)&gt;0,"Y",""),"")</f>
        <v/>
      </c>
      <c r="H110" s="75" t="str">
        <f>IFERROR(IF(VLOOKUP(TableHandbook[[#This Row],[UDC]],TableAvailabilities[],3,FALSE)&gt;0,"Y",""),"")</f>
        <v/>
      </c>
      <c r="I110" s="75" t="str">
        <f>IFERROR(IF(VLOOKUP(TableHandbook[[#This Row],[UDC]],TableAvailabilities[],4,FALSE)&gt;0,"Y",""),"")</f>
        <v/>
      </c>
      <c r="J110" s="75" t="str">
        <f>IFERROR(IF(VLOOKUP(TableHandbook[[#This Row],[UDC]],TableAvailabilities[],5,FALSE)&gt;0,"Y",""),"")</f>
        <v>Y</v>
      </c>
      <c r="K110" s="75" t="str">
        <f>IFERROR(IF(VLOOKUP(TableHandbook[[#This Row],[UDC]],TableAvailabilities[],6,FALSE)&gt;0,"Y",""),"")</f>
        <v>Y</v>
      </c>
      <c r="L110" s="75" t="str">
        <f>IFERROR(IF(VLOOKUP(TableHandbook[[#This Row],[UDC]],TableAvailabilities[],7,FALSE)&gt;0,"Y",""),"")</f>
        <v>Y</v>
      </c>
      <c r="M110" s="207"/>
      <c r="N110" s="209" t="str">
        <f>IFERROR(VLOOKUP(TableHandbook[[#This Row],[UDC]],TableBEDUC[],7,FALSE),"")</f>
        <v/>
      </c>
      <c r="O110" s="209" t="str">
        <f>IFERROR(VLOOKUP(TableHandbook[[#This Row],[UDC]],TableBEDEC[],7,FALSE),"")</f>
        <v>Core</v>
      </c>
      <c r="P110" s="211" t="str">
        <f>IFERROR(VLOOKUP(TableHandbook[[#This Row],[UDC]],TableBEDPR[],7,FALSE),"")</f>
        <v/>
      </c>
      <c r="Q110" s="209" t="str">
        <f>IFERROR(VLOOKUP(TableHandbook[[#This Row],[UDC]],TableSTRUCATHL[],7,FALSE),"")</f>
        <v/>
      </c>
      <c r="R110" s="209" t="str">
        <f>IFERROR(VLOOKUP(TableHandbook[[#This Row],[UDC]],TableSTRUENGLL[],7,FALSE),"")</f>
        <v/>
      </c>
      <c r="S110" s="209" t="str">
        <f>IFERROR(VLOOKUP(TableHandbook[[#This Row],[UDC]],TableSTRUHLTPE[],7,FALSE),"")</f>
        <v/>
      </c>
      <c r="T110" s="209" t="str">
        <f>IFERROR(VLOOKUP(TableHandbook[[#This Row],[UDC]],TableSTRUISTEM[],7,FALSE),"")</f>
        <v/>
      </c>
      <c r="U110" s="209" t="str">
        <f>IFERROR(VLOOKUP(TableHandbook[[#This Row],[UDC]],TableSTRULITNU[],7,FALSE),"")</f>
        <v/>
      </c>
      <c r="V110" s="209" t="str">
        <f>IFERROR(VLOOKUP(TableHandbook[[#This Row],[UDC]],TableSTRUTECHS[],7,FALSE),"")</f>
        <v/>
      </c>
      <c r="W110" s="211" t="str">
        <f>IFERROR(VLOOKUP(TableHandbook[[#This Row],[UDC]],TableBEDSC[],7,FALSE),"")</f>
        <v/>
      </c>
      <c r="X110" s="211" t="str">
        <f>IFERROR(VLOOKUP(TableHandbook[[#This Row],[UDC]],TableMJRUARDR1[],7,FALSE),"")</f>
        <v/>
      </c>
      <c r="Y110" s="209" t="str">
        <f>IFERROR(VLOOKUP(TableHandbook[[#This Row],[UDC]],TableMJRUARME1[],7,FALSE),"")</f>
        <v/>
      </c>
      <c r="Z110" s="209" t="str">
        <f>IFERROR(VLOOKUP(TableHandbook[[#This Row],[UDC]],TableMJRUARVA1[],7,FALSE),"")</f>
        <v/>
      </c>
      <c r="AA110" s="209" t="str">
        <f>IFERROR(VLOOKUP(TableHandbook[[#This Row],[UDC]],TableMJRUENGL1[],7,FALSE),"")</f>
        <v/>
      </c>
      <c r="AB110" s="209" t="str">
        <f>IFERROR(VLOOKUP(TableHandbook[[#This Row],[UDC]],TableMJRUHSEC1[],7,FALSE),"")</f>
        <v/>
      </c>
      <c r="AC110" s="209" t="str">
        <f>IFERROR(VLOOKUP(TableHandbook[[#This Row],[UDC]],TableMJRUHSGE1[],7,FALSE),"")</f>
        <v/>
      </c>
      <c r="AD110" s="209" t="str">
        <f>IFERROR(VLOOKUP(TableHandbook[[#This Row],[UDC]],TableMJRUHSHI1[],7,FALSE),"")</f>
        <v/>
      </c>
      <c r="AE110" s="209" t="str">
        <f>IFERROR(VLOOKUP(TableHandbook[[#This Row],[UDC]],TableMJRUHSPL1[],7,FALSE),"")</f>
        <v/>
      </c>
      <c r="AF110" s="209" t="str">
        <f>IFERROR(VLOOKUP(TableHandbook[[#This Row],[UDC]],TableMJRUMATH1[],7,FALSE),"")</f>
        <v/>
      </c>
      <c r="AG110" s="209" t="str">
        <f>IFERROR(VLOOKUP(TableHandbook[[#This Row],[UDC]],TableMJRUPHYSE[],7,FALSE),"")</f>
        <v/>
      </c>
      <c r="AH110" s="209" t="str">
        <f>IFERROR(VLOOKUP(TableHandbook[[#This Row],[UDC]],TableMJRUSCBI1[],7,FALSE),"")</f>
        <v/>
      </c>
      <c r="AI110" s="209" t="str">
        <f>IFERROR(VLOOKUP(TableHandbook[[#This Row],[UDC]],TableMJRUSCCH1[],7,FALSE),"")</f>
        <v/>
      </c>
      <c r="AJ110" s="209" t="str">
        <f>IFERROR(VLOOKUP(TableHandbook[[#This Row],[UDC]],TableMJRUSCHB1[],7,FALSE),"")</f>
        <v/>
      </c>
      <c r="AK110" s="209" t="str">
        <f>IFERROR(VLOOKUP(TableHandbook[[#This Row],[UDC]],TableMJRUSCPH1[],7,FALSE),"")</f>
        <v/>
      </c>
      <c r="AL110" s="209" t="str">
        <f>IFERROR(VLOOKUP(TableHandbook[[#This Row],[UDC]],TableMJRUSCPS1[],7,FALSE),"")</f>
        <v/>
      </c>
      <c r="AM110" s="211" t="str">
        <f>IFERROR(VLOOKUP(TableHandbook[[#This Row],[UDC]],TableSTRUBIOLB[],7,FALSE),"")</f>
        <v/>
      </c>
      <c r="AN110" s="209" t="str">
        <f>IFERROR(VLOOKUP(TableHandbook[[#This Row],[UDC]],TableSTRUBSCIM[],7,FALSE),"")</f>
        <v/>
      </c>
      <c r="AO110" s="209" t="str">
        <f>IFERROR(VLOOKUP(TableHandbook[[#This Row],[UDC]],TableSTRUCHEMB[],7,FALSE),"")</f>
        <v/>
      </c>
      <c r="AP110" s="209" t="str">
        <f>IFERROR(VLOOKUP(TableHandbook[[#This Row],[UDC]],TableSTRUECOB1[],7,FALSE),"")</f>
        <v/>
      </c>
      <c r="AQ110" s="209" t="str">
        <f>IFERROR(VLOOKUP(TableHandbook[[#This Row],[UDC]],TableSTRUENGLB[],7,FALSE),"")</f>
        <v/>
      </c>
      <c r="AR110" s="209" t="str">
        <f>IFERROR(VLOOKUP(TableHandbook[[#This Row],[UDC]],TableSTRUENGLM[],7,FALSE),"")</f>
        <v/>
      </c>
      <c r="AS110" s="209" t="str">
        <f>IFERROR(VLOOKUP(TableHandbook[[#This Row],[UDC]],TableSTRUGEOB1[],7,FALSE),"")</f>
        <v/>
      </c>
      <c r="AT110" s="209" t="str">
        <f>IFERROR(VLOOKUP(TableHandbook[[#This Row],[UDC]],TableSTRUGEOGM[],7,FALSE),"")</f>
        <v/>
      </c>
      <c r="AU110" s="209" t="str">
        <f>IFERROR(VLOOKUP(TableHandbook[[#This Row],[UDC]],TableSTRUHISB1[],7,FALSE),"")</f>
        <v/>
      </c>
      <c r="AV110" s="209" t="str">
        <f>IFERROR(VLOOKUP(TableHandbook[[#This Row],[UDC]],TableSTRUHISTM[],7,FALSE),"")</f>
        <v/>
      </c>
      <c r="AW110" s="209" t="str">
        <f>IFERROR(VLOOKUP(TableHandbook[[#This Row],[UDC]],TableSTRUHPEB1[],7,FALSE),"")</f>
        <v/>
      </c>
      <c r="AX110" s="209" t="str">
        <f>IFERROR(VLOOKUP(TableHandbook[[#This Row],[UDC]],TableSTRUHUMBB[],7,FALSE),"")</f>
        <v/>
      </c>
      <c r="AY110" s="209" t="str">
        <f>IFERROR(VLOOKUP(TableHandbook[[#This Row],[UDC]],TableSTRUMARTM[],7,FALSE),"")</f>
        <v/>
      </c>
      <c r="AZ110" s="209" t="str">
        <f>IFERROR(VLOOKUP(TableHandbook[[#This Row],[UDC]],TableSTRUMATHB[],7,FALSE),"")</f>
        <v/>
      </c>
      <c r="BA110" s="209" t="str">
        <f>IFERROR(VLOOKUP(TableHandbook[[#This Row],[UDC]],TableSTRUMATHM[],7,FALSE),"")</f>
        <v/>
      </c>
      <c r="BB110" s="209" t="str">
        <f>IFERROR(VLOOKUP(TableHandbook[[#This Row],[UDC]],TableSTRUPARTB[],7,FALSE),"")</f>
        <v/>
      </c>
      <c r="BC110" s="209" t="str">
        <f>IFERROR(VLOOKUP(TableHandbook[[#This Row],[UDC]],TableSTRUPARTM[],7,FALSE),"")</f>
        <v/>
      </c>
      <c r="BD110" s="209" t="str">
        <f>IFERROR(VLOOKUP(TableHandbook[[#This Row],[UDC]],TableSTRUPOLB1[],7,FALSE),"")</f>
        <v/>
      </c>
      <c r="BE110" s="209" t="str">
        <f>IFERROR(VLOOKUP(TableHandbook[[#This Row],[UDC]],TableSTRUPSYCB[],7,FALSE),"")</f>
        <v/>
      </c>
      <c r="BF110" s="209" t="str">
        <f>IFERROR(VLOOKUP(TableHandbook[[#This Row],[UDC]],TableSTRUPSYCM[],7,FALSE),"")</f>
        <v/>
      </c>
      <c r="BG110" s="209" t="str">
        <f>IFERROR(VLOOKUP(TableHandbook[[#This Row],[UDC]],TableSTRUVARTB[],7,FALSE),"")</f>
        <v/>
      </c>
      <c r="BH110" s="209" t="str">
        <f>IFERROR(VLOOKUP(TableHandbook[[#This Row],[UDC]],TableSTRUVARTM[],7,FALSE),"")</f>
        <v/>
      </c>
    </row>
    <row r="111" spans="1:60" x14ac:dyDescent="0.25">
      <c r="A111" s="6" t="s">
        <v>134</v>
      </c>
      <c r="B111" s="7">
        <v>1</v>
      </c>
      <c r="C111" s="7"/>
      <c r="D111" s="207" t="s">
        <v>896</v>
      </c>
      <c r="E111" s="7">
        <v>25</v>
      </c>
      <c r="F111" s="311" t="s">
        <v>897</v>
      </c>
      <c r="G111" s="75" t="str">
        <f>IFERROR(IF(VLOOKUP(TableHandbook[[#This Row],[UDC]],TableAvailabilities[],2,FALSE)&gt;0,"Y",""),"")</f>
        <v/>
      </c>
      <c r="H111" s="75" t="str">
        <f>IFERROR(IF(VLOOKUP(TableHandbook[[#This Row],[UDC]],TableAvailabilities[],3,FALSE)&gt;0,"Y",""),"")</f>
        <v/>
      </c>
      <c r="I111" s="75" t="str">
        <f>IFERROR(IF(VLOOKUP(TableHandbook[[#This Row],[UDC]],TableAvailabilities[],4,FALSE)&gt;0,"Y",""),"")</f>
        <v/>
      </c>
      <c r="J111" s="75" t="str">
        <f>IFERROR(IF(VLOOKUP(TableHandbook[[#This Row],[UDC]],TableAvailabilities[],5,FALSE)&gt;0,"Y",""),"")</f>
        <v>Y</v>
      </c>
      <c r="K111" s="75" t="str">
        <f>IFERROR(IF(VLOOKUP(TableHandbook[[#This Row],[UDC]],TableAvailabilities[],6,FALSE)&gt;0,"Y",""),"")</f>
        <v>Y</v>
      </c>
      <c r="L111" s="75" t="str">
        <f>IFERROR(IF(VLOOKUP(TableHandbook[[#This Row],[UDC]],TableAvailabilities[],7,FALSE)&gt;0,"Y",""),"")</f>
        <v>Y</v>
      </c>
      <c r="M111" s="207"/>
      <c r="N111" s="209" t="str">
        <f>IFERROR(VLOOKUP(TableHandbook[[#This Row],[UDC]],TableBEDUC[],7,FALSE),"")</f>
        <v/>
      </c>
      <c r="O111" s="209" t="str">
        <f>IFERROR(VLOOKUP(TableHandbook[[#This Row],[UDC]],TableBEDEC[],7,FALSE),"")</f>
        <v>Core</v>
      </c>
      <c r="P111" s="211" t="str">
        <f>IFERROR(VLOOKUP(TableHandbook[[#This Row],[UDC]],TableBEDPR[],7,FALSE),"")</f>
        <v/>
      </c>
      <c r="Q111" s="209" t="str">
        <f>IFERROR(VLOOKUP(TableHandbook[[#This Row],[UDC]],TableSTRUCATHL[],7,FALSE),"")</f>
        <v/>
      </c>
      <c r="R111" s="209" t="str">
        <f>IFERROR(VLOOKUP(TableHandbook[[#This Row],[UDC]],TableSTRUENGLL[],7,FALSE),"")</f>
        <v/>
      </c>
      <c r="S111" s="209" t="str">
        <f>IFERROR(VLOOKUP(TableHandbook[[#This Row],[UDC]],TableSTRUHLTPE[],7,FALSE),"")</f>
        <v/>
      </c>
      <c r="T111" s="209" t="str">
        <f>IFERROR(VLOOKUP(TableHandbook[[#This Row],[UDC]],TableSTRUISTEM[],7,FALSE),"")</f>
        <v/>
      </c>
      <c r="U111" s="209" t="str">
        <f>IFERROR(VLOOKUP(TableHandbook[[#This Row],[UDC]],TableSTRULITNU[],7,FALSE),"")</f>
        <v/>
      </c>
      <c r="V111" s="209" t="str">
        <f>IFERROR(VLOOKUP(TableHandbook[[#This Row],[UDC]],TableSTRUTECHS[],7,FALSE),"")</f>
        <v/>
      </c>
      <c r="W111" s="211" t="str">
        <f>IFERROR(VLOOKUP(TableHandbook[[#This Row],[UDC]],TableBEDSC[],7,FALSE),"")</f>
        <v/>
      </c>
      <c r="X111" s="211" t="str">
        <f>IFERROR(VLOOKUP(TableHandbook[[#This Row],[UDC]],TableMJRUARDR1[],7,FALSE),"")</f>
        <v/>
      </c>
      <c r="Y111" s="209" t="str">
        <f>IFERROR(VLOOKUP(TableHandbook[[#This Row],[UDC]],TableMJRUARME1[],7,FALSE),"")</f>
        <v/>
      </c>
      <c r="Z111" s="209" t="str">
        <f>IFERROR(VLOOKUP(TableHandbook[[#This Row],[UDC]],TableMJRUARVA1[],7,FALSE),"")</f>
        <v/>
      </c>
      <c r="AA111" s="209" t="str">
        <f>IFERROR(VLOOKUP(TableHandbook[[#This Row],[UDC]],TableMJRUENGL1[],7,FALSE),"")</f>
        <v/>
      </c>
      <c r="AB111" s="209" t="str">
        <f>IFERROR(VLOOKUP(TableHandbook[[#This Row],[UDC]],TableMJRUHSEC1[],7,FALSE),"")</f>
        <v/>
      </c>
      <c r="AC111" s="209" t="str">
        <f>IFERROR(VLOOKUP(TableHandbook[[#This Row],[UDC]],TableMJRUHSGE1[],7,FALSE),"")</f>
        <v/>
      </c>
      <c r="AD111" s="209" t="str">
        <f>IFERROR(VLOOKUP(TableHandbook[[#This Row],[UDC]],TableMJRUHSHI1[],7,FALSE),"")</f>
        <v/>
      </c>
      <c r="AE111" s="209" t="str">
        <f>IFERROR(VLOOKUP(TableHandbook[[#This Row],[UDC]],TableMJRUHSPL1[],7,FALSE),"")</f>
        <v/>
      </c>
      <c r="AF111" s="209" t="str">
        <f>IFERROR(VLOOKUP(TableHandbook[[#This Row],[UDC]],TableMJRUMATH1[],7,FALSE),"")</f>
        <v/>
      </c>
      <c r="AG111" s="209" t="str">
        <f>IFERROR(VLOOKUP(TableHandbook[[#This Row],[UDC]],TableMJRUPHYSE[],7,FALSE),"")</f>
        <v/>
      </c>
      <c r="AH111" s="209" t="str">
        <f>IFERROR(VLOOKUP(TableHandbook[[#This Row],[UDC]],TableMJRUSCBI1[],7,FALSE),"")</f>
        <v/>
      </c>
      <c r="AI111" s="209" t="str">
        <f>IFERROR(VLOOKUP(TableHandbook[[#This Row],[UDC]],TableMJRUSCCH1[],7,FALSE),"")</f>
        <v/>
      </c>
      <c r="AJ111" s="209" t="str">
        <f>IFERROR(VLOOKUP(TableHandbook[[#This Row],[UDC]],TableMJRUSCHB1[],7,FALSE),"")</f>
        <v/>
      </c>
      <c r="AK111" s="209" t="str">
        <f>IFERROR(VLOOKUP(TableHandbook[[#This Row],[UDC]],TableMJRUSCPH1[],7,FALSE),"")</f>
        <v/>
      </c>
      <c r="AL111" s="209" t="str">
        <f>IFERROR(VLOOKUP(TableHandbook[[#This Row],[UDC]],TableMJRUSCPS1[],7,FALSE),"")</f>
        <v/>
      </c>
      <c r="AM111" s="211" t="str">
        <f>IFERROR(VLOOKUP(TableHandbook[[#This Row],[UDC]],TableSTRUBIOLB[],7,FALSE),"")</f>
        <v/>
      </c>
      <c r="AN111" s="209" t="str">
        <f>IFERROR(VLOOKUP(TableHandbook[[#This Row],[UDC]],TableSTRUBSCIM[],7,FALSE),"")</f>
        <v/>
      </c>
      <c r="AO111" s="209" t="str">
        <f>IFERROR(VLOOKUP(TableHandbook[[#This Row],[UDC]],TableSTRUCHEMB[],7,FALSE),"")</f>
        <v/>
      </c>
      <c r="AP111" s="209" t="str">
        <f>IFERROR(VLOOKUP(TableHandbook[[#This Row],[UDC]],TableSTRUECOB1[],7,FALSE),"")</f>
        <v/>
      </c>
      <c r="AQ111" s="209" t="str">
        <f>IFERROR(VLOOKUP(TableHandbook[[#This Row],[UDC]],TableSTRUENGLB[],7,FALSE),"")</f>
        <v/>
      </c>
      <c r="AR111" s="209" t="str">
        <f>IFERROR(VLOOKUP(TableHandbook[[#This Row],[UDC]],TableSTRUENGLM[],7,FALSE),"")</f>
        <v/>
      </c>
      <c r="AS111" s="209" t="str">
        <f>IFERROR(VLOOKUP(TableHandbook[[#This Row],[UDC]],TableSTRUGEOB1[],7,FALSE),"")</f>
        <v/>
      </c>
      <c r="AT111" s="209" t="str">
        <f>IFERROR(VLOOKUP(TableHandbook[[#This Row],[UDC]],TableSTRUGEOGM[],7,FALSE),"")</f>
        <v/>
      </c>
      <c r="AU111" s="209" t="str">
        <f>IFERROR(VLOOKUP(TableHandbook[[#This Row],[UDC]],TableSTRUHISB1[],7,FALSE),"")</f>
        <v/>
      </c>
      <c r="AV111" s="209" t="str">
        <f>IFERROR(VLOOKUP(TableHandbook[[#This Row],[UDC]],TableSTRUHISTM[],7,FALSE),"")</f>
        <v/>
      </c>
      <c r="AW111" s="209" t="str">
        <f>IFERROR(VLOOKUP(TableHandbook[[#This Row],[UDC]],TableSTRUHPEB1[],7,FALSE),"")</f>
        <v/>
      </c>
      <c r="AX111" s="209" t="str">
        <f>IFERROR(VLOOKUP(TableHandbook[[#This Row],[UDC]],TableSTRUHUMBB[],7,FALSE),"")</f>
        <v/>
      </c>
      <c r="AY111" s="209" t="str">
        <f>IFERROR(VLOOKUP(TableHandbook[[#This Row],[UDC]],TableSTRUMARTM[],7,FALSE),"")</f>
        <v/>
      </c>
      <c r="AZ111" s="209" t="str">
        <f>IFERROR(VLOOKUP(TableHandbook[[#This Row],[UDC]],TableSTRUMATHB[],7,FALSE),"")</f>
        <v/>
      </c>
      <c r="BA111" s="209" t="str">
        <f>IFERROR(VLOOKUP(TableHandbook[[#This Row],[UDC]],TableSTRUMATHM[],7,FALSE),"")</f>
        <v/>
      </c>
      <c r="BB111" s="209" t="str">
        <f>IFERROR(VLOOKUP(TableHandbook[[#This Row],[UDC]],TableSTRUPARTB[],7,FALSE),"")</f>
        <v/>
      </c>
      <c r="BC111" s="209" t="str">
        <f>IFERROR(VLOOKUP(TableHandbook[[#This Row],[UDC]],TableSTRUPARTM[],7,FALSE),"")</f>
        <v/>
      </c>
      <c r="BD111" s="209" t="str">
        <f>IFERROR(VLOOKUP(TableHandbook[[#This Row],[UDC]],TableSTRUPOLB1[],7,FALSE),"")</f>
        <v/>
      </c>
      <c r="BE111" s="209" t="str">
        <f>IFERROR(VLOOKUP(TableHandbook[[#This Row],[UDC]],TableSTRUPSYCB[],7,FALSE),"")</f>
        <v/>
      </c>
      <c r="BF111" s="209" t="str">
        <f>IFERROR(VLOOKUP(TableHandbook[[#This Row],[UDC]],TableSTRUPSYCM[],7,FALSE),"")</f>
        <v/>
      </c>
      <c r="BG111" s="209" t="str">
        <f>IFERROR(VLOOKUP(TableHandbook[[#This Row],[UDC]],TableSTRUVARTB[],7,FALSE),"")</f>
        <v/>
      </c>
      <c r="BH111" s="209" t="str">
        <f>IFERROR(VLOOKUP(TableHandbook[[#This Row],[UDC]],TableSTRUVARTM[],7,FALSE),"")</f>
        <v/>
      </c>
    </row>
    <row r="112" spans="1:60" x14ac:dyDescent="0.25">
      <c r="A112" s="6" t="s">
        <v>150</v>
      </c>
      <c r="B112" s="7">
        <v>1</v>
      </c>
      <c r="C112" s="7"/>
      <c r="D112" s="207" t="s">
        <v>898</v>
      </c>
      <c r="E112" s="7">
        <v>25</v>
      </c>
      <c r="F112" s="311" t="s">
        <v>899</v>
      </c>
      <c r="G112" s="75" t="str">
        <f>IFERROR(IF(VLOOKUP(TableHandbook[[#This Row],[UDC]],TableAvailabilities[],2,FALSE)&gt;0,"Y",""),"")</f>
        <v>Y</v>
      </c>
      <c r="H112" s="75" t="str">
        <f>IFERROR(IF(VLOOKUP(TableHandbook[[#This Row],[UDC]],TableAvailabilities[],3,FALSE)&gt;0,"Y",""),"")</f>
        <v>Y</v>
      </c>
      <c r="I112" s="75" t="str">
        <f>IFERROR(IF(VLOOKUP(TableHandbook[[#This Row],[UDC]],TableAvailabilities[],4,FALSE)&gt;0,"Y",""),"")</f>
        <v>Y</v>
      </c>
      <c r="J112" s="75" t="str">
        <f>IFERROR(IF(VLOOKUP(TableHandbook[[#This Row],[UDC]],TableAvailabilities[],5,FALSE)&gt;0,"Y",""),"")</f>
        <v>Y</v>
      </c>
      <c r="K112" s="75" t="str">
        <f>IFERROR(IF(VLOOKUP(TableHandbook[[#This Row],[UDC]],TableAvailabilities[],6,FALSE)&gt;0,"Y",""),"")</f>
        <v>Y</v>
      </c>
      <c r="L112" s="75" t="str">
        <f>IFERROR(IF(VLOOKUP(TableHandbook[[#This Row],[UDC]],TableAvailabilities[],7,FALSE)&gt;0,"Y",""),"")</f>
        <v>Y</v>
      </c>
      <c r="M112" s="207"/>
      <c r="N112" s="209" t="str">
        <f>IFERROR(VLOOKUP(TableHandbook[[#This Row],[UDC]],TableBEDUC[],7,FALSE),"")</f>
        <v/>
      </c>
      <c r="O112" s="209" t="str">
        <f>IFERROR(VLOOKUP(TableHandbook[[#This Row],[UDC]],TableBEDEC[],7,FALSE),"")</f>
        <v>Core</v>
      </c>
      <c r="P112" s="211" t="str">
        <f>IFERROR(VLOOKUP(TableHandbook[[#This Row],[UDC]],TableBEDPR[],7,FALSE),"")</f>
        <v/>
      </c>
      <c r="Q112" s="209" t="str">
        <f>IFERROR(VLOOKUP(TableHandbook[[#This Row],[UDC]],TableSTRUCATHL[],7,FALSE),"")</f>
        <v/>
      </c>
      <c r="R112" s="209" t="str">
        <f>IFERROR(VLOOKUP(TableHandbook[[#This Row],[UDC]],TableSTRUENGLL[],7,FALSE),"")</f>
        <v/>
      </c>
      <c r="S112" s="209" t="str">
        <f>IFERROR(VLOOKUP(TableHandbook[[#This Row],[UDC]],TableSTRUHLTPE[],7,FALSE),"")</f>
        <v/>
      </c>
      <c r="T112" s="209" t="str">
        <f>IFERROR(VLOOKUP(TableHandbook[[#This Row],[UDC]],TableSTRUISTEM[],7,FALSE),"")</f>
        <v/>
      </c>
      <c r="U112" s="209" t="str">
        <f>IFERROR(VLOOKUP(TableHandbook[[#This Row],[UDC]],TableSTRULITNU[],7,FALSE),"")</f>
        <v/>
      </c>
      <c r="V112" s="209" t="str">
        <f>IFERROR(VLOOKUP(TableHandbook[[#This Row],[UDC]],TableSTRUTECHS[],7,FALSE),"")</f>
        <v/>
      </c>
      <c r="W112" s="211" t="str">
        <f>IFERROR(VLOOKUP(TableHandbook[[#This Row],[UDC]],TableBEDSC[],7,FALSE),"")</f>
        <v/>
      </c>
      <c r="X112" s="211" t="str">
        <f>IFERROR(VLOOKUP(TableHandbook[[#This Row],[UDC]],TableMJRUARDR1[],7,FALSE),"")</f>
        <v/>
      </c>
      <c r="Y112" s="209" t="str">
        <f>IFERROR(VLOOKUP(TableHandbook[[#This Row],[UDC]],TableMJRUARME1[],7,FALSE),"")</f>
        <v/>
      </c>
      <c r="Z112" s="209" t="str">
        <f>IFERROR(VLOOKUP(TableHandbook[[#This Row],[UDC]],TableMJRUARVA1[],7,FALSE),"")</f>
        <v/>
      </c>
      <c r="AA112" s="209" t="str">
        <f>IFERROR(VLOOKUP(TableHandbook[[#This Row],[UDC]],TableMJRUENGL1[],7,FALSE),"")</f>
        <v/>
      </c>
      <c r="AB112" s="209" t="str">
        <f>IFERROR(VLOOKUP(TableHandbook[[#This Row],[UDC]],TableMJRUHSEC1[],7,FALSE),"")</f>
        <v/>
      </c>
      <c r="AC112" s="209" t="str">
        <f>IFERROR(VLOOKUP(TableHandbook[[#This Row],[UDC]],TableMJRUHSGE1[],7,FALSE),"")</f>
        <v/>
      </c>
      <c r="AD112" s="209" t="str">
        <f>IFERROR(VLOOKUP(TableHandbook[[#This Row],[UDC]],TableMJRUHSHI1[],7,FALSE),"")</f>
        <v/>
      </c>
      <c r="AE112" s="209" t="str">
        <f>IFERROR(VLOOKUP(TableHandbook[[#This Row],[UDC]],TableMJRUHSPL1[],7,FALSE),"")</f>
        <v/>
      </c>
      <c r="AF112" s="209" t="str">
        <f>IFERROR(VLOOKUP(TableHandbook[[#This Row],[UDC]],TableMJRUMATH1[],7,FALSE),"")</f>
        <v/>
      </c>
      <c r="AG112" s="209" t="str">
        <f>IFERROR(VLOOKUP(TableHandbook[[#This Row],[UDC]],TableMJRUPHYSE[],7,FALSE),"")</f>
        <v/>
      </c>
      <c r="AH112" s="209" t="str">
        <f>IFERROR(VLOOKUP(TableHandbook[[#This Row],[UDC]],TableMJRUSCBI1[],7,FALSE),"")</f>
        <v/>
      </c>
      <c r="AI112" s="209" t="str">
        <f>IFERROR(VLOOKUP(TableHandbook[[#This Row],[UDC]],TableMJRUSCCH1[],7,FALSE),"")</f>
        <v/>
      </c>
      <c r="AJ112" s="209" t="str">
        <f>IFERROR(VLOOKUP(TableHandbook[[#This Row],[UDC]],TableMJRUSCHB1[],7,FALSE),"")</f>
        <v/>
      </c>
      <c r="AK112" s="209" t="str">
        <f>IFERROR(VLOOKUP(TableHandbook[[#This Row],[UDC]],TableMJRUSCPH1[],7,FALSE),"")</f>
        <v/>
      </c>
      <c r="AL112" s="209" t="str">
        <f>IFERROR(VLOOKUP(TableHandbook[[#This Row],[UDC]],TableMJRUSCPS1[],7,FALSE),"")</f>
        <v/>
      </c>
      <c r="AM112" s="211" t="str">
        <f>IFERROR(VLOOKUP(TableHandbook[[#This Row],[UDC]],TableSTRUBIOLB[],7,FALSE),"")</f>
        <v/>
      </c>
      <c r="AN112" s="209" t="str">
        <f>IFERROR(VLOOKUP(TableHandbook[[#This Row],[UDC]],TableSTRUBSCIM[],7,FALSE),"")</f>
        <v/>
      </c>
      <c r="AO112" s="209" t="str">
        <f>IFERROR(VLOOKUP(TableHandbook[[#This Row],[UDC]],TableSTRUCHEMB[],7,FALSE),"")</f>
        <v/>
      </c>
      <c r="AP112" s="209" t="str">
        <f>IFERROR(VLOOKUP(TableHandbook[[#This Row],[UDC]],TableSTRUECOB1[],7,FALSE),"")</f>
        <v/>
      </c>
      <c r="AQ112" s="209" t="str">
        <f>IFERROR(VLOOKUP(TableHandbook[[#This Row],[UDC]],TableSTRUENGLB[],7,FALSE),"")</f>
        <v/>
      </c>
      <c r="AR112" s="209" t="str">
        <f>IFERROR(VLOOKUP(TableHandbook[[#This Row],[UDC]],TableSTRUENGLM[],7,FALSE),"")</f>
        <v/>
      </c>
      <c r="AS112" s="209" t="str">
        <f>IFERROR(VLOOKUP(TableHandbook[[#This Row],[UDC]],TableSTRUGEOB1[],7,FALSE),"")</f>
        <v/>
      </c>
      <c r="AT112" s="209" t="str">
        <f>IFERROR(VLOOKUP(TableHandbook[[#This Row],[UDC]],TableSTRUGEOGM[],7,FALSE),"")</f>
        <v/>
      </c>
      <c r="AU112" s="209" t="str">
        <f>IFERROR(VLOOKUP(TableHandbook[[#This Row],[UDC]],TableSTRUHISB1[],7,FALSE),"")</f>
        <v/>
      </c>
      <c r="AV112" s="209" t="str">
        <f>IFERROR(VLOOKUP(TableHandbook[[#This Row],[UDC]],TableSTRUHISTM[],7,FALSE),"")</f>
        <v/>
      </c>
      <c r="AW112" s="209" t="str">
        <f>IFERROR(VLOOKUP(TableHandbook[[#This Row],[UDC]],TableSTRUHPEB1[],7,FALSE),"")</f>
        <v/>
      </c>
      <c r="AX112" s="209" t="str">
        <f>IFERROR(VLOOKUP(TableHandbook[[#This Row],[UDC]],TableSTRUHUMBB[],7,FALSE),"")</f>
        <v/>
      </c>
      <c r="AY112" s="209" t="str">
        <f>IFERROR(VLOOKUP(TableHandbook[[#This Row],[UDC]],TableSTRUMARTM[],7,FALSE),"")</f>
        <v/>
      </c>
      <c r="AZ112" s="209" t="str">
        <f>IFERROR(VLOOKUP(TableHandbook[[#This Row],[UDC]],TableSTRUMATHB[],7,FALSE),"")</f>
        <v/>
      </c>
      <c r="BA112" s="209" t="str">
        <f>IFERROR(VLOOKUP(TableHandbook[[#This Row],[UDC]],TableSTRUMATHM[],7,FALSE),"")</f>
        <v/>
      </c>
      <c r="BB112" s="209" t="str">
        <f>IFERROR(VLOOKUP(TableHandbook[[#This Row],[UDC]],TableSTRUPARTB[],7,FALSE),"")</f>
        <v/>
      </c>
      <c r="BC112" s="209" t="str">
        <f>IFERROR(VLOOKUP(TableHandbook[[#This Row],[UDC]],TableSTRUPARTM[],7,FALSE),"")</f>
        <v/>
      </c>
      <c r="BD112" s="209" t="str">
        <f>IFERROR(VLOOKUP(TableHandbook[[#This Row],[UDC]],TableSTRUPOLB1[],7,FALSE),"")</f>
        <v/>
      </c>
      <c r="BE112" s="209" t="str">
        <f>IFERROR(VLOOKUP(TableHandbook[[#This Row],[UDC]],TableSTRUPSYCB[],7,FALSE),"")</f>
        <v/>
      </c>
      <c r="BF112" s="209" t="str">
        <f>IFERROR(VLOOKUP(TableHandbook[[#This Row],[UDC]],TableSTRUPSYCM[],7,FALSE),"")</f>
        <v/>
      </c>
      <c r="BG112" s="209" t="str">
        <f>IFERROR(VLOOKUP(TableHandbook[[#This Row],[UDC]],TableSTRUVARTB[],7,FALSE),"")</f>
        <v/>
      </c>
      <c r="BH112" s="209" t="str">
        <f>IFERROR(VLOOKUP(TableHandbook[[#This Row],[UDC]],TableSTRUVARTM[],7,FALSE),"")</f>
        <v/>
      </c>
    </row>
    <row r="113" spans="1:60" x14ac:dyDescent="0.25">
      <c r="A113" s="6" t="s">
        <v>146</v>
      </c>
      <c r="B113" s="7">
        <v>1</v>
      </c>
      <c r="C113" s="7"/>
      <c r="D113" s="207" t="s">
        <v>900</v>
      </c>
      <c r="E113" s="7">
        <v>25</v>
      </c>
      <c r="F113" s="311" t="s">
        <v>134</v>
      </c>
      <c r="G113" s="75" t="str">
        <f>IFERROR(IF(VLOOKUP(TableHandbook[[#This Row],[UDC]],TableAvailabilities[],2,FALSE)&gt;0,"Y",""),"")</f>
        <v>Y</v>
      </c>
      <c r="H113" s="75" t="str">
        <f>IFERROR(IF(VLOOKUP(TableHandbook[[#This Row],[UDC]],TableAvailabilities[],3,FALSE)&gt;0,"Y",""),"")</f>
        <v>Y</v>
      </c>
      <c r="I113" s="75" t="str">
        <f>IFERROR(IF(VLOOKUP(TableHandbook[[#This Row],[UDC]],TableAvailabilities[],4,FALSE)&gt;0,"Y",""),"")</f>
        <v>Y</v>
      </c>
      <c r="J113" s="75" t="str">
        <f>IFERROR(IF(VLOOKUP(TableHandbook[[#This Row],[UDC]],TableAvailabilities[],5,FALSE)&gt;0,"Y",""),"")</f>
        <v/>
      </c>
      <c r="K113" s="75" t="str">
        <f>IFERROR(IF(VLOOKUP(TableHandbook[[#This Row],[UDC]],TableAvailabilities[],6,FALSE)&gt;0,"Y",""),"")</f>
        <v/>
      </c>
      <c r="L113" s="75" t="str">
        <f>IFERROR(IF(VLOOKUP(TableHandbook[[#This Row],[UDC]],TableAvailabilities[],7,FALSE)&gt;0,"Y",""),"")</f>
        <v/>
      </c>
      <c r="M113" s="207"/>
      <c r="N113" s="209" t="str">
        <f>IFERROR(VLOOKUP(TableHandbook[[#This Row],[UDC]],TableBEDUC[],7,FALSE),"")</f>
        <v/>
      </c>
      <c r="O113" s="209" t="str">
        <f>IFERROR(VLOOKUP(TableHandbook[[#This Row],[UDC]],TableBEDEC[],7,FALSE),"")</f>
        <v>Core</v>
      </c>
      <c r="P113" s="211" t="str">
        <f>IFERROR(VLOOKUP(TableHandbook[[#This Row],[UDC]],TableBEDPR[],7,FALSE),"")</f>
        <v/>
      </c>
      <c r="Q113" s="209" t="str">
        <f>IFERROR(VLOOKUP(TableHandbook[[#This Row],[UDC]],TableSTRUCATHL[],7,FALSE),"")</f>
        <v/>
      </c>
      <c r="R113" s="209" t="str">
        <f>IFERROR(VLOOKUP(TableHandbook[[#This Row],[UDC]],TableSTRUENGLL[],7,FALSE),"")</f>
        <v/>
      </c>
      <c r="S113" s="209" t="str">
        <f>IFERROR(VLOOKUP(TableHandbook[[#This Row],[UDC]],TableSTRUHLTPE[],7,FALSE),"")</f>
        <v/>
      </c>
      <c r="T113" s="209" t="str">
        <f>IFERROR(VLOOKUP(TableHandbook[[#This Row],[UDC]],TableSTRUISTEM[],7,FALSE),"")</f>
        <v/>
      </c>
      <c r="U113" s="209" t="str">
        <f>IFERROR(VLOOKUP(TableHandbook[[#This Row],[UDC]],TableSTRULITNU[],7,FALSE),"")</f>
        <v/>
      </c>
      <c r="V113" s="209" t="str">
        <f>IFERROR(VLOOKUP(TableHandbook[[#This Row],[UDC]],TableSTRUTECHS[],7,FALSE),"")</f>
        <v/>
      </c>
      <c r="W113" s="211" t="str">
        <f>IFERROR(VLOOKUP(TableHandbook[[#This Row],[UDC]],TableBEDSC[],7,FALSE),"")</f>
        <v/>
      </c>
      <c r="X113" s="211" t="str">
        <f>IFERROR(VLOOKUP(TableHandbook[[#This Row],[UDC]],TableMJRUARDR1[],7,FALSE),"")</f>
        <v/>
      </c>
      <c r="Y113" s="209" t="str">
        <f>IFERROR(VLOOKUP(TableHandbook[[#This Row],[UDC]],TableMJRUARME1[],7,FALSE),"")</f>
        <v/>
      </c>
      <c r="Z113" s="209" t="str">
        <f>IFERROR(VLOOKUP(TableHandbook[[#This Row],[UDC]],TableMJRUARVA1[],7,FALSE),"")</f>
        <v/>
      </c>
      <c r="AA113" s="209" t="str">
        <f>IFERROR(VLOOKUP(TableHandbook[[#This Row],[UDC]],TableMJRUENGL1[],7,FALSE),"")</f>
        <v/>
      </c>
      <c r="AB113" s="209" t="str">
        <f>IFERROR(VLOOKUP(TableHandbook[[#This Row],[UDC]],TableMJRUHSEC1[],7,FALSE),"")</f>
        <v/>
      </c>
      <c r="AC113" s="209" t="str">
        <f>IFERROR(VLOOKUP(TableHandbook[[#This Row],[UDC]],TableMJRUHSGE1[],7,FALSE),"")</f>
        <v/>
      </c>
      <c r="AD113" s="209" t="str">
        <f>IFERROR(VLOOKUP(TableHandbook[[#This Row],[UDC]],TableMJRUHSHI1[],7,FALSE),"")</f>
        <v/>
      </c>
      <c r="AE113" s="209" t="str">
        <f>IFERROR(VLOOKUP(TableHandbook[[#This Row],[UDC]],TableMJRUHSPL1[],7,FALSE),"")</f>
        <v/>
      </c>
      <c r="AF113" s="209" t="str">
        <f>IFERROR(VLOOKUP(TableHandbook[[#This Row],[UDC]],TableMJRUMATH1[],7,FALSE),"")</f>
        <v/>
      </c>
      <c r="AG113" s="209" t="str">
        <f>IFERROR(VLOOKUP(TableHandbook[[#This Row],[UDC]],TableMJRUPHYSE[],7,FALSE),"")</f>
        <v/>
      </c>
      <c r="AH113" s="209" t="str">
        <f>IFERROR(VLOOKUP(TableHandbook[[#This Row],[UDC]],TableMJRUSCBI1[],7,FALSE),"")</f>
        <v/>
      </c>
      <c r="AI113" s="209" t="str">
        <f>IFERROR(VLOOKUP(TableHandbook[[#This Row],[UDC]],TableMJRUSCCH1[],7,FALSE),"")</f>
        <v/>
      </c>
      <c r="AJ113" s="209" t="str">
        <f>IFERROR(VLOOKUP(TableHandbook[[#This Row],[UDC]],TableMJRUSCHB1[],7,FALSE),"")</f>
        <v/>
      </c>
      <c r="AK113" s="209" t="str">
        <f>IFERROR(VLOOKUP(TableHandbook[[#This Row],[UDC]],TableMJRUSCPH1[],7,FALSE),"")</f>
        <v/>
      </c>
      <c r="AL113" s="209" t="str">
        <f>IFERROR(VLOOKUP(TableHandbook[[#This Row],[UDC]],TableMJRUSCPS1[],7,FALSE),"")</f>
        <v/>
      </c>
      <c r="AM113" s="211" t="str">
        <f>IFERROR(VLOOKUP(TableHandbook[[#This Row],[UDC]],TableSTRUBIOLB[],7,FALSE),"")</f>
        <v/>
      </c>
      <c r="AN113" s="209" t="str">
        <f>IFERROR(VLOOKUP(TableHandbook[[#This Row],[UDC]],TableSTRUBSCIM[],7,FALSE),"")</f>
        <v/>
      </c>
      <c r="AO113" s="209" t="str">
        <f>IFERROR(VLOOKUP(TableHandbook[[#This Row],[UDC]],TableSTRUCHEMB[],7,FALSE),"")</f>
        <v/>
      </c>
      <c r="AP113" s="209" t="str">
        <f>IFERROR(VLOOKUP(TableHandbook[[#This Row],[UDC]],TableSTRUECOB1[],7,FALSE),"")</f>
        <v/>
      </c>
      <c r="AQ113" s="209" t="str">
        <f>IFERROR(VLOOKUP(TableHandbook[[#This Row],[UDC]],TableSTRUENGLB[],7,FALSE),"")</f>
        <v/>
      </c>
      <c r="AR113" s="209" t="str">
        <f>IFERROR(VLOOKUP(TableHandbook[[#This Row],[UDC]],TableSTRUENGLM[],7,FALSE),"")</f>
        <v/>
      </c>
      <c r="AS113" s="209" t="str">
        <f>IFERROR(VLOOKUP(TableHandbook[[#This Row],[UDC]],TableSTRUGEOB1[],7,FALSE),"")</f>
        <v/>
      </c>
      <c r="AT113" s="209" t="str">
        <f>IFERROR(VLOOKUP(TableHandbook[[#This Row],[UDC]],TableSTRUGEOGM[],7,FALSE),"")</f>
        <v/>
      </c>
      <c r="AU113" s="209" t="str">
        <f>IFERROR(VLOOKUP(TableHandbook[[#This Row],[UDC]],TableSTRUHISB1[],7,FALSE),"")</f>
        <v/>
      </c>
      <c r="AV113" s="209" t="str">
        <f>IFERROR(VLOOKUP(TableHandbook[[#This Row],[UDC]],TableSTRUHISTM[],7,FALSE),"")</f>
        <v/>
      </c>
      <c r="AW113" s="209" t="str">
        <f>IFERROR(VLOOKUP(TableHandbook[[#This Row],[UDC]],TableSTRUHPEB1[],7,FALSE),"")</f>
        <v/>
      </c>
      <c r="AX113" s="209" t="str">
        <f>IFERROR(VLOOKUP(TableHandbook[[#This Row],[UDC]],TableSTRUHUMBB[],7,FALSE),"")</f>
        <v/>
      </c>
      <c r="AY113" s="209" t="str">
        <f>IFERROR(VLOOKUP(TableHandbook[[#This Row],[UDC]],TableSTRUMARTM[],7,FALSE),"")</f>
        <v/>
      </c>
      <c r="AZ113" s="209" t="str">
        <f>IFERROR(VLOOKUP(TableHandbook[[#This Row],[UDC]],TableSTRUMATHB[],7,FALSE),"")</f>
        <v/>
      </c>
      <c r="BA113" s="209" t="str">
        <f>IFERROR(VLOOKUP(TableHandbook[[#This Row],[UDC]],TableSTRUMATHM[],7,FALSE),"")</f>
        <v/>
      </c>
      <c r="BB113" s="209" t="str">
        <f>IFERROR(VLOOKUP(TableHandbook[[#This Row],[UDC]],TableSTRUPARTB[],7,FALSE),"")</f>
        <v/>
      </c>
      <c r="BC113" s="209" t="str">
        <f>IFERROR(VLOOKUP(TableHandbook[[#This Row],[UDC]],TableSTRUPARTM[],7,FALSE),"")</f>
        <v/>
      </c>
      <c r="BD113" s="209" t="str">
        <f>IFERROR(VLOOKUP(TableHandbook[[#This Row],[UDC]],TableSTRUPOLB1[],7,FALSE),"")</f>
        <v/>
      </c>
      <c r="BE113" s="209" t="str">
        <f>IFERROR(VLOOKUP(TableHandbook[[#This Row],[UDC]],TableSTRUPSYCB[],7,FALSE),"")</f>
        <v/>
      </c>
      <c r="BF113" s="209" t="str">
        <f>IFERROR(VLOOKUP(TableHandbook[[#This Row],[UDC]],TableSTRUPSYCM[],7,FALSE),"")</f>
        <v/>
      </c>
      <c r="BG113" s="209" t="str">
        <f>IFERROR(VLOOKUP(TableHandbook[[#This Row],[UDC]],TableSTRUVARTB[],7,FALSE),"")</f>
        <v/>
      </c>
      <c r="BH113" s="209" t="str">
        <f>IFERROR(VLOOKUP(TableHandbook[[#This Row],[UDC]],TableSTRUVARTM[],7,FALSE),"")</f>
        <v/>
      </c>
    </row>
    <row r="114" spans="1:60" x14ac:dyDescent="0.25">
      <c r="A114" s="6" t="s">
        <v>96</v>
      </c>
      <c r="B114" s="7">
        <v>1</v>
      </c>
      <c r="C114" s="7"/>
      <c r="D114" s="207" t="s">
        <v>901</v>
      </c>
      <c r="E114" s="7">
        <v>25</v>
      </c>
      <c r="F114" s="311" t="s">
        <v>877</v>
      </c>
      <c r="G114" s="75" t="str">
        <f>IFERROR(IF(VLOOKUP(TableHandbook[[#This Row],[UDC]],TableAvailabilities[],2,FALSE)&gt;0,"Y",""),"")</f>
        <v/>
      </c>
      <c r="H114" s="75" t="str">
        <f>IFERROR(IF(VLOOKUP(TableHandbook[[#This Row],[UDC]],TableAvailabilities[],3,FALSE)&gt;0,"Y",""),"")</f>
        <v/>
      </c>
      <c r="I114" s="75" t="str">
        <f>IFERROR(IF(VLOOKUP(TableHandbook[[#This Row],[UDC]],TableAvailabilities[],4,FALSE)&gt;0,"Y",""),"")</f>
        <v/>
      </c>
      <c r="J114" s="75" t="str">
        <f>IFERROR(IF(VLOOKUP(TableHandbook[[#This Row],[UDC]],TableAvailabilities[],5,FALSE)&gt;0,"Y",""),"")</f>
        <v>Y</v>
      </c>
      <c r="K114" s="75" t="str">
        <f>IFERROR(IF(VLOOKUP(TableHandbook[[#This Row],[UDC]],TableAvailabilities[],6,FALSE)&gt;0,"Y",""),"")</f>
        <v>Y</v>
      </c>
      <c r="L114" s="75" t="str">
        <f>IFERROR(IF(VLOOKUP(TableHandbook[[#This Row],[UDC]],TableAvailabilities[],7,FALSE)&gt;0,"Y",""),"")</f>
        <v>Y</v>
      </c>
      <c r="M114" s="207"/>
      <c r="N114" s="209" t="str">
        <f>IFERROR(VLOOKUP(TableHandbook[[#This Row],[UDC]],TableBEDUC[],7,FALSE),"")</f>
        <v>Core</v>
      </c>
      <c r="O114" s="209" t="str">
        <f>IFERROR(VLOOKUP(TableHandbook[[#This Row],[UDC]],TableBEDEC[],7,FALSE),"")</f>
        <v>Option</v>
      </c>
      <c r="P114" s="211" t="str">
        <f>IFERROR(VLOOKUP(TableHandbook[[#This Row],[UDC]],TableBEDPR[],7,FALSE),"")</f>
        <v>Core</v>
      </c>
      <c r="Q114" s="209" t="str">
        <f>IFERROR(VLOOKUP(TableHandbook[[#This Row],[UDC]],TableSTRUCATHL[],7,FALSE),"")</f>
        <v/>
      </c>
      <c r="R114" s="209" t="str">
        <f>IFERROR(VLOOKUP(TableHandbook[[#This Row],[UDC]],TableSTRUENGLL[],7,FALSE),"")</f>
        <v/>
      </c>
      <c r="S114" s="209" t="str">
        <f>IFERROR(VLOOKUP(TableHandbook[[#This Row],[UDC]],TableSTRUHLTPE[],7,FALSE),"")</f>
        <v/>
      </c>
      <c r="T114" s="209" t="str">
        <f>IFERROR(VLOOKUP(TableHandbook[[#This Row],[UDC]],TableSTRUISTEM[],7,FALSE),"")</f>
        <v/>
      </c>
      <c r="U114" s="209" t="str">
        <f>IFERROR(VLOOKUP(TableHandbook[[#This Row],[UDC]],TableSTRULITNU[],7,FALSE),"")</f>
        <v/>
      </c>
      <c r="V114" s="209" t="str">
        <f>IFERROR(VLOOKUP(TableHandbook[[#This Row],[UDC]],TableSTRUTECHS[],7,FALSE),"")</f>
        <v/>
      </c>
      <c r="W114" s="211" t="str">
        <f>IFERROR(VLOOKUP(TableHandbook[[#This Row],[UDC]],TableBEDSC[],7,FALSE),"")</f>
        <v/>
      </c>
      <c r="X114" s="211" t="str">
        <f>IFERROR(VLOOKUP(TableHandbook[[#This Row],[UDC]],TableMJRUARDR1[],7,FALSE),"")</f>
        <v/>
      </c>
      <c r="Y114" s="209" t="str">
        <f>IFERROR(VLOOKUP(TableHandbook[[#This Row],[UDC]],TableMJRUARME1[],7,FALSE),"")</f>
        <v/>
      </c>
      <c r="Z114" s="209" t="str">
        <f>IFERROR(VLOOKUP(TableHandbook[[#This Row],[UDC]],TableMJRUARVA1[],7,FALSE),"")</f>
        <v/>
      </c>
      <c r="AA114" s="209" t="str">
        <f>IFERROR(VLOOKUP(TableHandbook[[#This Row],[UDC]],TableMJRUENGL1[],7,FALSE),"")</f>
        <v/>
      </c>
      <c r="AB114" s="209" t="str">
        <f>IFERROR(VLOOKUP(TableHandbook[[#This Row],[UDC]],TableMJRUHSEC1[],7,FALSE),"")</f>
        <v/>
      </c>
      <c r="AC114" s="209" t="str">
        <f>IFERROR(VLOOKUP(TableHandbook[[#This Row],[UDC]],TableMJRUHSGE1[],7,FALSE),"")</f>
        <v/>
      </c>
      <c r="AD114" s="209" t="str">
        <f>IFERROR(VLOOKUP(TableHandbook[[#This Row],[UDC]],TableMJRUHSHI1[],7,FALSE),"")</f>
        <v/>
      </c>
      <c r="AE114" s="209" t="str">
        <f>IFERROR(VLOOKUP(TableHandbook[[#This Row],[UDC]],TableMJRUHSPL1[],7,FALSE),"")</f>
        <v/>
      </c>
      <c r="AF114" s="209" t="str">
        <f>IFERROR(VLOOKUP(TableHandbook[[#This Row],[UDC]],TableMJRUMATH1[],7,FALSE),"")</f>
        <v/>
      </c>
      <c r="AG114" s="209" t="str">
        <f>IFERROR(VLOOKUP(TableHandbook[[#This Row],[UDC]],TableMJRUPHYSE[],7,FALSE),"")</f>
        <v/>
      </c>
      <c r="AH114" s="209" t="str">
        <f>IFERROR(VLOOKUP(TableHandbook[[#This Row],[UDC]],TableMJRUSCBI1[],7,FALSE),"")</f>
        <v/>
      </c>
      <c r="AI114" s="209" t="str">
        <f>IFERROR(VLOOKUP(TableHandbook[[#This Row],[UDC]],TableMJRUSCCH1[],7,FALSE),"")</f>
        <v/>
      </c>
      <c r="AJ114" s="209" t="str">
        <f>IFERROR(VLOOKUP(TableHandbook[[#This Row],[UDC]],TableMJRUSCHB1[],7,FALSE),"")</f>
        <v/>
      </c>
      <c r="AK114" s="209" t="str">
        <f>IFERROR(VLOOKUP(TableHandbook[[#This Row],[UDC]],TableMJRUSCPH1[],7,FALSE),"")</f>
        <v/>
      </c>
      <c r="AL114" s="209" t="str">
        <f>IFERROR(VLOOKUP(TableHandbook[[#This Row],[UDC]],TableMJRUSCPS1[],7,FALSE),"")</f>
        <v/>
      </c>
      <c r="AM114" s="211" t="str">
        <f>IFERROR(VLOOKUP(TableHandbook[[#This Row],[UDC]],TableSTRUBIOLB[],7,FALSE),"")</f>
        <v/>
      </c>
      <c r="AN114" s="209" t="str">
        <f>IFERROR(VLOOKUP(TableHandbook[[#This Row],[UDC]],TableSTRUBSCIM[],7,FALSE),"")</f>
        <v/>
      </c>
      <c r="AO114" s="209" t="str">
        <f>IFERROR(VLOOKUP(TableHandbook[[#This Row],[UDC]],TableSTRUCHEMB[],7,FALSE),"")</f>
        <v/>
      </c>
      <c r="AP114" s="209" t="str">
        <f>IFERROR(VLOOKUP(TableHandbook[[#This Row],[UDC]],TableSTRUECOB1[],7,FALSE),"")</f>
        <v/>
      </c>
      <c r="AQ114" s="209" t="str">
        <f>IFERROR(VLOOKUP(TableHandbook[[#This Row],[UDC]],TableSTRUENGLB[],7,FALSE),"")</f>
        <v/>
      </c>
      <c r="AR114" s="209" t="str">
        <f>IFERROR(VLOOKUP(TableHandbook[[#This Row],[UDC]],TableSTRUENGLM[],7,FALSE),"")</f>
        <v/>
      </c>
      <c r="AS114" s="209" t="str">
        <f>IFERROR(VLOOKUP(TableHandbook[[#This Row],[UDC]],TableSTRUGEOB1[],7,FALSE),"")</f>
        <v/>
      </c>
      <c r="AT114" s="209" t="str">
        <f>IFERROR(VLOOKUP(TableHandbook[[#This Row],[UDC]],TableSTRUGEOGM[],7,FALSE),"")</f>
        <v/>
      </c>
      <c r="AU114" s="209" t="str">
        <f>IFERROR(VLOOKUP(TableHandbook[[#This Row],[UDC]],TableSTRUHISB1[],7,FALSE),"")</f>
        <v/>
      </c>
      <c r="AV114" s="209" t="str">
        <f>IFERROR(VLOOKUP(TableHandbook[[#This Row],[UDC]],TableSTRUHISTM[],7,FALSE),"")</f>
        <v/>
      </c>
      <c r="AW114" s="209" t="str">
        <f>IFERROR(VLOOKUP(TableHandbook[[#This Row],[UDC]],TableSTRUHPEB1[],7,FALSE),"")</f>
        <v/>
      </c>
      <c r="AX114" s="209" t="str">
        <f>IFERROR(VLOOKUP(TableHandbook[[#This Row],[UDC]],TableSTRUHUMBB[],7,FALSE),"")</f>
        <v/>
      </c>
      <c r="AY114" s="209" t="str">
        <f>IFERROR(VLOOKUP(TableHandbook[[#This Row],[UDC]],TableSTRUMARTM[],7,FALSE),"")</f>
        <v/>
      </c>
      <c r="AZ114" s="209" t="str">
        <f>IFERROR(VLOOKUP(TableHandbook[[#This Row],[UDC]],TableSTRUMATHB[],7,FALSE),"")</f>
        <v/>
      </c>
      <c r="BA114" s="209" t="str">
        <f>IFERROR(VLOOKUP(TableHandbook[[#This Row],[UDC]],TableSTRUMATHM[],7,FALSE),"")</f>
        <v/>
      </c>
      <c r="BB114" s="209" t="str">
        <f>IFERROR(VLOOKUP(TableHandbook[[#This Row],[UDC]],TableSTRUPARTB[],7,FALSE),"")</f>
        <v/>
      </c>
      <c r="BC114" s="209" t="str">
        <f>IFERROR(VLOOKUP(TableHandbook[[#This Row],[UDC]],TableSTRUPARTM[],7,FALSE),"")</f>
        <v/>
      </c>
      <c r="BD114" s="209" t="str">
        <f>IFERROR(VLOOKUP(TableHandbook[[#This Row],[UDC]],TableSTRUPOLB1[],7,FALSE),"")</f>
        <v/>
      </c>
      <c r="BE114" s="209" t="str">
        <f>IFERROR(VLOOKUP(TableHandbook[[#This Row],[UDC]],TableSTRUPSYCB[],7,FALSE),"")</f>
        <v/>
      </c>
      <c r="BF114" s="209" t="str">
        <f>IFERROR(VLOOKUP(TableHandbook[[#This Row],[UDC]],TableSTRUPSYCM[],7,FALSE),"")</f>
        <v/>
      </c>
      <c r="BG114" s="209" t="str">
        <f>IFERROR(VLOOKUP(TableHandbook[[#This Row],[UDC]],TableSTRUVARTB[],7,FALSE),"")</f>
        <v/>
      </c>
      <c r="BH114" s="209" t="str">
        <f>IFERROR(VLOOKUP(TableHandbook[[#This Row],[UDC]],TableSTRUVARTM[],7,FALSE),"")</f>
        <v/>
      </c>
    </row>
    <row r="115" spans="1:60" x14ac:dyDescent="0.25">
      <c r="A115" s="6" t="s">
        <v>90</v>
      </c>
      <c r="B115" s="7">
        <v>1</v>
      </c>
      <c r="C115" s="7"/>
      <c r="D115" s="207" t="s">
        <v>902</v>
      </c>
      <c r="E115" s="7">
        <v>25</v>
      </c>
      <c r="F115" s="309" t="s">
        <v>903</v>
      </c>
      <c r="G115" s="75" t="str">
        <f>IFERROR(IF(VLOOKUP(TableHandbook[[#This Row],[UDC]],TableAvailabilities[],2,FALSE)&gt;0,"Y",""),"")</f>
        <v/>
      </c>
      <c r="H115" s="75" t="str">
        <f>IFERROR(IF(VLOOKUP(TableHandbook[[#This Row],[UDC]],TableAvailabilities[],3,FALSE)&gt;0,"Y",""),"")</f>
        <v/>
      </c>
      <c r="I115" s="75" t="str">
        <f>IFERROR(IF(VLOOKUP(TableHandbook[[#This Row],[UDC]],TableAvailabilities[],4,FALSE)&gt;0,"Y",""),"")</f>
        <v/>
      </c>
      <c r="J115" s="75" t="str">
        <f>IFERROR(IF(VLOOKUP(TableHandbook[[#This Row],[UDC]],TableAvailabilities[],5,FALSE)&gt;0,"Y",""),"")</f>
        <v>Y</v>
      </c>
      <c r="K115" s="75" t="str">
        <f>IFERROR(IF(VLOOKUP(TableHandbook[[#This Row],[UDC]],TableAvailabilities[],6,FALSE)&gt;0,"Y",""),"")</f>
        <v>Y</v>
      </c>
      <c r="L115" s="75" t="str">
        <f>IFERROR(IF(VLOOKUP(TableHandbook[[#This Row],[UDC]],TableAvailabilities[],7,FALSE)&gt;0,"Y",""),"")</f>
        <v>Y</v>
      </c>
      <c r="M115" s="309" t="s">
        <v>904</v>
      </c>
      <c r="N115" s="209" t="str">
        <f>IFERROR(VLOOKUP(TableHandbook[[#This Row],[UDC]],TableBEDUC[],7,FALSE),"")</f>
        <v>Core</v>
      </c>
      <c r="O115" s="209" t="str">
        <f>IFERROR(VLOOKUP(TableHandbook[[#This Row],[UDC]],TableBEDEC[],7,FALSE),"")</f>
        <v>Option</v>
      </c>
      <c r="P115" s="211" t="str">
        <f>IFERROR(VLOOKUP(TableHandbook[[#This Row],[UDC]],TableBEDPR[],7,FALSE),"")</f>
        <v>Core</v>
      </c>
      <c r="Q115" s="209" t="str">
        <f>IFERROR(VLOOKUP(TableHandbook[[#This Row],[UDC]],TableSTRUCATHL[],7,FALSE),"")</f>
        <v/>
      </c>
      <c r="R115" s="209" t="str">
        <f>IFERROR(VLOOKUP(TableHandbook[[#This Row],[UDC]],TableSTRUENGLL[],7,FALSE),"")</f>
        <v/>
      </c>
      <c r="S115" s="209" t="str">
        <f>IFERROR(VLOOKUP(TableHandbook[[#This Row],[UDC]],TableSTRUHLTPE[],7,FALSE),"")</f>
        <v/>
      </c>
      <c r="T115" s="209" t="str">
        <f>IFERROR(VLOOKUP(TableHandbook[[#This Row],[UDC]],TableSTRUISTEM[],7,FALSE),"")</f>
        <v/>
      </c>
      <c r="U115" s="209" t="str">
        <f>IFERROR(VLOOKUP(TableHandbook[[#This Row],[UDC]],TableSTRULITNU[],7,FALSE),"")</f>
        <v/>
      </c>
      <c r="V115" s="209" t="str">
        <f>IFERROR(VLOOKUP(TableHandbook[[#This Row],[UDC]],TableSTRUTECHS[],7,FALSE),"")</f>
        <v/>
      </c>
      <c r="W115" s="211" t="str">
        <f>IFERROR(VLOOKUP(TableHandbook[[#This Row],[UDC]],TableBEDSC[],7,FALSE),"")</f>
        <v/>
      </c>
      <c r="X115" s="211" t="str">
        <f>IFERROR(VLOOKUP(TableHandbook[[#This Row],[UDC]],TableMJRUARDR1[],7,FALSE),"")</f>
        <v/>
      </c>
      <c r="Y115" s="209" t="str">
        <f>IFERROR(VLOOKUP(TableHandbook[[#This Row],[UDC]],TableMJRUARME1[],7,FALSE),"")</f>
        <v/>
      </c>
      <c r="Z115" s="209" t="str">
        <f>IFERROR(VLOOKUP(TableHandbook[[#This Row],[UDC]],TableMJRUARVA1[],7,FALSE),"")</f>
        <v/>
      </c>
      <c r="AA115" s="209" t="str">
        <f>IFERROR(VLOOKUP(TableHandbook[[#This Row],[UDC]],TableMJRUENGL1[],7,FALSE),"")</f>
        <v/>
      </c>
      <c r="AB115" s="209" t="str">
        <f>IFERROR(VLOOKUP(TableHandbook[[#This Row],[UDC]],TableMJRUHSEC1[],7,FALSE),"")</f>
        <v/>
      </c>
      <c r="AC115" s="209" t="str">
        <f>IFERROR(VLOOKUP(TableHandbook[[#This Row],[UDC]],TableMJRUHSGE1[],7,FALSE),"")</f>
        <v/>
      </c>
      <c r="AD115" s="209" t="str">
        <f>IFERROR(VLOOKUP(TableHandbook[[#This Row],[UDC]],TableMJRUHSHI1[],7,FALSE),"")</f>
        <v/>
      </c>
      <c r="AE115" s="209" t="str">
        <f>IFERROR(VLOOKUP(TableHandbook[[#This Row],[UDC]],TableMJRUHSPL1[],7,FALSE),"")</f>
        <v/>
      </c>
      <c r="AF115" s="209" t="str">
        <f>IFERROR(VLOOKUP(TableHandbook[[#This Row],[UDC]],TableMJRUMATH1[],7,FALSE),"")</f>
        <v/>
      </c>
      <c r="AG115" s="209" t="str">
        <f>IFERROR(VLOOKUP(TableHandbook[[#This Row],[UDC]],TableMJRUPHYSE[],7,FALSE),"")</f>
        <v/>
      </c>
      <c r="AH115" s="209" t="str">
        <f>IFERROR(VLOOKUP(TableHandbook[[#This Row],[UDC]],TableMJRUSCBI1[],7,FALSE),"")</f>
        <v/>
      </c>
      <c r="AI115" s="209" t="str">
        <f>IFERROR(VLOOKUP(TableHandbook[[#This Row],[UDC]],TableMJRUSCCH1[],7,FALSE),"")</f>
        <v/>
      </c>
      <c r="AJ115" s="209" t="str">
        <f>IFERROR(VLOOKUP(TableHandbook[[#This Row],[UDC]],TableMJRUSCHB1[],7,FALSE),"")</f>
        <v/>
      </c>
      <c r="AK115" s="209" t="str">
        <f>IFERROR(VLOOKUP(TableHandbook[[#This Row],[UDC]],TableMJRUSCPH1[],7,FALSE),"")</f>
        <v/>
      </c>
      <c r="AL115" s="209" t="str">
        <f>IFERROR(VLOOKUP(TableHandbook[[#This Row],[UDC]],TableMJRUSCPS1[],7,FALSE),"")</f>
        <v/>
      </c>
      <c r="AM115" s="211" t="str">
        <f>IFERROR(VLOOKUP(TableHandbook[[#This Row],[UDC]],TableSTRUBIOLB[],7,FALSE),"")</f>
        <v/>
      </c>
      <c r="AN115" s="209" t="str">
        <f>IFERROR(VLOOKUP(TableHandbook[[#This Row],[UDC]],TableSTRUBSCIM[],7,FALSE),"")</f>
        <v/>
      </c>
      <c r="AO115" s="209" t="str">
        <f>IFERROR(VLOOKUP(TableHandbook[[#This Row],[UDC]],TableSTRUCHEMB[],7,FALSE),"")</f>
        <v/>
      </c>
      <c r="AP115" s="209" t="str">
        <f>IFERROR(VLOOKUP(TableHandbook[[#This Row],[UDC]],TableSTRUECOB1[],7,FALSE),"")</f>
        <v/>
      </c>
      <c r="AQ115" s="209" t="str">
        <f>IFERROR(VLOOKUP(TableHandbook[[#This Row],[UDC]],TableSTRUENGLB[],7,FALSE),"")</f>
        <v/>
      </c>
      <c r="AR115" s="209" t="str">
        <f>IFERROR(VLOOKUP(TableHandbook[[#This Row],[UDC]],TableSTRUENGLM[],7,FALSE),"")</f>
        <v/>
      </c>
      <c r="AS115" s="209" t="str">
        <f>IFERROR(VLOOKUP(TableHandbook[[#This Row],[UDC]],TableSTRUGEOB1[],7,FALSE),"")</f>
        <v/>
      </c>
      <c r="AT115" s="209" t="str">
        <f>IFERROR(VLOOKUP(TableHandbook[[#This Row],[UDC]],TableSTRUGEOGM[],7,FALSE),"")</f>
        <v/>
      </c>
      <c r="AU115" s="209" t="str">
        <f>IFERROR(VLOOKUP(TableHandbook[[#This Row],[UDC]],TableSTRUHISB1[],7,FALSE),"")</f>
        <v/>
      </c>
      <c r="AV115" s="209" t="str">
        <f>IFERROR(VLOOKUP(TableHandbook[[#This Row],[UDC]],TableSTRUHISTM[],7,FALSE),"")</f>
        <v/>
      </c>
      <c r="AW115" s="209" t="str">
        <f>IFERROR(VLOOKUP(TableHandbook[[#This Row],[UDC]],TableSTRUHPEB1[],7,FALSE),"")</f>
        <v/>
      </c>
      <c r="AX115" s="209" t="str">
        <f>IFERROR(VLOOKUP(TableHandbook[[#This Row],[UDC]],TableSTRUHUMBB[],7,FALSE),"")</f>
        <v/>
      </c>
      <c r="AY115" s="209" t="str">
        <f>IFERROR(VLOOKUP(TableHandbook[[#This Row],[UDC]],TableSTRUMARTM[],7,FALSE),"")</f>
        <v/>
      </c>
      <c r="AZ115" s="209" t="str">
        <f>IFERROR(VLOOKUP(TableHandbook[[#This Row],[UDC]],TableSTRUMATHB[],7,FALSE),"")</f>
        <v>Core</v>
      </c>
      <c r="BA115" s="209" t="str">
        <f>IFERROR(VLOOKUP(TableHandbook[[#This Row],[UDC]],TableSTRUMATHM[],7,FALSE),"")</f>
        <v/>
      </c>
      <c r="BB115" s="209" t="str">
        <f>IFERROR(VLOOKUP(TableHandbook[[#This Row],[UDC]],TableSTRUPARTB[],7,FALSE),"")</f>
        <v/>
      </c>
      <c r="BC115" s="209" t="str">
        <f>IFERROR(VLOOKUP(TableHandbook[[#This Row],[UDC]],TableSTRUPARTM[],7,FALSE),"")</f>
        <v/>
      </c>
      <c r="BD115" s="209" t="str">
        <f>IFERROR(VLOOKUP(TableHandbook[[#This Row],[UDC]],TableSTRUPOLB1[],7,FALSE),"")</f>
        <v/>
      </c>
      <c r="BE115" s="209" t="str">
        <f>IFERROR(VLOOKUP(TableHandbook[[#This Row],[UDC]],TableSTRUPSYCB[],7,FALSE),"")</f>
        <v/>
      </c>
      <c r="BF115" s="209" t="str">
        <f>IFERROR(VLOOKUP(TableHandbook[[#This Row],[UDC]],TableSTRUPSYCM[],7,FALSE),"")</f>
        <v/>
      </c>
      <c r="BG115" s="209" t="str">
        <f>IFERROR(VLOOKUP(TableHandbook[[#This Row],[UDC]],TableSTRUVARTB[],7,FALSE),"")</f>
        <v/>
      </c>
      <c r="BH115" s="209" t="str">
        <f>IFERROR(VLOOKUP(TableHandbook[[#This Row],[UDC]],TableSTRUVARTM[],7,FALSE),"")</f>
        <v/>
      </c>
    </row>
    <row r="116" spans="1:60" x14ac:dyDescent="0.25">
      <c r="A116" s="6" t="s">
        <v>109</v>
      </c>
      <c r="B116" s="7">
        <v>1</v>
      </c>
      <c r="C116" s="7"/>
      <c r="D116" s="207" t="s">
        <v>905</v>
      </c>
      <c r="E116" s="7">
        <v>25</v>
      </c>
      <c r="F116" s="309" t="s">
        <v>879</v>
      </c>
      <c r="G116" s="75" t="str">
        <f>IFERROR(IF(VLOOKUP(TableHandbook[[#This Row],[UDC]],TableAvailabilities[],2,FALSE)&gt;0,"Y",""),"")</f>
        <v>Y</v>
      </c>
      <c r="H116" s="75" t="str">
        <f>IFERROR(IF(VLOOKUP(TableHandbook[[#This Row],[UDC]],TableAvailabilities[],3,FALSE)&gt;0,"Y",""),"")</f>
        <v>Y</v>
      </c>
      <c r="I116" s="75" t="str">
        <f>IFERROR(IF(VLOOKUP(TableHandbook[[#This Row],[UDC]],TableAvailabilities[],4,FALSE)&gt;0,"Y",""),"")</f>
        <v>Y</v>
      </c>
      <c r="J116" s="75" t="str">
        <f>IFERROR(IF(VLOOKUP(TableHandbook[[#This Row],[UDC]],TableAvailabilities[],5,FALSE)&gt;0,"Y",""),"")</f>
        <v/>
      </c>
      <c r="K116" s="75" t="str">
        <f>IFERROR(IF(VLOOKUP(TableHandbook[[#This Row],[UDC]],TableAvailabilities[],6,FALSE)&gt;0,"Y",""),"")</f>
        <v/>
      </c>
      <c r="L116" s="75" t="str">
        <f>IFERROR(IF(VLOOKUP(TableHandbook[[#This Row],[UDC]],TableAvailabilities[],7,FALSE)&gt;0,"Y",""),"")</f>
        <v/>
      </c>
      <c r="M116" s="309" t="s">
        <v>880</v>
      </c>
      <c r="N116" s="209" t="str">
        <f>IFERROR(VLOOKUP(TableHandbook[[#This Row],[UDC]],TableBEDUC[],7,FALSE),"")</f>
        <v/>
      </c>
      <c r="O116" s="209" t="str">
        <f>IFERROR(VLOOKUP(TableHandbook[[#This Row],[UDC]],TableBEDEC[],7,FALSE),"")</f>
        <v/>
      </c>
      <c r="P116" s="211" t="str">
        <f>IFERROR(VLOOKUP(TableHandbook[[#This Row],[UDC]],TableBEDPR[],7,FALSE),"")</f>
        <v>Core</v>
      </c>
      <c r="Q116" s="209" t="str">
        <f>IFERROR(VLOOKUP(TableHandbook[[#This Row],[UDC]],TableSTRUCATHL[],7,FALSE),"")</f>
        <v/>
      </c>
      <c r="R116" s="209" t="str">
        <f>IFERROR(VLOOKUP(TableHandbook[[#This Row],[UDC]],TableSTRUENGLL[],7,FALSE),"")</f>
        <v/>
      </c>
      <c r="S116" s="209" t="str">
        <f>IFERROR(VLOOKUP(TableHandbook[[#This Row],[UDC]],TableSTRUHLTPE[],7,FALSE),"")</f>
        <v/>
      </c>
      <c r="T116" s="209" t="str">
        <f>IFERROR(VLOOKUP(TableHandbook[[#This Row],[UDC]],TableSTRUISTEM[],7,FALSE),"")</f>
        <v/>
      </c>
      <c r="U116" s="209" t="str">
        <f>IFERROR(VLOOKUP(TableHandbook[[#This Row],[UDC]],TableSTRULITNU[],7,FALSE),"")</f>
        <v/>
      </c>
      <c r="V116" s="209" t="str">
        <f>IFERROR(VLOOKUP(TableHandbook[[#This Row],[UDC]],TableSTRUTECHS[],7,FALSE),"")</f>
        <v/>
      </c>
      <c r="W116" s="211" t="str">
        <f>IFERROR(VLOOKUP(TableHandbook[[#This Row],[UDC]],TableBEDSC[],7,FALSE),"")</f>
        <v/>
      </c>
      <c r="X116" s="211" t="str">
        <f>IFERROR(VLOOKUP(TableHandbook[[#This Row],[UDC]],TableMJRUARDR1[],7,FALSE),"")</f>
        <v/>
      </c>
      <c r="Y116" s="209" t="str">
        <f>IFERROR(VLOOKUP(TableHandbook[[#This Row],[UDC]],TableMJRUARME1[],7,FALSE),"")</f>
        <v/>
      </c>
      <c r="Z116" s="209" t="str">
        <f>IFERROR(VLOOKUP(TableHandbook[[#This Row],[UDC]],TableMJRUARVA1[],7,FALSE),"")</f>
        <v/>
      </c>
      <c r="AA116" s="209" t="str">
        <f>IFERROR(VLOOKUP(TableHandbook[[#This Row],[UDC]],TableMJRUENGL1[],7,FALSE),"")</f>
        <v/>
      </c>
      <c r="AB116" s="209" t="str">
        <f>IFERROR(VLOOKUP(TableHandbook[[#This Row],[UDC]],TableMJRUHSEC1[],7,FALSE),"")</f>
        <v/>
      </c>
      <c r="AC116" s="209" t="str">
        <f>IFERROR(VLOOKUP(TableHandbook[[#This Row],[UDC]],TableMJRUHSGE1[],7,FALSE),"")</f>
        <v/>
      </c>
      <c r="AD116" s="209" t="str">
        <f>IFERROR(VLOOKUP(TableHandbook[[#This Row],[UDC]],TableMJRUHSHI1[],7,FALSE),"")</f>
        <v/>
      </c>
      <c r="AE116" s="209" t="str">
        <f>IFERROR(VLOOKUP(TableHandbook[[#This Row],[UDC]],TableMJRUHSPL1[],7,FALSE),"")</f>
        <v/>
      </c>
      <c r="AF116" s="209" t="str">
        <f>IFERROR(VLOOKUP(TableHandbook[[#This Row],[UDC]],TableMJRUMATH1[],7,FALSE),"")</f>
        <v/>
      </c>
      <c r="AG116" s="209" t="str">
        <f>IFERROR(VLOOKUP(TableHandbook[[#This Row],[UDC]],TableMJRUPHYSE[],7,FALSE),"")</f>
        <v/>
      </c>
      <c r="AH116" s="209" t="str">
        <f>IFERROR(VLOOKUP(TableHandbook[[#This Row],[UDC]],TableMJRUSCBI1[],7,FALSE),"")</f>
        <v/>
      </c>
      <c r="AI116" s="209" t="str">
        <f>IFERROR(VLOOKUP(TableHandbook[[#This Row],[UDC]],TableMJRUSCCH1[],7,FALSE),"")</f>
        <v/>
      </c>
      <c r="AJ116" s="209" t="str">
        <f>IFERROR(VLOOKUP(TableHandbook[[#This Row],[UDC]],TableMJRUSCHB1[],7,FALSE),"")</f>
        <v/>
      </c>
      <c r="AK116" s="209" t="str">
        <f>IFERROR(VLOOKUP(TableHandbook[[#This Row],[UDC]],TableMJRUSCPH1[],7,FALSE),"")</f>
        <v/>
      </c>
      <c r="AL116" s="209" t="str">
        <f>IFERROR(VLOOKUP(TableHandbook[[#This Row],[UDC]],TableMJRUSCPS1[],7,FALSE),"")</f>
        <v/>
      </c>
      <c r="AM116" s="211" t="str">
        <f>IFERROR(VLOOKUP(TableHandbook[[#This Row],[UDC]],TableSTRUBIOLB[],7,FALSE),"")</f>
        <v/>
      </c>
      <c r="AN116" s="209" t="str">
        <f>IFERROR(VLOOKUP(TableHandbook[[#This Row],[UDC]],TableSTRUBSCIM[],7,FALSE),"")</f>
        <v/>
      </c>
      <c r="AO116" s="209" t="str">
        <f>IFERROR(VLOOKUP(TableHandbook[[#This Row],[UDC]],TableSTRUCHEMB[],7,FALSE),"")</f>
        <v/>
      </c>
      <c r="AP116" s="209" t="str">
        <f>IFERROR(VLOOKUP(TableHandbook[[#This Row],[UDC]],TableSTRUECOB1[],7,FALSE),"")</f>
        <v/>
      </c>
      <c r="AQ116" s="209" t="str">
        <f>IFERROR(VLOOKUP(TableHandbook[[#This Row],[UDC]],TableSTRUENGLB[],7,FALSE),"")</f>
        <v/>
      </c>
      <c r="AR116" s="209" t="str">
        <f>IFERROR(VLOOKUP(TableHandbook[[#This Row],[UDC]],TableSTRUENGLM[],7,FALSE),"")</f>
        <v/>
      </c>
      <c r="AS116" s="209" t="str">
        <f>IFERROR(VLOOKUP(TableHandbook[[#This Row],[UDC]],TableSTRUGEOB1[],7,FALSE),"")</f>
        <v/>
      </c>
      <c r="AT116" s="209" t="str">
        <f>IFERROR(VLOOKUP(TableHandbook[[#This Row],[UDC]],TableSTRUGEOGM[],7,FALSE),"")</f>
        <v/>
      </c>
      <c r="AU116" s="209" t="str">
        <f>IFERROR(VLOOKUP(TableHandbook[[#This Row],[UDC]],TableSTRUHISB1[],7,FALSE),"")</f>
        <v/>
      </c>
      <c r="AV116" s="209" t="str">
        <f>IFERROR(VLOOKUP(TableHandbook[[#This Row],[UDC]],TableSTRUHISTM[],7,FALSE),"")</f>
        <v/>
      </c>
      <c r="AW116" s="209" t="str">
        <f>IFERROR(VLOOKUP(TableHandbook[[#This Row],[UDC]],TableSTRUHPEB1[],7,FALSE),"")</f>
        <v/>
      </c>
      <c r="AX116" s="209" t="str">
        <f>IFERROR(VLOOKUP(TableHandbook[[#This Row],[UDC]],TableSTRUHUMBB[],7,FALSE),"")</f>
        <v/>
      </c>
      <c r="AY116" s="209" t="str">
        <f>IFERROR(VLOOKUP(TableHandbook[[#This Row],[UDC]],TableSTRUMARTM[],7,FALSE),"")</f>
        <v/>
      </c>
      <c r="AZ116" s="209" t="str">
        <f>IFERROR(VLOOKUP(TableHandbook[[#This Row],[UDC]],TableSTRUMATHB[],7,FALSE),"")</f>
        <v/>
      </c>
      <c r="BA116" s="209" t="str">
        <f>IFERROR(VLOOKUP(TableHandbook[[#This Row],[UDC]],TableSTRUMATHM[],7,FALSE),"")</f>
        <v/>
      </c>
      <c r="BB116" s="209" t="str">
        <f>IFERROR(VLOOKUP(TableHandbook[[#This Row],[UDC]],TableSTRUPARTB[],7,FALSE),"")</f>
        <v/>
      </c>
      <c r="BC116" s="209" t="str">
        <f>IFERROR(VLOOKUP(TableHandbook[[#This Row],[UDC]],TableSTRUPARTM[],7,FALSE),"")</f>
        <v/>
      </c>
      <c r="BD116" s="209" t="str">
        <f>IFERROR(VLOOKUP(TableHandbook[[#This Row],[UDC]],TableSTRUPOLB1[],7,FALSE),"")</f>
        <v/>
      </c>
      <c r="BE116" s="209" t="str">
        <f>IFERROR(VLOOKUP(TableHandbook[[#This Row],[UDC]],TableSTRUPSYCB[],7,FALSE),"")</f>
        <v/>
      </c>
      <c r="BF116" s="209" t="str">
        <f>IFERROR(VLOOKUP(TableHandbook[[#This Row],[UDC]],TableSTRUPSYCM[],7,FALSE),"")</f>
        <v/>
      </c>
      <c r="BG116" s="209" t="str">
        <f>IFERROR(VLOOKUP(TableHandbook[[#This Row],[UDC]],TableSTRUVARTB[],7,FALSE),"")</f>
        <v/>
      </c>
      <c r="BH116" s="209" t="str">
        <f>IFERROR(VLOOKUP(TableHandbook[[#This Row],[UDC]],TableSTRUVARTM[],7,FALSE),"")</f>
        <v/>
      </c>
    </row>
    <row r="117" spans="1:60" ht="26.25" x14ac:dyDescent="0.25">
      <c r="A117" s="6" t="s">
        <v>116</v>
      </c>
      <c r="B117" s="7">
        <v>1</v>
      </c>
      <c r="C117" s="7"/>
      <c r="D117" s="207" t="s">
        <v>906</v>
      </c>
      <c r="E117" s="7">
        <v>25</v>
      </c>
      <c r="F117" s="311" t="s">
        <v>109</v>
      </c>
      <c r="G117" s="75" t="str">
        <f>IFERROR(IF(VLOOKUP(TableHandbook[[#This Row],[UDC]],TableAvailabilities[],2,FALSE)&gt;0,"Y",""),"")</f>
        <v/>
      </c>
      <c r="H117" s="75" t="str">
        <f>IFERROR(IF(VLOOKUP(TableHandbook[[#This Row],[UDC]],TableAvailabilities[],3,FALSE)&gt;0,"Y",""),"")</f>
        <v/>
      </c>
      <c r="I117" s="75" t="str">
        <f>IFERROR(IF(VLOOKUP(TableHandbook[[#This Row],[UDC]],TableAvailabilities[],4,FALSE)&gt;0,"Y",""),"")</f>
        <v/>
      </c>
      <c r="J117" s="75" t="str">
        <f>IFERROR(IF(VLOOKUP(TableHandbook[[#This Row],[UDC]],TableAvailabilities[],5,FALSE)&gt;0,"Y",""),"")</f>
        <v>Y</v>
      </c>
      <c r="K117" s="75" t="str">
        <f>IFERROR(IF(VLOOKUP(TableHandbook[[#This Row],[UDC]],TableAvailabilities[],6,FALSE)&gt;0,"Y",""),"")</f>
        <v>Y</v>
      </c>
      <c r="L117" s="75" t="str">
        <f>IFERROR(IF(VLOOKUP(TableHandbook[[#This Row],[UDC]],TableAvailabilities[],7,FALSE)&gt;0,"Y",""),"")</f>
        <v>Y</v>
      </c>
      <c r="M117" s="207"/>
      <c r="N117" s="209" t="str">
        <f>IFERROR(VLOOKUP(TableHandbook[[#This Row],[UDC]],TableBEDUC[],7,FALSE),"")</f>
        <v/>
      </c>
      <c r="O117" s="209" t="str">
        <f>IFERROR(VLOOKUP(TableHandbook[[#This Row],[UDC]],TableBEDEC[],7,FALSE),"")</f>
        <v/>
      </c>
      <c r="P117" s="211" t="str">
        <f>IFERROR(VLOOKUP(TableHandbook[[#This Row],[UDC]],TableBEDPR[],7,FALSE),"")</f>
        <v>Core</v>
      </c>
      <c r="Q117" s="209" t="str">
        <f>IFERROR(VLOOKUP(TableHandbook[[#This Row],[UDC]],TableSTRUCATHL[],7,FALSE),"")</f>
        <v/>
      </c>
      <c r="R117" s="209" t="str">
        <f>IFERROR(VLOOKUP(TableHandbook[[#This Row],[UDC]],TableSTRUENGLL[],7,FALSE),"")</f>
        <v/>
      </c>
      <c r="S117" s="209" t="str">
        <f>IFERROR(VLOOKUP(TableHandbook[[#This Row],[UDC]],TableSTRUHLTPE[],7,FALSE),"")</f>
        <v/>
      </c>
      <c r="T117" s="209" t="str">
        <f>IFERROR(VLOOKUP(TableHandbook[[#This Row],[UDC]],TableSTRUISTEM[],7,FALSE),"")</f>
        <v/>
      </c>
      <c r="U117" s="209" t="str">
        <f>IFERROR(VLOOKUP(TableHandbook[[#This Row],[UDC]],TableSTRULITNU[],7,FALSE),"")</f>
        <v/>
      </c>
      <c r="V117" s="209" t="str">
        <f>IFERROR(VLOOKUP(TableHandbook[[#This Row],[UDC]],TableSTRUTECHS[],7,FALSE),"")</f>
        <v/>
      </c>
      <c r="W117" s="211" t="str">
        <f>IFERROR(VLOOKUP(TableHandbook[[#This Row],[UDC]],TableBEDSC[],7,FALSE),"")</f>
        <v/>
      </c>
      <c r="X117" s="211" t="str">
        <f>IFERROR(VLOOKUP(TableHandbook[[#This Row],[UDC]],TableMJRUARDR1[],7,FALSE),"")</f>
        <v/>
      </c>
      <c r="Y117" s="209" t="str">
        <f>IFERROR(VLOOKUP(TableHandbook[[#This Row],[UDC]],TableMJRUARME1[],7,FALSE),"")</f>
        <v/>
      </c>
      <c r="Z117" s="209" t="str">
        <f>IFERROR(VLOOKUP(TableHandbook[[#This Row],[UDC]],TableMJRUARVA1[],7,FALSE),"")</f>
        <v/>
      </c>
      <c r="AA117" s="209" t="str">
        <f>IFERROR(VLOOKUP(TableHandbook[[#This Row],[UDC]],TableMJRUENGL1[],7,FALSE),"")</f>
        <v/>
      </c>
      <c r="AB117" s="209" t="str">
        <f>IFERROR(VLOOKUP(TableHandbook[[#This Row],[UDC]],TableMJRUHSEC1[],7,FALSE),"")</f>
        <v/>
      </c>
      <c r="AC117" s="209" t="str">
        <f>IFERROR(VLOOKUP(TableHandbook[[#This Row],[UDC]],TableMJRUHSGE1[],7,FALSE),"")</f>
        <v/>
      </c>
      <c r="AD117" s="209" t="str">
        <f>IFERROR(VLOOKUP(TableHandbook[[#This Row],[UDC]],TableMJRUHSHI1[],7,FALSE),"")</f>
        <v/>
      </c>
      <c r="AE117" s="209" t="str">
        <f>IFERROR(VLOOKUP(TableHandbook[[#This Row],[UDC]],TableMJRUHSPL1[],7,FALSE),"")</f>
        <v/>
      </c>
      <c r="AF117" s="209" t="str">
        <f>IFERROR(VLOOKUP(TableHandbook[[#This Row],[UDC]],TableMJRUMATH1[],7,FALSE),"")</f>
        <v/>
      </c>
      <c r="AG117" s="209" t="str">
        <f>IFERROR(VLOOKUP(TableHandbook[[#This Row],[UDC]],TableMJRUPHYSE[],7,FALSE),"")</f>
        <v/>
      </c>
      <c r="AH117" s="209" t="str">
        <f>IFERROR(VLOOKUP(TableHandbook[[#This Row],[UDC]],TableMJRUSCBI1[],7,FALSE),"")</f>
        <v/>
      </c>
      <c r="AI117" s="209" t="str">
        <f>IFERROR(VLOOKUP(TableHandbook[[#This Row],[UDC]],TableMJRUSCCH1[],7,FALSE),"")</f>
        <v/>
      </c>
      <c r="AJ117" s="209" t="str">
        <f>IFERROR(VLOOKUP(TableHandbook[[#This Row],[UDC]],TableMJRUSCHB1[],7,FALSE),"")</f>
        <v/>
      </c>
      <c r="AK117" s="209" t="str">
        <f>IFERROR(VLOOKUP(TableHandbook[[#This Row],[UDC]],TableMJRUSCPH1[],7,FALSE),"")</f>
        <v/>
      </c>
      <c r="AL117" s="209" t="str">
        <f>IFERROR(VLOOKUP(TableHandbook[[#This Row],[UDC]],TableMJRUSCPS1[],7,FALSE),"")</f>
        <v/>
      </c>
      <c r="AM117" s="211" t="str">
        <f>IFERROR(VLOOKUP(TableHandbook[[#This Row],[UDC]],TableSTRUBIOLB[],7,FALSE),"")</f>
        <v/>
      </c>
      <c r="AN117" s="209" t="str">
        <f>IFERROR(VLOOKUP(TableHandbook[[#This Row],[UDC]],TableSTRUBSCIM[],7,FALSE),"")</f>
        <v/>
      </c>
      <c r="AO117" s="209" t="str">
        <f>IFERROR(VLOOKUP(TableHandbook[[#This Row],[UDC]],TableSTRUCHEMB[],7,FALSE),"")</f>
        <v/>
      </c>
      <c r="AP117" s="209" t="str">
        <f>IFERROR(VLOOKUP(TableHandbook[[#This Row],[UDC]],TableSTRUECOB1[],7,FALSE),"")</f>
        <v/>
      </c>
      <c r="AQ117" s="209" t="str">
        <f>IFERROR(VLOOKUP(TableHandbook[[#This Row],[UDC]],TableSTRUENGLB[],7,FALSE),"")</f>
        <v/>
      </c>
      <c r="AR117" s="209" t="str">
        <f>IFERROR(VLOOKUP(TableHandbook[[#This Row],[UDC]],TableSTRUENGLM[],7,FALSE),"")</f>
        <v/>
      </c>
      <c r="AS117" s="209" t="str">
        <f>IFERROR(VLOOKUP(TableHandbook[[#This Row],[UDC]],TableSTRUGEOB1[],7,FALSE),"")</f>
        <v/>
      </c>
      <c r="AT117" s="209" t="str">
        <f>IFERROR(VLOOKUP(TableHandbook[[#This Row],[UDC]],TableSTRUGEOGM[],7,FALSE),"")</f>
        <v/>
      </c>
      <c r="AU117" s="209" t="str">
        <f>IFERROR(VLOOKUP(TableHandbook[[#This Row],[UDC]],TableSTRUHISB1[],7,FALSE),"")</f>
        <v/>
      </c>
      <c r="AV117" s="209" t="str">
        <f>IFERROR(VLOOKUP(TableHandbook[[#This Row],[UDC]],TableSTRUHISTM[],7,FALSE),"")</f>
        <v/>
      </c>
      <c r="AW117" s="209" t="str">
        <f>IFERROR(VLOOKUP(TableHandbook[[#This Row],[UDC]],TableSTRUHPEB1[],7,FALSE),"")</f>
        <v/>
      </c>
      <c r="AX117" s="209" t="str">
        <f>IFERROR(VLOOKUP(TableHandbook[[#This Row],[UDC]],TableSTRUHUMBB[],7,FALSE),"")</f>
        <v/>
      </c>
      <c r="AY117" s="209" t="str">
        <f>IFERROR(VLOOKUP(TableHandbook[[#This Row],[UDC]],TableSTRUMARTM[],7,FALSE),"")</f>
        <v/>
      </c>
      <c r="AZ117" s="209" t="str">
        <f>IFERROR(VLOOKUP(TableHandbook[[#This Row],[UDC]],TableSTRUMATHB[],7,FALSE),"")</f>
        <v/>
      </c>
      <c r="BA117" s="209" t="str">
        <f>IFERROR(VLOOKUP(TableHandbook[[#This Row],[UDC]],TableSTRUMATHM[],7,FALSE),"")</f>
        <v/>
      </c>
      <c r="BB117" s="209" t="str">
        <f>IFERROR(VLOOKUP(TableHandbook[[#This Row],[UDC]],TableSTRUPARTB[],7,FALSE),"")</f>
        <v/>
      </c>
      <c r="BC117" s="209" t="str">
        <f>IFERROR(VLOOKUP(TableHandbook[[#This Row],[UDC]],TableSTRUPARTM[],7,FALSE),"")</f>
        <v/>
      </c>
      <c r="BD117" s="209" t="str">
        <f>IFERROR(VLOOKUP(TableHandbook[[#This Row],[UDC]],TableSTRUPOLB1[],7,FALSE),"")</f>
        <v/>
      </c>
      <c r="BE117" s="209" t="str">
        <f>IFERROR(VLOOKUP(TableHandbook[[#This Row],[UDC]],TableSTRUPSYCB[],7,FALSE),"")</f>
        <v/>
      </c>
      <c r="BF117" s="209" t="str">
        <f>IFERROR(VLOOKUP(TableHandbook[[#This Row],[UDC]],TableSTRUPSYCM[],7,FALSE),"")</f>
        <v/>
      </c>
      <c r="BG117" s="209" t="str">
        <f>IFERROR(VLOOKUP(TableHandbook[[#This Row],[UDC]],TableSTRUVARTB[],7,FALSE),"")</f>
        <v/>
      </c>
      <c r="BH117" s="209" t="str">
        <f>IFERROR(VLOOKUP(TableHandbook[[#This Row],[UDC]],TableSTRUVARTM[],7,FALSE),"")</f>
        <v/>
      </c>
    </row>
    <row r="118" spans="1:60" x14ac:dyDescent="0.25">
      <c r="A118" s="6" t="s">
        <v>95</v>
      </c>
      <c r="B118" s="7">
        <v>1</v>
      </c>
      <c r="C118" s="7"/>
      <c r="D118" s="207" t="s">
        <v>907</v>
      </c>
      <c r="E118" s="7">
        <v>25</v>
      </c>
      <c r="F118" s="311" t="s">
        <v>887</v>
      </c>
      <c r="G118" s="75" t="str">
        <f>IFERROR(IF(VLOOKUP(TableHandbook[[#This Row],[UDC]],TableAvailabilities[],2,FALSE)&gt;0,"Y",""),"")</f>
        <v>Y</v>
      </c>
      <c r="H118" s="75" t="str">
        <f>IFERROR(IF(VLOOKUP(TableHandbook[[#This Row],[UDC]],TableAvailabilities[],3,FALSE)&gt;0,"Y",""),"")</f>
        <v>Y</v>
      </c>
      <c r="I118" s="75" t="str">
        <f>IFERROR(IF(VLOOKUP(TableHandbook[[#This Row],[UDC]],TableAvailabilities[],4,FALSE)&gt;0,"Y",""),"")</f>
        <v>Y</v>
      </c>
      <c r="J118" s="75" t="str">
        <f>IFERROR(IF(VLOOKUP(TableHandbook[[#This Row],[UDC]],TableAvailabilities[],5,FALSE)&gt;0,"Y",""),"")</f>
        <v/>
      </c>
      <c r="K118" s="75" t="str">
        <f>IFERROR(IF(VLOOKUP(TableHandbook[[#This Row],[UDC]],TableAvailabilities[],6,FALSE)&gt;0,"Y",""),"")</f>
        <v/>
      </c>
      <c r="L118" s="75" t="str">
        <f>IFERROR(IF(VLOOKUP(TableHandbook[[#This Row],[UDC]],TableAvailabilities[],7,FALSE)&gt;0,"Y",""),"")</f>
        <v/>
      </c>
      <c r="M118" s="207"/>
      <c r="N118" s="209" t="str">
        <f>IFERROR(VLOOKUP(TableHandbook[[#This Row],[UDC]],TableBEDUC[],7,FALSE),"")</f>
        <v>Core</v>
      </c>
      <c r="O118" s="209" t="str">
        <f>IFERROR(VLOOKUP(TableHandbook[[#This Row],[UDC]],TableBEDEC[],7,FALSE),"")</f>
        <v>Option</v>
      </c>
      <c r="P118" s="211" t="str">
        <f>IFERROR(VLOOKUP(TableHandbook[[#This Row],[UDC]],TableBEDPR[],7,FALSE),"")</f>
        <v>Core</v>
      </c>
      <c r="Q118" s="209" t="str">
        <f>IFERROR(VLOOKUP(TableHandbook[[#This Row],[UDC]],TableSTRUCATHL[],7,FALSE),"")</f>
        <v/>
      </c>
      <c r="R118" s="209" t="str">
        <f>IFERROR(VLOOKUP(TableHandbook[[#This Row],[UDC]],TableSTRUENGLL[],7,FALSE),"")</f>
        <v/>
      </c>
      <c r="S118" s="209" t="str">
        <f>IFERROR(VLOOKUP(TableHandbook[[#This Row],[UDC]],TableSTRUHLTPE[],7,FALSE),"")</f>
        <v/>
      </c>
      <c r="T118" s="209" t="str">
        <f>IFERROR(VLOOKUP(TableHandbook[[#This Row],[UDC]],TableSTRUISTEM[],7,FALSE),"")</f>
        <v/>
      </c>
      <c r="U118" s="209" t="str">
        <f>IFERROR(VLOOKUP(TableHandbook[[#This Row],[UDC]],TableSTRULITNU[],7,FALSE),"")</f>
        <v/>
      </c>
      <c r="V118" s="209" t="str">
        <f>IFERROR(VLOOKUP(TableHandbook[[#This Row],[UDC]],TableSTRUTECHS[],7,FALSE),"")</f>
        <v/>
      </c>
      <c r="W118" s="211" t="str">
        <f>IFERROR(VLOOKUP(TableHandbook[[#This Row],[UDC]],TableBEDSC[],7,FALSE),"")</f>
        <v/>
      </c>
      <c r="X118" s="211" t="str">
        <f>IFERROR(VLOOKUP(TableHandbook[[#This Row],[UDC]],TableMJRUARDR1[],7,FALSE),"")</f>
        <v/>
      </c>
      <c r="Y118" s="209" t="str">
        <f>IFERROR(VLOOKUP(TableHandbook[[#This Row],[UDC]],TableMJRUARME1[],7,FALSE),"")</f>
        <v/>
      </c>
      <c r="Z118" s="209" t="str">
        <f>IFERROR(VLOOKUP(TableHandbook[[#This Row],[UDC]],TableMJRUARVA1[],7,FALSE),"")</f>
        <v/>
      </c>
      <c r="AA118" s="209" t="str">
        <f>IFERROR(VLOOKUP(TableHandbook[[#This Row],[UDC]],TableMJRUENGL1[],7,FALSE),"")</f>
        <v/>
      </c>
      <c r="AB118" s="209" t="str">
        <f>IFERROR(VLOOKUP(TableHandbook[[#This Row],[UDC]],TableMJRUHSEC1[],7,FALSE),"")</f>
        <v/>
      </c>
      <c r="AC118" s="209" t="str">
        <f>IFERROR(VLOOKUP(TableHandbook[[#This Row],[UDC]],TableMJRUHSGE1[],7,FALSE),"")</f>
        <v/>
      </c>
      <c r="AD118" s="209" t="str">
        <f>IFERROR(VLOOKUP(TableHandbook[[#This Row],[UDC]],TableMJRUHSHI1[],7,FALSE),"")</f>
        <v/>
      </c>
      <c r="AE118" s="209" t="str">
        <f>IFERROR(VLOOKUP(TableHandbook[[#This Row],[UDC]],TableMJRUHSPL1[],7,FALSE),"")</f>
        <v/>
      </c>
      <c r="AF118" s="209" t="str">
        <f>IFERROR(VLOOKUP(TableHandbook[[#This Row],[UDC]],TableMJRUMATH1[],7,FALSE),"")</f>
        <v/>
      </c>
      <c r="AG118" s="209" t="str">
        <f>IFERROR(VLOOKUP(TableHandbook[[#This Row],[UDC]],TableMJRUPHYSE[],7,FALSE),"")</f>
        <v/>
      </c>
      <c r="AH118" s="209" t="str">
        <f>IFERROR(VLOOKUP(TableHandbook[[#This Row],[UDC]],TableMJRUSCBI1[],7,FALSE),"")</f>
        <v/>
      </c>
      <c r="AI118" s="209" t="str">
        <f>IFERROR(VLOOKUP(TableHandbook[[#This Row],[UDC]],TableMJRUSCCH1[],7,FALSE),"")</f>
        <v/>
      </c>
      <c r="AJ118" s="209" t="str">
        <f>IFERROR(VLOOKUP(TableHandbook[[#This Row],[UDC]],TableMJRUSCHB1[],7,FALSE),"")</f>
        <v/>
      </c>
      <c r="AK118" s="209" t="str">
        <f>IFERROR(VLOOKUP(TableHandbook[[#This Row],[UDC]],TableMJRUSCPH1[],7,FALSE),"")</f>
        <v/>
      </c>
      <c r="AL118" s="209" t="str">
        <f>IFERROR(VLOOKUP(TableHandbook[[#This Row],[UDC]],TableMJRUSCPS1[],7,FALSE),"")</f>
        <v/>
      </c>
      <c r="AM118" s="211" t="str">
        <f>IFERROR(VLOOKUP(TableHandbook[[#This Row],[UDC]],TableSTRUBIOLB[],7,FALSE),"")</f>
        <v/>
      </c>
      <c r="AN118" s="209" t="str">
        <f>IFERROR(VLOOKUP(TableHandbook[[#This Row],[UDC]],TableSTRUBSCIM[],7,FALSE),"")</f>
        <v/>
      </c>
      <c r="AO118" s="209" t="str">
        <f>IFERROR(VLOOKUP(TableHandbook[[#This Row],[UDC]],TableSTRUCHEMB[],7,FALSE),"")</f>
        <v/>
      </c>
      <c r="AP118" s="209" t="str">
        <f>IFERROR(VLOOKUP(TableHandbook[[#This Row],[UDC]],TableSTRUECOB1[],7,FALSE),"")</f>
        <v/>
      </c>
      <c r="AQ118" s="209" t="str">
        <f>IFERROR(VLOOKUP(TableHandbook[[#This Row],[UDC]],TableSTRUENGLB[],7,FALSE),"")</f>
        <v/>
      </c>
      <c r="AR118" s="209" t="str">
        <f>IFERROR(VLOOKUP(TableHandbook[[#This Row],[UDC]],TableSTRUENGLM[],7,FALSE),"")</f>
        <v/>
      </c>
      <c r="AS118" s="209" t="str">
        <f>IFERROR(VLOOKUP(TableHandbook[[#This Row],[UDC]],TableSTRUGEOB1[],7,FALSE),"")</f>
        <v/>
      </c>
      <c r="AT118" s="209" t="str">
        <f>IFERROR(VLOOKUP(TableHandbook[[#This Row],[UDC]],TableSTRUGEOGM[],7,FALSE),"")</f>
        <v/>
      </c>
      <c r="AU118" s="209" t="str">
        <f>IFERROR(VLOOKUP(TableHandbook[[#This Row],[UDC]],TableSTRUHISB1[],7,FALSE),"")</f>
        <v/>
      </c>
      <c r="AV118" s="209" t="str">
        <f>IFERROR(VLOOKUP(TableHandbook[[#This Row],[UDC]],TableSTRUHISTM[],7,FALSE),"")</f>
        <v/>
      </c>
      <c r="AW118" s="209" t="str">
        <f>IFERROR(VLOOKUP(TableHandbook[[#This Row],[UDC]],TableSTRUHPEB1[],7,FALSE),"")</f>
        <v/>
      </c>
      <c r="AX118" s="209" t="str">
        <f>IFERROR(VLOOKUP(TableHandbook[[#This Row],[UDC]],TableSTRUHUMBB[],7,FALSE),"")</f>
        <v/>
      </c>
      <c r="AY118" s="209" t="str">
        <f>IFERROR(VLOOKUP(TableHandbook[[#This Row],[UDC]],TableSTRUMARTM[],7,FALSE),"")</f>
        <v/>
      </c>
      <c r="AZ118" s="209" t="str">
        <f>IFERROR(VLOOKUP(TableHandbook[[#This Row],[UDC]],TableSTRUMATHB[],7,FALSE),"")</f>
        <v/>
      </c>
      <c r="BA118" s="209" t="str">
        <f>IFERROR(VLOOKUP(TableHandbook[[#This Row],[UDC]],TableSTRUMATHM[],7,FALSE),"")</f>
        <v/>
      </c>
      <c r="BB118" s="209" t="str">
        <f>IFERROR(VLOOKUP(TableHandbook[[#This Row],[UDC]],TableSTRUPARTB[],7,FALSE),"")</f>
        <v/>
      </c>
      <c r="BC118" s="209" t="str">
        <f>IFERROR(VLOOKUP(TableHandbook[[#This Row],[UDC]],TableSTRUPARTM[],7,FALSE),"")</f>
        <v/>
      </c>
      <c r="BD118" s="209" t="str">
        <f>IFERROR(VLOOKUP(TableHandbook[[#This Row],[UDC]],TableSTRUPOLB1[],7,FALSE),"")</f>
        <v/>
      </c>
      <c r="BE118" s="209" t="str">
        <f>IFERROR(VLOOKUP(TableHandbook[[#This Row],[UDC]],TableSTRUPSYCB[],7,FALSE),"")</f>
        <v/>
      </c>
      <c r="BF118" s="209" t="str">
        <f>IFERROR(VLOOKUP(TableHandbook[[#This Row],[UDC]],TableSTRUPSYCM[],7,FALSE),"")</f>
        <v/>
      </c>
      <c r="BG118" s="209" t="str">
        <f>IFERROR(VLOOKUP(TableHandbook[[#This Row],[UDC]],TableSTRUVARTB[],7,FALSE),"")</f>
        <v/>
      </c>
      <c r="BH118" s="209" t="str">
        <f>IFERROR(VLOOKUP(TableHandbook[[#This Row],[UDC]],TableSTRUVARTM[],7,FALSE),"")</f>
        <v/>
      </c>
    </row>
    <row r="119" spans="1:60" x14ac:dyDescent="0.25">
      <c r="A119" s="6" t="s">
        <v>135</v>
      </c>
      <c r="B119" s="7">
        <v>1</v>
      </c>
      <c r="C119" s="7"/>
      <c r="D119" s="207" t="s">
        <v>908</v>
      </c>
      <c r="E119" s="7">
        <v>25</v>
      </c>
      <c r="F119" s="311" t="s">
        <v>90</v>
      </c>
      <c r="G119" s="75" t="str">
        <f>IFERROR(IF(VLOOKUP(TableHandbook[[#This Row],[UDC]],TableAvailabilities[],2,FALSE)&gt;0,"Y",""),"")</f>
        <v>Y</v>
      </c>
      <c r="H119" s="75" t="str">
        <f>IFERROR(IF(VLOOKUP(TableHandbook[[#This Row],[UDC]],TableAvailabilities[],3,FALSE)&gt;0,"Y",""),"")</f>
        <v>Y</v>
      </c>
      <c r="I119" s="75" t="str">
        <f>IFERROR(IF(VLOOKUP(TableHandbook[[#This Row],[UDC]],TableAvailabilities[],4,FALSE)&gt;0,"Y",""),"")</f>
        <v>Y</v>
      </c>
      <c r="J119" s="75" t="str">
        <f>IFERROR(IF(VLOOKUP(TableHandbook[[#This Row],[UDC]],TableAvailabilities[],5,FALSE)&gt;0,"Y",""),"")</f>
        <v/>
      </c>
      <c r="K119" s="75" t="str">
        <f>IFERROR(IF(VLOOKUP(TableHandbook[[#This Row],[UDC]],TableAvailabilities[],6,FALSE)&gt;0,"Y",""),"")</f>
        <v/>
      </c>
      <c r="L119" s="75" t="str">
        <f>IFERROR(IF(VLOOKUP(TableHandbook[[#This Row],[UDC]],TableAvailabilities[],7,FALSE)&gt;0,"Y",""),"")</f>
        <v/>
      </c>
      <c r="M119" s="207"/>
      <c r="N119" s="209" t="str">
        <f>IFERROR(VLOOKUP(TableHandbook[[#This Row],[UDC]],TableBEDUC[],7,FALSE),"")</f>
        <v/>
      </c>
      <c r="O119" s="209" t="str">
        <f>IFERROR(VLOOKUP(TableHandbook[[#This Row],[UDC]],TableBEDEC[],7,FALSE),"")</f>
        <v>Option</v>
      </c>
      <c r="P119" s="211" t="str">
        <f>IFERROR(VLOOKUP(TableHandbook[[#This Row],[UDC]],TableBEDPR[],7,FALSE),"")</f>
        <v>Core</v>
      </c>
      <c r="Q119" s="209" t="str">
        <f>IFERROR(VLOOKUP(TableHandbook[[#This Row],[UDC]],TableSTRUCATHL[],7,FALSE),"")</f>
        <v/>
      </c>
      <c r="R119" s="209" t="str">
        <f>IFERROR(VLOOKUP(TableHandbook[[#This Row],[UDC]],TableSTRUENGLL[],7,FALSE),"")</f>
        <v/>
      </c>
      <c r="S119" s="209" t="str">
        <f>IFERROR(VLOOKUP(TableHandbook[[#This Row],[UDC]],TableSTRUHLTPE[],7,FALSE),"")</f>
        <v/>
      </c>
      <c r="T119" s="209" t="str">
        <f>IFERROR(VLOOKUP(TableHandbook[[#This Row],[UDC]],TableSTRUISTEM[],7,FALSE),"")</f>
        <v/>
      </c>
      <c r="U119" s="209" t="str">
        <f>IFERROR(VLOOKUP(TableHandbook[[#This Row],[UDC]],TableSTRULITNU[],7,FALSE),"")</f>
        <v/>
      </c>
      <c r="V119" s="209" t="str">
        <f>IFERROR(VLOOKUP(TableHandbook[[#This Row],[UDC]],TableSTRUTECHS[],7,FALSE),"")</f>
        <v/>
      </c>
      <c r="W119" s="211" t="str">
        <f>IFERROR(VLOOKUP(TableHandbook[[#This Row],[UDC]],TableBEDSC[],7,FALSE),"")</f>
        <v/>
      </c>
      <c r="X119" s="211" t="str">
        <f>IFERROR(VLOOKUP(TableHandbook[[#This Row],[UDC]],TableMJRUARDR1[],7,FALSE),"")</f>
        <v/>
      </c>
      <c r="Y119" s="209" t="str">
        <f>IFERROR(VLOOKUP(TableHandbook[[#This Row],[UDC]],TableMJRUARME1[],7,FALSE),"")</f>
        <v/>
      </c>
      <c r="Z119" s="209" t="str">
        <f>IFERROR(VLOOKUP(TableHandbook[[#This Row],[UDC]],TableMJRUARVA1[],7,FALSE),"")</f>
        <v/>
      </c>
      <c r="AA119" s="209" t="str">
        <f>IFERROR(VLOOKUP(TableHandbook[[#This Row],[UDC]],TableMJRUENGL1[],7,FALSE),"")</f>
        <v/>
      </c>
      <c r="AB119" s="209" t="str">
        <f>IFERROR(VLOOKUP(TableHandbook[[#This Row],[UDC]],TableMJRUHSEC1[],7,FALSE),"")</f>
        <v/>
      </c>
      <c r="AC119" s="209" t="str">
        <f>IFERROR(VLOOKUP(TableHandbook[[#This Row],[UDC]],TableMJRUHSGE1[],7,FALSE),"")</f>
        <v/>
      </c>
      <c r="AD119" s="209" t="str">
        <f>IFERROR(VLOOKUP(TableHandbook[[#This Row],[UDC]],TableMJRUHSHI1[],7,FALSE),"")</f>
        <v/>
      </c>
      <c r="AE119" s="209" t="str">
        <f>IFERROR(VLOOKUP(TableHandbook[[#This Row],[UDC]],TableMJRUHSPL1[],7,FALSE),"")</f>
        <v/>
      </c>
      <c r="AF119" s="209" t="str">
        <f>IFERROR(VLOOKUP(TableHandbook[[#This Row],[UDC]],TableMJRUMATH1[],7,FALSE),"")</f>
        <v/>
      </c>
      <c r="AG119" s="209" t="str">
        <f>IFERROR(VLOOKUP(TableHandbook[[#This Row],[UDC]],TableMJRUPHYSE[],7,FALSE),"")</f>
        <v/>
      </c>
      <c r="AH119" s="209" t="str">
        <f>IFERROR(VLOOKUP(TableHandbook[[#This Row],[UDC]],TableMJRUSCBI1[],7,FALSE),"")</f>
        <v/>
      </c>
      <c r="AI119" s="209" t="str">
        <f>IFERROR(VLOOKUP(TableHandbook[[#This Row],[UDC]],TableMJRUSCCH1[],7,FALSE),"")</f>
        <v/>
      </c>
      <c r="AJ119" s="209" t="str">
        <f>IFERROR(VLOOKUP(TableHandbook[[#This Row],[UDC]],TableMJRUSCHB1[],7,FALSE),"")</f>
        <v/>
      </c>
      <c r="AK119" s="209" t="str">
        <f>IFERROR(VLOOKUP(TableHandbook[[#This Row],[UDC]],TableMJRUSCPH1[],7,FALSE),"")</f>
        <v/>
      </c>
      <c r="AL119" s="209" t="str">
        <f>IFERROR(VLOOKUP(TableHandbook[[#This Row],[UDC]],TableMJRUSCPS1[],7,FALSE),"")</f>
        <v/>
      </c>
      <c r="AM119" s="211" t="str">
        <f>IFERROR(VLOOKUP(TableHandbook[[#This Row],[UDC]],TableSTRUBIOLB[],7,FALSE),"")</f>
        <v/>
      </c>
      <c r="AN119" s="209" t="str">
        <f>IFERROR(VLOOKUP(TableHandbook[[#This Row],[UDC]],TableSTRUBSCIM[],7,FALSE),"")</f>
        <v/>
      </c>
      <c r="AO119" s="209" t="str">
        <f>IFERROR(VLOOKUP(TableHandbook[[#This Row],[UDC]],TableSTRUCHEMB[],7,FALSE),"")</f>
        <v/>
      </c>
      <c r="AP119" s="209" t="str">
        <f>IFERROR(VLOOKUP(TableHandbook[[#This Row],[UDC]],TableSTRUECOB1[],7,FALSE),"")</f>
        <v/>
      </c>
      <c r="AQ119" s="209" t="str">
        <f>IFERROR(VLOOKUP(TableHandbook[[#This Row],[UDC]],TableSTRUENGLB[],7,FALSE),"")</f>
        <v/>
      </c>
      <c r="AR119" s="209" t="str">
        <f>IFERROR(VLOOKUP(TableHandbook[[#This Row],[UDC]],TableSTRUENGLM[],7,FALSE),"")</f>
        <v/>
      </c>
      <c r="AS119" s="209" t="str">
        <f>IFERROR(VLOOKUP(TableHandbook[[#This Row],[UDC]],TableSTRUGEOB1[],7,FALSE),"")</f>
        <v/>
      </c>
      <c r="AT119" s="209" t="str">
        <f>IFERROR(VLOOKUP(TableHandbook[[#This Row],[UDC]],TableSTRUGEOGM[],7,FALSE),"")</f>
        <v/>
      </c>
      <c r="AU119" s="209" t="str">
        <f>IFERROR(VLOOKUP(TableHandbook[[#This Row],[UDC]],TableSTRUHISB1[],7,FALSE),"")</f>
        <v/>
      </c>
      <c r="AV119" s="209" t="str">
        <f>IFERROR(VLOOKUP(TableHandbook[[#This Row],[UDC]],TableSTRUHISTM[],7,FALSE),"")</f>
        <v/>
      </c>
      <c r="AW119" s="209" t="str">
        <f>IFERROR(VLOOKUP(TableHandbook[[#This Row],[UDC]],TableSTRUHPEB1[],7,FALSE),"")</f>
        <v/>
      </c>
      <c r="AX119" s="209" t="str">
        <f>IFERROR(VLOOKUP(TableHandbook[[#This Row],[UDC]],TableSTRUHUMBB[],7,FALSE),"")</f>
        <v/>
      </c>
      <c r="AY119" s="209" t="str">
        <f>IFERROR(VLOOKUP(TableHandbook[[#This Row],[UDC]],TableSTRUMARTM[],7,FALSE),"")</f>
        <v/>
      </c>
      <c r="AZ119" s="209" t="str">
        <f>IFERROR(VLOOKUP(TableHandbook[[#This Row],[UDC]],TableSTRUMATHB[],7,FALSE),"")</f>
        <v>Core</v>
      </c>
      <c r="BA119" s="209" t="str">
        <f>IFERROR(VLOOKUP(TableHandbook[[#This Row],[UDC]],TableSTRUMATHM[],7,FALSE),"")</f>
        <v/>
      </c>
      <c r="BB119" s="209" t="str">
        <f>IFERROR(VLOOKUP(TableHandbook[[#This Row],[UDC]],TableSTRUPARTB[],7,FALSE),"")</f>
        <v/>
      </c>
      <c r="BC119" s="209" t="str">
        <f>IFERROR(VLOOKUP(TableHandbook[[#This Row],[UDC]],TableSTRUPARTM[],7,FALSE),"")</f>
        <v/>
      </c>
      <c r="BD119" s="209" t="str">
        <f>IFERROR(VLOOKUP(TableHandbook[[#This Row],[UDC]],TableSTRUPOLB1[],7,FALSE),"")</f>
        <v/>
      </c>
      <c r="BE119" s="209" t="str">
        <f>IFERROR(VLOOKUP(TableHandbook[[#This Row],[UDC]],TableSTRUPSYCB[],7,FALSE),"")</f>
        <v/>
      </c>
      <c r="BF119" s="209" t="str">
        <f>IFERROR(VLOOKUP(TableHandbook[[#This Row],[UDC]],TableSTRUPSYCM[],7,FALSE),"")</f>
        <v/>
      </c>
      <c r="BG119" s="209" t="str">
        <f>IFERROR(VLOOKUP(TableHandbook[[#This Row],[UDC]],TableSTRUVARTB[],7,FALSE),"")</f>
        <v/>
      </c>
      <c r="BH119" s="209" t="str">
        <f>IFERROR(VLOOKUP(TableHandbook[[#This Row],[UDC]],TableSTRUVARTM[],7,FALSE),"")</f>
        <v/>
      </c>
    </row>
    <row r="120" spans="1:60" x14ac:dyDescent="0.25">
      <c r="A120" s="6" t="s">
        <v>132</v>
      </c>
      <c r="B120" s="7">
        <v>2</v>
      </c>
      <c r="C120" s="7"/>
      <c r="D120" s="207" t="s">
        <v>909</v>
      </c>
      <c r="E120" s="7">
        <v>25</v>
      </c>
      <c r="F120" s="311" t="s">
        <v>91</v>
      </c>
      <c r="G120" s="75" t="str">
        <f>IFERROR(IF(VLOOKUP(TableHandbook[[#This Row],[UDC]],TableAvailabilities[],2,FALSE)&gt;0,"Y",""),"")</f>
        <v/>
      </c>
      <c r="H120" s="75" t="str">
        <f>IFERROR(IF(VLOOKUP(TableHandbook[[#This Row],[UDC]],TableAvailabilities[],3,FALSE)&gt;0,"Y",""),"")</f>
        <v/>
      </c>
      <c r="I120" s="75" t="str">
        <f>IFERROR(IF(VLOOKUP(TableHandbook[[#This Row],[UDC]],TableAvailabilities[],4,FALSE)&gt;0,"Y",""),"")</f>
        <v/>
      </c>
      <c r="J120" s="75" t="str">
        <f>IFERROR(IF(VLOOKUP(TableHandbook[[#This Row],[UDC]],TableAvailabilities[],5,FALSE)&gt;0,"Y",""),"")</f>
        <v>Y</v>
      </c>
      <c r="K120" s="75" t="str">
        <f>IFERROR(IF(VLOOKUP(TableHandbook[[#This Row],[UDC]],TableAvailabilities[],6,FALSE)&gt;0,"Y",""),"")</f>
        <v>Y</v>
      </c>
      <c r="L120" s="75" t="str">
        <f>IFERROR(IF(VLOOKUP(TableHandbook[[#This Row],[UDC]],TableAvailabilities[],7,FALSE)&gt;0,"Y",""),"")</f>
        <v>Y</v>
      </c>
      <c r="M120" s="207"/>
      <c r="N120" s="209" t="str">
        <f>IFERROR(VLOOKUP(TableHandbook[[#This Row],[UDC]],TableBEDUC[],7,FALSE),"")</f>
        <v/>
      </c>
      <c r="O120" s="209" t="str">
        <f>IFERROR(VLOOKUP(TableHandbook[[#This Row],[UDC]],TableBEDEC[],7,FALSE),"")</f>
        <v>Option</v>
      </c>
      <c r="P120" s="211" t="str">
        <f>IFERROR(VLOOKUP(TableHandbook[[#This Row],[UDC]],TableBEDPR[],7,FALSE),"")</f>
        <v>Core</v>
      </c>
      <c r="Q120" s="209" t="str">
        <f>IFERROR(VLOOKUP(TableHandbook[[#This Row],[UDC]],TableSTRUCATHL[],7,FALSE),"")</f>
        <v/>
      </c>
      <c r="R120" s="209" t="str">
        <f>IFERROR(VLOOKUP(TableHandbook[[#This Row],[UDC]],TableSTRUENGLL[],7,FALSE),"")</f>
        <v/>
      </c>
      <c r="S120" s="209" t="str">
        <f>IFERROR(VLOOKUP(TableHandbook[[#This Row],[UDC]],TableSTRUHLTPE[],7,FALSE),"")</f>
        <v/>
      </c>
      <c r="T120" s="209" t="str">
        <f>IFERROR(VLOOKUP(TableHandbook[[#This Row],[UDC]],TableSTRUISTEM[],7,FALSE),"")</f>
        <v/>
      </c>
      <c r="U120" s="209" t="str">
        <f>IFERROR(VLOOKUP(TableHandbook[[#This Row],[UDC]],TableSTRULITNU[],7,FALSE),"")</f>
        <v/>
      </c>
      <c r="V120" s="209" t="str">
        <f>IFERROR(VLOOKUP(TableHandbook[[#This Row],[UDC]],TableSTRUTECHS[],7,FALSE),"")</f>
        <v/>
      </c>
      <c r="W120" s="211" t="str">
        <f>IFERROR(VLOOKUP(TableHandbook[[#This Row],[UDC]],TableBEDSC[],7,FALSE),"")</f>
        <v/>
      </c>
      <c r="X120" s="211" t="str">
        <f>IFERROR(VLOOKUP(TableHandbook[[#This Row],[UDC]],TableMJRUARDR1[],7,FALSE),"")</f>
        <v/>
      </c>
      <c r="Y120" s="209" t="str">
        <f>IFERROR(VLOOKUP(TableHandbook[[#This Row],[UDC]],TableMJRUARME1[],7,FALSE),"")</f>
        <v/>
      </c>
      <c r="Z120" s="209" t="str">
        <f>IFERROR(VLOOKUP(TableHandbook[[#This Row],[UDC]],TableMJRUARVA1[],7,FALSE),"")</f>
        <v/>
      </c>
      <c r="AA120" s="209" t="str">
        <f>IFERROR(VLOOKUP(TableHandbook[[#This Row],[UDC]],TableMJRUENGL1[],7,FALSE),"")</f>
        <v/>
      </c>
      <c r="AB120" s="209" t="str">
        <f>IFERROR(VLOOKUP(TableHandbook[[#This Row],[UDC]],TableMJRUHSEC1[],7,FALSE),"")</f>
        <v/>
      </c>
      <c r="AC120" s="209" t="str">
        <f>IFERROR(VLOOKUP(TableHandbook[[#This Row],[UDC]],TableMJRUHSGE1[],7,FALSE),"")</f>
        <v/>
      </c>
      <c r="AD120" s="209" t="str">
        <f>IFERROR(VLOOKUP(TableHandbook[[#This Row],[UDC]],TableMJRUHSHI1[],7,FALSE),"")</f>
        <v/>
      </c>
      <c r="AE120" s="209" t="str">
        <f>IFERROR(VLOOKUP(TableHandbook[[#This Row],[UDC]],TableMJRUHSPL1[],7,FALSE),"")</f>
        <v/>
      </c>
      <c r="AF120" s="209" t="str">
        <f>IFERROR(VLOOKUP(TableHandbook[[#This Row],[UDC]],TableMJRUMATH1[],7,FALSE),"")</f>
        <v/>
      </c>
      <c r="AG120" s="209" t="str">
        <f>IFERROR(VLOOKUP(TableHandbook[[#This Row],[UDC]],TableMJRUPHYSE[],7,FALSE),"")</f>
        <v/>
      </c>
      <c r="AH120" s="209" t="str">
        <f>IFERROR(VLOOKUP(TableHandbook[[#This Row],[UDC]],TableMJRUSCBI1[],7,FALSE),"")</f>
        <v/>
      </c>
      <c r="AI120" s="209" t="str">
        <f>IFERROR(VLOOKUP(TableHandbook[[#This Row],[UDC]],TableMJRUSCCH1[],7,FALSE),"")</f>
        <v/>
      </c>
      <c r="AJ120" s="209" t="str">
        <f>IFERROR(VLOOKUP(TableHandbook[[#This Row],[UDC]],TableMJRUSCHB1[],7,FALSE),"")</f>
        <v/>
      </c>
      <c r="AK120" s="209" t="str">
        <f>IFERROR(VLOOKUP(TableHandbook[[#This Row],[UDC]],TableMJRUSCPH1[],7,FALSE),"")</f>
        <v/>
      </c>
      <c r="AL120" s="209" t="str">
        <f>IFERROR(VLOOKUP(TableHandbook[[#This Row],[UDC]],TableMJRUSCPS1[],7,FALSE),"")</f>
        <v/>
      </c>
      <c r="AM120" s="211" t="str">
        <f>IFERROR(VLOOKUP(TableHandbook[[#This Row],[UDC]],TableSTRUBIOLB[],7,FALSE),"")</f>
        <v/>
      </c>
      <c r="AN120" s="209" t="str">
        <f>IFERROR(VLOOKUP(TableHandbook[[#This Row],[UDC]],TableSTRUBSCIM[],7,FALSE),"")</f>
        <v/>
      </c>
      <c r="AO120" s="209" t="str">
        <f>IFERROR(VLOOKUP(TableHandbook[[#This Row],[UDC]],TableSTRUCHEMB[],7,FALSE),"")</f>
        <v/>
      </c>
      <c r="AP120" s="209" t="str">
        <f>IFERROR(VLOOKUP(TableHandbook[[#This Row],[UDC]],TableSTRUECOB1[],7,FALSE),"")</f>
        <v/>
      </c>
      <c r="AQ120" s="209" t="str">
        <f>IFERROR(VLOOKUP(TableHandbook[[#This Row],[UDC]],TableSTRUENGLB[],7,FALSE),"")</f>
        <v/>
      </c>
      <c r="AR120" s="209" t="str">
        <f>IFERROR(VLOOKUP(TableHandbook[[#This Row],[UDC]],TableSTRUENGLM[],7,FALSE),"")</f>
        <v/>
      </c>
      <c r="AS120" s="209" t="str">
        <f>IFERROR(VLOOKUP(TableHandbook[[#This Row],[UDC]],TableSTRUGEOB1[],7,FALSE),"")</f>
        <v/>
      </c>
      <c r="AT120" s="209" t="str">
        <f>IFERROR(VLOOKUP(TableHandbook[[#This Row],[UDC]],TableSTRUGEOGM[],7,FALSE),"")</f>
        <v/>
      </c>
      <c r="AU120" s="209" t="str">
        <f>IFERROR(VLOOKUP(TableHandbook[[#This Row],[UDC]],TableSTRUHISB1[],7,FALSE),"")</f>
        <v/>
      </c>
      <c r="AV120" s="209" t="str">
        <f>IFERROR(VLOOKUP(TableHandbook[[#This Row],[UDC]],TableSTRUHISTM[],7,FALSE),"")</f>
        <v/>
      </c>
      <c r="AW120" s="209" t="str">
        <f>IFERROR(VLOOKUP(TableHandbook[[#This Row],[UDC]],TableSTRUHPEB1[],7,FALSE),"")</f>
        <v/>
      </c>
      <c r="AX120" s="209" t="str">
        <f>IFERROR(VLOOKUP(TableHandbook[[#This Row],[UDC]],TableSTRUHUMBB[],7,FALSE),"")</f>
        <v/>
      </c>
      <c r="AY120" s="209" t="str">
        <f>IFERROR(VLOOKUP(TableHandbook[[#This Row],[UDC]],TableSTRUMARTM[],7,FALSE),"")</f>
        <v/>
      </c>
      <c r="AZ120" s="209" t="str">
        <f>IFERROR(VLOOKUP(TableHandbook[[#This Row],[UDC]],TableSTRUMATHB[],7,FALSE),"")</f>
        <v/>
      </c>
      <c r="BA120" s="209" t="str">
        <f>IFERROR(VLOOKUP(TableHandbook[[#This Row],[UDC]],TableSTRUMATHM[],7,FALSE),"")</f>
        <v/>
      </c>
      <c r="BB120" s="209" t="str">
        <f>IFERROR(VLOOKUP(TableHandbook[[#This Row],[UDC]],TableSTRUPARTB[],7,FALSE),"")</f>
        <v/>
      </c>
      <c r="BC120" s="209" t="str">
        <f>IFERROR(VLOOKUP(TableHandbook[[#This Row],[UDC]],TableSTRUPARTM[],7,FALSE),"")</f>
        <v/>
      </c>
      <c r="BD120" s="209" t="str">
        <f>IFERROR(VLOOKUP(TableHandbook[[#This Row],[UDC]],TableSTRUPOLB1[],7,FALSE),"")</f>
        <v/>
      </c>
      <c r="BE120" s="209" t="str">
        <f>IFERROR(VLOOKUP(TableHandbook[[#This Row],[UDC]],TableSTRUPSYCB[],7,FALSE),"")</f>
        <v/>
      </c>
      <c r="BF120" s="209" t="str">
        <f>IFERROR(VLOOKUP(TableHandbook[[#This Row],[UDC]],TableSTRUPSYCM[],7,FALSE),"")</f>
        <v/>
      </c>
      <c r="BG120" s="209" t="str">
        <f>IFERROR(VLOOKUP(TableHandbook[[#This Row],[UDC]],TableSTRUVARTB[],7,FALSE),"")</f>
        <v/>
      </c>
      <c r="BH120" s="209" t="str">
        <f>IFERROR(VLOOKUP(TableHandbook[[#This Row],[UDC]],TableSTRUVARTM[],7,FALSE),"")</f>
        <v/>
      </c>
    </row>
    <row r="121" spans="1:60" x14ac:dyDescent="0.25">
      <c r="A121" s="6" t="s">
        <v>124</v>
      </c>
      <c r="B121" s="7">
        <v>2</v>
      </c>
      <c r="C121" s="7"/>
      <c r="D121" s="207" t="s">
        <v>910</v>
      </c>
      <c r="E121" s="7">
        <v>25</v>
      </c>
      <c r="F121" s="311" t="s">
        <v>911</v>
      </c>
      <c r="G121" s="75" t="str">
        <f>IFERROR(IF(VLOOKUP(TableHandbook[[#This Row],[UDC]],TableAvailabilities[],2,FALSE)&gt;0,"Y",""),"")</f>
        <v/>
      </c>
      <c r="H121" s="75" t="str">
        <f>IFERROR(IF(VLOOKUP(TableHandbook[[#This Row],[UDC]],TableAvailabilities[],3,FALSE)&gt;0,"Y",""),"")</f>
        <v/>
      </c>
      <c r="I121" s="75" t="str">
        <f>IFERROR(IF(VLOOKUP(TableHandbook[[#This Row],[UDC]],TableAvailabilities[],4,FALSE)&gt;0,"Y",""),"")</f>
        <v/>
      </c>
      <c r="J121" s="75" t="str">
        <f>IFERROR(IF(VLOOKUP(TableHandbook[[#This Row],[UDC]],TableAvailabilities[],5,FALSE)&gt;0,"Y",""),"")</f>
        <v>Y</v>
      </c>
      <c r="K121" s="75" t="str">
        <f>IFERROR(IF(VLOOKUP(TableHandbook[[#This Row],[UDC]],TableAvailabilities[],6,FALSE)&gt;0,"Y",""),"")</f>
        <v>Y</v>
      </c>
      <c r="L121" s="75" t="str">
        <f>IFERROR(IF(VLOOKUP(TableHandbook[[#This Row],[UDC]],TableAvailabilities[],7,FALSE)&gt;0,"Y",""),"")</f>
        <v>Y</v>
      </c>
      <c r="M121" s="207"/>
      <c r="N121" s="209" t="str">
        <f>IFERROR(VLOOKUP(TableHandbook[[#This Row],[UDC]],TableBEDUC[],7,FALSE),"")</f>
        <v>Core</v>
      </c>
      <c r="O121" s="209" t="str">
        <f>IFERROR(VLOOKUP(TableHandbook[[#This Row],[UDC]],TableBEDEC[],7,FALSE),"")</f>
        <v/>
      </c>
      <c r="P121" s="211" t="str">
        <f>IFERROR(VLOOKUP(TableHandbook[[#This Row],[UDC]],TableBEDPR[],7,FALSE),"")</f>
        <v>Core</v>
      </c>
      <c r="Q121" s="209" t="str">
        <f>IFERROR(VLOOKUP(TableHandbook[[#This Row],[UDC]],TableSTRUCATHL[],7,FALSE),"")</f>
        <v/>
      </c>
      <c r="R121" s="209" t="str">
        <f>IFERROR(VLOOKUP(TableHandbook[[#This Row],[UDC]],TableSTRUENGLL[],7,FALSE),"")</f>
        <v/>
      </c>
      <c r="S121" s="209" t="str">
        <f>IFERROR(VLOOKUP(TableHandbook[[#This Row],[UDC]],TableSTRUHLTPE[],7,FALSE),"")</f>
        <v/>
      </c>
      <c r="T121" s="209" t="str">
        <f>IFERROR(VLOOKUP(TableHandbook[[#This Row],[UDC]],TableSTRUISTEM[],7,FALSE),"")</f>
        <v/>
      </c>
      <c r="U121" s="209" t="str">
        <f>IFERROR(VLOOKUP(TableHandbook[[#This Row],[UDC]],TableSTRULITNU[],7,FALSE),"")</f>
        <v/>
      </c>
      <c r="V121" s="209" t="str">
        <f>IFERROR(VLOOKUP(TableHandbook[[#This Row],[UDC]],TableSTRUTECHS[],7,FALSE),"")</f>
        <v/>
      </c>
      <c r="W121" s="211" t="str">
        <f>IFERROR(VLOOKUP(TableHandbook[[#This Row],[UDC]],TableBEDSC[],7,FALSE),"")</f>
        <v/>
      </c>
      <c r="X121" s="211" t="str">
        <f>IFERROR(VLOOKUP(TableHandbook[[#This Row],[UDC]],TableMJRUARDR1[],7,FALSE),"")</f>
        <v/>
      </c>
      <c r="Y121" s="209" t="str">
        <f>IFERROR(VLOOKUP(TableHandbook[[#This Row],[UDC]],TableMJRUARME1[],7,FALSE),"")</f>
        <v/>
      </c>
      <c r="Z121" s="209" t="str">
        <f>IFERROR(VLOOKUP(TableHandbook[[#This Row],[UDC]],TableMJRUARVA1[],7,FALSE),"")</f>
        <v/>
      </c>
      <c r="AA121" s="209" t="str">
        <f>IFERROR(VLOOKUP(TableHandbook[[#This Row],[UDC]],TableMJRUENGL1[],7,FALSE),"")</f>
        <v/>
      </c>
      <c r="AB121" s="209" t="str">
        <f>IFERROR(VLOOKUP(TableHandbook[[#This Row],[UDC]],TableMJRUHSEC1[],7,FALSE),"")</f>
        <v/>
      </c>
      <c r="AC121" s="209" t="str">
        <f>IFERROR(VLOOKUP(TableHandbook[[#This Row],[UDC]],TableMJRUHSGE1[],7,FALSE),"")</f>
        <v/>
      </c>
      <c r="AD121" s="209" t="str">
        <f>IFERROR(VLOOKUP(TableHandbook[[#This Row],[UDC]],TableMJRUHSHI1[],7,FALSE),"")</f>
        <v/>
      </c>
      <c r="AE121" s="209" t="str">
        <f>IFERROR(VLOOKUP(TableHandbook[[#This Row],[UDC]],TableMJRUHSPL1[],7,FALSE),"")</f>
        <v/>
      </c>
      <c r="AF121" s="209" t="str">
        <f>IFERROR(VLOOKUP(TableHandbook[[#This Row],[UDC]],TableMJRUMATH1[],7,FALSE),"")</f>
        <v/>
      </c>
      <c r="AG121" s="209" t="str">
        <f>IFERROR(VLOOKUP(TableHandbook[[#This Row],[UDC]],TableMJRUPHYSE[],7,FALSE),"")</f>
        <v/>
      </c>
      <c r="AH121" s="209" t="str">
        <f>IFERROR(VLOOKUP(TableHandbook[[#This Row],[UDC]],TableMJRUSCBI1[],7,FALSE),"")</f>
        <v/>
      </c>
      <c r="AI121" s="209" t="str">
        <f>IFERROR(VLOOKUP(TableHandbook[[#This Row],[UDC]],TableMJRUSCCH1[],7,FALSE),"")</f>
        <v/>
      </c>
      <c r="AJ121" s="209" t="str">
        <f>IFERROR(VLOOKUP(TableHandbook[[#This Row],[UDC]],TableMJRUSCHB1[],7,FALSE),"")</f>
        <v/>
      </c>
      <c r="AK121" s="209" t="str">
        <f>IFERROR(VLOOKUP(TableHandbook[[#This Row],[UDC]],TableMJRUSCPH1[],7,FALSE),"")</f>
        <v/>
      </c>
      <c r="AL121" s="209" t="str">
        <f>IFERROR(VLOOKUP(TableHandbook[[#This Row],[UDC]],TableMJRUSCPS1[],7,FALSE),"")</f>
        <v/>
      </c>
      <c r="AM121" s="211" t="str">
        <f>IFERROR(VLOOKUP(TableHandbook[[#This Row],[UDC]],TableSTRUBIOLB[],7,FALSE),"")</f>
        <v/>
      </c>
      <c r="AN121" s="209" t="str">
        <f>IFERROR(VLOOKUP(TableHandbook[[#This Row],[UDC]],TableSTRUBSCIM[],7,FALSE),"")</f>
        <v/>
      </c>
      <c r="AO121" s="209" t="str">
        <f>IFERROR(VLOOKUP(TableHandbook[[#This Row],[UDC]],TableSTRUCHEMB[],7,FALSE),"")</f>
        <v/>
      </c>
      <c r="AP121" s="209" t="str">
        <f>IFERROR(VLOOKUP(TableHandbook[[#This Row],[UDC]],TableSTRUECOB1[],7,FALSE),"")</f>
        <v/>
      </c>
      <c r="AQ121" s="209" t="str">
        <f>IFERROR(VLOOKUP(TableHandbook[[#This Row],[UDC]],TableSTRUENGLB[],7,FALSE),"")</f>
        <v/>
      </c>
      <c r="AR121" s="209" t="str">
        <f>IFERROR(VLOOKUP(TableHandbook[[#This Row],[UDC]],TableSTRUENGLM[],7,FALSE),"")</f>
        <v/>
      </c>
      <c r="AS121" s="209" t="str">
        <f>IFERROR(VLOOKUP(TableHandbook[[#This Row],[UDC]],TableSTRUGEOB1[],7,FALSE),"")</f>
        <v/>
      </c>
      <c r="AT121" s="209" t="str">
        <f>IFERROR(VLOOKUP(TableHandbook[[#This Row],[UDC]],TableSTRUGEOGM[],7,FALSE),"")</f>
        <v/>
      </c>
      <c r="AU121" s="209" t="str">
        <f>IFERROR(VLOOKUP(TableHandbook[[#This Row],[UDC]],TableSTRUHISB1[],7,FALSE),"")</f>
        <v/>
      </c>
      <c r="AV121" s="209" t="str">
        <f>IFERROR(VLOOKUP(TableHandbook[[#This Row],[UDC]],TableSTRUHISTM[],7,FALSE),"")</f>
        <v/>
      </c>
      <c r="AW121" s="209" t="str">
        <f>IFERROR(VLOOKUP(TableHandbook[[#This Row],[UDC]],TableSTRUHPEB1[],7,FALSE),"")</f>
        <v/>
      </c>
      <c r="AX121" s="209" t="str">
        <f>IFERROR(VLOOKUP(TableHandbook[[#This Row],[UDC]],TableSTRUHUMBB[],7,FALSE),"")</f>
        <v/>
      </c>
      <c r="AY121" s="209" t="str">
        <f>IFERROR(VLOOKUP(TableHandbook[[#This Row],[UDC]],TableSTRUMARTM[],7,FALSE),"")</f>
        <v/>
      </c>
      <c r="AZ121" s="209" t="str">
        <f>IFERROR(VLOOKUP(TableHandbook[[#This Row],[UDC]],TableSTRUMATHB[],7,FALSE),"")</f>
        <v/>
      </c>
      <c r="BA121" s="209" t="str">
        <f>IFERROR(VLOOKUP(TableHandbook[[#This Row],[UDC]],TableSTRUMATHM[],7,FALSE),"")</f>
        <v/>
      </c>
      <c r="BB121" s="209" t="str">
        <f>IFERROR(VLOOKUP(TableHandbook[[#This Row],[UDC]],TableSTRUPARTB[],7,FALSE),"")</f>
        <v/>
      </c>
      <c r="BC121" s="209" t="str">
        <f>IFERROR(VLOOKUP(TableHandbook[[#This Row],[UDC]],TableSTRUPARTM[],7,FALSE),"")</f>
        <v/>
      </c>
      <c r="BD121" s="209" t="str">
        <f>IFERROR(VLOOKUP(TableHandbook[[#This Row],[UDC]],TableSTRUPOLB1[],7,FALSE),"")</f>
        <v/>
      </c>
      <c r="BE121" s="209" t="str">
        <f>IFERROR(VLOOKUP(TableHandbook[[#This Row],[UDC]],TableSTRUPSYCB[],7,FALSE),"")</f>
        <v/>
      </c>
      <c r="BF121" s="209" t="str">
        <f>IFERROR(VLOOKUP(TableHandbook[[#This Row],[UDC]],TableSTRUPSYCM[],7,FALSE),"")</f>
        <v/>
      </c>
      <c r="BG121" s="209" t="str">
        <f>IFERROR(VLOOKUP(TableHandbook[[#This Row],[UDC]],TableSTRUVARTB[],7,FALSE),"")</f>
        <v/>
      </c>
      <c r="BH121" s="209" t="str">
        <f>IFERROR(VLOOKUP(TableHandbook[[#This Row],[UDC]],TableSTRUVARTM[],7,FALSE),"")</f>
        <v/>
      </c>
    </row>
    <row r="122" spans="1:60" x14ac:dyDescent="0.25">
      <c r="A122" s="6" t="s">
        <v>127</v>
      </c>
      <c r="B122" s="7">
        <v>1</v>
      </c>
      <c r="C122" s="7"/>
      <c r="D122" s="207" t="s">
        <v>912</v>
      </c>
      <c r="E122" s="7">
        <v>25</v>
      </c>
      <c r="F122" s="311" t="s">
        <v>913</v>
      </c>
      <c r="G122" s="75" t="str">
        <f>IFERROR(IF(VLOOKUP(TableHandbook[[#This Row],[UDC]],TableAvailabilities[],2,FALSE)&gt;0,"Y",""),"")</f>
        <v>Y</v>
      </c>
      <c r="H122" s="75" t="str">
        <f>IFERROR(IF(VLOOKUP(TableHandbook[[#This Row],[UDC]],TableAvailabilities[],3,FALSE)&gt;0,"Y",""),"")</f>
        <v>Y</v>
      </c>
      <c r="I122" s="75" t="str">
        <f>IFERROR(IF(VLOOKUP(TableHandbook[[#This Row],[UDC]],TableAvailabilities[],4,FALSE)&gt;0,"Y",""),"")</f>
        <v>Y</v>
      </c>
      <c r="J122" s="75" t="str">
        <f>IFERROR(IF(VLOOKUP(TableHandbook[[#This Row],[UDC]],TableAvailabilities[],5,FALSE)&gt;0,"Y",""),"")</f>
        <v/>
      </c>
      <c r="K122" s="75" t="str">
        <f>IFERROR(IF(VLOOKUP(TableHandbook[[#This Row],[UDC]],TableAvailabilities[],6,FALSE)&gt;0,"Y",""),"")</f>
        <v/>
      </c>
      <c r="L122" s="75" t="str">
        <f>IFERROR(IF(VLOOKUP(TableHandbook[[#This Row],[UDC]],TableAvailabilities[],7,FALSE)&gt;0,"Y",""),"")</f>
        <v/>
      </c>
      <c r="M122" s="207"/>
      <c r="N122" s="209" t="str">
        <f>IFERROR(VLOOKUP(TableHandbook[[#This Row],[UDC]],TableBEDUC[],7,FALSE),"")</f>
        <v>AltCore</v>
      </c>
      <c r="O122" s="209" t="str">
        <f>IFERROR(VLOOKUP(TableHandbook[[#This Row],[UDC]],TableBEDEC[],7,FALSE),"")</f>
        <v/>
      </c>
      <c r="P122" s="211" t="str">
        <f>IFERROR(VLOOKUP(TableHandbook[[#This Row],[UDC]],TableBEDPR[],7,FALSE),"")</f>
        <v>Core</v>
      </c>
      <c r="Q122" s="209" t="str">
        <f>IFERROR(VLOOKUP(TableHandbook[[#This Row],[UDC]],TableSTRUCATHL[],7,FALSE),"")</f>
        <v/>
      </c>
      <c r="R122" s="209" t="str">
        <f>IFERROR(VLOOKUP(TableHandbook[[#This Row],[UDC]],TableSTRUENGLL[],7,FALSE),"")</f>
        <v/>
      </c>
      <c r="S122" s="209" t="str">
        <f>IFERROR(VLOOKUP(TableHandbook[[#This Row],[UDC]],TableSTRUHLTPE[],7,FALSE),"")</f>
        <v/>
      </c>
      <c r="T122" s="209" t="str">
        <f>IFERROR(VLOOKUP(TableHandbook[[#This Row],[UDC]],TableSTRUISTEM[],7,FALSE),"")</f>
        <v/>
      </c>
      <c r="U122" s="209" t="str">
        <f>IFERROR(VLOOKUP(TableHandbook[[#This Row],[UDC]],TableSTRULITNU[],7,FALSE),"")</f>
        <v/>
      </c>
      <c r="V122" s="209" t="str">
        <f>IFERROR(VLOOKUP(TableHandbook[[#This Row],[UDC]],TableSTRUTECHS[],7,FALSE),"")</f>
        <v/>
      </c>
      <c r="W122" s="211" t="str">
        <f>IFERROR(VLOOKUP(TableHandbook[[#This Row],[UDC]],TableBEDSC[],7,FALSE),"")</f>
        <v/>
      </c>
      <c r="X122" s="211" t="str">
        <f>IFERROR(VLOOKUP(TableHandbook[[#This Row],[UDC]],TableMJRUARDR1[],7,FALSE),"")</f>
        <v/>
      </c>
      <c r="Y122" s="209" t="str">
        <f>IFERROR(VLOOKUP(TableHandbook[[#This Row],[UDC]],TableMJRUARME1[],7,FALSE),"")</f>
        <v/>
      </c>
      <c r="Z122" s="209" t="str">
        <f>IFERROR(VLOOKUP(TableHandbook[[#This Row],[UDC]],TableMJRUARVA1[],7,FALSE),"")</f>
        <v/>
      </c>
      <c r="AA122" s="209" t="str">
        <f>IFERROR(VLOOKUP(TableHandbook[[#This Row],[UDC]],TableMJRUENGL1[],7,FALSE),"")</f>
        <v/>
      </c>
      <c r="AB122" s="209" t="str">
        <f>IFERROR(VLOOKUP(TableHandbook[[#This Row],[UDC]],TableMJRUHSEC1[],7,FALSE),"")</f>
        <v/>
      </c>
      <c r="AC122" s="209" t="str">
        <f>IFERROR(VLOOKUP(TableHandbook[[#This Row],[UDC]],TableMJRUHSGE1[],7,FALSE),"")</f>
        <v/>
      </c>
      <c r="AD122" s="209" t="str">
        <f>IFERROR(VLOOKUP(TableHandbook[[#This Row],[UDC]],TableMJRUHSHI1[],7,FALSE),"")</f>
        <v/>
      </c>
      <c r="AE122" s="209" t="str">
        <f>IFERROR(VLOOKUP(TableHandbook[[#This Row],[UDC]],TableMJRUHSPL1[],7,FALSE),"")</f>
        <v/>
      </c>
      <c r="AF122" s="209" t="str">
        <f>IFERROR(VLOOKUP(TableHandbook[[#This Row],[UDC]],TableMJRUMATH1[],7,FALSE),"")</f>
        <v/>
      </c>
      <c r="AG122" s="209" t="str">
        <f>IFERROR(VLOOKUP(TableHandbook[[#This Row],[UDC]],TableMJRUPHYSE[],7,FALSE),"")</f>
        <v/>
      </c>
      <c r="AH122" s="209" t="str">
        <f>IFERROR(VLOOKUP(TableHandbook[[#This Row],[UDC]],TableMJRUSCBI1[],7,FALSE),"")</f>
        <v/>
      </c>
      <c r="AI122" s="209" t="str">
        <f>IFERROR(VLOOKUP(TableHandbook[[#This Row],[UDC]],TableMJRUSCCH1[],7,FALSE),"")</f>
        <v/>
      </c>
      <c r="AJ122" s="209" t="str">
        <f>IFERROR(VLOOKUP(TableHandbook[[#This Row],[UDC]],TableMJRUSCHB1[],7,FALSE),"")</f>
        <v/>
      </c>
      <c r="AK122" s="209" t="str">
        <f>IFERROR(VLOOKUP(TableHandbook[[#This Row],[UDC]],TableMJRUSCPH1[],7,FALSE),"")</f>
        <v/>
      </c>
      <c r="AL122" s="209" t="str">
        <f>IFERROR(VLOOKUP(TableHandbook[[#This Row],[UDC]],TableMJRUSCPS1[],7,FALSE),"")</f>
        <v/>
      </c>
      <c r="AM122" s="211" t="str">
        <f>IFERROR(VLOOKUP(TableHandbook[[#This Row],[UDC]],TableSTRUBIOLB[],7,FALSE),"")</f>
        <v/>
      </c>
      <c r="AN122" s="209" t="str">
        <f>IFERROR(VLOOKUP(TableHandbook[[#This Row],[UDC]],TableSTRUBSCIM[],7,FALSE),"")</f>
        <v/>
      </c>
      <c r="AO122" s="209" t="str">
        <f>IFERROR(VLOOKUP(TableHandbook[[#This Row],[UDC]],TableSTRUCHEMB[],7,FALSE),"")</f>
        <v/>
      </c>
      <c r="AP122" s="209" t="str">
        <f>IFERROR(VLOOKUP(TableHandbook[[#This Row],[UDC]],TableSTRUECOB1[],7,FALSE),"")</f>
        <v/>
      </c>
      <c r="AQ122" s="209" t="str">
        <f>IFERROR(VLOOKUP(TableHandbook[[#This Row],[UDC]],TableSTRUENGLB[],7,FALSE),"")</f>
        <v/>
      </c>
      <c r="AR122" s="209" t="str">
        <f>IFERROR(VLOOKUP(TableHandbook[[#This Row],[UDC]],TableSTRUENGLM[],7,FALSE),"")</f>
        <v/>
      </c>
      <c r="AS122" s="209" t="str">
        <f>IFERROR(VLOOKUP(TableHandbook[[#This Row],[UDC]],TableSTRUGEOB1[],7,FALSE),"")</f>
        <v/>
      </c>
      <c r="AT122" s="209" t="str">
        <f>IFERROR(VLOOKUP(TableHandbook[[#This Row],[UDC]],TableSTRUGEOGM[],7,FALSE),"")</f>
        <v/>
      </c>
      <c r="AU122" s="209" t="str">
        <f>IFERROR(VLOOKUP(TableHandbook[[#This Row],[UDC]],TableSTRUHISB1[],7,FALSE),"")</f>
        <v/>
      </c>
      <c r="AV122" s="209" t="str">
        <f>IFERROR(VLOOKUP(TableHandbook[[#This Row],[UDC]],TableSTRUHISTM[],7,FALSE),"")</f>
        <v/>
      </c>
      <c r="AW122" s="209" t="str">
        <f>IFERROR(VLOOKUP(TableHandbook[[#This Row],[UDC]],TableSTRUHPEB1[],7,FALSE),"")</f>
        <v/>
      </c>
      <c r="AX122" s="209" t="str">
        <f>IFERROR(VLOOKUP(TableHandbook[[#This Row],[UDC]],TableSTRUHUMBB[],7,FALSE),"")</f>
        <v/>
      </c>
      <c r="AY122" s="209" t="str">
        <f>IFERROR(VLOOKUP(TableHandbook[[#This Row],[UDC]],TableSTRUMARTM[],7,FALSE),"")</f>
        <v/>
      </c>
      <c r="AZ122" s="209" t="str">
        <f>IFERROR(VLOOKUP(TableHandbook[[#This Row],[UDC]],TableSTRUMATHB[],7,FALSE),"")</f>
        <v/>
      </c>
      <c r="BA122" s="209" t="str">
        <f>IFERROR(VLOOKUP(TableHandbook[[#This Row],[UDC]],TableSTRUMATHM[],7,FALSE),"")</f>
        <v/>
      </c>
      <c r="BB122" s="209" t="str">
        <f>IFERROR(VLOOKUP(TableHandbook[[#This Row],[UDC]],TableSTRUPARTB[],7,FALSE),"")</f>
        <v/>
      </c>
      <c r="BC122" s="209" t="str">
        <f>IFERROR(VLOOKUP(TableHandbook[[#This Row],[UDC]],TableSTRUPARTM[],7,FALSE),"")</f>
        <v/>
      </c>
      <c r="BD122" s="209" t="str">
        <f>IFERROR(VLOOKUP(TableHandbook[[#This Row],[UDC]],TableSTRUPOLB1[],7,FALSE),"")</f>
        <v/>
      </c>
      <c r="BE122" s="209" t="str">
        <f>IFERROR(VLOOKUP(TableHandbook[[#This Row],[UDC]],TableSTRUPSYCB[],7,FALSE),"")</f>
        <v/>
      </c>
      <c r="BF122" s="209" t="str">
        <f>IFERROR(VLOOKUP(TableHandbook[[#This Row],[UDC]],TableSTRUPSYCM[],7,FALSE),"")</f>
        <v/>
      </c>
      <c r="BG122" s="209" t="str">
        <f>IFERROR(VLOOKUP(TableHandbook[[#This Row],[UDC]],TableSTRUVARTB[],7,FALSE),"")</f>
        <v/>
      </c>
      <c r="BH122" s="209" t="str">
        <f>IFERROR(VLOOKUP(TableHandbook[[#This Row],[UDC]],TableSTRUVARTM[],7,FALSE),"")</f>
        <v/>
      </c>
    </row>
    <row r="123" spans="1:60" x14ac:dyDescent="0.25">
      <c r="A123" s="6" t="s">
        <v>147</v>
      </c>
      <c r="B123" s="7">
        <v>1</v>
      </c>
      <c r="C123" s="7"/>
      <c r="D123" s="207" t="s">
        <v>914</v>
      </c>
      <c r="E123" s="7">
        <v>25</v>
      </c>
      <c r="F123" s="311" t="s">
        <v>915</v>
      </c>
      <c r="G123" s="75" t="str">
        <f>IFERROR(IF(VLOOKUP(TableHandbook[[#This Row],[UDC]],TableAvailabilities[],2,FALSE)&gt;0,"Y",""),"")</f>
        <v/>
      </c>
      <c r="H123" s="75" t="str">
        <f>IFERROR(IF(VLOOKUP(TableHandbook[[#This Row],[UDC]],TableAvailabilities[],3,FALSE)&gt;0,"Y",""),"")</f>
        <v/>
      </c>
      <c r="I123" s="75" t="str">
        <f>IFERROR(IF(VLOOKUP(TableHandbook[[#This Row],[UDC]],TableAvailabilities[],4,FALSE)&gt;0,"Y",""),"")</f>
        <v/>
      </c>
      <c r="J123" s="75" t="str">
        <f>IFERROR(IF(VLOOKUP(TableHandbook[[#This Row],[UDC]],TableAvailabilities[],5,FALSE)&gt;0,"Y",""),"")</f>
        <v>Y</v>
      </c>
      <c r="K123" s="75" t="str">
        <f>IFERROR(IF(VLOOKUP(TableHandbook[[#This Row],[UDC]],TableAvailabilities[],6,FALSE)&gt;0,"Y",""),"")</f>
        <v>Y</v>
      </c>
      <c r="L123" s="75" t="str">
        <f>IFERROR(IF(VLOOKUP(TableHandbook[[#This Row],[UDC]],TableAvailabilities[],7,FALSE)&gt;0,"Y",""),"")</f>
        <v>Y</v>
      </c>
      <c r="M123" s="207"/>
      <c r="N123" s="209" t="str">
        <f>IFERROR(VLOOKUP(TableHandbook[[#This Row],[UDC]],TableBEDUC[],7,FALSE),"")</f>
        <v/>
      </c>
      <c r="O123" s="209" t="str">
        <f>IFERROR(VLOOKUP(TableHandbook[[#This Row],[UDC]],TableBEDEC[],7,FALSE),"")</f>
        <v/>
      </c>
      <c r="P123" s="211" t="str">
        <f>IFERROR(VLOOKUP(TableHandbook[[#This Row],[UDC]],TableBEDPR[],7,FALSE),"")</f>
        <v>Core</v>
      </c>
      <c r="Q123" s="209" t="str">
        <f>IFERROR(VLOOKUP(TableHandbook[[#This Row],[UDC]],TableSTRUCATHL[],7,FALSE),"")</f>
        <v/>
      </c>
      <c r="R123" s="209" t="str">
        <f>IFERROR(VLOOKUP(TableHandbook[[#This Row],[UDC]],TableSTRUENGLL[],7,FALSE),"")</f>
        <v/>
      </c>
      <c r="S123" s="209" t="str">
        <f>IFERROR(VLOOKUP(TableHandbook[[#This Row],[UDC]],TableSTRUHLTPE[],7,FALSE),"")</f>
        <v/>
      </c>
      <c r="T123" s="209" t="str">
        <f>IFERROR(VLOOKUP(TableHandbook[[#This Row],[UDC]],TableSTRUISTEM[],7,FALSE),"")</f>
        <v/>
      </c>
      <c r="U123" s="209" t="str">
        <f>IFERROR(VLOOKUP(TableHandbook[[#This Row],[UDC]],TableSTRULITNU[],7,FALSE),"")</f>
        <v/>
      </c>
      <c r="V123" s="209" t="str">
        <f>IFERROR(VLOOKUP(TableHandbook[[#This Row],[UDC]],TableSTRUTECHS[],7,FALSE),"")</f>
        <v/>
      </c>
      <c r="W123" s="211" t="str">
        <f>IFERROR(VLOOKUP(TableHandbook[[#This Row],[UDC]],TableBEDSC[],7,FALSE),"")</f>
        <v/>
      </c>
      <c r="X123" s="211" t="str">
        <f>IFERROR(VLOOKUP(TableHandbook[[#This Row],[UDC]],TableMJRUARDR1[],7,FALSE),"")</f>
        <v/>
      </c>
      <c r="Y123" s="209" t="str">
        <f>IFERROR(VLOOKUP(TableHandbook[[#This Row],[UDC]],TableMJRUARME1[],7,FALSE),"")</f>
        <v/>
      </c>
      <c r="Z123" s="209" t="str">
        <f>IFERROR(VLOOKUP(TableHandbook[[#This Row],[UDC]],TableMJRUARVA1[],7,FALSE),"")</f>
        <v/>
      </c>
      <c r="AA123" s="209" t="str">
        <f>IFERROR(VLOOKUP(TableHandbook[[#This Row],[UDC]],TableMJRUENGL1[],7,FALSE),"")</f>
        <v/>
      </c>
      <c r="AB123" s="209" t="str">
        <f>IFERROR(VLOOKUP(TableHandbook[[#This Row],[UDC]],TableMJRUHSEC1[],7,FALSE),"")</f>
        <v/>
      </c>
      <c r="AC123" s="209" t="str">
        <f>IFERROR(VLOOKUP(TableHandbook[[#This Row],[UDC]],TableMJRUHSGE1[],7,FALSE),"")</f>
        <v/>
      </c>
      <c r="AD123" s="209" t="str">
        <f>IFERROR(VLOOKUP(TableHandbook[[#This Row],[UDC]],TableMJRUHSHI1[],7,FALSE),"")</f>
        <v/>
      </c>
      <c r="AE123" s="209" t="str">
        <f>IFERROR(VLOOKUP(TableHandbook[[#This Row],[UDC]],TableMJRUHSPL1[],7,FALSE),"")</f>
        <v/>
      </c>
      <c r="AF123" s="209" t="str">
        <f>IFERROR(VLOOKUP(TableHandbook[[#This Row],[UDC]],TableMJRUMATH1[],7,FALSE),"")</f>
        <v/>
      </c>
      <c r="AG123" s="209" t="str">
        <f>IFERROR(VLOOKUP(TableHandbook[[#This Row],[UDC]],TableMJRUPHYSE[],7,FALSE),"")</f>
        <v/>
      </c>
      <c r="AH123" s="209" t="str">
        <f>IFERROR(VLOOKUP(TableHandbook[[#This Row],[UDC]],TableMJRUSCBI1[],7,FALSE),"")</f>
        <v/>
      </c>
      <c r="AI123" s="209" t="str">
        <f>IFERROR(VLOOKUP(TableHandbook[[#This Row],[UDC]],TableMJRUSCCH1[],7,FALSE),"")</f>
        <v/>
      </c>
      <c r="AJ123" s="209" t="str">
        <f>IFERROR(VLOOKUP(TableHandbook[[#This Row],[UDC]],TableMJRUSCHB1[],7,FALSE),"")</f>
        <v/>
      </c>
      <c r="AK123" s="209" t="str">
        <f>IFERROR(VLOOKUP(TableHandbook[[#This Row],[UDC]],TableMJRUSCPH1[],7,FALSE),"")</f>
        <v/>
      </c>
      <c r="AL123" s="209" t="str">
        <f>IFERROR(VLOOKUP(TableHandbook[[#This Row],[UDC]],TableMJRUSCPS1[],7,FALSE),"")</f>
        <v/>
      </c>
      <c r="AM123" s="211" t="str">
        <f>IFERROR(VLOOKUP(TableHandbook[[#This Row],[UDC]],TableSTRUBIOLB[],7,FALSE),"")</f>
        <v/>
      </c>
      <c r="AN123" s="209" t="str">
        <f>IFERROR(VLOOKUP(TableHandbook[[#This Row],[UDC]],TableSTRUBSCIM[],7,FALSE),"")</f>
        <v/>
      </c>
      <c r="AO123" s="209" t="str">
        <f>IFERROR(VLOOKUP(TableHandbook[[#This Row],[UDC]],TableSTRUCHEMB[],7,FALSE),"")</f>
        <v/>
      </c>
      <c r="AP123" s="209" t="str">
        <f>IFERROR(VLOOKUP(TableHandbook[[#This Row],[UDC]],TableSTRUECOB1[],7,FALSE),"")</f>
        <v/>
      </c>
      <c r="AQ123" s="209" t="str">
        <f>IFERROR(VLOOKUP(TableHandbook[[#This Row],[UDC]],TableSTRUENGLB[],7,FALSE),"")</f>
        <v/>
      </c>
      <c r="AR123" s="209" t="str">
        <f>IFERROR(VLOOKUP(TableHandbook[[#This Row],[UDC]],TableSTRUENGLM[],7,FALSE),"")</f>
        <v/>
      </c>
      <c r="AS123" s="209" t="str">
        <f>IFERROR(VLOOKUP(TableHandbook[[#This Row],[UDC]],TableSTRUGEOB1[],7,FALSE),"")</f>
        <v/>
      </c>
      <c r="AT123" s="209" t="str">
        <f>IFERROR(VLOOKUP(TableHandbook[[#This Row],[UDC]],TableSTRUGEOGM[],7,FALSE),"")</f>
        <v/>
      </c>
      <c r="AU123" s="209" t="str">
        <f>IFERROR(VLOOKUP(TableHandbook[[#This Row],[UDC]],TableSTRUHISB1[],7,FALSE),"")</f>
        <v/>
      </c>
      <c r="AV123" s="209" t="str">
        <f>IFERROR(VLOOKUP(TableHandbook[[#This Row],[UDC]],TableSTRUHISTM[],7,FALSE),"")</f>
        <v/>
      </c>
      <c r="AW123" s="209" t="str">
        <f>IFERROR(VLOOKUP(TableHandbook[[#This Row],[UDC]],TableSTRUHPEB1[],7,FALSE),"")</f>
        <v/>
      </c>
      <c r="AX123" s="209" t="str">
        <f>IFERROR(VLOOKUP(TableHandbook[[#This Row],[UDC]],TableSTRUHUMBB[],7,FALSE),"")</f>
        <v/>
      </c>
      <c r="AY123" s="209" t="str">
        <f>IFERROR(VLOOKUP(TableHandbook[[#This Row],[UDC]],TableSTRUMARTM[],7,FALSE),"")</f>
        <v/>
      </c>
      <c r="AZ123" s="209" t="str">
        <f>IFERROR(VLOOKUP(TableHandbook[[#This Row],[UDC]],TableSTRUMATHB[],7,FALSE),"")</f>
        <v/>
      </c>
      <c r="BA123" s="209" t="str">
        <f>IFERROR(VLOOKUP(TableHandbook[[#This Row],[UDC]],TableSTRUMATHM[],7,FALSE),"")</f>
        <v/>
      </c>
      <c r="BB123" s="209" t="str">
        <f>IFERROR(VLOOKUP(TableHandbook[[#This Row],[UDC]],TableSTRUPARTB[],7,FALSE),"")</f>
        <v/>
      </c>
      <c r="BC123" s="209" t="str">
        <f>IFERROR(VLOOKUP(TableHandbook[[#This Row],[UDC]],TableSTRUPARTM[],7,FALSE),"")</f>
        <v/>
      </c>
      <c r="BD123" s="209" t="str">
        <f>IFERROR(VLOOKUP(TableHandbook[[#This Row],[UDC]],TableSTRUPOLB1[],7,FALSE),"")</f>
        <v/>
      </c>
      <c r="BE123" s="209" t="str">
        <f>IFERROR(VLOOKUP(TableHandbook[[#This Row],[UDC]],TableSTRUPSYCB[],7,FALSE),"")</f>
        <v/>
      </c>
      <c r="BF123" s="209" t="str">
        <f>IFERROR(VLOOKUP(TableHandbook[[#This Row],[UDC]],TableSTRUPSYCM[],7,FALSE),"")</f>
        <v/>
      </c>
      <c r="BG123" s="209" t="str">
        <f>IFERROR(VLOOKUP(TableHandbook[[#This Row],[UDC]],TableSTRUVARTB[],7,FALSE),"")</f>
        <v/>
      </c>
      <c r="BH123" s="209" t="str">
        <f>IFERROR(VLOOKUP(TableHandbook[[#This Row],[UDC]],TableSTRUVARTM[],7,FALSE),"")</f>
        <v/>
      </c>
    </row>
    <row r="124" spans="1:60" x14ac:dyDescent="0.25">
      <c r="A124" s="6" t="s">
        <v>131</v>
      </c>
      <c r="B124" s="7">
        <v>1</v>
      </c>
      <c r="C124" s="7"/>
      <c r="D124" s="207" t="s">
        <v>916</v>
      </c>
      <c r="E124" s="7">
        <v>25</v>
      </c>
      <c r="F124" s="311" t="s">
        <v>917</v>
      </c>
      <c r="G124" s="75" t="str">
        <f>IFERROR(IF(VLOOKUP(TableHandbook[[#This Row],[UDC]],TableAvailabilities[],2,FALSE)&gt;0,"Y",""),"")</f>
        <v>Y</v>
      </c>
      <c r="H124" s="75" t="str">
        <f>IFERROR(IF(VLOOKUP(TableHandbook[[#This Row],[UDC]],TableAvailabilities[],3,FALSE)&gt;0,"Y",""),"")</f>
        <v>Y</v>
      </c>
      <c r="I124" s="75" t="str">
        <f>IFERROR(IF(VLOOKUP(TableHandbook[[#This Row],[UDC]],TableAvailabilities[],4,FALSE)&gt;0,"Y",""),"")</f>
        <v>Y</v>
      </c>
      <c r="J124" s="75" t="str">
        <f>IFERROR(IF(VLOOKUP(TableHandbook[[#This Row],[UDC]],TableAvailabilities[],5,FALSE)&gt;0,"Y",""),"")</f>
        <v/>
      </c>
      <c r="K124" s="75" t="str">
        <f>IFERROR(IF(VLOOKUP(TableHandbook[[#This Row],[UDC]],TableAvailabilities[],6,FALSE)&gt;0,"Y",""),"")</f>
        <v/>
      </c>
      <c r="L124" s="75" t="str">
        <f>IFERROR(IF(VLOOKUP(TableHandbook[[#This Row],[UDC]],TableAvailabilities[],7,FALSE)&gt;0,"Y",""),"")</f>
        <v/>
      </c>
      <c r="M124" s="207"/>
      <c r="N124" s="209" t="str">
        <f>IFERROR(VLOOKUP(TableHandbook[[#This Row],[UDC]],TableBEDUC[],7,FALSE),"")</f>
        <v/>
      </c>
      <c r="O124" s="209" t="str">
        <f>IFERROR(VLOOKUP(TableHandbook[[#This Row],[UDC]],TableBEDEC[],7,FALSE),"")</f>
        <v/>
      </c>
      <c r="P124" s="211" t="str">
        <f>IFERROR(VLOOKUP(TableHandbook[[#This Row],[UDC]],TableBEDPR[],7,FALSE),"")</f>
        <v>Core</v>
      </c>
      <c r="Q124" s="209" t="str">
        <f>IFERROR(VLOOKUP(TableHandbook[[#This Row],[UDC]],TableSTRUCATHL[],7,FALSE),"")</f>
        <v/>
      </c>
      <c r="R124" s="209" t="str">
        <f>IFERROR(VLOOKUP(TableHandbook[[#This Row],[UDC]],TableSTRUENGLL[],7,FALSE),"")</f>
        <v/>
      </c>
      <c r="S124" s="209" t="str">
        <f>IFERROR(VLOOKUP(TableHandbook[[#This Row],[UDC]],TableSTRUHLTPE[],7,FALSE),"")</f>
        <v/>
      </c>
      <c r="T124" s="209" t="str">
        <f>IFERROR(VLOOKUP(TableHandbook[[#This Row],[UDC]],TableSTRUISTEM[],7,FALSE),"")</f>
        <v/>
      </c>
      <c r="U124" s="209" t="str">
        <f>IFERROR(VLOOKUP(TableHandbook[[#This Row],[UDC]],TableSTRULITNU[],7,FALSE),"")</f>
        <v/>
      </c>
      <c r="V124" s="209" t="str">
        <f>IFERROR(VLOOKUP(TableHandbook[[#This Row],[UDC]],TableSTRUTECHS[],7,FALSE),"")</f>
        <v/>
      </c>
      <c r="W124" s="211" t="str">
        <f>IFERROR(VLOOKUP(TableHandbook[[#This Row],[UDC]],TableBEDSC[],7,FALSE),"")</f>
        <v/>
      </c>
      <c r="X124" s="211" t="str">
        <f>IFERROR(VLOOKUP(TableHandbook[[#This Row],[UDC]],TableMJRUARDR1[],7,FALSE),"")</f>
        <v/>
      </c>
      <c r="Y124" s="209" t="str">
        <f>IFERROR(VLOOKUP(TableHandbook[[#This Row],[UDC]],TableMJRUARME1[],7,FALSE),"")</f>
        <v/>
      </c>
      <c r="Z124" s="209" t="str">
        <f>IFERROR(VLOOKUP(TableHandbook[[#This Row],[UDC]],TableMJRUARVA1[],7,FALSE),"")</f>
        <v/>
      </c>
      <c r="AA124" s="209" t="str">
        <f>IFERROR(VLOOKUP(TableHandbook[[#This Row],[UDC]],TableMJRUENGL1[],7,FALSE),"")</f>
        <v/>
      </c>
      <c r="AB124" s="209" t="str">
        <f>IFERROR(VLOOKUP(TableHandbook[[#This Row],[UDC]],TableMJRUHSEC1[],7,FALSE),"")</f>
        <v/>
      </c>
      <c r="AC124" s="209" t="str">
        <f>IFERROR(VLOOKUP(TableHandbook[[#This Row],[UDC]],TableMJRUHSGE1[],7,FALSE),"")</f>
        <v/>
      </c>
      <c r="AD124" s="209" t="str">
        <f>IFERROR(VLOOKUP(TableHandbook[[#This Row],[UDC]],TableMJRUHSHI1[],7,FALSE),"")</f>
        <v/>
      </c>
      <c r="AE124" s="209" t="str">
        <f>IFERROR(VLOOKUP(TableHandbook[[#This Row],[UDC]],TableMJRUHSPL1[],7,FALSE),"")</f>
        <v/>
      </c>
      <c r="AF124" s="209" t="str">
        <f>IFERROR(VLOOKUP(TableHandbook[[#This Row],[UDC]],TableMJRUMATH1[],7,FALSE),"")</f>
        <v/>
      </c>
      <c r="AG124" s="209" t="str">
        <f>IFERROR(VLOOKUP(TableHandbook[[#This Row],[UDC]],TableMJRUPHYSE[],7,FALSE),"")</f>
        <v/>
      </c>
      <c r="AH124" s="209" t="str">
        <f>IFERROR(VLOOKUP(TableHandbook[[#This Row],[UDC]],TableMJRUSCBI1[],7,FALSE),"")</f>
        <v/>
      </c>
      <c r="AI124" s="209" t="str">
        <f>IFERROR(VLOOKUP(TableHandbook[[#This Row],[UDC]],TableMJRUSCCH1[],7,FALSE),"")</f>
        <v/>
      </c>
      <c r="AJ124" s="209" t="str">
        <f>IFERROR(VLOOKUP(TableHandbook[[#This Row],[UDC]],TableMJRUSCHB1[],7,FALSE),"")</f>
        <v/>
      </c>
      <c r="AK124" s="209" t="str">
        <f>IFERROR(VLOOKUP(TableHandbook[[#This Row],[UDC]],TableMJRUSCPH1[],7,FALSE),"")</f>
        <v/>
      </c>
      <c r="AL124" s="209" t="str">
        <f>IFERROR(VLOOKUP(TableHandbook[[#This Row],[UDC]],TableMJRUSCPS1[],7,FALSE),"")</f>
        <v/>
      </c>
      <c r="AM124" s="211" t="str">
        <f>IFERROR(VLOOKUP(TableHandbook[[#This Row],[UDC]],TableSTRUBIOLB[],7,FALSE),"")</f>
        <v/>
      </c>
      <c r="AN124" s="209" t="str">
        <f>IFERROR(VLOOKUP(TableHandbook[[#This Row],[UDC]],TableSTRUBSCIM[],7,FALSE),"")</f>
        <v/>
      </c>
      <c r="AO124" s="209" t="str">
        <f>IFERROR(VLOOKUP(TableHandbook[[#This Row],[UDC]],TableSTRUCHEMB[],7,FALSE),"")</f>
        <v/>
      </c>
      <c r="AP124" s="209" t="str">
        <f>IFERROR(VLOOKUP(TableHandbook[[#This Row],[UDC]],TableSTRUECOB1[],7,FALSE),"")</f>
        <v/>
      </c>
      <c r="AQ124" s="209" t="str">
        <f>IFERROR(VLOOKUP(TableHandbook[[#This Row],[UDC]],TableSTRUENGLB[],7,FALSE),"")</f>
        <v/>
      </c>
      <c r="AR124" s="209" t="str">
        <f>IFERROR(VLOOKUP(TableHandbook[[#This Row],[UDC]],TableSTRUENGLM[],7,FALSE),"")</f>
        <v/>
      </c>
      <c r="AS124" s="209" t="str">
        <f>IFERROR(VLOOKUP(TableHandbook[[#This Row],[UDC]],TableSTRUGEOB1[],7,FALSE),"")</f>
        <v/>
      </c>
      <c r="AT124" s="209" t="str">
        <f>IFERROR(VLOOKUP(TableHandbook[[#This Row],[UDC]],TableSTRUGEOGM[],7,FALSE),"")</f>
        <v/>
      </c>
      <c r="AU124" s="209" t="str">
        <f>IFERROR(VLOOKUP(TableHandbook[[#This Row],[UDC]],TableSTRUHISB1[],7,FALSE),"")</f>
        <v/>
      </c>
      <c r="AV124" s="209" t="str">
        <f>IFERROR(VLOOKUP(TableHandbook[[#This Row],[UDC]],TableSTRUHISTM[],7,FALSE),"")</f>
        <v/>
      </c>
      <c r="AW124" s="209" t="str">
        <f>IFERROR(VLOOKUP(TableHandbook[[#This Row],[UDC]],TableSTRUHPEB1[],7,FALSE),"")</f>
        <v/>
      </c>
      <c r="AX124" s="209" t="str">
        <f>IFERROR(VLOOKUP(TableHandbook[[#This Row],[UDC]],TableSTRUHUMBB[],7,FALSE),"")</f>
        <v/>
      </c>
      <c r="AY124" s="209" t="str">
        <f>IFERROR(VLOOKUP(TableHandbook[[#This Row],[UDC]],TableSTRUMARTM[],7,FALSE),"")</f>
        <v/>
      </c>
      <c r="AZ124" s="209" t="str">
        <f>IFERROR(VLOOKUP(TableHandbook[[#This Row],[UDC]],TableSTRUMATHB[],7,FALSE),"")</f>
        <v/>
      </c>
      <c r="BA124" s="209" t="str">
        <f>IFERROR(VLOOKUP(TableHandbook[[#This Row],[UDC]],TableSTRUMATHM[],7,FALSE),"")</f>
        <v/>
      </c>
      <c r="BB124" s="209" t="str">
        <f>IFERROR(VLOOKUP(TableHandbook[[#This Row],[UDC]],TableSTRUPARTB[],7,FALSE),"")</f>
        <v>Core</v>
      </c>
      <c r="BC124" s="209" t="str">
        <f>IFERROR(VLOOKUP(TableHandbook[[#This Row],[UDC]],TableSTRUPARTM[],7,FALSE),"")</f>
        <v/>
      </c>
      <c r="BD124" s="209" t="str">
        <f>IFERROR(VLOOKUP(TableHandbook[[#This Row],[UDC]],TableSTRUPOLB1[],7,FALSE),"")</f>
        <v/>
      </c>
      <c r="BE124" s="209" t="str">
        <f>IFERROR(VLOOKUP(TableHandbook[[#This Row],[UDC]],TableSTRUPSYCB[],7,FALSE),"")</f>
        <v/>
      </c>
      <c r="BF124" s="209" t="str">
        <f>IFERROR(VLOOKUP(TableHandbook[[#This Row],[UDC]],TableSTRUPSYCM[],7,FALSE),"")</f>
        <v/>
      </c>
      <c r="BG124" s="209" t="str">
        <f>IFERROR(VLOOKUP(TableHandbook[[#This Row],[UDC]],TableSTRUVARTB[],7,FALSE),"")</f>
        <v>Core</v>
      </c>
      <c r="BH124" s="209" t="str">
        <f>IFERROR(VLOOKUP(TableHandbook[[#This Row],[UDC]],TableSTRUVARTM[],7,FALSE),"")</f>
        <v/>
      </c>
    </row>
    <row r="125" spans="1:60" x14ac:dyDescent="0.25">
      <c r="A125" s="6" t="s">
        <v>152</v>
      </c>
      <c r="B125" s="7">
        <v>3</v>
      </c>
      <c r="C125" s="7"/>
      <c r="D125" s="207" t="s">
        <v>918</v>
      </c>
      <c r="E125" s="7">
        <v>25</v>
      </c>
      <c r="F125" s="311" t="s">
        <v>135</v>
      </c>
      <c r="G125" s="75" t="str">
        <f>IFERROR(IF(VLOOKUP(TableHandbook[[#This Row],[UDC]],TableAvailabilities[],2,FALSE)&gt;0,"Y",""),"")</f>
        <v>Y</v>
      </c>
      <c r="H125" s="75" t="str">
        <f>IFERROR(IF(VLOOKUP(TableHandbook[[#This Row],[UDC]],TableAvailabilities[],3,FALSE)&gt;0,"Y",""),"")</f>
        <v>Y</v>
      </c>
      <c r="I125" s="75" t="str">
        <f>IFERROR(IF(VLOOKUP(TableHandbook[[#This Row],[UDC]],TableAvailabilities[],4,FALSE)&gt;0,"Y",""),"")</f>
        <v>Y</v>
      </c>
      <c r="J125" s="75" t="str">
        <f>IFERROR(IF(VLOOKUP(TableHandbook[[#This Row],[UDC]],TableAvailabilities[],5,FALSE)&gt;0,"Y",""),"")</f>
        <v>Y</v>
      </c>
      <c r="K125" s="75" t="str">
        <f>IFERROR(IF(VLOOKUP(TableHandbook[[#This Row],[UDC]],TableAvailabilities[],6,FALSE)&gt;0,"Y",""),"")</f>
        <v>Y</v>
      </c>
      <c r="L125" s="75" t="str">
        <f>IFERROR(IF(VLOOKUP(TableHandbook[[#This Row],[UDC]],TableAvailabilities[],7,FALSE)&gt;0,"Y",""),"")</f>
        <v>Y</v>
      </c>
      <c r="M125" s="207"/>
      <c r="N125" s="209" t="str">
        <f>IFERROR(VLOOKUP(TableHandbook[[#This Row],[UDC]],TableBEDUC[],7,FALSE),"")</f>
        <v/>
      </c>
      <c r="O125" s="209" t="str">
        <f>IFERROR(VLOOKUP(TableHandbook[[#This Row],[UDC]],TableBEDEC[],7,FALSE),"")</f>
        <v/>
      </c>
      <c r="P125" s="211" t="str">
        <f>IFERROR(VLOOKUP(TableHandbook[[#This Row],[UDC]],TableBEDPR[],7,FALSE),"")</f>
        <v>Core</v>
      </c>
      <c r="Q125" s="209" t="str">
        <f>IFERROR(VLOOKUP(TableHandbook[[#This Row],[UDC]],TableSTRUCATHL[],7,FALSE),"")</f>
        <v/>
      </c>
      <c r="R125" s="209" t="str">
        <f>IFERROR(VLOOKUP(TableHandbook[[#This Row],[UDC]],TableSTRUENGLL[],7,FALSE),"")</f>
        <v/>
      </c>
      <c r="S125" s="209" t="str">
        <f>IFERROR(VLOOKUP(TableHandbook[[#This Row],[UDC]],TableSTRUHLTPE[],7,FALSE),"")</f>
        <v/>
      </c>
      <c r="T125" s="209" t="str">
        <f>IFERROR(VLOOKUP(TableHandbook[[#This Row],[UDC]],TableSTRUISTEM[],7,FALSE),"")</f>
        <v/>
      </c>
      <c r="U125" s="209" t="str">
        <f>IFERROR(VLOOKUP(TableHandbook[[#This Row],[UDC]],TableSTRULITNU[],7,FALSE),"")</f>
        <v/>
      </c>
      <c r="V125" s="209" t="str">
        <f>IFERROR(VLOOKUP(TableHandbook[[#This Row],[UDC]],TableSTRUTECHS[],7,FALSE),"")</f>
        <v/>
      </c>
      <c r="W125" s="211" t="str">
        <f>IFERROR(VLOOKUP(TableHandbook[[#This Row],[UDC]],TableBEDSC[],7,FALSE),"")</f>
        <v/>
      </c>
      <c r="X125" s="211" t="str">
        <f>IFERROR(VLOOKUP(TableHandbook[[#This Row],[UDC]],TableMJRUARDR1[],7,FALSE),"")</f>
        <v/>
      </c>
      <c r="Y125" s="209" t="str">
        <f>IFERROR(VLOOKUP(TableHandbook[[#This Row],[UDC]],TableMJRUARME1[],7,FALSE),"")</f>
        <v/>
      </c>
      <c r="Z125" s="209" t="str">
        <f>IFERROR(VLOOKUP(TableHandbook[[#This Row],[UDC]],TableMJRUARVA1[],7,FALSE),"")</f>
        <v/>
      </c>
      <c r="AA125" s="209" t="str">
        <f>IFERROR(VLOOKUP(TableHandbook[[#This Row],[UDC]],TableMJRUENGL1[],7,FALSE),"")</f>
        <v/>
      </c>
      <c r="AB125" s="209" t="str">
        <f>IFERROR(VLOOKUP(TableHandbook[[#This Row],[UDC]],TableMJRUHSEC1[],7,FALSE),"")</f>
        <v/>
      </c>
      <c r="AC125" s="209" t="str">
        <f>IFERROR(VLOOKUP(TableHandbook[[#This Row],[UDC]],TableMJRUHSGE1[],7,FALSE),"")</f>
        <v/>
      </c>
      <c r="AD125" s="209" t="str">
        <f>IFERROR(VLOOKUP(TableHandbook[[#This Row],[UDC]],TableMJRUHSHI1[],7,FALSE),"")</f>
        <v/>
      </c>
      <c r="AE125" s="209" t="str">
        <f>IFERROR(VLOOKUP(TableHandbook[[#This Row],[UDC]],TableMJRUHSPL1[],7,FALSE),"")</f>
        <v/>
      </c>
      <c r="AF125" s="209" t="str">
        <f>IFERROR(VLOOKUP(TableHandbook[[#This Row],[UDC]],TableMJRUMATH1[],7,FALSE),"")</f>
        <v/>
      </c>
      <c r="AG125" s="209" t="str">
        <f>IFERROR(VLOOKUP(TableHandbook[[#This Row],[UDC]],TableMJRUPHYSE[],7,FALSE),"")</f>
        <v/>
      </c>
      <c r="AH125" s="209" t="str">
        <f>IFERROR(VLOOKUP(TableHandbook[[#This Row],[UDC]],TableMJRUSCBI1[],7,FALSE),"")</f>
        <v/>
      </c>
      <c r="AI125" s="209" t="str">
        <f>IFERROR(VLOOKUP(TableHandbook[[#This Row],[UDC]],TableMJRUSCCH1[],7,FALSE),"")</f>
        <v/>
      </c>
      <c r="AJ125" s="209" t="str">
        <f>IFERROR(VLOOKUP(TableHandbook[[#This Row],[UDC]],TableMJRUSCHB1[],7,FALSE),"")</f>
        <v/>
      </c>
      <c r="AK125" s="209" t="str">
        <f>IFERROR(VLOOKUP(TableHandbook[[#This Row],[UDC]],TableMJRUSCPH1[],7,FALSE),"")</f>
        <v/>
      </c>
      <c r="AL125" s="209" t="str">
        <f>IFERROR(VLOOKUP(TableHandbook[[#This Row],[UDC]],TableMJRUSCPS1[],7,FALSE),"")</f>
        <v/>
      </c>
      <c r="AM125" s="211" t="str">
        <f>IFERROR(VLOOKUP(TableHandbook[[#This Row],[UDC]],TableSTRUBIOLB[],7,FALSE),"")</f>
        <v/>
      </c>
      <c r="AN125" s="209" t="str">
        <f>IFERROR(VLOOKUP(TableHandbook[[#This Row],[UDC]],TableSTRUBSCIM[],7,FALSE),"")</f>
        <v/>
      </c>
      <c r="AO125" s="209" t="str">
        <f>IFERROR(VLOOKUP(TableHandbook[[#This Row],[UDC]],TableSTRUCHEMB[],7,FALSE),"")</f>
        <v/>
      </c>
      <c r="AP125" s="209" t="str">
        <f>IFERROR(VLOOKUP(TableHandbook[[#This Row],[UDC]],TableSTRUECOB1[],7,FALSE),"")</f>
        <v/>
      </c>
      <c r="AQ125" s="209" t="str">
        <f>IFERROR(VLOOKUP(TableHandbook[[#This Row],[UDC]],TableSTRUENGLB[],7,FALSE),"")</f>
        <v/>
      </c>
      <c r="AR125" s="209" t="str">
        <f>IFERROR(VLOOKUP(TableHandbook[[#This Row],[UDC]],TableSTRUENGLM[],7,FALSE),"")</f>
        <v/>
      </c>
      <c r="AS125" s="209" t="str">
        <f>IFERROR(VLOOKUP(TableHandbook[[#This Row],[UDC]],TableSTRUGEOB1[],7,FALSE),"")</f>
        <v/>
      </c>
      <c r="AT125" s="209" t="str">
        <f>IFERROR(VLOOKUP(TableHandbook[[#This Row],[UDC]],TableSTRUGEOGM[],7,FALSE),"")</f>
        <v/>
      </c>
      <c r="AU125" s="209" t="str">
        <f>IFERROR(VLOOKUP(TableHandbook[[#This Row],[UDC]],TableSTRUHISB1[],7,FALSE),"")</f>
        <v/>
      </c>
      <c r="AV125" s="209" t="str">
        <f>IFERROR(VLOOKUP(TableHandbook[[#This Row],[UDC]],TableSTRUHISTM[],7,FALSE),"")</f>
        <v/>
      </c>
      <c r="AW125" s="209" t="str">
        <f>IFERROR(VLOOKUP(TableHandbook[[#This Row],[UDC]],TableSTRUHPEB1[],7,FALSE),"")</f>
        <v/>
      </c>
      <c r="AX125" s="209" t="str">
        <f>IFERROR(VLOOKUP(TableHandbook[[#This Row],[UDC]],TableSTRUHUMBB[],7,FALSE),"")</f>
        <v/>
      </c>
      <c r="AY125" s="209" t="str">
        <f>IFERROR(VLOOKUP(TableHandbook[[#This Row],[UDC]],TableSTRUMARTM[],7,FALSE),"")</f>
        <v/>
      </c>
      <c r="AZ125" s="209" t="str">
        <f>IFERROR(VLOOKUP(TableHandbook[[#This Row],[UDC]],TableSTRUMATHB[],7,FALSE),"")</f>
        <v/>
      </c>
      <c r="BA125" s="209" t="str">
        <f>IFERROR(VLOOKUP(TableHandbook[[#This Row],[UDC]],TableSTRUMATHM[],7,FALSE),"")</f>
        <v/>
      </c>
      <c r="BB125" s="209" t="str">
        <f>IFERROR(VLOOKUP(TableHandbook[[#This Row],[UDC]],TableSTRUPARTB[],7,FALSE),"")</f>
        <v/>
      </c>
      <c r="BC125" s="209" t="str">
        <f>IFERROR(VLOOKUP(TableHandbook[[#This Row],[UDC]],TableSTRUPARTM[],7,FALSE),"")</f>
        <v/>
      </c>
      <c r="BD125" s="209" t="str">
        <f>IFERROR(VLOOKUP(TableHandbook[[#This Row],[UDC]],TableSTRUPOLB1[],7,FALSE),"")</f>
        <v/>
      </c>
      <c r="BE125" s="209" t="str">
        <f>IFERROR(VLOOKUP(TableHandbook[[#This Row],[UDC]],TableSTRUPSYCB[],7,FALSE),"")</f>
        <v/>
      </c>
      <c r="BF125" s="209" t="str">
        <f>IFERROR(VLOOKUP(TableHandbook[[#This Row],[UDC]],TableSTRUPSYCM[],7,FALSE),"")</f>
        <v/>
      </c>
      <c r="BG125" s="209" t="str">
        <f>IFERROR(VLOOKUP(TableHandbook[[#This Row],[UDC]],TableSTRUVARTB[],7,FALSE),"")</f>
        <v/>
      </c>
      <c r="BH125" s="209" t="str">
        <f>IFERROR(VLOOKUP(TableHandbook[[#This Row],[UDC]],TableSTRUVARTM[],7,FALSE),"")</f>
        <v/>
      </c>
    </row>
    <row r="126" spans="1:60" x14ac:dyDescent="0.25">
      <c r="A126" s="6" t="s">
        <v>151</v>
      </c>
      <c r="B126" s="7">
        <v>1</v>
      </c>
      <c r="C126" s="7"/>
      <c r="D126" s="207" t="s">
        <v>919</v>
      </c>
      <c r="E126" s="7">
        <v>25</v>
      </c>
      <c r="F126" s="311" t="s">
        <v>132</v>
      </c>
      <c r="G126" s="75" t="str">
        <f>IFERROR(IF(VLOOKUP(TableHandbook[[#This Row],[UDC]],TableAvailabilities[],2,FALSE)&gt;0,"Y",""),"")</f>
        <v>Y</v>
      </c>
      <c r="H126" s="75" t="str">
        <f>IFERROR(IF(VLOOKUP(TableHandbook[[#This Row],[UDC]],TableAvailabilities[],3,FALSE)&gt;0,"Y",""),"")</f>
        <v>Y</v>
      </c>
      <c r="I126" s="75" t="str">
        <f>IFERROR(IF(VLOOKUP(TableHandbook[[#This Row],[UDC]],TableAvailabilities[],4,FALSE)&gt;0,"Y",""),"")</f>
        <v>Y</v>
      </c>
      <c r="J126" s="75" t="str">
        <f>IFERROR(IF(VLOOKUP(TableHandbook[[#This Row],[UDC]],TableAvailabilities[],5,FALSE)&gt;0,"Y",""),"")</f>
        <v>Y</v>
      </c>
      <c r="K126" s="75" t="str">
        <f>IFERROR(IF(VLOOKUP(TableHandbook[[#This Row],[UDC]],TableAvailabilities[],6,FALSE)&gt;0,"Y",""),"")</f>
        <v>Y</v>
      </c>
      <c r="L126" s="75" t="str">
        <f>IFERROR(IF(VLOOKUP(TableHandbook[[#This Row],[UDC]],TableAvailabilities[],7,FALSE)&gt;0,"Y",""),"")</f>
        <v>Y</v>
      </c>
      <c r="M126" s="207"/>
      <c r="N126" s="209" t="str">
        <f>IFERROR(VLOOKUP(TableHandbook[[#This Row],[UDC]],TableBEDUC[],7,FALSE),"")</f>
        <v/>
      </c>
      <c r="O126" s="209" t="str">
        <f>IFERROR(VLOOKUP(TableHandbook[[#This Row],[UDC]],TableBEDEC[],7,FALSE),"")</f>
        <v/>
      </c>
      <c r="P126" s="211" t="str">
        <f>IFERROR(VLOOKUP(TableHandbook[[#This Row],[UDC]],TableBEDPR[],7,FALSE),"")</f>
        <v>Core</v>
      </c>
      <c r="Q126" s="209" t="str">
        <f>IFERROR(VLOOKUP(TableHandbook[[#This Row],[UDC]],TableSTRUCATHL[],7,FALSE),"")</f>
        <v/>
      </c>
      <c r="R126" s="209" t="str">
        <f>IFERROR(VLOOKUP(TableHandbook[[#This Row],[UDC]],TableSTRUENGLL[],7,FALSE),"")</f>
        <v/>
      </c>
      <c r="S126" s="209" t="str">
        <f>IFERROR(VLOOKUP(TableHandbook[[#This Row],[UDC]],TableSTRUHLTPE[],7,FALSE),"")</f>
        <v/>
      </c>
      <c r="T126" s="209" t="str">
        <f>IFERROR(VLOOKUP(TableHandbook[[#This Row],[UDC]],TableSTRUISTEM[],7,FALSE),"")</f>
        <v/>
      </c>
      <c r="U126" s="209" t="str">
        <f>IFERROR(VLOOKUP(TableHandbook[[#This Row],[UDC]],TableSTRULITNU[],7,FALSE),"")</f>
        <v/>
      </c>
      <c r="V126" s="209" t="str">
        <f>IFERROR(VLOOKUP(TableHandbook[[#This Row],[UDC]],TableSTRUTECHS[],7,FALSE),"")</f>
        <v/>
      </c>
      <c r="W126" s="211" t="str">
        <f>IFERROR(VLOOKUP(TableHandbook[[#This Row],[UDC]],TableBEDSC[],7,FALSE),"")</f>
        <v/>
      </c>
      <c r="X126" s="211" t="str">
        <f>IFERROR(VLOOKUP(TableHandbook[[#This Row],[UDC]],TableMJRUARDR1[],7,FALSE),"")</f>
        <v/>
      </c>
      <c r="Y126" s="209" t="str">
        <f>IFERROR(VLOOKUP(TableHandbook[[#This Row],[UDC]],TableMJRUARME1[],7,FALSE),"")</f>
        <v/>
      </c>
      <c r="Z126" s="209" t="str">
        <f>IFERROR(VLOOKUP(TableHandbook[[#This Row],[UDC]],TableMJRUARVA1[],7,FALSE),"")</f>
        <v/>
      </c>
      <c r="AA126" s="209" t="str">
        <f>IFERROR(VLOOKUP(TableHandbook[[#This Row],[UDC]],TableMJRUENGL1[],7,FALSE),"")</f>
        <v/>
      </c>
      <c r="AB126" s="209" t="str">
        <f>IFERROR(VLOOKUP(TableHandbook[[#This Row],[UDC]],TableMJRUHSEC1[],7,FALSE),"")</f>
        <v/>
      </c>
      <c r="AC126" s="209" t="str">
        <f>IFERROR(VLOOKUP(TableHandbook[[#This Row],[UDC]],TableMJRUHSGE1[],7,FALSE),"")</f>
        <v/>
      </c>
      <c r="AD126" s="209" t="str">
        <f>IFERROR(VLOOKUP(TableHandbook[[#This Row],[UDC]],TableMJRUHSHI1[],7,FALSE),"")</f>
        <v/>
      </c>
      <c r="AE126" s="209" t="str">
        <f>IFERROR(VLOOKUP(TableHandbook[[#This Row],[UDC]],TableMJRUHSPL1[],7,FALSE),"")</f>
        <v/>
      </c>
      <c r="AF126" s="209" t="str">
        <f>IFERROR(VLOOKUP(TableHandbook[[#This Row],[UDC]],TableMJRUMATH1[],7,FALSE),"")</f>
        <v/>
      </c>
      <c r="AG126" s="209" t="str">
        <f>IFERROR(VLOOKUP(TableHandbook[[#This Row],[UDC]],TableMJRUPHYSE[],7,FALSE),"")</f>
        <v/>
      </c>
      <c r="AH126" s="209" t="str">
        <f>IFERROR(VLOOKUP(TableHandbook[[#This Row],[UDC]],TableMJRUSCBI1[],7,FALSE),"")</f>
        <v/>
      </c>
      <c r="AI126" s="209" t="str">
        <f>IFERROR(VLOOKUP(TableHandbook[[#This Row],[UDC]],TableMJRUSCCH1[],7,FALSE),"")</f>
        <v/>
      </c>
      <c r="AJ126" s="209" t="str">
        <f>IFERROR(VLOOKUP(TableHandbook[[#This Row],[UDC]],TableMJRUSCHB1[],7,FALSE),"")</f>
        <v/>
      </c>
      <c r="AK126" s="209" t="str">
        <f>IFERROR(VLOOKUP(TableHandbook[[#This Row],[UDC]],TableMJRUSCPH1[],7,FALSE),"")</f>
        <v/>
      </c>
      <c r="AL126" s="209" t="str">
        <f>IFERROR(VLOOKUP(TableHandbook[[#This Row],[UDC]],TableMJRUSCPS1[],7,FALSE),"")</f>
        <v/>
      </c>
      <c r="AM126" s="211" t="str">
        <f>IFERROR(VLOOKUP(TableHandbook[[#This Row],[UDC]],TableSTRUBIOLB[],7,FALSE),"")</f>
        <v/>
      </c>
      <c r="AN126" s="209" t="str">
        <f>IFERROR(VLOOKUP(TableHandbook[[#This Row],[UDC]],TableSTRUBSCIM[],7,FALSE),"")</f>
        <v/>
      </c>
      <c r="AO126" s="209" t="str">
        <f>IFERROR(VLOOKUP(TableHandbook[[#This Row],[UDC]],TableSTRUCHEMB[],7,FALSE),"")</f>
        <v/>
      </c>
      <c r="AP126" s="209" t="str">
        <f>IFERROR(VLOOKUP(TableHandbook[[#This Row],[UDC]],TableSTRUECOB1[],7,FALSE),"")</f>
        <v/>
      </c>
      <c r="AQ126" s="209" t="str">
        <f>IFERROR(VLOOKUP(TableHandbook[[#This Row],[UDC]],TableSTRUENGLB[],7,FALSE),"")</f>
        <v/>
      </c>
      <c r="AR126" s="209" t="str">
        <f>IFERROR(VLOOKUP(TableHandbook[[#This Row],[UDC]],TableSTRUENGLM[],7,FALSE),"")</f>
        <v/>
      </c>
      <c r="AS126" s="209" t="str">
        <f>IFERROR(VLOOKUP(TableHandbook[[#This Row],[UDC]],TableSTRUGEOB1[],7,FALSE),"")</f>
        <v/>
      </c>
      <c r="AT126" s="209" t="str">
        <f>IFERROR(VLOOKUP(TableHandbook[[#This Row],[UDC]],TableSTRUGEOGM[],7,FALSE),"")</f>
        <v/>
      </c>
      <c r="AU126" s="209" t="str">
        <f>IFERROR(VLOOKUP(TableHandbook[[#This Row],[UDC]],TableSTRUHISB1[],7,FALSE),"")</f>
        <v/>
      </c>
      <c r="AV126" s="209" t="str">
        <f>IFERROR(VLOOKUP(TableHandbook[[#This Row],[UDC]],TableSTRUHISTM[],7,FALSE),"")</f>
        <v/>
      </c>
      <c r="AW126" s="209" t="str">
        <f>IFERROR(VLOOKUP(TableHandbook[[#This Row],[UDC]],TableSTRUHPEB1[],7,FALSE),"")</f>
        <v/>
      </c>
      <c r="AX126" s="209" t="str">
        <f>IFERROR(VLOOKUP(TableHandbook[[#This Row],[UDC]],TableSTRUHUMBB[],7,FALSE),"")</f>
        <v/>
      </c>
      <c r="AY126" s="209" t="str">
        <f>IFERROR(VLOOKUP(TableHandbook[[#This Row],[UDC]],TableSTRUMARTM[],7,FALSE),"")</f>
        <v/>
      </c>
      <c r="AZ126" s="209" t="str">
        <f>IFERROR(VLOOKUP(TableHandbook[[#This Row],[UDC]],TableSTRUMATHB[],7,FALSE),"")</f>
        <v/>
      </c>
      <c r="BA126" s="209" t="str">
        <f>IFERROR(VLOOKUP(TableHandbook[[#This Row],[UDC]],TableSTRUMATHM[],7,FALSE),"")</f>
        <v/>
      </c>
      <c r="BB126" s="209" t="str">
        <f>IFERROR(VLOOKUP(TableHandbook[[#This Row],[UDC]],TableSTRUPARTB[],7,FALSE),"")</f>
        <v/>
      </c>
      <c r="BC126" s="209" t="str">
        <f>IFERROR(VLOOKUP(TableHandbook[[#This Row],[UDC]],TableSTRUPARTM[],7,FALSE),"")</f>
        <v/>
      </c>
      <c r="BD126" s="209" t="str">
        <f>IFERROR(VLOOKUP(TableHandbook[[#This Row],[UDC]],TableSTRUPOLB1[],7,FALSE),"")</f>
        <v/>
      </c>
      <c r="BE126" s="209" t="str">
        <f>IFERROR(VLOOKUP(TableHandbook[[#This Row],[UDC]],TableSTRUPSYCB[],7,FALSE),"")</f>
        <v/>
      </c>
      <c r="BF126" s="209" t="str">
        <f>IFERROR(VLOOKUP(TableHandbook[[#This Row],[UDC]],TableSTRUPSYCM[],7,FALSE),"")</f>
        <v/>
      </c>
      <c r="BG126" s="209" t="str">
        <f>IFERROR(VLOOKUP(TableHandbook[[#This Row],[UDC]],TableSTRUVARTB[],7,FALSE),"")</f>
        <v/>
      </c>
      <c r="BH126" s="209" t="str">
        <f>IFERROR(VLOOKUP(TableHandbook[[#This Row],[UDC]],TableSTRUVARTM[],7,FALSE),"")</f>
        <v/>
      </c>
    </row>
    <row r="127" spans="1:60" x14ac:dyDescent="0.25">
      <c r="A127" s="6" t="s">
        <v>920</v>
      </c>
      <c r="B127" s="7">
        <v>1</v>
      </c>
      <c r="C127" s="7"/>
      <c r="D127" s="207" t="s">
        <v>921</v>
      </c>
      <c r="E127" s="7">
        <v>25</v>
      </c>
      <c r="F127" s="84"/>
      <c r="G127" s="75" t="str">
        <f>IFERROR(IF(VLOOKUP(TableHandbook[[#This Row],[UDC]],TableAvailabilities[],2,FALSE)&gt;0,"Y",""),"")</f>
        <v/>
      </c>
      <c r="H127" s="75" t="str">
        <f>IFERROR(IF(VLOOKUP(TableHandbook[[#This Row],[UDC]],TableAvailabilities[],3,FALSE)&gt;0,"Y",""),"")</f>
        <v/>
      </c>
      <c r="I127" s="75" t="str">
        <f>IFERROR(IF(VLOOKUP(TableHandbook[[#This Row],[UDC]],TableAvailabilities[],4,FALSE)&gt;0,"Y",""),"")</f>
        <v/>
      </c>
      <c r="J127" s="75" t="str">
        <f>IFERROR(IF(VLOOKUP(TableHandbook[[#This Row],[UDC]],TableAvailabilities[],5,FALSE)&gt;0,"Y",""),"")</f>
        <v/>
      </c>
      <c r="K127" s="75" t="str">
        <f>IFERROR(IF(VLOOKUP(TableHandbook[[#This Row],[UDC]],TableAvailabilities[],6,FALSE)&gt;0,"Y",""),"")</f>
        <v/>
      </c>
      <c r="L127" s="75" t="str">
        <f>IFERROR(IF(VLOOKUP(TableHandbook[[#This Row],[UDC]],TableAvailabilities[],7,FALSE)&gt;0,"Y",""),"")</f>
        <v/>
      </c>
      <c r="M127" s="314" t="s">
        <v>922</v>
      </c>
      <c r="N127" s="209" t="str">
        <f>IFERROR(VLOOKUP(TableHandbook[[#This Row],[UDC]],TableBEDUC[],7,FALSE),"")</f>
        <v/>
      </c>
      <c r="O127" s="209" t="str">
        <f>IFERROR(VLOOKUP(TableHandbook[[#This Row],[UDC]],TableBEDEC[],7,FALSE),"")</f>
        <v/>
      </c>
      <c r="P127" s="211" t="str">
        <f>IFERROR(VLOOKUP(TableHandbook[[#This Row],[UDC]],TableBEDPR[],7,FALSE),"")</f>
        <v/>
      </c>
      <c r="Q127" s="209" t="str">
        <f>IFERROR(VLOOKUP(TableHandbook[[#This Row],[UDC]],TableSTRUCATHL[],7,FALSE),"")</f>
        <v/>
      </c>
      <c r="R127" s="209" t="str">
        <f>IFERROR(VLOOKUP(TableHandbook[[#This Row],[UDC]],TableSTRUENGLL[],7,FALSE),"")</f>
        <v/>
      </c>
      <c r="S127" s="209" t="str">
        <f>IFERROR(VLOOKUP(TableHandbook[[#This Row],[UDC]],TableSTRUHLTPE[],7,FALSE),"")</f>
        <v/>
      </c>
      <c r="T127" s="209" t="str">
        <f>IFERROR(VLOOKUP(TableHandbook[[#This Row],[UDC]],TableSTRUISTEM[],7,FALSE),"")</f>
        <v/>
      </c>
      <c r="U127" s="209" t="str">
        <f>IFERROR(VLOOKUP(TableHandbook[[#This Row],[UDC]],TableSTRULITNU[],7,FALSE),"")</f>
        <v/>
      </c>
      <c r="V127" s="209" t="str">
        <f>IFERROR(VLOOKUP(TableHandbook[[#This Row],[UDC]],TableSTRUTECHS[],7,FALSE),"")</f>
        <v/>
      </c>
      <c r="W127" s="211" t="str">
        <f>IFERROR(VLOOKUP(TableHandbook[[#This Row],[UDC]],TableBEDSC[],7,FALSE),"")</f>
        <v/>
      </c>
      <c r="X127" s="211" t="str">
        <f>IFERROR(VLOOKUP(TableHandbook[[#This Row],[UDC]],TableMJRUARDR1[],7,FALSE),"")</f>
        <v/>
      </c>
      <c r="Y127" s="209" t="str">
        <f>IFERROR(VLOOKUP(TableHandbook[[#This Row],[UDC]],TableMJRUARME1[],7,FALSE),"")</f>
        <v/>
      </c>
      <c r="Z127" s="209" t="str">
        <f>IFERROR(VLOOKUP(TableHandbook[[#This Row],[UDC]],TableMJRUARVA1[],7,FALSE),"")</f>
        <v/>
      </c>
      <c r="AA127" s="209" t="str">
        <f>IFERROR(VLOOKUP(TableHandbook[[#This Row],[UDC]],TableMJRUENGL1[],7,FALSE),"")</f>
        <v/>
      </c>
      <c r="AB127" s="209" t="str">
        <f>IFERROR(VLOOKUP(TableHandbook[[#This Row],[UDC]],TableMJRUHSEC1[],7,FALSE),"")</f>
        <v/>
      </c>
      <c r="AC127" s="209" t="str">
        <f>IFERROR(VLOOKUP(TableHandbook[[#This Row],[UDC]],TableMJRUHSGE1[],7,FALSE),"")</f>
        <v/>
      </c>
      <c r="AD127" s="209" t="str">
        <f>IFERROR(VLOOKUP(TableHandbook[[#This Row],[UDC]],TableMJRUHSHI1[],7,FALSE),"")</f>
        <v/>
      </c>
      <c r="AE127" s="209" t="str">
        <f>IFERROR(VLOOKUP(TableHandbook[[#This Row],[UDC]],TableMJRUHSPL1[],7,FALSE),"")</f>
        <v/>
      </c>
      <c r="AF127" s="209" t="str">
        <f>IFERROR(VLOOKUP(TableHandbook[[#This Row],[UDC]],TableMJRUMATH1[],7,FALSE),"")</f>
        <v/>
      </c>
      <c r="AG127" s="209" t="str">
        <f>IFERROR(VLOOKUP(TableHandbook[[#This Row],[UDC]],TableMJRUPHYSE[],7,FALSE),"")</f>
        <v/>
      </c>
      <c r="AH127" s="209" t="str">
        <f>IFERROR(VLOOKUP(TableHandbook[[#This Row],[UDC]],TableMJRUSCBI1[],7,FALSE),"")</f>
        <v/>
      </c>
      <c r="AI127" s="209" t="str">
        <f>IFERROR(VLOOKUP(TableHandbook[[#This Row],[UDC]],TableMJRUSCCH1[],7,FALSE),"")</f>
        <v/>
      </c>
      <c r="AJ127" s="209" t="str">
        <f>IFERROR(VLOOKUP(TableHandbook[[#This Row],[UDC]],TableMJRUSCHB1[],7,FALSE),"")</f>
        <v/>
      </c>
      <c r="AK127" s="209" t="str">
        <f>IFERROR(VLOOKUP(TableHandbook[[#This Row],[UDC]],TableMJRUSCPH1[],7,FALSE),"")</f>
        <v/>
      </c>
      <c r="AL127" s="209" t="str">
        <f>IFERROR(VLOOKUP(TableHandbook[[#This Row],[UDC]],TableMJRUSCPS1[],7,FALSE),"")</f>
        <v/>
      </c>
      <c r="AM127" s="211" t="str">
        <f>IFERROR(VLOOKUP(TableHandbook[[#This Row],[UDC]],TableSTRUBIOLB[],7,FALSE),"")</f>
        <v/>
      </c>
      <c r="AN127" s="209" t="str">
        <f>IFERROR(VLOOKUP(TableHandbook[[#This Row],[UDC]],TableSTRUBSCIM[],7,FALSE),"")</f>
        <v/>
      </c>
      <c r="AO127" s="209" t="str">
        <f>IFERROR(VLOOKUP(TableHandbook[[#This Row],[UDC]],TableSTRUCHEMB[],7,FALSE),"")</f>
        <v/>
      </c>
      <c r="AP127" s="209" t="str">
        <f>IFERROR(VLOOKUP(TableHandbook[[#This Row],[UDC]],TableSTRUECOB1[],7,FALSE),"")</f>
        <v/>
      </c>
      <c r="AQ127" s="209" t="str">
        <f>IFERROR(VLOOKUP(TableHandbook[[#This Row],[UDC]],TableSTRUENGLB[],7,FALSE),"")</f>
        <v/>
      </c>
      <c r="AR127" s="209" t="str">
        <f>IFERROR(VLOOKUP(TableHandbook[[#This Row],[UDC]],TableSTRUENGLM[],7,FALSE),"")</f>
        <v/>
      </c>
      <c r="AS127" s="209" t="str">
        <f>IFERROR(VLOOKUP(TableHandbook[[#This Row],[UDC]],TableSTRUGEOB1[],7,FALSE),"")</f>
        <v/>
      </c>
      <c r="AT127" s="209" t="str">
        <f>IFERROR(VLOOKUP(TableHandbook[[#This Row],[UDC]],TableSTRUGEOGM[],7,FALSE),"")</f>
        <v/>
      </c>
      <c r="AU127" s="209" t="str">
        <f>IFERROR(VLOOKUP(TableHandbook[[#This Row],[UDC]],TableSTRUHISB1[],7,FALSE),"")</f>
        <v/>
      </c>
      <c r="AV127" s="209" t="str">
        <f>IFERROR(VLOOKUP(TableHandbook[[#This Row],[UDC]],TableSTRUHISTM[],7,FALSE),"")</f>
        <v/>
      </c>
      <c r="AW127" s="209" t="str">
        <f>IFERROR(VLOOKUP(TableHandbook[[#This Row],[UDC]],TableSTRUHPEB1[],7,FALSE),"")</f>
        <v/>
      </c>
      <c r="AX127" s="209" t="str">
        <f>IFERROR(VLOOKUP(TableHandbook[[#This Row],[UDC]],TableSTRUHUMBB[],7,FALSE),"")</f>
        <v/>
      </c>
      <c r="AY127" s="209" t="str">
        <f>IFERROR(VLOOKUP(TableHandbook[[#This Row],[UDC]],TableSTRUMARTM[],7,FALSE),"")</f>
        <v/>
      </c>
      <c r="AZ127" s="209" t="str">
        <f>IFERROR(VLOOKUP(TableHandbook[[#This Row],[UDC]],TableSTRUMATHB[],7,FALSE),"")</f>
        <v/>
      </c>
      <c r="BA127" s="209" t="str">
        <f>IFERROR(VLOOKUP(TableHandbook[[#This Row],[UDC]],TableSTRUMATHM[],7,FALSE),"")</f>
        <v/>
      </c>
      <c r="BB127" s="209" t="str">
        <f>IFERROR(VLOOKUP(TableHandbook[[#This Row],[UDC]],TableSTRUPARTB[],7,FALSE),"")</f>
        <v/>
      </c>
      <c r="BC127" s="209" t="str">
        <f>IFERROR(VLOOKUP(TableHandbook[[#This Row],[UDC]],TableSTRUPARTM[],7,FALSE),"")</f>
        <v/>
      </c>
      <c r="BD127" s="209" t="str">
        <f>IFERROR(VLOOKUP(TableHandbook[[#This Row],[UDC]],TableSTRUPOLB1[],7,FALSE),"")</f>
        <v/>
      </c>
      <c r="BE127" s="209" t="str">
        <f>IFERROR(VLOOKUP(TableHandbook[[#This Row],[UDC]],TableSTRUPSYCB[],7,FALSE),"")</f>
        <v/>
      </c>
      <c r="BF127" s="209" t="str">
        <f>IFERROR(VLOOKUP(TableHandbook[[#This Row],[UDC]],TableSTRUPSYCM[],7,FALSE),"")</f>
        <v/>
      </c>
      <c r="BG127" s="209" t="str">
        <f>IFERROR(VLOOKUP(TableHandbook[[#This Row],[UDC]],TableSTRUVARTB[],7,FALSE),"")</f>
        <v/>
      </c>
      <c r="BH127" s="209" t="str">
        <f>IFERROR(VLOOKUP(TableHandbook[[#This Row],[UDC]],TableSTRUVARTM[],7,FALSE),"")</f>
        <v/>
      </c>
    </row>
    <row r="128" spans="1:60" x14ac:dyDescent="0.25">
      <c r="A128" s="6" t="s">
        <v>923</v>
      </c>
      <c r="B128" s="7">
        <v>1</v>
      </c>
      <c r="C128" s="7"/>
      <c r="D128" s="207" t="s">
        <v>924</v>
      </c>
      <c r="E128" s="7">
        <v>25</v>
      </c>
      <c r="F128" s="84"/>
      <c r="G128" s="75" t="str">
        <f>IFERROR(IF(VLOOKUP(TableHandbook[[#This Row],[UDC]],TableAvailabilities[],2,FALSE)&gt;0,"Y",""),"")</f>
        <v/>
      </c>
      <c r="H128" s="75" t="str">
        <f>IFERROR(IF(VLOOKUP(TableHandbook[[#This Row],[UDC]],TableAvailabilities[],3,FALSE)&gt;0,"Y",""),"")</f>
        <v/>
      </c>
      <c r="I128" s="75" t="str">
        <f>IFERROR(IF(VLOOKUP(TableHandbook[[#This Row],[UDC]],TableAvailabilities[],4,FALSE)&gt;0,"Y",""),"")</f>
        <v/>
      </c>
      <c r="J128" s="75" t="str">
        <f>IFERROR(IF(VLOOKUP(TableHandbook[[#This Row],[UDC]],TableAvailabilities[],5,FALSE)&gt;0,"Y",""),"")</f>
        <v/>
      </c>
      <c r="K128" s="75" t="str">
        <f>IFERROR(IF(VLOOKUP(TableHandbook[[#This Row],[UDC]],TableAvailabilities[],6,FALSE)&gt;0,"Y",""),"")</f>
        <v/>
      </c>
      <c r="L128" s="75" t="str">
        <f>IFERROR(IF(VLOOKUP(TableHandbook[[#This Row],[UDC]],TableAvailabilities[],7,FALSE)&gt;0,"Y",""),"")</f>
        <v/>
      </c>
      <c r="M128" s="314" t="s">
        <v>922</v>
      </c>
      <c r="N128" s="209" t="str">
        <f>IFERROR(VLOOKUP(TableHandbook[[#This Row],[UDC]],TableBEDUC[],7,FALSE),"")</f>
        <v/>
      </c>
      <c r="O128" s="209" t="str">
        <f>IFERROR(VLOOKUP(TableHandbook[[#This Row],[UDC]],TableBEDEC[],7,FALSE),"")</f>
        <v/>
      </c>
      <c r="P128" s="211" t="str">
        <f>IFERROR(VLOOKUP(TableHandbook[[#This Row],[UDC]],TableBEDPR[],7,FALSE),"")</f>
        <v/>
      </c>
      <c r="Q128" s="209" t="str">
        <f>IFERROR(VLOOKUP(TableHandbook[[#This Row],[UDC]],TableSTRUCATHL[],7,FALSE),"")</f>
        <v/>
      </c>
      <c r="R128" s="209" t="str">
        <f>IFERROR(VLOOKUP(TableHandbook[[#This Row],[UDC]],TableSTRUENGLL[],7,FALSE),"")</f>
        <v/>
      </c>
      <c r="S128" s="209" t="str">
        <f>IFERROR(VLOOKUP(TableHandbook[[#This Row],[UDC]],TableSTRUHLTPE[],7,FALSE),"")</f>
        <v/>
      </c>
      <c r="T128" s="209" t="str">
        <f>IFERROR(VLOOKUP(TableHandbook[[#This Row],[UDC]],TableSTRUISTEM[],7,FALSE),"")</f>
        <v/>
      </c>
      <c r="U128" s="209" t="str">
        <f>IFERROR(VLOOKUP(TableHandbook[[#This Row],[UDC]],TableSTRULITNU[],7,FALSE),"")</f>
        <v/>
      </c>
      <c r="V128" s="209" t="str">
        <f>IFERROR(VLOOKUP(TableHandbook[[#This Row],[UDC]],TableSTRUTECHS[],7,FALSE),"")</f>
        <v/>
      </c>
      <c r="W128" s="211" t="str">
        <f>IFERROR(VLOOKUP(TableHandbook[[#This Row],[UDC]],TableBEDSC[],7,FALSE),"")</f>
        <v/>
      </c>
      <c r="X128" s="211" t="str">
        <f>IFERROR(VLOOKUP(TableHandbook[[#This Row],[UDC]],TableMJRUARDR1[],7,FALSE),"")</f>
        <v/>
      </c>
      <c r="Y128" s="209" t="str">
        <f>IFERROR(VLOOKUP(TableHandbook[[#This Row],[UDC]],TableMJRUARME1[],7,FALSE),"")</f>
        <v/>
      </c>
      <c r="Z128" s="209" t="str">
        <f>IFERROR(VLOOKUP(TableHandbook[[#This Row],[UDC]],TableMJRUARVA1[],7,FALSE),"")</f>
        <v/>
      </c>
      <c r="AA128" s="209" t="str">
        <f>IFERROR(VLOOKUP(TableHandbook[[#This Row],[UDC]],TableMJRUENGL1[],7,FALSE),"")</f>
        <v/>
      </c>
      <c r="AB128" s="209" t="str">
        <f>IFERROR(VLOOKUP(TableHandbook[[#This Row],[UDC]],TableMJRUHSEC1[],7,FALSE),"")</f>
        <v/>
      </c>
      <c r="AC128" s="209" t="str">
        <f>IFERROR(VLOOKUP(TableHandbook[[#This Row],[UDC]],TableMJRUHSGE1[],7,FALSE),"")</f>
        <v/>
      </c>
      <c r="AD128" s="209" t="str">
        <f>IFERROR(VLOOKUP(TableHandbook[[#This Row],[UDC]],TableMJRUHSHI1[],7,FALSE),"")</f>
        <v/>
      </c>
      <c r="AE128" s="209" t="str">
        <f>IFERROR(VLOOKUP(TableHandbook[[#This Row],[UDC]],TableMJRUHSPL1[],7,FALSE),"")</f>
        <v/>
      </c>
      <c r="AF128" s="209" t="str">
        <f>IFERROR(VLOOKUP(TableHandbook[[#This Row],[UDC]],TableMJRUMATH1[],7,FALSE),"")</f>
        <v/>
      </c>
      <c r="AG128" s="209" t="str">
        <f>IFERROR(VLOOKUP(TableHandbook[[#This Row],[UDC]],TableMJRUPHYSE[],7,FALSE),"")</f>
        <v/>
      </c>
      <c r="AH128" s="209" t="str">
        <f>IFERROR(VLOOKUP(TableHandbook[[#This Row],[UDC]],TableMJRUSCBI1[],7,FALSE),"")</f>
        <v/>
      </c>
      <c r="AI128" s="209" t="str">
        <f>IFERROR(VLOOKUP(TableHandbook[[#This Row],[UDC]],TableMJRUSCCH1[],7,FALSE),"")</f>
        <v/>
      </c>
      <c r="AJ128" s="209" t="str">
        <f>IFERROR(VLOOKUP(TableHandbook[[#This Row],[UDC]],TableMJRUSCHB1[],7,FALSE),"")</f>
        <v/>
      </c>
      <c r="AK128" s="209" t="str">
        <f>IFERROR(VLOOKUP(TableHandbook[[#This Row],[UDC]],TableMJRUSCPH1[],7,FALSE),"")</f>
        <v/>
      </c>
      <c r="AL128" s="209" t="str">
        <f>IFERROR(VLOOKUP(TableHandbook[[#This Row],[UDC]],TableMJRUSCPS1[],7,FALSE),"")</f>
        <v/>
      </c>
      <c r="AM128" s="211" t="str">
        <f>IFERROR(VLOOKUP(TableHandbook[[#This Row],[UDC]],TableSTRUBIOLB[],7,FALSE),"")</f>
        <v/>
      </c>
      <c r="AN128" s="209" t="str">
        <f>IFERROR(VLOOKUP(TableHandbook[[#This Row],[UDC]],TableSTRUBSCIM[],7,FALSE),"")</f>
        <v/>
      </c>
      <c r="AO128" s="209" t="str">
        <f>IFERROR(VLOOKUP(TableHandbook[[#This Row],[UDC]],TableSTRUCHEMB[],7,FALSE),"")</f>
        <v/>
      </c>
      <c r="AP128" s="209" t="str">
        <f>IFERROR(VLOOKUP(TableHandbook[[#This Row],[UDC]],TableSTRUECOB1[],7,FALSE),"")</f>
        <v/>
      </c>
      <c r="AQ128" s="209" t="str">
        <f>IFERROR(VLOOKUP(TableHandbook[[#This Row],[UDC]],TableSTRUENGLB[],7,FALSE),"")</f>
        <v/>
      </c>
      <c r="AR128" s="209" t="str">
        <f>IFERROR(VLOOKUP(TableHandbook[[#This Row],[UDC]],TableSTRUENGLM[],7,FALSE),"")</f>
        <v/>
      </c>
      <c r="AS128" s="209" t="str">
        <f>IFERROR(VLOOKUP(TableHandbook[[#This Row],[UDC]],TableSTRUGEOB1[],7,FALSE),"")</f>
        <v/>
      </c>
      <c r="AT128" s="209" t="str">
        <f>IFERROR(VLOOKUP(TableHandbook[[#This Row],[UDC]],TableSTRUGEOGM[],7,FALSE),"")</f>
        <v/>
      </c>
      <c r="AU128" s="209" t="str">
        <f>IFERROR(VLOOKUP(TableHandbook[[#This Row],[UDC]],TableSTRUHISB1[],7,FALSE),"")</f>
        <v/>
      </c>
      <c r="AV128" s="209" t="str">
        <f>IFERROR(VLOOKUP(TableHandbook[[#This Row],[UDC]],TableSTRUHISTM[],7,FALSE),"")</f>
        <v/>
      </c>
      <c r="AW128" s="209" t="str">
        <f>IFERROR(VLOOKUP(TableHandbook[[#This Row],[UDC]],TableSTRUHPEB1[],7,FALSE),"")</f>
        <v/>
      </c>
      <c r="AX128" s="209" t="str">
        <f>IFERROR(VLOOKUP(TableHandbook[[#This Row],[UDC]],TableSTRUHUMBB[],7,FALSE),"")</f>
        <v/>
      </c>
      <c r="AY128" s="209" t="str">
        <f>IFERROR(VLOOKUP(TableHandbook[[#This Row],[UDC]],TableSTRUMARTM[],7,FALSE),"")</f>
        <v/>
      </c>
      <c r="AZ128" s="209" t="str">
        <f>IFERROR(VLOOKUP(TableHandbook[[#This Row],[UDC]],TableSTRUMATHB[],7,FALSE),"")</f>
        <v/>
      </c>
      <c r="BA128" s="209" t="str">
        <f>IFERROR(VLOOKUP(TableHandbook[[#This Row],[UDC]],TableSTRUMATHM[],7,FALSE),"")</f>
        <v/>
      </c>
      <c r="BB128" s="209" t="str">
        <f>IFERROR(VLOOKUP(TableHandbook[[#This Row],[UDC]],TableSTRUPARTB[],7,FALSE),"")</f>
        <v/>
      </c>
      <c r="BC128" s="209" t="str">
        <f>IFERROR(VLOOKUP(TableHandbook[[#This Row],[UDC]],TableSTRUPARTM[],7,FALSE),"")</f>
        <v/>
      </c>
      <c r="BD128" s="209" t="str">
        <f>IFERROR(VLOOKUP(TableHandbook[[#This Row],[UDC]],TableSTRUPOLB1[],7,FALSE),"")</f>
        <v/>
      </c>
      <c r="BE128" s="209" t="str">
        <f>IFERROR(VLOOKUP(TableHandbook[[#This Row],[UDC]],TableSTRUPSYCB[],7,FALSE),"")</f>
        <v/>
      </c>
      <c r="BF128" s="209" t="str">
        <f>IFERROR(VLOOKUP(TableHandbook[[#This Row],[UDC]],TableSTRUPSYCM[],7,FALSE),"")</f>
        <v/>
      </c>
      <c r="BG128" s="209" t="str">
        <f>IFERROR(VLOOKUP(TableHandbook[[#This Row],[UDC]],TableSTRUVARTB[],7,FALSE),"")</f>
        <v/>
      </c>
      <c r="BH128" s="209" t="str">
        <f>IFERROR(VLOOKUP(TableHandbook[[#This Row],[UDC]],TableSTRUVARTM[],7,FALSE),"")</f>
        <v/>
      </c>
    </row>
    <row r="129" spans="1:60" x14ac:dyDescent="0.25">
      <c r="A129" s="6" t="s">
        <v>925</v>
      </c>
      <c r="B129" s="7">
        <v>1</v>
      </c>
      <c r="C129" s="7"/>
      <c r="D129" s="207" t="s">
        <v>926</v>
      </c>
      <c r="E129" s="7">
        <v>25</v>
      </c>
      <c r="F129" s="84"/>
      <c r="G129" s="75" t="str">
        <f>IFERROR(IF(VLOOKUP(TableHandbook[[#This Row],[UDC]],TableAvailabilities[],2,FALSE)&gt;0,"Y",""),"")</f>
        <v/>
      </c>
      <c r="H129" s="75" t="str">
        <f>IFERROR(IF(VLOOKUP(TableHandbook[[#This Row],[UDC]],TableAvailabilities[],3,FALSE)&gt;0,"Y",""),"")</f>
        <v/>
      </c>
      <c r="I129" s="75" t="str">
        <f>IFERROR(IF(VLOOKUP(TableHandbook[[#This Row],[UDC]],TableAvailabilities[],4,FALSE)&gt;0,"Y",""),"")</f>
        <v/>
      </c>
      <c r="J129" s="75" t="str">
        <f>IFERROR(IF(VLOOKUP(TableHandbook[[#This Row],[UDC]],TableAvailabilities[],5,FALSE)&gt;0,"Y",""),"")</f>
        <v/>
      </c>
      <c r="K129" s="75" t="str">
        <f>IFERROR(IF(VLOOKUP(TableHandbook[[#This Row],[UDC]],TableAvailabilities[],6,FALSE)&gt;0,"Y",""),"")</f>
        <v/>
      </c>
      <c r="L129" s="75" t="str">
        <f>IFERROR(IF(VLOOKUP(TableHandbook[[#This Row],[UDC]],TableAvailabilities[],7,FALSE)&gt;0,"Y",""),"")</f>
        <v/>
      </c>
      <c r="M129" s="314" t="s">
        <v>922</v>
      </c>
      <c r="N129" s="209" t="str">
        <f>IFERROR(VLOOKUP(TableHandbook[[#This Row],[UDC]],TableBEDUC[],7,FALSE),"")</f>
        <v/>
      </c>
      <c r="O129" s="209" t="str">
        <f>IFERROR(VLOOKUP(TableHandbook[[#This Row],[UDC]],TableBEDEC[],7,FALSE),"")</f>
        <v/>
      </c>
      <c r="P129" s="211" t="str">
        <f>IFERROR(VLOOKUP(TableHandbook[[#This Row],[UDC]],TableBEDPR[],7,FALSE),"")</f>
        <v/>
      </c>
      <c r="Q129" s="209" t="str">
        <f>IFERROR(VLOOKUP(TableHandbook[[#This Row],[UDC]],TableSTRUCATHL[],7,FALSE),"")</f>
        <v/>
      </c>
      <c r="R129" s="209" t="str">
        <f>IFERROR(VLOOKUP(TableHandbook[[#This Row],[UDC]],TableSTRUENGLL[],7,FALSE),"")</f>
        <v/>
      </c>
      <c r="S129" s="209" t="str">
        <f>IFERROR(VLOOKUP(TableHandbook[[#This Row],[UDC]],TableSTRUHLTPE[],7,FALSE),"")</f>
        <v/>
      </c>
      <c r="T129" s="209" t="str">
        <f>IFERROR(VLOOKUP(TableHandbook[[#This Row],[UDC]],TableSTRUISTEM[],7,FALSE),"")</f>
        <v/>
      </c>
      <c r="U129" s="209" t="str">
        <f>IFERROR(VLOOKUP(TableHandbook[[#This Row],[UDC]],TableSTRULITNU[],7,FALSE),"")</f>
        <v/>
      </c>
      <c r="V129" s="209" t="str">
        <f>IFERROR(VLOOKUP(TableHandbook[[#This Row],[UDC]],TableSTRUTECHS[],7,FALSE),"")</f>
        <v/>
      </c>
      <c r="W129" s="211" t="str">
        <f>IFERROR(VLOOKUP(TableHandbook[[#This Row],[UDC]],TableBEDSC[],7,FALSE),"")</f>
        <v/>
      </c>
      <c r="X129" s="211" t="str">
        <f>IFERROR(VLOOKUP(TableHandbook[[#This Row],[UDC]],TableMJRUARDR1[],7,FALSE),"")</f>
        <v/>
      </c>
      <c r="Y129" s="209" t="str">
        <f>IFERROR(VLOOKUP(TableHandbook[[#This Row],[UDC]],TableMJRUARME1[],7,FALSE),"")</f>
        <v/>
      </c>
      <c r="Z129" s="209" t="str">
        <f>IFERROR(VLOOKUP(TableHandbook[[#This Row],[UDC]],TableMJRUARVA1[],7,FALSE),"")</f>
        <v/>
      </c>
      <c r="AA129" s="209" t="str">
        <f>IFERROR(VLOOKUP(TableHandbook[[#This Row],[UDC]],TableMJRUENGL1[],7,FALSE),"")</f>
        <v/>
      </c>
      <c r="AB129" s="209" t="str">
        <f>IFERROR(VLOOKUP(TableHandbook[[#This Row],[UDC]],TableMJRUHSEC1[],7,FALSE),"")</f>
        <v/>
      </c>
      <c r="AC129" s="209" t="str">
        <f>IFERROR(VLOOKUP(TableHandbook[[#This Row],[UDC]],TableMJRUHSGE1[],7,FALSE),"")</f>
        <v/>
      </c>
      <c r="AD129" s="209" t="str">
        <f>IFERROR(VLOOKUP(TableHandbook[[#This Row],[UDC]],TableMJRUHSHI1[],7,FALSE),"")</f>
        <v/>
      </c>
      <c r="AE129" s="209" t="str">
        <f>IFERROR(VLOOKUP(TableHandbook[[#This Row],[UDC]],TableMJRUHSPL1[],7,FALSE),"")</f>
        <v/>
      </c>
      <c r="AF129" s="209" t="str">
        <f>IFERROR(VLOOKUP(TableHandbook[[#This Row],[UDC]],TableMJRUMATH1[],7,FALSE),"")</f>
        <v/>
      </c>
      <c r="AG129" s="209" t="str">
        <f>IFERROR(VLOOKUP(TableHandbook[[#This Row],[UDC]],TableMJRUPHYSE[],7,FALSE),"")</f>
        <v/>
      </c>
      <c r="AH129" s="209" t="str">
        <f>IFERROR(VLOOKUP(TableHandbook[[#This Row],[UDC]],TableMJRUSCBI1[],7,FALSE),"")</f>
        <v/>
      </c>
      <c r="AI129" s="209" t="str">
        <f>IFERROR(VLOOKUP(TableHandbook[[#This Row],[UDC]],TableMJRUSCCH1[],7,FALSE),"")</f>
        <v/>
      </c>
      <c r="AJ129" s="209" t="str">
        <f>IFERROR(VLOOKUP(TableHandbook[[#This Row],[UDC]],TableMJRUSCHB1[],7,FALSE),"")</f>
        <v/>
      </c>
      <c r="AK129" s="209" t="str">
        <f>IFERROR(VLOOKUP(TableHandbook[[#This Row],[UDC]],TableMJRUSCPH1[],7,FALSE),"")</f>
        <v/>
      </c>
      <c r="AL129" s="209" t="str">
        <f>IFERROR(VLOOKUP(TableHandbook[[#This Row],[UDC]],TableMJRUSCPS1[],7,FALSE),"")</f>
        <v/>
      </c>
      <c r="AM129" s="211" t="str">
        <f>IFERROR(VLOOKUP(TableHandbook[[#This Row],[UDC]],TableSTRUBIOLB[],7,FALSE),"")</f>
        <v/>
      </c>
      <c r="AN129" s="209" t="str">
        <f>IFERROR(VLOOKUP(TableHandbook[[#This Row],[UDC]],TableSTRUBSCIM[],7,FALSE),"")</f>
        <v/>
      </c>
      <c r="AO129" s="209" t="str">
        <f>IFERROR(VLOOKUP(TableHandbook[[#This Row],[UDC]],TableSTRUCHEMB[],7,FALSE),"")</f>
        <v/>
      </c>
      <c r="AP129" s="209" t="str">
        <f>IFERROR(VLOOKUP(TableHandbook[[#This Row],[UDC]],TableSTRUECOB1[],7,FALSE),"")</f>
        <v/>
      </c>
      <c r="AQ129" s="209" t="str">
        <f>IFERROR(VLOOKUP(TableHandbook[[#This Row],[UDC]],TableSTRUENGLB[],7,FALSE),"")</f>
        <v/>
      </c>
      <c r="AR129" s="209" t="str">
        <f>IFERROR(VLOOKUP(TableHandbook[[#This Row],[UDC]],TableSTRUENGLM[],7,FALSE),"")</f>
        <v/>
      </c>
      <c r="AS129" s="209" t="str">
        <f>IFERROR(VLOOKUP(TableHandbook[[#This Row],[UDC]],TableSTRUGEOB1[],7,FALSE),"")</f>
        <v/>
      </c>
      <c r="AT129" s="209" t="str">
        <f>IFERROR(VLOOKUP(TableHandbook[[#This Row],[UDC]],TableSTRUGEOGM[],7,FALSE),"")</f>
        <v/>
      </c>
      <c r="AU129" s="209" t="str">
        <f>IFERROR(VLOOKUP(TableHandbook[[#This Row],[UDC]],TableSTRUHISB1[],7,FALSE),"")</f>
        <v/>
      </c>
      <c r="AV129" s="209" t="str">
        <f>IFERROR(VLOOKUP(TableHandbook[[#This Row],[UDC]],TableSTRUHISTM[],7,FALSE),"")</f>
        <v/>
      </c>
      <c r="AW129" s="209" t="str">
        <f>IFERROR(VLOOKUP(TableHandbook[[#This Row],[UDC]],TableSTRUHPEB1[],7,FALSE),"")</f>
        <v/>
      </c>
      <c r="AX129" s="209" t="str">
        <f>IFERROR(VLOOKUP(TableHandbook[[#This Row],[UDC]],TableSTRUHUMBB[],7,FALSE),"")</f>
        <v/>
      </c>
      <c r="AY129" s="209" t="str">
        <f>IFERROR(VLOOKUP(TableHandbook[[#This Row],[UDC]],TableSTRUMARTM[],7,FALSE),"")</f>
        <v/>
      </c>
      <c r="AZ129" s="209" t="str">
        <f>IFERROR(VLOOKUP(TableHandbook[[#This Row],[UDC]],TableSTRUMATHB[],7,FALSE),"")</f>
        <v/>
      </c>
      <c r="BA129" s="209" t="str">
        <f>IFERROR(VLOOKUP(TableHandbook[[#This Row],[UDC]],TableSTRUMATHM[],7,FALSE),"")</f>
        <v/>
      </c>
      <c r="BB129" s="209" t="str">
        <f>IFERROR(VLOOKUP(TableHandbook[[#This Row],[UDC]],TableSTRUPARTB[],7,FALSE),"")</f>
        <v/>
      </c>
      <c r="BC129" s="209" t="str">
        <f>IFERROR(VLOOKUP(TableHandbook[[#This Row],[UDC]],TableSTRUPARTM[],7,FALSE),"")</f>
        <v/>
      </c>
      <c r="BD129" s="209" t="str">
        <f>IFERROR(VLOOKUP(TableHandbook[[#This Row],[UDC]],TableSTRUPOLB1[],7,FALSE),"")</f>
        <v/>
      </c>
      <c r="BE129" s="209" t="str">
        <f>IFERROR(VLOOKUP(TableHandbook[[#This Row],[UDC]],TableSTRUPSYCB[],7,FALSE),"")</f>
        <v/>
      </c>
      <c r="BF129" s="209" t="str">
        <f>IFERROR(VLOOKUP(TableHandbook[[#This Row],[UDC]],TableSTRUPSYCM[],7,FALSE),"")</f>
        <v/>
      </c>
      <c r="BG129" s="209" t="str">
        <f>IFERROR(VLOOKUP(TableHandbook[[#This Row],[UDC]],TableSTRUVARTB[],7,FALSE),"")</f>
        <v/>
      </c>
      <c r="BH129" s="209" t="str">
        <f>IFERROR(VLOOKUP(TableHandbook[[#This Row],[UDC]],TableSTRUVARTM[],7,FALSE),"")</f>
        <v/>
      </c>
    </row>
    <row r="130" spans="1:60" x14ac:dyDescent="0.25">
      <c r="A130" s="6" t="s">
        <v>927</v>
      </c>
      <c r="B130" s="7">
        <v>1</v>
      </c>
      <c r="C130" s="7"/>
      <c r="D130" s="207" t="s">
        <v>928</v>
      </c>
      <c r="E130" s="7">
        <v>25</v>
      </c>
      <c r="F130" s="84"/>
      <c r="G130" s="75" t="str">
        <f>IFERROR(IF(VLOOKUP(TableHandbook[[#This Row],[UDC]],TableAvailabilities[],2,FALSE)&gt;0,"Y",""),"")</f>
        <v/>
      </c>
      <c r="H130" s="75" t="str">
        <f>IFERROR(IF(VLOOKUP(TableHandbook[[#This Row],[UDC]],TableAvailabilities[],3,FALSE)&gt;0,"Y",""),"")</f>
        <v/>
      </c>
      <c r="I130" s="75" t="str">
        <f>IFERROR(IF(VLOOKUP(TableHandbook[[#This Row],[UDC]],TableAvailabilities[],4,FALSE)&gt;0,"Y",""),"")</f>
        <v/>
      </c>
      <c r="J130" s="75" t="str">
        <f>IFERROR(IF(VLOOKUP(TableHandbook[[#This Row],[UDC]],TableAvailabilities[],5,FALSE)&gt;0,"Y",""),"")</f>
        <v/>
      </c>
      <c r="K130" s="75" t="str">
        <f>IFERROR(IF(VLOOKUP(TableHandbook[[#This Row],[UDC]],TableAvailabilities[],6,FALSE)&gt;0,"Y",""),"")</f>
        <v/>
      </c>
      <c r="L130" s="75" t="str">
        <f>IFERROR(IF(VLOOKUP(TableHandbook[[#This Row],[UDC]],TableAvailabilities[],7,FALSE)&gt;0,"Y",""),"")</f>
        <v/>
      </c>
      <c r="M130" s="314" t="s">
        <v>922</v>
      </c>
      <c r="N130" s="209" t="str">
        <f>IFERROR(VLOOKUP(TableHandbook[[#This Row],[UDC]],TableBEDUC[],7,FALSE),"")</f>
        <v/>
      </c>
      <c r="O130" s="209" t="str">
        <f>IFERROR(VLOOKUP(TableHandbook[[#This Row],[UDC]],TableBEDEC[],7,FALSE),"")</f>
        <v/>
      </c>
      <c r="P130" s="211" t="str">
        <f>IFERROR(VLOOKUP(TableHandbook[[#This Row],[UDC]],TableBEDPR[],7,FALSE),"")</f>
        <v/>
      </c>
      <c r="Q130" s="209" t="str">
        <f>IFERROR(VLOOKUP(TableHandbook[[#This Row],[UDC]],TableSTRUCATHL[],7,FALSE),"")</f>
        <v/>
      </c>
      <c r="R130" s="209" t="str">
        <f>IFERROR(VLOOKUP(TableHandbook[[#This Row],[UDC]],TableSTRUENGLL[],7,FALSE),"")</f>
        <v/>
      </c>
      <c r="S130" s="209" t="str">
        <f>IFERROR(VLOOKUP(TableHandbook[[#This Row],[UDC]],TableSTRUHLTPE[],7,FALSE),"")</f>
        <v/>
      </c>
      <c r="T130" s="209" t="str">
        <f>IFERROR(VLOOKUP(TableHandbook[[#This Row],[UDC]],TableSTRUISTEM[],7,FALSE),"")</f>
        <v/>
      </c>
      <c r="U130" s="209" t="str">
        <f>IFERROR(VLOOKUP(TableHandbook[[#This Row],[UDC]],TableSTRULITNU[],7,FALSE),"")</f>
        <v/>
      </c>
      <c r="V130" s="209" t="str">
        <f>IFERROR(VLOOKUP(TableHandbook[[#This Row],[UDC]],TableSTRUTECHS[],7,FALSE),"")</f>
        <v/>
      </c>
      <c r="W130" s="211" t="str">
        <f>IFERROR(VLOOKUP(TableHandbook[[#This Row],[UDC]],TableBEDSC[],7,FALSE),"")</f>
        <v/>
      </c>
      <c r="X130" s="211" t="str">
        <f>IFERROR(VLOOKUP(TableHandbook[[#This Row],[UDC]],TableMJRUARDR1[],7,FALSE),"")</f>
        <v/>
      </c>
      <c r="Y130" s="209" t="str">
        <f>IFERROR(VLOOKUP(TableHandbook[[#This Row],[UDC]],TableMJRUARME1[],7,FALSE),"")</f>
        <v/>
      </c>
      <c r="Z130" s="209" t="str">
        <f>IFERROR(VLOOKUP(TableHandbook[[#This Row],[UDC]],TableMJRUARVA1[],7,FALSE),"")</f>
        <v/>
      </c>
      <c r="AA130" s="209" t="str">
        <f>IFERROR(VLOOKUP(TableHandbook[[#This Row],[UDC]],TableMJRUENGL1[],7,FALSE),"")</f>
        <v/>
      </c>
      <c r="AB130" s="209" t="str">
        <f>IFERROR(VLOOKUP(TableHandbook[[#This Row],[UDC]],TableMJRUHSEC1[],7,FALSE),"")</f>
        <v/>
      </c>
      <c r="AC130" s="209" t="str">
        <f>IFERROR(VLOOKUP(TableHandbook[[#This Row],[UDC]],TableMJRUHSGE1[],7,FALSE),"")</f>
        <v/>
      </c>
      <c r="AD130" s="209" t="str">
        <f>IFERROR(VLOOKUP(TableHandbook[[#This Row],[UDC]],TableMJRUHSHI1[],7,FALSE),"")</f>
        <v/>
      </c>
      <c r="AE130" s="209" t="str">
        <f>IFERROR(VLOOKUP(TableHandbook[[#This Row],[UDC]],TableMJRUHSPL1[],7,FALSE),"")</f>
        <v/>
      </c>
      <c r="AF130" s="209" t="str">
        <f>IFERROR(VLOOKUP(TableHandbook[[#This Row],[UDC]],TableMJRUMATH1[],7,FALSE),"")</f>
        <v/>
      </c>
      <c r="AG130" s="209" t="str">
        <f>IFERROR(VLOOKUP(TableHandbook[[#This Row],[UDC]],TableMJRUPHYSE[],7,FALSE),"")</f>
        <v/>
      </c>
      <c r="AH130" s="209" t="str">
        <f>IFERROR(VLOOKUP(TableHandbook[[#This Row],[UDC]],TableMJRUSCBI1[],7,FALSE),"")</f>
        <v/>
      </c>
      <c r="AI130" s="209" t="str">
        <f>IFERROR(VLOOKUP(TableHandbook[[#This Row],[UDC]],TableMJRUSCCH1[],7,FALSE),"")</f>
        <v/>
      </c>
      <c r="AJ130" s="209" t="str">
        <f>IFERROR(VLOOKUP(TableHandbook[[#This Row],[UDC]],TableMJRUSCHB1[],7,FALSE),"")</f>
        <v/>
      </c>
      <c r="AK130" s="209" t="str">
        <f>IFERROR(VLOOKUP(TableHandbook[[#This Row],[UDC]],TableMJRUSCPH1[],7,FALSE),"")</f>
        <v/>
      </c>
      <c r="AL130" s="209" t="str">
        <f>IFERROR(VLOOKUP(TableHandbook[[#This Row],[UDC]],TableMJRUSCPS1[],7,FALSE),"")</f>
        <v/>
      </c>
      <c r="AM130" s="211" t="str">
        <f>IFERROR(VLOOKUP(TableHandbook[[#This Row],[UDC]],TableSTRUBIOLB[],7,FALSE),"")</f>
        <v/>
      </c>
      <c r="AN130" s="209" t="str">
        <f>IFERROR(VLOOKUP(TableHandbook[[#This Row],[UDC]],TableSTRUBSCIM[],7,FALSE),"")</f>
        <v/>
      </c>
      <c r="AO130" s="209" t="str">
        <f>IFERROR(VLOOKUP(TableHandbook[[#This Row],[UDC]],TableSTRUCHEMB[],7,FALSE),"")</f>
        <v/>
      </c>
      <c r="AP130" s="209" t="str">
        <f>IFERROR(VLOOKUP(TableHandbook[[#This Row],[UDC]],TableSTRUECOB1[],7,FALSE),"")</f>
        <v/>
      </c>
      <c r="AQ130" s="209" t="str">
        <f>IFERROR(VLOOKUP(TableHandbook[[#This Row],[UDC]],TableSTRUENGLB[],7,FALSE),"")</f>
        <v/>
      </c>
      <c r="AR130" s="209" t="str">
        <f>IFERROR(VLOOKUP(TableHandbook[[#This Row],[UDC]],TableSTRUENGLM[],7,FALSE),"")</f>
        <v/>
      </c>
      <c r="AS130" s="209" t="str">
        <f>IFERROR(VLOOKUP(TableHandbook[[#This Row],[UDC]],TableSTRUGEOB1[],7,FALSE),"")</f>
        <v/>
      </c>
      <c r="AT130" s="209" t="str">
        <f>IFERROR(VLOOKUP(TableHandbook[[#This Row],[UDC]],TableSTRUGEOGM[],7,FALSE),"")</f>
        <v/>
      </c>
      <c r="AU130" s="209" t="str">
        <f>IFERROR(VLOOKUP(TableHandbook[[#This Row],[UDC]],TableSTRUHISB1[],7,FALSE),"")</f>
        <v/>
      </c>
      <c r="AV130" s="209" t="str">
        <f>IFERROR(VLOOKUP(TableHandbook[[#This Row],[UDC]],TableSTRUHISTM[],7,FALSE),"")</f>
        <v/>
      </c>
      <c r="AW130" s="209" t="str">
        <f>IFERROR(VLOOKUP(TableHandbook[[#This Row],[UDC]],TableSTRUHPEB1[],7,FALSE),"")</f>
        <v/>
      </c>
      <c r="AX130" s="209" t="str">
        <f>IFERROR(VLOOKUP(TableHandbook[[#This Row],[UDC]],TableSTRUHUMBB[],7,FALSE),"")</f>
        <v/>
      </c>
      <c r="AY130" s="209" t="str">
        <f>IFERROR(VLOOKUP(TableHandbook[[#This Row],[UDC]],TableSTRUMARTM[],7,FALSE),"")</f>
        <v/>
      </c>
      <c r="AZ130" s="209" t="str">
        <f>IFERROR(VLOOKUP(TableHandbook[[#This Row],[UDC]],TableSTRUMATHB[],7,FALSE),"")</f>
        <v/>
      </c>
      <c r="BA130" s="209" t="str">
        <f>IFERROR(VLOOKUP(TableHandbook[[#This Row],[UDC]],TableSTRUMATHM[],7,FALSE),"")</f>
        <v/>
      </c>
      <c r="BB130" s="209" t="str">
        <f>IFERROR(VLOOKUP(TableHandbook[[#This Row],[UDC]],TableSTRUPARTB[],7,FALSE),"")</f>
        <v/>
      </c>
      <c r="BC130" s="209" t="str">
        <f>IFERROR(VLOOKUP(TableHandbook[[#This Row],[UDC]],TableSTRUPARTM[],7,FALSE),"")</f>
        <v/>
      </c>
      <c r="BD130" s="209" t="str">
        <f>IFERROR(VLOOKUP(TableHandbook[[#This Row],[UDC]],TableSTRUPOLB1[],7,FALSE),"")</f>
        <v/>
      </c>
      <c r="BE130" s="209" t="str">
        <f>IFERROR(VLOOKUP(TableHandbook[[#This Row],[UDC]],TableSTRUPSYCB[],7,FALSE),"")</f>
        <v/>
      </c>
      <c r="BF130" s="209" t="str">
        <f>IFERROR(VLOOKUP(TableHandbook[[#This Row],[UDC]],TableSTRUPSYCM[],7,FALSE),"")</f>
        <v/>
      </c>
      <c r="BG130" s="209" t="str">
        <f>IFERROR(VLOOKUP(TableHandbook[[#This Row],[UDC]],TableSTRUVARTB[],7,FALSE),"")</f>
        <v/>
      </c>
      <c r="BH130" s="209" t="str">
        <f>IFERROR(VLOOKUP(TableHandbook[[#This Row],[UDC]],TableSTRUVARTM[],7,FALSE),"")</f>
        <v/>
      </c>
    </row>
    <row r="131" spans="1:60" x14ac:dyDescent="0.25">
      <c r="A131" s="296" t="s">
        <v>381</v>
      </c>
      <c r="B131" s="7">
        <v>1</v>
      </c>
      <c r="C131" s="7"/>
      <c r="D131" s="207" t="s">
        <v>929</v>
      </c>
      <c r="E131" s="7">
        <v>25</v>
      </c>
      <c r="F131" s="311" t="s">
        <v>55</v>
      </c>
      <c r="G131" s="75" t="str">
        <f>IFERROR(IF(VLOOKUP(TableHandbook[[#This Row],[UDC]],TableAvailabilities[],2,FALSE)&gt;0,"Y",""),"")</f>
        <v/>
      </c>
      <c r="H131" s="75" t="str">
        <f>IFERROR(IF(VLOOKUP(TableHandbook[[#This Row],[UDC]],TableAvailabilities[],3,FALSE)&gt;0,"Y",""),"")</f>
        <v/>
      </c>
      <c r="I131" s="75" t="str">
        <f>IFERROR(IF(VLOOKUP(TableHandbook[[#This Row],[UDC]],TableAvailabilities[],4,FALSE)&gt;0,"Y",""),"")</f>
        <v/>
      </c>
      <c r="J131" s="75" t="str">
        <f>IFERROR(IF(VLOOKUP(TableHandbook[[#This Row],[UDC]],TableAvailabilities[],5,FALSE)&gt;0,"Y",""),"")</f>
        <v>Y</v>
      </c>
      <c r="K131" s="75" t="str">
        <f>IFERROR(IF(VLOOKUP(TableHandbook[[#This Row],[UDC]],TableAvailabilities[],6,FALSE)&gt;0,"Y",""),"")</f>
        <v>Y</v>
      </c>
      <c r="L131" s="75" t="str">
        <f>IFERROR(IF(VLOOKUP(TableHandbook[[#This Row],[UDC]],TableAvailabilities[],7,FALSE)&gt;0,"Y",""),"")</f>
        <v/>
      </c>
      <c r="M131" s="207"/>
      <c r="N131" s="209" t="str">
        <f>IFERROR(VLOOKUP(TableHandbook[[#This Row],[UDC]],TableBEDUC[],7,FALSE),"")</f>
        <v/>
      </c>
      <c r="O131" s="209" t="str">
        <f>IFERROR(VLOOKUP(TableHandbook[[#This Row],[UDC]],TableBEDEC[],7,FALSE),"")</f>
        <v/>
      </c>
      <c r="P131" s="211" t="str">
        <f>IFERROR(VLOOKUP(TableHandbook[[#This Row],[UDC]],TableBEDPR[],7,FALSE),"")</f>
        <v/>
      </c>
      <c r="Q131" s="209" t="str">
        <f>IFERROR(VLOOKUP(TableHandbook[[#This Row],[UDC]],TableSTRUCATHL[],7,FALSE),"")</f>
        <v/>
      </c>
      <c r="R131" s="209" t="str">
        <f>IFERROR(VLOOKUP(TableHandbook[[#This Row],[UDC]],TableSTRUENGLL[],7,FALSE),"")</f>
        <v/>
      </c>
      <c r="S131" s="209" t="str">
        <f>IFERROR(VLOOKUP(TableHandbook[[#This Row],[UDC]],TableSTRUHLTPE[],7,FALSE),"")</f>
        <v/>
      </c>
      <c r="T131" s="209" t="str">
        <f>IFERROR(VLOOKUP(TableHandbook[[#This Row],[UDC]],TableSTRUISTEM[],7,FALSE),"")</f>
        <v/>
      </c>
      <c r="U131" s="209" t="str">
        <f>IFERROR(VLOOKUP(TableHandbook[[#This Row],[UDC]],TableSTRULITNU[],7,FALSE),"")</f>
        <v/>
      </c>
      <c r="V131" s="209" t="str">
        <f>IFERROR(VLOOKUP(TableHandbook[[#This Row],[UDC]],TableSTRUTECHS[],7,FALSE),"")</f>
        <v/>
      </c>
      <c r="W131" s="211" t="str">
        <f>IFERROR(VLOOKUP(TableHandbook[[#This Row],[UDC]],TableBEDSC[],7,FALSE),"")</f>
        <v>Core</v>
      </c>
      <c r="X131" s="211" t="str">
        <f>IFERROR(VLOOKUP(TableHandbook[[#This Row],[UDC]],TableMJRUARDR1[],7,FALSE),"")</f>
        <v/>
      </c>
      <c r="Y131" s="209" t="str">
        <f>IFERROR(VLOOKUP(TableHandbook[[#This Row],[UDC]],TableMJRUARME1[],7,FALSE),"")</f>
        <v/>
      </c>
      <c r="Z131" s="209" t="str">
        <f>IFERROR(VLOOKUP(TableHandbook[[#This Row],[UDC]],TableMJRUARVA1[],7,FALSE),"")</f>
        <v/>
      </c>
      <c r="AA131" s="209" t="str">
        <f>IFERROR(VLOOKUP(TableHandbook[[#This Row],[UDC]],TableMJRUENGL1[],7,FALSE),"")</f>
        <v/>
      </c>
      <c r="AB131" s="209" t="str">
        <f>IFERROR(VLOOKUP(TableHandbook[[#This Row],[UDC]],TableMJRUHSEC1[],7,FALSE),"")</f>
        <v/>
      </c>
      <c r="AC131" s="209" t="str">
        <f>IFERROR(VLOOKUP(TableHandbook[[#This Row],[UDC]],TableMJRUHSGE1[],7,FALSE),"")</f>
        <v/>
      </c>
      <c r="AD131" s="209" t="str">
        <f>IFERROR(VLOOKUP(TableHandbook[[#This Row],[UDC]],TableMJRUHSHI1[],7,FALSE),"")</f>
        <v/>
      </c>
      <c r="AE131" s="209" t="str">
        <f>IFERROR(VLOOKUP(TableHandbook[[#This Row],[UDC]],TableMJRUHSPL1[],7,FALSE),"")</f>
        <v/>
      </c>
      <c r="AF131" s="209" t="str">
        <f>IFERROR(VLOOKUP(TableHandbook[[#This Row],[UDC]],TableMJRUMATH1[],7,FALSE),"")</f>
        <v/>
      </c>
      <c r="AG131" s="209" t="str">
        <f>IFERROR(VLOOKUP(TableHandbook[[#This Row],[UDC]],TableMJRUPHYSE[],7,FALSE),"")</f>
        <v/>
      </c>
      <c r="AH131" s="209" t="str">
        <f>IFERROR(VLOOKUP(TableHandbook[[#This Row],[UDC]],TableMJRUSCBI1[],7,FALSE),"")</f>
        <v/>
      </c>
      <c r="AI131" s="209" t="str">
        <f>IFERROR(VLOOKUP(TableHandbook[[#This Row],[UDC]],TableMJRUSCCH1[],7,FALSE),"")</f>
        <v/>
      </c>
      <c r="AJ131" s="209" t="str">
        <f>IFERROR(VLOOKUP(TableHandbook[[#This Row],[UDC]],TableMJRUSCHB1[],7,FALSE),"")</f>
        <v/>
      </c>
      <c r="AK131" s="209" t="str">
        <f>IFERROR(VLOOKUP(TableHandbook[[#This Row],[UDC]],TableMJRUSCPH1[],7,FALSE),"")</f>
        <v/>
      </c>
      <c r="AL131" s="209" t="str">
        <f>IFERROR(VLOOKUP(TableHandbook[[#This Row],[UDC]],TableMJRUSCPS1[],7,FALSE),"")</f>
        <v/>
      </c>
      <c r="AM131" s="211" t="str">
        <f>IFERROR(VLOOKUP(TableHandbook[[#This Row],[UDC]],TableSTRUBIOLB[],7,FALSE),"")</f>
        <v/>
      </c>
      <c r="AN131" s="209" t="str">
        <f>IFERROR(VLOOKUP(TableHandbook[[#This Row],[UDC]],TableSTRUBSCIM[],7,FALSE),"")</f>
        <v/>
      </c>
      <c r="AO131" s="209" t="str">
        <f>IFERROR(VLOOKUP(TableHandbook[[#This Row],[UDC]],TableSTRUCHEMB[],7,FALSE),"")</f>
        <v/>
      </c>
      <c r="AP131" s="209" t="str">
        <f>IFERROR(VLOOKUP(TableHandbook[[#This Row],[UDC]],TableSTRUECOB1[],7,FALSE),"")</f>
        <v/>
      </c>
      <c r="AQ131" s="209" t="str">
        <f>IFERROR(VLOOKUP(TableHandbook[[#This Row],[UDC]],TableSTRUENGLB[],7,FALSE),"")</f>
        <v/>
      </c>
      <c r="AR131" s="209" t="str">
        <f>IFERROR(VLOOKUP(TableHandbook[[#This Row],[UDC]],TableSTRUENGLM[],7,FALSE),"")</f>
        <v/>
      </c>
      <c r="AS131" s="209" t="str">
        <f>IFERROR(VLOOKUP(TableHandbook[[#This Row],[UDC]],TableSTRUGEOB1[],7,FALSE),"")</f>
        <v/>
      </c>
      <c r="AT131" s="209" t="str">
        <f>IFERROR(VLOOKUP(TableHandbook[[#This Row],[UDC]],TableSTRUGEOGM[],7,FALSE),"")</f>
        <v/>
      </c>
      <c r="AU131" s="209" t="str">
        <f>IFERROR(VLOOKUP(TableHandbook[[#This Row],[UDC]],TableSTRUHISB1[],7,FALSE),"")</f>
        <v/>
      </c>
      <c r="AV131" s="209" t="str">
        <f>IFERROR(VLOOKUP(TableHandbook[[#This Row],[UDC]],TableSTRUHISTM[],7,FALSE),"")</f>
        <v/>
      </c>
      <c r="AW131" s="209" t="str">
        <f>IFERROR(VLOOKUP(TableHandbook[[#This Row],[UDC]],TableSTRUHPEB1[],7,FALSE),"")</f>
        <v/>
      </c>
      <c r="AX131" s="209" t="str">
        <f>IFERROR(VLOOKUP(TableHandbook[[#This Row],[UDC]],TableSTRUHUMBB[],7,FALSE),"")</f>
        <v/>
      </c>
      <c r="AY131" s="209" t="str">
        <f>IFERROR(VLOOKUP(TableHandbook[[#This Row],[UDC]],TableSTRUMARTM[],7,FALSE),"")</f>
        <v/>
      </c>
      <c r="AZ131" s="209" t="str">
        <f>IFERROR(VLOOKUP(TableHandbook[[#This Row],[UDC]],TableSTRUMATHB[],7,FALSE),"")</f>
        <v/>
      </c>
      <c r="BA131" s="209" t="str">
        <f>IFERROR(VLOOKUP(TableHandbook[[#This Row],[UDC]],TableSTRUMATHM[],7,FALSE),"")</f>
        <v/>
      </c>
      <c r="BB131" s="209" t="str">
        <f>IFERROR(VLOOKUP(TableHandbook[[#This Row],[UDC]],TableSTRUPARTB[],7,FALSE),"")</f>
        <v/>
      </c>
      <c r="BC131" s="209" t="str">
        <f>IFERROR(VLOOKUP(TableHandbook[[#This Row],[UDC]],TableSTRUPARTM[],7,FALSE),"")</f>
        <v/>
      </c>
      <c r="BD131" s="209" t="str">
        <f>IFERROR(VLOOKUP(TableHandbook[[#This Row],[UDC]],TableSTRUPOLB1[],7,FALSE),"")</f>
        <v/>
      </c>
      <c r="BE131" s="209" t="str">
        <f>IFERROR(VLOOKUP(TableHandbook[[#This Row],[UDC]],TableSTRUPSYCB[],7,FALSE),"")</f>
        <v/>
      </c>
      <c r="BF131" s="209" t="str">
        <f>IFERROR(VLOOKUP(TableHandbook[[#This Row],[UDC]],TableSTRUPSYCM[],7,FALSE),"")</f>
        <v/>
      </c>
      <c r="BG131" s="209" t="str">
        <f>IFERROR(VLOOKUP(TableHandbook[[#This Row],[UDC]],TableSTRUVARTB[],7,FALSE),"")</f>
        <v/>
      </c>
      <c r="BH131" s="209" t="str">
        <f>IFERROR(VLOOKUP(TableHandbook[[#This Row],[UDC]],TableSTRUVARTM[],7,FALSE),"")</f>
        <v/>
      </c>
    </row>
    <row r="132" spans="1:60" x14ac:dyDescent="0.25">
      <c r="A132" s="296" t="s">
        <v>386</v>
      </c>
      <c r="B132" s="7">
        <v>1</v>
      </c>
      <c r="C132" s="7"/>
      <c r="D132" s="207" t="s">
        <v>930</v>
      </c>
      <c r="E132" s="7">
        <v>25</v>
      </c>
      <c r="F132" s="311" t="s">
        <v>379</v>
      </c>
      <c r="G132" s="75" t="str">
        <f>IFERROR(IF(VLOOKUP(TableHandbook[[#This Row],[UDC]],TableAvailabilities[],2,FALSE)&gt;0,"Y",""),"")</f>
        <v/>
      </c>
      <c r="H132" s="75" t="str">
        <f>IFERROR(IF(VLOOKUP(TableHandbook[[#This Row],[UDC]],TableAvailabilities[],3,FALSE)&gt;0,"Y",""),"")</f>
        <v/>
      </c>
      <c r="I132" s="75" t="str">
        <f>IFERROR(IF(VLOOKUP(TableHandbook[[#This Row],[UDC]],TableAvailabilities[],4,FALSE)&gt;0,"Y",""),"")</f>
        <v/>
      </c>
      <c r="J132" s="75" t="str">
        <f>IFERROR(IF(VLOOKUP(TableHandbook[[#This Row],[UDC]],TableAvailabilities[],5,FALSE)&gt;0,"Y",""),"")</f>
        <v/>
      </c>
      <c r="K132" s="75" t="str">
        <f>IFERROR(IF(VLOOKUP(TableHandbook[[#This Row],[UDC]],TableAvailabilities[],6,FALSE)&gt;0,"Y",""),"")</f>
        <v/>
      </c>
      <c r="L132" s="75" t="str">
        <f>IFERROR(IF(VLOOKUP(TableHandbook[[#This Row],[UDC]],TableAvailabilities[],7,FALSE)&gt;0,"Y",""),"")</f>
        <v/>
      </c>
      <c r="M132" s="207"/>
      <c r="N132" s="209" t="str">
        <f>IFERROR(VLOOKUP(TableHandbook[[#This Row],[UDC]],TableBEDUC[],7,FALSE),"")</f>
        <v/>
      </c>
      <c r="O132" s="209" t="str">
        <f>IFERROR(VLOOKUP(TableHandbook[[#This Row],[UDC]],TableBEDEC[],7,FALSE),"")</f>
        <v/>
      </c>
      <c r="P132" s="211" t="str">
        <f>IFERROR(VLOOKUP(TableHandbook[[#This Row],[UDC]],TableBEDPR[],7,FALSE),"")</f>
        <v/>
      </c>
      <c r="Q132" s="209" t="str">
        <f>IFERROR(VLOOKUP(TableHandbook[[#This Row],[UDC]],TableSTRUCATHL[],7,FALSE),"")</f>
        <v/>
      </c>
      <c r="R132" s="209" t="str">
        <f>IFERROR(VLOOKUP(TableHandbook[[#This Row],[UDC]],TableSTRUENGLL[],7,FALSE),"")</f>
        <v/>
      </c>
      <c r="S132" s="209" t="str">
        <f>IFERROR(VLOOKUP(TableHandbook[[#This Row],[UDC]],TableSTRUHLTPE[],7,FALSE),"")</f>
        <v/>
      </c>
      <c r="T132" s="209" t="str">
        <f>IFERROR(VLOOKUP(TableHandbook[[#This Row],[UDC]],TableSTRUISTEM[],7,FALSE),"")</f>
        <v/>
      </c>
      <c r="U132" s="209" t="str">
        <f>IFERROR(VLOOKUP(TableHandbook[[#This Row],[UDC]],TableSTRULITNU[],7,FALSE),"")</f>
        <v/>
      </c>
      <c r="V132" s="209" t="str">
        <f>IFERROR(VLOOKUP(TableHandbook[[#This Row],[UDC]],TableSTRUTECHS[],7,FALSE),"")</f>
        <v/>
      </c>
      <c r="W132" s="211" t="str">
        <f>IFERROR(VLOOKUP(TableHandbook[[#This Row],[UDC]],TableBEDSC[],7,FALSE),"")</f>
        <v>Core</v>
      </c>
      <c r="X132" s="211" t="str">
        <f>IFERROR(VLOOKUP(TableHandbook[[#This Row],[UDC]],TableMJRUARDR1[],7,FALSE),"")</f>
        <v/>
      </c>
      <c r="Y132" s="209" t="str">
        <f>IFERROR(VLOOKUP(TableHandbook[[#This Row],[UDC]],TableMJRUARME1[],7,FALSE),"")</f>
        <v/>
      </c>
      <c r="Z132" s="209" t="str">
        <f>IFERROR(VLOOKUP(TableHandbook[[#This Row],[UDC]],TableMJRUARVA1[],7,FALSE),"")</f>
        <v/>
      </c>
      <c r="AA132" s="209" t="str">
        <f>IFERROR(VLOOKUP(TableHandbook[[#This Row],[UDC]],TableMJRUENGL1[],7,FALSE),"")</f>
        <v/>
      </c>
      <c r="AB132" s="209" t="str">
        <f>IFERROR(VLOOKUP(TableHandbook[[#This Row],[UDC]],TableMJRUHSEC1[],7,FALSE),"")</f>
        <v/>
      </c>
      <c r="AC132" s="209" t="str">
        <f>IFERROR(VLOOKUP(TableHandbook[[#This Row],[UDC]],TableMJRUHSGE1[],7,FALSE),"")</f>
        <v/>
      </c>
      <c r="AD132" s="209" t="str">
        <f>IFERROR(VLOOKUP(TableHandbook[[#This Row],[UDC]],TableMJRUHSHI1[],7,FALSE),"")</f>
        <v/>
      </c>
      <c r="AE132" s="209" t="str">
        <f>IFERROR(VLOOKUP(TableHandbook[[#This Row],[UDC]],TableMJRUHSPL1[],7,FALSE),"")</f>
        <v/>
      </c>
      <c r="AF132" s="209" t="str">
        <f>IFERROR(VLOOKUP(TableHandbook[[#This Row],[UDC]],TableMJRUMATH1[],7,FALSE),"")</f>
        <v/>
      </c>
      <c r="AG132" s="209" t="str">
        <f>IFERROR(VLOOKUP(TableHandbook[[#This Row],[UDC]],TableMJRUPHYSE[],7,FALSE),"")</f>
        <v/>
      </c>
      <c r="AH132" s="209" t="str">
        <f>IFERROR(VLOOKUP(TableHandbook[[#This Row],[UDC]],TableMJRUSCBI1[],7,FALSE),"")</f>
        <v/>
      </c>
      <c r="AI132" s="209" t="str">
        <f>IFERROR(VLOOKUP(TableHandbook[[#This Row],[UDC]],TableMJRUSCCH1[],7,FALSE),"")</f>
        <v/>
      </c>
      <c r="AJ132" s="209" t="str">
        <f>IFERROR(VLOOKUP(TableHandbook[[#This Row],[UDC]],TableMJRUSCHB1[],7,FALSE),"")</f>
        <v/>
      </c>
      <c r="AK132" s="209" t="str">
        <f>IFERROR(VLOOKUP(TableHandbook[[#This Row],[UDC]],TableMJRUSCPH1[],7,FALSE),"")</f>
        <v/>
      </c>
      <c r="AL132" s="209" t="str">
        <f>IFERROR(VLOOKUP(TableHandbook[[#This Row],[UDC]],TableMJRUSCPS1[],7,FALSE),"")</f>
        <v/>
      </c>
      <c r="AM132" s="211" t="str">
        <f>IFERROR(VLOOKUP(TableHandbook[[#This Row],[UDC]],TableSTRUBIOLB[],7,FALSE),"")</f>
        <v/>
      </c>
      <c r="AN132" s="209" t="str">
        <f>IFERROR(VLOOKUP(TableHandbook[[#This Row],[UDC]],TableSTRUBSCIM[],7,FALSE),"")</f>
        <v/>
      </c>
      <c r="AO132" s="209" t="str">
        <f>IFERROR(VLOOKUP(TableHandbook[[#This Row],[UDC]],TableSTRUCHEMB[],7,FALSE),"")</f>
        <v/>
      </c>
      <c r="AP132" s="209" t="str">
        <f>IFERROR(VLOOKUP(TableHandbook[[#This Row],[UDC]],TableSTRUECOB1[],7,FALSE),"")</f>
        <v/>
      </c>
      <c r="AQ132" s="209" t="str">
        <f>IFERROR(VLOOKUP(TableHandbook[[#This Row],[UDC]],TableSTRUENGLB[],7,FALSE),"")</f>
        <v/>
      </c>
      <c r="AR132" s="209" t="str">
        <f>IFERROR(VLOOKUP(TableHandbook[[#This Row],[UDC]],TableSTRUENGLM[],7,FALSE),"")</f>
        <v/>
      </c>
      <c r="AS132" s="209" t="str">
        <f>IFERROR(VLOOKUP(TableHandbook[[#This Row],[UDC]],TableSTRUGEOB1[],7,FALSE),"")</f>
        <v/>
      </c>
      <c r="AT132" s="209" t="str">
        <f>IFERROR(VLOOKUP(TableHandbook[[#This Row],[UDC]],TableSTRUGEOGM[],7,FALSE),"")</f>
        <v/>
      </c>
      <c r="AU132" s="209" t="str">
        <f>IFERROR(VLOOKUP(TableHandbook[[#This Row],[UDC]],TableSTRUHISB1[],7,FALSE),"")</f>
        <v/>
      </c>
      <c r="AV132" s="209" t="str">
        <f>IFERROR(VLOOKUP(TableHandbook[[#This Row],[UDC]],TableSTRUHISTM[],7,FALSE),"")</f>
        <v/>
      </c>
      <c r="AW132" s="209" t="str">
        <f>IFERROR(VLOOKUP(TableHandbook[[#This Row],[UDC]],TableSTRUHPEB1[],7,FALSE),"")</f>
        <v/>
      </c>
      <c r="AX132" s="209" t="str">
        <f>IFERROR(VLOOKUP(TableHandbook[[#This Row],[UDC]],TableSTRUHUMBB[],7,FALSE),"")</f>
        <v/>
      </c>
      <c r="AY132" s="209" t="str">
        <f>IFERROR(VLOOKUP(TableHandbook[[#This Row],[UDC]],TableSTRUMARTM[],7,FALSE),"")</f>
        <v/>
      </c>
      <c r="AZ132" s="209" t="str">
        <f>IFERROR(VLOOKUP(TableHandbook[[#This Row],[UDC]],TableSTRUMATHB[],7,FALSE),"")</f>
        <v/>
      </c>
      <c r="BA132" s="209" t="str">
        <f>IFERROR(VLOOKUP(TableHandbook[[#This Row],[UDC]],TableSTRUMATHM[],7,FALSE),"")</f>
        <v/>
      </c>
      <c r="BB132" s="209" t="str">
        <f>IFERROR(VLOOKUP(TableHandbook[[#This Row],[UDC]],TableSTRUPARTB[],7,FALSE),"")</f>
        <v/>
      </c>
      <c r="BC132" s="209" t="str">
        <f>IFERROR(VLOOKUP(TableHandbook[[#This Row],[UDC]],TableSTRUPARTM[],7,FALSE),"")</f>
        <v/>
      </c>
      <c r="BD132" s="209" t="str">
        <f>IFERROR(VLOOKUP(TableHandbook[[#This Row],[UDC]],TableSTRUPOLB1[],7,FALSE),"")</f>
        <v/>
      </c>
      <c r="BE132" s="209" t="str">
        <f>IFERROR(VLOOKUP(TableHandbook[[#This Row],[UDC]],TableSTRUPSYCB[],7,FALSE),"")</f>
        <v/>
      </c>
      <c r="BF132" s="209" t="str">
        <f>IFERROR(VLOOKUP(TableHandbook[[#This Row],[UDC]],TableSTRUPSYCM[],7,FALSE),"")</f>
        <v/>
      </c>
      <c r="BG132" s="209" t="str">
        <f>IFERROR(VLOOKUP(TableHandbook[[#This Row],[UDC]],TableSTRUVARTB[],7,FALSE),"")</f>
        <v/>
      </c>
      <c r="BH132" s="209" t="str">
        <f>IFERROR(VLOOKUP(TableHandbook[[#This Row],[UDC]],TableSTRUVARTM[],7,FALSE),"")</f>
        <v/>
      </c>
    </row>
    <row r="133" spans="1:60" x14ac:dyDescent="0.25">
      <c r="A133" s="296" t="s">
        <v>391</v>
      </c>
      <c r="B133" s="7">
        <v>1</v>
      </c>
      <c r="C133" s="7"/>
      <c r="D133" s="207" t="s">
        <v>931</v>
      </c>
      <c r="E133" s="7">
        <v>25</v>
      </c>
      <c r="F133" s="311" t="s">
        <v>386</v>
      </c>
      <c r="G133" s="75" t="str">
        <f>IFERROR(IF(VLOOKUP(TableHandbook[[#This Row],[UDC]],TableAvailabilities[],2,FALSE)&gt;0,"Y",""),"")</f>
        <v/>
      </c>
      <c r="H133" s="75" t="str">
        <f>IFERROR(IF(VLOOKUP(TableHandbook[[#This Row],[UDC]],TableAvailabilities[],3,FALSE)&gt;0,"Y",""),"")</f>
        <v/>
      </c>
      <c r="I133" s="75" t="str">
        <f>IFERROR(IF(VLOOKUP(TableHandbook[[#This Row],[UDC]],TableAvailabilities[],4,FALSE)&gt;0,"Y",""),"")</f>
        <v/>
      </c>
      <c r="J133" s="75" t="str">
        <f>IFERROR(IF(VLOOKUP(TableHandbook[[#This Row],[UDC]],TableAvailabilities[],5,FALSE)&gt;0,"Y",""),"")</f>
        <v>Y</v>
      </c>
      <c r="K133" s="75" t="str">
        <f>IFERROR(IF(VLOOKUP(TableHandbook[[#This Row],[UDC]],TableAvailabilities[],6,FALSE)&gt;0,"Y",""),"")</f>
        <v>Y</v>
      </c>
      <c r="L133" s="75" t="str">
        <f>IFERROR(IF(VLOOKUP(TableHandbook[[#This Row],[UDC]],TableAvailabilities[],7,FALSE)&gt;0,"Y",""),"")</f>
        <v/>
      </c>
      <c r="M133" s="207"/>
      <c r="N133" s="209" t="str">
        <f>IFERROR(VLOOKUP(TableHandbook[[#This Row],[UDC]],TableBEDUC[],7,FALSE),"")</f>
        <v/>
      </c>
      <c r="O133" s="209" t="str">
        <f>IFERROR(VLOOKUP(TableHandbook[[#This Row],[UDC]],TableBEDEC[],7,FALSE),"")</f>
        <v/>
      </c>
      <c r="P133" s="211" t="str">
        <f>IFERROR(VLOOKUP(TableHandbook[[#This Row],[UDC]],TableBEDPR[],7,FALSE),"")</f>
        <v/>
      </c>
      <c r="Q133" s="209" t="str">
        <f>IFERROR(VLOOKUP(TableHandbook[[#This Row],[UDC]],TableSTRUCATHL[],7,FALSE),"")</f>
        <v/>
      </c>
      <c r="R133" s="209" t="str">
        <f>IFERROR(VLOOKUP(TableHandbook[[#This Row],[UDC]],TableSTRUENGLL[],7,FALSE),"")</f>
        <v/>
      </c>
      <c r="S133" s="209" t="str">
        <f>IFERROR(VLOOKUP(TableHandbook[[#This Row],[UDC]],TableSTRUHLTPE[],7,FALSE),"")</f>
        <v/>
      </c>
      <c r="T133" s="209" t="str">
        <f>IFERROR(VLOOKUP(TableHandbook[[#This Row],[UDC]],TableSTRUISTEM[],7,FALSE),"")</f>
        <v/>
      </c>
      <c r="U133" s="209" t="str">
        <f>IFERROR(VLOOKUP(TableHandbook[[#This Row],[UDC]],TableSTRULITNU[],7,FALSE),"")</f>
        <v/>
      </c>
      <c r="V133" s="209" t="str">
        <f>IFERROR(VLOOKUP(TableHandbook[[#This Row],[UDC]],TableSTRUTECHS[],7,FALSE),"")</f>
        <v/>
      </c>
      <c r="W133" s="211" t="str">
        <f>IFERROR(VLOOKUP(TableHandbook[[#This Row],[UDC]],TableBEDSC[],7,FALSE),"")</f>
        <v>Core</v>
      </c>
      <c r="X133" s="211" t="str">
        <f>IFERROR(VLOOKUP(TableHandbook[[#This Row],[UDC]],TableMJRUARDR1[],7,FALSE),"")</f>
        <v/>
      </c>
      <c r="Y133" s="209" t="str">
        <f>IFERROR(VLOOKUP(TableHandbook[[#This Row],[UDC]],TableMJRUARME1[],7,FALSE),"")</f>
        <v/>
      </c>
      <c r="Z133" s="209" t="str">
        <f>IFERROR(VLOOKUP(TableHandbook[[#This Row],[UDC]],TableMJRUARVA1[],7,FALSE),"")</f>
        <v/>
      </c>
      <c r="AA133" s="209" t="str">
        <f>IFERROR(VLOOKUP(TableHandbook[[#This Row],[UDC]],TableMJRUENGL1[],7,FALSE),"")</f>
        <v/>
      </c>
      <c r="AB133" s="209" t="str">
        <f>IFERROR(VLOOKUP(TableHandbook[[#This Row],[UDC]],TableMJRUHSEC1[],7,FALSE),"")</f>
        <v/>
      </c>
      <c r="AC133" s="209" t="str">
        <f>IFERROR(VLOOKUP(TableHandbook[[#This Row],[UDC]],TableMJRUHSGE1[],7,FALSE),"")</f>
        <v/>
      </c>
      <c r="AD133" s="209" t="str">
        <f>IFERROR(VLOOKUP(TableHandbook[[#This Row],[UDC]],TableMJRUHSHI1[],7,FALSE),"")</f>
        <v/>
      </c>
      <c r="AE133" s="209" t="str">
        <f>IFERROR(VLOOKUP(TableHandbook[[#This Row],[UDC]],TableMJRUHSPL1[],7,FALSE),"")</f>
        <v/>
      </c>
      <c r="AF133" s="209" t="str">
        <f>IFERROR(VLOOKUP(TableHandbook[[#This Row],[UDC]],TableMJRUMATH1[],7,FALSE),"")</f>
        <v/>
      </c>
      <c r="AG133" s="209" t="str">
        <f>IFERROR(VLOOKUP(TableHandbook[[#This Row],[UDC]],TableMJRUPHYSE[],7,FALSE),"")</f>
        <v/>
      </c>
      <c r="AH133" s="209" t="str">
        <f>IFERROR(VLOOKUP(TableHandbook[[#This Row],[UDC]],TableMJRUSCBI1[],7,FALSE),"")</f>
        <v/>
      </c>
      <c r="AI133" s="209" t="str">
        <f>IFERROR(VLOOKUP(TableHandbook[[#This Row],[UDC]],TableMJRUSCCH1[],7,FALSE),"")</f>
        <v/>
      </c>
      <c r="AJ133" s="209" t="str">
        <f>IFERROR(VLOOKUP(TableHandbook[[#This Row],[UDC]],TableMJRUSCHB1[],7,FALSE),"")</f>
        <v/>
      </c>
      <c r="AK133" s="209" t="str">
        <f>IFERROR(VLOOKUP(TableHandbook[[#This Row],[UDC]],TableMJRUSCPH1[],7,FALSE),"")</f>
        <v/>
      </c>
      <c r="AL133" s="209" t="str">
        <f>IFERROR(VLOOKUP(TableHandbook[[#This Row],[UDC]],TableMJRUSCPS1[],7,FALSE),"")</f>
        <v/>
      </c>
      <c r="AM133" s="211" t="str">
        <f>IFERROR(VLOOKUP(TableHandbook[[#This Row],[UDC]],TableSTRUBIOLB[],7,FALSE),"")</f>
        <v/>
      </c>
      <c r="AN133" s="209" t="str">
        <f>IFERROR(VLOOKUP(TableHandbook[[#This Row],[UDC]],TableSTRUBSCIM[],7,FALSE),"")</f>
        <v/>
      </c>
      <c r="AO133" s="209" t="str">
        <f>IFERROR(VLOOKUP(TableHandbook[[#This Row],[UDC]],TableSTRUCHEMB[],7,FALSE),"")</f>
        <v/>
      </c>
      <c r="AP133" s="209" t="str">
        <f>IFERROR(VLOOKUP(TableHandbook[[#This Row],[UDC]],TableSTRUECOB1[],7,FALSE),"")</f>
        <v/>
      </c>
      <c r="AQ133" s="209" t="str">
        <f>IFERROR(VLOOKUP(TableHandbook[[#This Row],[UDC]],TableSTRUENGLB[],7,FALSE),"")</f>
        <v/>
      </c>
      <c r="AR133" s="209" t="str">
        <f>IFERROR(VLOOKUP(TableHandbook[[#This Row],[UDC]],TableSTRUENGLM[],7,FALSE),"")</f>
        <v/>
      </c>
      <c r="AS133" s="209" t="str">
        <f>IFERROR(VLOOKUP(TableHandbook[[#This Row],[UDC]],TableSTRUGEOB1[],7,FALSE),"")</f>
        <v/>
      </c>
      <c r="AT133" s="209" t="str">
        <f>IFERROR(VLOOKUP(TableHandbook[[#This Row],[UDC]],TableSTRUGEOGM[],7,FALSE),"")</f>
        <v/>
      </c>
      <c r="AU133" s="209" t="str">
        <f>IFERROR(VLOOKUP(TableHandbook[[#This Row],[UDC]],TableSTRUHISB1[],7,FALSE),"")</f>
        <v/>
      </c>
      <c r="AV133" s="209" t="str">
        <f>IFERROR(VLOOKUP(TableHandbook[[#This Row],[UDC]],TableSTRUHISTM[],7,FALSE),"")</f>
        <v/>
      </c>
      <c r="AW133" s="209" t="str">
        <f>IFERROR(VLOOKUP(TableHandbook[[#This Row],[UDC]],TableSTRUHPEB1[],7,FALSE),"")</f>
        <v/>
      </c>
      <c r="AX133" s="209" t="str">
        <f>IFERROR(VLOOKUP(TableHandbook[[#This Row],[UDC]],TableSTRUHUMBB[],7,FALSE),"")</f>
        <v/>
      </c>
      <c r="AY133" s="209" t="str">
        <f>IFERROR(VLOOKUP(TableHandbook[[#This Row],[UDC]],TableSTRUMARTM[],7,FALSE),"")</f>
        <v/>
      </c>
      <c r="AZ133" s="209" t="str">
        <f>IFERROR(VLOOKUP(TableHandbook[[#This Row],[UDC]],TableSTRUMATHB[],7,FALSE),"")</f>
        <v/>
      </c>
      <c r="BA133" s="209" t="str">
        <f>IFERROR(VLOOKUP(TableHandbook[[#This Row],[UDC]],TableSTRUMATHM[],7,FALSE),"")</f>
        <v/>
      </c>
      <c r="BB133" s="209" t="str">
        <f>IFERROR(VLOOKUP(TableHandbook[[#This Row],[UDC]],TableSTRUPARTB[],7,FALSE),"")</f>
        <v/>
      </c>
      <c r="BC133" s="209" t="str">
        <f>IFERROR(VLOOKUP(TableHandbook[[#This Row],[UDC]],TableSTRUPARTM[],7,FALSE),"")</f>
        <v/>
      </c>
      <c r="BD133" s="209" t="str">
        <f>IFERROR(VLOOKUP(TableHandbook[[#This Row],[UDC]],TableSTRUPOLB1[],7,FALSE),"")</f>
        <v/>
      </c>
      <c r="BE133" s="209" t="str">
        <f>IFERROR(VLOOKUP(TableHandbook[[#This Row],[UDC]],TableSTRUPSYCB[],7,FALSE),"")</f>
        <v/>
      </c>
      <c r="BF133" s="209" t="str">
        <f>IFERROR(VLOOKUP(TableHandbook[[#This Row],[UDC]],TableSTRUPSYCM[],7,FALSE),"")</f>
        <v/>
      </c>
      <c r="BG133" s="209" t="str">
        <f>IFERROR(VLOOKUP(TableHandbook[[#This Row],[UDC]],TableSTRUVARTB[],7,FALSE),"")</f>
        <v/>
      </c>
      <c r="BH133" s="209" t="str">
        <f>IFERROR(VLOOKUP(TableHandbook[[#This Row],[UDC]],TableSTRUVARTM[],7,FALSE),"")</f>
        <v/>
      </c>
    </row>
    <row r="134" spans="1:60" x14ac:dyDescent="0.25">
      <c r="A134" s="6" t="s">
        <v>932</v>
      </c>
      <c r="B134" s="7">
        <v>1</v>
      </c>
      <c r="C134" s="7"/>
      <c r="D134" s="207" t="s">
        <v>933</v>
      </c>
      <c r="E134" s="7">
        <v>25</v>
      </c>
      <c r="F134" s="84"/>
      <c r="G134" s="75" t="str">
        <f>IFERROR(IF(VLOOKUP(TableHandbook[[#This Row],[UDC]],TableAvailabilities[],2,FALSE)&gt;0,"Y",""),"")</f>
        <v/>
      </c>
      <c r="H134" s="75" t="str">
        <f>IFERROR(IF(VLOOKUP(TableHandbook[[#This Row],[UDC]],TableAvailabilities[],3,FALSE)&gt;0,"Y",""),"")</f>
        <v/>
      </c>
      <c r="I134" s="75" t="str">
        <f>IFERROR(IF(VLOOKUP(TableHandbook[[#This Row],[UDC]],TableAvailabilities[],4,FALSE)&gt;0,"Y",""),"")</f>
        <v/>
      </c>
      <c r="J134" s="75" t="str">
        <f>IFERROR(IF(VLOOKUP(TableHandbook[[#This Row],[UDC]],TableAvailabilities[],5,FALSE)&gt;0,"Y",""),"")</f>
        <v/>
      </c>
      <c r="K134" s="75" t="str">
        <f>IFERROR(IF(VLOOKUP(TableHandbook[[#This Row],[UDC]],TableAvailabilities[],6,FALSE)&gt;0,"Y",""),"")</f>
        <v/>
      </c>
      <c r="L134" s="75" t="str">
        <f>IFERROR(IF(VLOOKUP(TableHandbook[[#This Row],[UDC]],TableAvailabilities[],7,FALSE)&gt;0,"Y",""),"")</f>
        <v/>
      </c>
      <c r="M134" s="314" t="s">
        <v>922</v>
      </c>
      <c r="N134" s="209" t="str">
        <f>IFERROR(VLOOKUP(TableHandbook[[#This Row],[UDC]],TableBEDUC[],7,FALSE),"")</f>
        <v/>
      </c>
      <c r="O134" s="209" t="str">
        <f>IFERROR(VLOOKUP(TableHandbook[[#This Row],[UDC]],TableBEDEC[],7,FALSE),"")</f>
        <v/>
      </c>
      <c r="P134" s="211" t="str">
        <f>IFERROR(VLOOKUP(TableHandbook[[#This Row],[UDC]],TableBEDPR[],7,FALSE),"")</f>
        <v/>
      </c>
      <c r="Q134" s="209" t="str">
        <f>IFERROR(VLOOKUP(TableHandbook[[#This Row],[UDC]],TableSTRUCATHL[],7,FALSE),"")</f>
        <v/>
      </c>
      <c r="R134" s="209" t="str">
        <f>IFERROR(VLOOKUP(TableHandbook[[#This Row],[UDC]],TableSTRUENGLL[],7,FALSE),"")</f>
        <v/>
      </c>
      <c r="S134" s="209" t="str">
        <f>IFERROR(VLOOKUP(TableHandbook[[#This Row],[UDC]],TableSTRUHLTPE[],7,FALSE),"")</f>
        <v/>
      </c>
      <c r="T134" s="209" t="str">
        <f>IFERROR(VLOOKUP(TableHandbook[[#This Row],[UDC]],TableSTRUISTEM[],7,FALSE),"")</f>
        <v/>
      </c>
      <c r="U134" s="209" t="str">
        <f>IFERROR(VLOOKUP(TableHandbook[[#This Row],[UDC]],TableSTRULITNU[],7,FALSE),"")</f>
        <v/>
      </c>
      <c r="V134" s="209" t="str">
        <f>IFERROR(VLOOKUP(TableHandbook[[#This Row],[UDC]],TableSTRUTECHS[],7,FALSE),"")</f>
        <v/>
      </c>
      <c r="W134" s="211" t="str">
        <f>IFERROR(VLOOKUP(TableHandbook[[#This Row],[UDC]],TableBEDSC[],7,FALSE),"")</f>
        <v/>
      </c>
      <c r="X134" s="211" t="str">
        <f>IFERROR(VLOOKUP(TableHandbook[[#This Row],[UDC]],TableMJRUARDR1[],7,FALSE),"")</f>
        <v/>
      </c>
      <c r="Y134" s="209" t="str">
        <f>IFERROR(VLOOKUP(TableHandbook[[#This Row],[UDC]],TableMJRUARME1[],7,FALSE),"")</f>
        <v/>
      </c>
      <c r="Z134" s="209" t="str">
        <f>IFERROR(VLOOKUP(TableHandbook[[#This Row],[UDC]],TableMJRUARVA1[],7,FALSE),"")</f>
        <v/>
      </c>
      <c r="AA134" s="209" t="str">
        <f>IFERROR(VLOOKUP(TableHandbook[[#This Row],[UDC]],TableMJRUENGL1[],7,FALSE),"")</f>
        <v/>
      </c>
      <c r="AB134" s="209" t="str">
        <f>IFERROR(VLOOKUP(TableHandbook[[#This Row],[UDC]],TableMJRUHSEC1[],7,FALSE),"")</f>
        <v/>
      </c>
      <c r="AC134" s="209" t="str">
        <f>IFERROR(VLOOKUP(TableHandbook[[#This Row],[UDC]],TableMJRUHSGE1[],7,FALSE),"")</f>
        <v/>
      </c>
      <c r="AD134" s="209" t="str">
        <f>IFERROR(VLOOKUP(TableHandbook[[#This Row],[UDC]],TableMJRUHSHI1[],7,FALSE),"")</f>
        <v/>
      </c>
      <c r="AE134" s="209" t="str">
        <f>IFERROR(VLOOKUP(TableHandbook[[#This Row],[UDC]],TableMJRUHSPL1[],7,FALSE),"")</f>
        <v/>
      </c>
      <c r="AF134" s="209" t="str">
        <f>IFERROR(VLOOKUP(TableHandbook[[#This Row],[UDC]],TableMJRUMATH1[],7,FALSE),"")</f>
        <v/>
      </c>
      <c r="AG134" s="209" t="str">
        <f>IFERROR(VLOOKUP(TableHandbook[[#This Row],[UDC]],TableMJRUPHYSE[],7,FALSE),"")</f>
        <v/>
      </c>
      <c r="AH134" s="209" t="str">
        <f>IFERROR(VLOOKUP(TableHandbook[[#This Row],[UDC]],TableMJRUSCBI1[],7,FALSE),"")</f>
        <v/>
      </c>
      <c r="AI134" s="209" t="str">
        <f>IFERROR(VLOOKUP(TableHandbook[[#This Row],[UDC]],TableMJRUSCCH1[],7,FALSE),"")</f>
        <v/>
      </c>
      <c r="AJ134" s="209" t="str">
        <f>IFERROR(VLOOKUP(TableHandbook[[#This Row],[UDC]],TableMJRUSCHB1[],7,FALSE),"")</f>
        <v/>
      </c>
      <c r="AK134" s="209" t="str">
        <f>IFERROR(VLOOKUP(TableHandbook[[#This Row],[UDC]],TableMJRUSCPH1[],7,FALSE),"")</f>
        <v/>
      </c>
      <c r="AL134" s="209" t="str">
        <f>IFERROR(VLOOKUP(TableHandbook[[#This Row],[UDC]],TableMJRUSCPS1[],7,FALSE),"")</f>
        <v/>
      </c>
      <c r="AM134" s="211" t="str">
        <f>IFERROR(VLOOKUP(TableHandbook[[#This Row],[UDC]],TableSTRUBIOLB[],7,FALSE),"")</f>
        <v/>
      </c>
      <c r="AN134" s="209" t="str">
        <f>IFERROR(VLOOKUP(TableHandbook[[#This Row],[UDC]],TableSTRUBSCIM[],7,FALSE),"")</f>
        <v/>
      </c>
      <c r="AO134" s="209" t="str">
        <f>IFERROR(VLOOKUP(TableHandbook[[#This Row],[UDC]],TableSTRUCHEMB[],7,FALSE),"")</f>
        <v/>
      </c>
      <c r="AP134" s="209" t="str">
        <f>IFERROR(VLOOKUP(TableHandbook[[#This Row],[UDC]],TableSTRUECOB1[],7,FALSE),"")</f>
        <v/>
      </c>
      <c r="AQ134" s="209" t="str">
        <f>IFERROR(VLOOKUP(TableHandbook[[#This Row],[UDC]],TableSTRUENGLB[],7,FALSE),"")</f>
        <v/>
      </c>
      <c r="AR134" s="209" t="str">
        <f>IFERROR(VLOOKUP(TableHandbook[[#This Row],[UDC]],TableSTRUENGLM[],7,FALSE),"")</f>
        <v/>
      </c>
      <c r="AS134" s="209" t="str">
        <f>IFERROR(VLOOKUP(TableHandbook[[#This Row],[UDC]],TableSTRUGEOB1[],7,FALSE),"")</f>
        <v/>
      </c>
      <c r="AT134" s="209" t="str">
        <f>IFERROR(VLOOKUP(TableHandbook[[#This Row],[UDC]],TableSTRUGEOGM[],7,FALSE),"")</f>
        <v/>
      </c>
      <c r="AU134" s="209" t="str">
        <f>IFERROR(VLOOKUP(TableHandbook[[#This Row],[UDC]],TableSTRUHISB1[],7,FALSE),"")</f>
        <v/>
      </c>
      <c r="AV134" s="209" t="str">
        <f>IFERROR(VLOOKUP(TableHandbook[[#This Row],[UDC]],TableSTRUHISTM[],7,FALSE),"")</f>
        <v/>
      </c>
      <c r="AW134" s="209" t="str">
        <f>IFERROR(VLOOKUP(TableHandbook[[#This Row],[UDC]],TableSTRUHPEB1[],7,FALSE),"")</f>
        <v/>
      </c>
      <c r="AX134" s="209" t="str">
        <f>IFERROR(VLOOKUP(TableHandbook[[#This Row],[UDC]],TableSTRUHUMBB[],7,FALSE),"")</f>
        <v/>
      </c>
      <c r="AY134" s="209" t="str">
        <f>IFERROR(VLOOKUP(TableHandbook[[#This Row],[UDC]],TableSTRUMARTM[],7,FALSE),"")</f>
        <v/>
      </c>
      <c r="AZ134" s="209" t="str">
        <f>IFERROR(VLOOKUP(TableHandbook[[#This Row],[UDC]],TableSTRUMATHB[],7,FALSE),"")</f>
        <v/>
      </c>
      <c r="BA134" s="209" t="str">
        <f>IFERROR(VLOOKUP(TableHandbook[[#This Row],[UDC]],TableSTRUMATHM[],7,FALSE),"")</f>
        <v/>
      </c>
      <c r="BB134" s="209" t="str">
        <f>IFERROR(VLOOKUP(TableHandbook[[#This Row],[UDC]],TableSTRUPARTB[],7,FALSE),"")</f>
        <v/>
      </c>
      <c r="BC134" s="209" t="str">
        <f>IFERROR(VLOOKUP(TableHandbook[[#This Row],[UDC]],TableSTRUPARTM[],7,FALSE),"")</f>
        <v/>
      </c>
      <c r="BD134" s="209" t="str">
        <f>IFERROR(VLOOKUP(TableHandbook[[#This Row],[UDC]],TableSTRUPOLB1[],7,FALSE),"")</f>
        <v/>
      </c>
      <c r="BE134" s="209" t="str">
        <f>IFERROR(VLOOKUP(TableHandbook[[#This Row],[UDC]],TableSTRUPSYCB[],7,FALSE),"")</f>
        <v/>
      </c>
      <c r="BF134" s="209" t="str">
        <f>IFERROR(VLOOKUP(TableHandbook[[#This Row],[UDC]],TableSTRUPSYCM[],7,FALSE),"")</f>
        <v/>
      </c>
      <c r="BG134" s="209" t="str">
        <f>IFERROR(VLOOKUP(TableHandbook[[#This Row],[UDC]],TableSTRUVARTB[],7,FALSE),"")</f>
        <v/>
      </c>
      <c r="BH134" s="209" t="str">
        <f>IFERROR(VLOOKUP(TableHandbook[[#This Row],[UDC]],TableSTRUVARTM[],7,FALSE),"")</f>
        <v/>
      </c>
    </row>
    <row r="135" spans="1:60" x14ac:dyDescent="0.25">
      <c r="A135" s="6" t="s">
        <v>188</v>
      </c>
      <c r="B135" s="7">
        <v>1</v>
      </c>
      <c r="C135" s="7"/>
      <c r="D135" s="207" t="s">
        <v>934</v>
      </c>
      <c r="E135" s="7">
        <v>25</v>
      </c>
      <c r="F135" s="311" t="s">
        <v>935</v>
      </c>
      <c r="G135" s="75" t="str">
        <f>IFERROR(IF(VLOOKUP(TableHandbook[[#This Row],[UDC]],TableAvailabilities[],2,FALSE)&gt;0,"Y",""),"")</f>
        <v>Y</v>
      </c>
      <c r="H135" s="75" t="str">
        <f>IFERROR(IF(VLOOKUP(TableHandbook[[#This Row],[UDC]],TableAvailabilities[],3,FALSE)&gt;0,"Y",""),"")</f>
        <v>Y</v>
      </c>
      <c r="I135" s="75" t="str">
        <f>IFERROR(IF(VLOOKUP(TableHandbook[[#This Row],[UDC]],TableAvailabilities[],4,FALSE)&gt;0,"Y",""),"")</f>
        <v/>
      </c>
      <c r="J135" s="75" t="str">
        <f>IFERROR(IF(VLOOKUP(TableHandbook[[#This Row],[UDC]],TableAvailabilities[],5,FALSE)&gt;0,"Y",""),"")</f>
        <v/>
      </c>
      <c r="K135" s="75" t="str">
        <f>IFERROR(IF(VLOOKUP(TableHandbook[[#This Row],[UDC]],TableAvailabilities[],6,FALSE)&gt;0,"Y",""),"")</f>
        <v/>
      </c>
      <c r="L135" s="75" t="str">
        <f>IFERROR(IF(VLOOKUP(TableHandbook[[#This Row],[UDC]],TableAvailabilities[],7,FALSE)&gt;0,"Y",""),"")</f>
        <v/>
      </c>
      <c r="M135" s="207"/>
      <c r="N135" s="209" t="str">
        <f>IFERROR(VLOOKUP(TableHandbook[[#This Row],[UDC]],TableBEDUC[],7,FALSE),"")</f>
        <v>AltCore</v>
      </c>
      <c r="O135" s="209" t="str">
        <f>IFERROR(VLOOKUP(TableHandbook[[#This Row],[UDC]],TableBEDEC[],7,FALSE),"")</f>
        <v/>
      </c>
      <c r="P135" s="211" t="str">
        <f>IFERROR(VLOOKUP(TableHandbook[[#This Row],[UDC]],TableBEDPR[],7,FALSE),"")</f>
        <v/>
      </c>
      <c r="Q135" s="209" t="str">
        <f>IFERROR(VLOOKUP(TableHandbook[[#This Row],[UDC]],TableSTRUCATHL[],7,FALSE),"")</f>
        <v/>
      </c>
      <c r="R135" s="209" t="str">
        <f>IFERROR(VLOOKUP(TableHandbook[[#This Row],[UDC]],TableSTRUENGLL[],7,FALSE),"")</f>
        <v/>
      </c>
      <c r="S135" s="209" t="str">
        <f>IFERROR(VLOOKUP(TableHandbook[[#This Row],[UDC]],TableSTRUHLTPE[],7,FALSE),"")</f>
        <v/>
      </c>
      <c r="T135" s="209" t="str">
        <f>IFERROR(VLOOKUP(TableHandbook[[#This Row],[UDC]],TableSTRUISTEM[],7,FALSE),"")</f>
        <v/>
      </c>
      <c r="U135" s="209" t="str">
        <f>IFERROR(VLOOKUP(TableHandbook[[#This Row],[UDC]],TableSTRULITNU[],7,FALSE),"")</f>
        <v/>
      </c>
      <c r="V135" s="209" t="str">
        <f>IFERROR(VLOOKUP(TableHandbook[[#This Row],[UDC]],TableSTRUTECHS[],7,FALSE),"")</f>
        <v/>
      </c>
      <c r="W135" s="211" t="str">
        <f>IFERROR(VLOOKUP(TableHandbook[[#This Row],[UDC]],TableBEDSC[],7,FALSE),"")</f>
        <v>Core</v>
      </c>
      <c r="X135" s="211" t="str">
        <f>IFERROR(VLOOKUP(TableHandbook[[#This Row],[UDC]],TableMJRUARDR1[],7,FALSE),"")</f>
        <v/>
      </c>
      <c r="Y135" s="209" t="str">
        <f>IFERROR(VLOOKUP(TableHandbook[[#This Row],[UDC]],TableMJRUARME1[],7,FALSE),"")</f>
        <v/>
      </c>
      <c r="Z135" s="209" t="str">
        <f>IFERROR(VLOOKUP(TableHandbook[[#This Row],[UDC]],TableMJRUARVA1[],7,FALSE),"")</f>
        <v/>
      </c>
      <c r="AA135" s="209" t="str">
        <f>IFERROR(VLOOKUP(TableHandbook[[#This Row],[UDC]],TableMJRUENGL1[],7,FALSE),"")</f>
        <v/>
      </c>
      <c r="AB135" s="209" t="str">
        <f>IFERROR(VLOOKUP(TableHandbook[[#This Row],[UDC]],TableMJRUHSEC1[],7,FALSE),"")</f>
        <v/>
      </c>
      <c r="AC135" s="209" t="str">
        <f>IFERROR(VLOOKUP(TableHandbook[[#This Row],[UDC]],TableMJRUHSGE1[],7,FALSE),"")</f>
        <v/>
      </c>
      <c r="AD135" s="209" t="str">
        <f>IFERROR(VLOOKUP(TableHandbook[[#This Row],[UDC]],TableMJRUHSHI1[],7,FALSE),"")</f>
        <v/>
      </c>
      <c r="AE135" s="209" t="str">
        <f>IFERROR(VLOOKUP(TableHandbook[[#This Row],[UDC]],TableMJRUHSPL1[],7,FALSE),"")</f>
        <v/>
      </c>
      <c r="AF135" s="209" t="str">
        <f>IFERROR(VLOOKUP(TableHandbook[[#This Row],[UDC]],TableMJRUMATH1[],7,FALSE),"")</f>
        <v/>
      </c>
      <c r="AG135" s="209" t="str">
        <f>IFERROR(VLOOKUP(TableHandbook[[#This Row],[UDC]],TableMJRUPHYSE[],7,FALSE),"")</f>
        <v/>
      </c>
      <c r="AH135" s="209" t="str">
        <f>IFERROR(VLOOKUP(TableHandbook[[#This Row],[UDC]],TableMJRUSCBI1[],7,FALSE),"")</f>
        <v/>
      </c>
      <c r="AI135" s="209" t="str">
        <f>IFERROR(VLOOKUP(TableHandbook[[#This Row],[UDC]],TableMJRUSCCH1[],7,FALSE),"")</f>
        <v/>
      </c>
      <c r="AJ135" s="209" t="str">
        <f>IFERROR(VLOOKUP(TableHandbook[[#This Row],[UDC]],TableMJRUSCHB1[],7,FALSE),"")</f>
        <v/>
      </c>
      <c r="AK135" s="209" t="str">
        <f>IFERROR(VLOOKUP(TableHandbook[[#This Row],[UDC]],TableMJRUSCPH1[],7,FALSE),"")</f>
        <v/>
      </c>
      <c r="AL135" s="209" t="str">
        <f>IFERROR(VLOOKUP(TableHandbook[[#This Row],[UDC]],TableMJRUSCPS1[],7,FALSE),"")</f>
        <v/>
      </c>
      <c r="AM135" s="211" t="str">
        <f>IFERROR(VLOOKUP(TableHandbook[[#This Row],[UDC]],TableSTRUBIOLB[],7,FALSE),"")</f>
        <v/>
      </c>
      <c r="AN135" s="209" t="str">
        <f>IFERROR(VLOOKUP(TableHandbook[[#This Row],[UDC]],TableSTRUBSCIM[],7,FALSE),"")</f>
        <v/>
      </c>
      <c r="AO135" s="209" t="str">
        <f>IFERROR(VLOOKUP(TableHandbook[[#This Row],[UDC]],TableSTRUCHEMB[],7,FALSE),"")</f>
        <v/>
      </c>
      <c r="AP135" s="209" t="str">
        <f>IFERROR(VLOOKUP(TableHandbook[[#This Row],[UDC]],TableSTRUECOB1[],7,FALSE),"")</f>
        <v/>
      </c>
      <c r="AQ135" s="209" t="str">
        <f>IFERROR(VLOOKUP(TableHandbook[[#This Row],[UDC]],TableSTRUENGLB[],7,FALSE),"")</f>
        <v/>
      </c>
      <c r="AR135" s="209" t="str">
        <f>IFERROR(VLOOKUP(TableHandbook[[#This Row],[UDC]],TableSTRUENGLM[],7,FALSE),"")</f>
        <v/>
      </c>
      <c r="AS135" s="209" t="str">
        <f>IFERROR(VLOOKUP(TableHandbook[[#This Row],[UDC]],TableSTRUGEOB1[],7,FALSE),"")</f>
        <v/>
      </c>
      <c r="AT135" s="209" t="str">
        <f>IFERROR(VLOOKUP(TableHandbook[[#This Row],[UDC]],TableSTRUGEOGM[],7,FALSE),"")</f>
        <v/>
      </c>
      <c r="AU135" s="209" t="str">
        <f>IFERROR(VLOOKUP(TableHandbook[[#This Row],[UDC]],TableSTRUHISB1[],7,FALSE),"")</f>
        <v/>
      </c>
      <c r="AV135" s="209" t="str">
        <f>IFERROR(VLOOKUP(TableHandbook[[#This Row],[UDC]],TableSTRUHISTM[],7,FALSE),"")</f>
        <v/>
      </c>
      <c r="AW135" s="209" t="str">
        <f>IFERROR(VLOOKUP(TableHandbook[[#This Row],[UDC]],TableSTRUHPEB1[],7,FALSE),"")</f>
        <v/>
      </c>
      <c r="AX135" s="209" t="str">
        <f>IFERROR(VLOOKUP(TableHandbook[[#This Row],[UDC]],TableSTRUHUMBB[],7,FALSE),"")</f>
        <v/>
      </c>
      <c r="AY135" s="209" t="str">
        <f>IFERROR(VLOOKUP(TableHandbook[[#This Row],[UDC]],TableSTRUMARTM[],7,FALSE),"")</f>
        <v/>
      </c>
      <c r="AZ135" s="209" t="str">
        <f>IFERROR(VLOOKUP(TableHandbook[[#This Row],[UDC]],TableSTRUMATHB[],7,FALSE),"")</f>
        <v/>
      </c>
      <c r="BA135" s="209" t="str">
        <f>IFERROR(VLOOKUP(TableHandbook[[#This Row],[UDC]],TableSTRUMATHM[],7,FALSE),"")</f>
        <v/>
      </c>
      <c r="BB135" s="209" t="str">
        <f>IFERROR(VLOOKUP(TableHandbook[[#This Row],[UDC]],TableSTRUPARTB[],7,FALSE),"")</f>
        <v/>
      </c>
      <c r="BC135" s="209" t="str">
        <f>IFERROR(VLOOKUP(TableHandbook[[#This Row],[UDC]],TableSTRUPARTM[],7,FALSE),"")</f>
        <v/>
      </c>
      <c r="BD135" s="209" t="str">
        <f>IFERROR(VLOOKUP(TableHandbook[[#This Row],[UDC]],TableSTRUPOLB1[],7,FALSE),"")</f>
        <v/>
      </c>
      <c r="BE135" s="209" t="str">
        <f>IFERROR(VLOOKUP(TableHandbook[[#This Row],[UDC]],TableSTRUPSYCB[],7,FALSE),"")</f>
        <v/>
      </c>
      <c r="BF135" s="209" t="str">
        <f>IFERROR(VLOOKUP(TableHandbook[[#This Row],[UDC]],TableSTRUPSYCM[],7,FALSE),"")</f>
        <v/>
      </c>
      <c r="BG135" s="209" t="str">
        <f>IFERROR(VLOOKUP(TableHandbook[[#This Row],[UDC]],TableSTRUVARTB[],7,FALSE),"")</f>
        <v/>
      </c>
      <c r="BH135" s="209" t="str">
        <f>IFERROR(VLOOKUP(TableHandbook[[#This Row],[UDC]],TableSTRUVARTM[],7,FALSE),"")</f>
        <v/>
      </c>
    </row>
    <row r="136" spans="1:60" x14ac:dyDescent="0.25">
      <c r="A136" s="6" t="s">
        <v>936</v>
      </c>
      <c r="B136" s="7">
        <v>1</v>
      </c>
      <c r="C136" s="7"/>
      <c r="D136" s="207" t="s">
        <v>937</v>
      </c>
      <c r="E136" s="7">
        <v>25</v>
      </c>
      <c r="F136" s="84"/>
      <c r="G136" s="75" t="str">
        <f>IFERROR(IF(VLOOKUP(TableHandbook[[#This Row],[UDC]],TableAvailabilities[],2,FALSE)&gt;0,"Y",""),"")</f>
        <v/>
      </c>
      <c r="H136" s="75" t="str">
        <f>IFERROR(IF(VLOOKUP(TableHandbook[[#This Row],[UDC]],TableAvailabilities[],3,FALSE)&gt;0,"Y",""),"")</f>
        <v/>
      </c>
      <c r="I136" s="75" t="str">
        <f>IFERROR(IF(VLOOKUP(TableHandbook[[#This Row],[UDC]],TableAvailabilities[],4,FALSE)&gt;0,"Y",""),"")</f>
        <v/>
      </c>
      <c r="J136" s="75" t="str">
        <f>IFERROR(IF(VLOOKUP(TableHandbook[[#This Row],[UDC]],TableAvailabilities[],5,FALSE)&gt;0,"Y",""),"")</f>
        <v/>
      </c>
      <c r="K136" s="75" t="str">
        <f>IFERROR(IF(VLOOKUP(TableHandbook[[#This Row],[UDC]],TableAvailabilities[],6,FALSE)&gt;0,"Y",""),"")</f>
        <v/>
      </c>
      <c r="L136" s="75" t="str">
        <f>IFERROR(IF(VLOOKUP(TableHandbook[[#This Row],[UDC]],TableAvailabilities[],7,FALSE)&gt;0,"Y",""),"")</f>
        <v/>
      </c>
      <c r="M136" s="314" t="s">
        <v>922</v>
      </c>
      <c r="N136" s="209" t="str">
        <f>IFERROR(VLOOKUP(TableHandbook[[#This Row],[UDC]],TableBEDUC[],7,FALSE),"")</f>
        <v/>
      </c>
      <c r="O136" s="209" t="str">
        <f>IFERROR(VLOOKUP(TableHandbook[[#This Row],[UDC]],TableBEDEC[],7,FALSE),"")</f>
        <v/>
      </c>
      <c r="P136" s="211" t="str">
        <f>IFERROR(VLOOKUP(TableHandbook[[#This Row],[UDC]],TableBEDPR[],7,FALSE),"")</f>
        <v/>
      </c>
      <c r="Q136" s="209" t="str">
        <f>IFERROR(VLOOKUP(TableHandbook[[#This Row],[UDC]],TableSTRUCATHL[],7,FALSE),"")</f>
        <v/>
      </c>
      <c r="R136" s="209" t="str">
        <f>IFERROR(VLOOKUP(TableHandbook[[#This Row],[UDC]],TableSTRUENGLL[],7,FALSE),"")</f>
        <v/>
      </c>
      <c r="S136" s="209" t="str">
        <f>IFERROR(VLOOKUP(TableHandbook[[#This Row],[UDC]],TableSTRUHLTPE[],7,FALSE),"")</f>
        <v/>
      </c>
      <c r="T136" s="209" t="str">
        <f>IFERROR(VLOOKUP(TableHandbook[[#This Row],[UDC]],TableSTRUISTEM[],7,FALSE),"")</f>
        <v/>
      </c>
      <c r="U136" s="209" t="str">
        <f>IFERROR(VLOOKUP(TableHandbook[[#This Row],[UDC]],TableSTRULITNU[],7,FALSE),"")</f>
        <v/>
      </c>
      <c r="V136" s="209" t="str">
        <f>IFERROR(VLOOKUP(TableHandbook[[#This Row],[UDC]],TableSTRUTECHS[],7,FALSE),"")</f>
        <v/>
      </c>
      <c r="W136" s="211" t="str">
        <f>IFERROR(VLOOKUP(TableHandbook[[#This Row],[UDC]],TableBEDSC[],7,FALSE),"")</f>
        <v/>
      </c>
      <c r="X136" s="211" t="str">
        <f>IFERROR(VLOOKUP(TableHandbook[[#This Row],[UDC]],TableMJRUARDR1[],7,FALSE),"")</f>
        <v/>
      </c>
      <c r="Y136" s="209" t="str">
        <f>IFERROR(VLOOKUP(TableHandbook[[#This Row],[UDC]],TableMJRUARME1[],7,FALSE),"")</f>
        <v/>
      </c>
      <c r="Z136" s="209" t="str">
        <f>IFERROR(VLOOKUP(TableHandbook[[#This Row],[UDC]],TableMJRUARVA1[],7,FALSE),"")</f>
        <v/>
      </c>
      <c r="AA136" s="209" t="str">
        <f>IFERROR(VLOOKUP(TableHandbook[[#This Row],[UDC]],TableMJRUENGL1[],7,FALSE),"")</f>
        <v/>
      </c>
      <c r="AB136" s="209" t="str">
        <f>IFERROR(VLOOKUP(TableHandbook[[#This Row],[UDC]],TableMJRUHSEC1[],7,FALSE),"")</f>
        <v/>
      </c>
      <c r="AC136" s="209" t="str">
        <f>IFERROR(VLOOKUP(TableHandbook[[#This Row],[UDC]],TableMJRUHSGE1[],7,FALSE),"")</f>
        <v/>
      </c>
      <c r="AD136" s="209" t="str">
        <f>IFERROR(VLOOKUP(TableHandbook[[#This Row],[UDC]],TableMJRUHSHI1[],7,FALSE),"")</f>
        <v/>
      </c>
      <c r="AE136" s="209" t="str">
        <f>IFERROR(VLOOKUP(TableHandbook[[#This Row],[UDC]],TableMJRUHSPL1[],7,FALSE),"")</f>
        <v/>
      </c>
      <c r="AF136" s="209" t="str">
        <f>IFERROR(VLOOKUP(TableHandbook[[#This Row],[UDC]],TableMJRUMATH1[],7,FALSE),"")</f>
        <v/>
      </c>
      <c r="AG136" s="209" t="str">
        <f>IFERROR(VLOOKUP(TableHandbook[[#This Row],[UDC]],TableMJRUPHYSE[],7,FALSE),"")</f>
        <v/>
      </c>
      <c r="AH136" s="209" t="str">
        <f>IFERROR(VLOOKUP(TableHandbook[[#This Row],[UDC]],TableMJRUSCBI1[],7,FALSE),"")</f>
        <v/>
      </c>
      <c r="AI136" s="209" t="str">
        <f>IFERROR(VLOOKUP(TableHandbook[[#This Row],[UDC]],TableMJRUSCCH1[],7,FALSE),"")</f>
        <v/>
      </c>
      <c r="AJ136" s="209" t="str">
        <f>IFERROR(VLOOKUP(TableHandbook[[#This Row],[UDC]],TableMJRUSCHB1[],7,FALSE),"")</f>
        <v/>
      </c>
      <c r="AK136" s="209" t="str">
        <f>IFERROR(VLOOKUP(TableHandbook[[#This Row],[UDC]],TableMJRUSCPH1[],7,FALSE),"")</f>
        <v/>
      </c>
      <c r="AL136" s="209" t="str">
        <f>IFERROR(VLOOKUP(TableHandbook[[#This Row],[UDC]],TableMJRUSCPS1[],7,FALSE),"")</f>
        <v/>
      </c>
      <c r="AM136" s="211" t="str">
        <f>IFERROR(VLOOKUP(TableHandbook[[#This Row],[UDC]],TableSTRUBIOLB[],7,FALSE),"")</f>
        <v/>
      </c>
      <c r="AN136" s="209" t="str">
        <f>IFERROR(VLOOKUP(TableHandbook[[#This Row],[UDC]],TableSTRUBSCIM[],7,FALSE),"")</f>
        <v/>
      </c>
      <c r="AO136" s="209" t="str">
        <f>IFERROR(VLOOKUP(TableHandbook[[#This Row],[UDC]],TableSTRUCHEMB[],7,FALSE),"")</f>
        <v/>
      </c>
      <c r="AP136" s="209" t="str">
        <f>IFERROR(VLOOKUP(TableHandbook[[#This Row],[UDC]],TableSTRUECOB1[],7,FALSE),"")</f>
        <v/>
      </c>
      <c r="AQ136" s="209" t="str">
        <f>IFERROR(VLOOKUP(TableHandbook[[#This Row],[UDC]],TableSTRUENGLB[],7,FALSE),"")</f>
        <v/>
      </c>
      <c r="AR136" s="209" t="str">
        <f>IFERROR(VLOOKUP(TableHandbook[[#This Row],[UDC]],TableSTRUENGLM[],7,FALSE),"")</f>
        <v/>
      </c>
      <c r="AS136" s="209" t="str">
        <f>IFERROR(VLOOKUP(TableHandbook[[#This Row],[UDC]],TableSTRUGEOB1[],7,FALSE),"")</f>
        <v/>
      </c>
      <c r="AT136" s="209" t="str">
        <f>IFERROR(VLOOKUP(TableHandbook[[#This Row],[UDC]],TableSTRUGEOGM[],7,FALSE),"")</f>
        <v/>
      </c>
      <c r="AU136" s="209" t="str">
        <f>IFERROR(VLOOKUP(TableHandbook[[#This Row],[UDC]],TableSTRUHISB1[],7,FALSE),"")</f>
        <v/>
      </c>
      <c r="AV136" s="209" t="str">
        <f>IFERROR(VLOOKUP(TableHandbook[[#This Row],[UDC]],TableSTRUHISTM[],7,FALSE),"")</f>
        <v/>
      </c>
      <c r="AW136" s="209" t="str">
        <f>IFERROR(VLOOKUP(TableHandbook[[#This Row],[UDC]],TableSTRUHPEB1[],7,FALSE),"")</f>
        <v/>
      </c>
      <c r="AX136" s="209" t="str">
        <f>IFERROR(VLOOKUP(TableHandbook[[#This Row],[UDC]],TableSTRUHUMBB[],7,FALSE),"")</f>
        <v/>
      </c>
      <c r="AY136" s="209" t="str">
        <f>IFERROR(VLOOKUP(TableHandbook[[#This Row],[UDC]],TableSTRUMARTM[],7,FALSE),"")</f>
        <v/>
      </c>
      <c r="AZ136" s="209" t="str">
        <f>IFERROR(VLOOKUP(TableHandbook[[#This Row],[UDC]],TableSTRUMATHB[],7,FALSE),"")</f>
        <v/>
      </c>
      <c r="BA136" s="209" t="str">
        <f>IFERROR(VLOOKUP(TableHandbook[[#This Row],[UDC]],TableSTRUMATHM[],7,FALSE),"")</f>
        <v/>
      </c>
      <c r="BB136" s="209" t="str">
        <f>IFERROR(VLOOKUP(TableHandbook[[#This Row],[UDC]],TableSTRUPARTB[],7,FALSE),"")</f>
        <v/>
      </c>
      <c r="BC136" s="209" t="str">
        <f>IFERROR(VLOOKUP(TableHandbook[[#This Row],[UDC]],TableSTRUPARTM[],7,FALSE),"")</f>
        <v/>
      </c>
      <c r="BD136" s="209" t="str">
        <f>IFERROR(VLOOKUP(TableHandbook[[#This Row],[UDC]],TableSTRUPOLB1[],7,FALSE),"")</f>
        <v/>
      </c>
      <c r="BE136" s="209" t="str">
        <f>IFERROR(VLOOKUP(TableHandbook[[#This Row],[UDC]],TableSTRUPSYCB[],7,FALSE),"")</f>
        <v/>
      </c>
      <c r="BF136" s="209" t="str">
        <f>IFERROR(VLOOKUP(TableHandbook[[#This Row],[UDC]],TableSTRUPSYCM[],7,FALSE),"")</f>
        <v/>
      </c>
      <c r="BG136" s="209" t="str">
        <f>IFERROR(VLOOKUP(TableHandbook[[#This Row],[UDC]],TableSTRUVARTB[],7,FALSE),"")</f>
        <v/>
      </c>
      <c r="BH136" s="209" t="str">
        <f>IFERROR(VLOOKUP(TableHandbook[[#This Row],[UDC]],TableSTRUVARTM[],7,FALSE),"")</f>
        <v/>
      </c>
    </row>
    <row r="137" spans="1:60" x14ac:dyDescent="0.25">
      <c r="A137" s="6" t="s">
        <v>546</v>
      </c>
      <c r="B137" s="7">
        <v>1</v>
      </c>
      <c r="C137" s="7"/>
      <c r="D137" s="207" t="s">
        <v>938</v>
      </c>
      <c r="E137" s="7">
        <v>25</v>
      </c>
      <c r="F137" s="311" t="s">
        <v>939</v>
      </c>
      <c r="G137" s="75" t="str">
        <f>IFERROR(IF(VLOOKUP(TableHandbook[[#This Row],[UDC]],TableAvailabilities[],2,FALSE)&gt;0,"Y",""),"")</f>
        <v>Y</v>
      </c>
      <c r="H137" s="75" t="str">
        <f>IFERROR(IF(VLOOKUP(TableHandbook[[#This Row],[UDC]],TableAvailabilities[],3,FALSE)&gt;0,"Y",""),"")</f>
        <v/>
      </c>
      <c r="I137" s="75" t="str">
        <f>IFERROR(IF(VLOOKUP(TableHandbook[[#This Row],[UDC]],TableAvailabilities[],4,FALSE)&gt;0,"Y",""),"")</f>
        <v/>
      </c>
      <c r="J137" s="75" t="str">
        <f>IFERROR(IF(VLOOKUP(TableHandbook[[#This Row],[UDC]],TableAvailabilities[],5,FALSE)&gt;0,"Y",""),"")</f>
        <v/>
      </c>
      <c r="K137" s="75" t="str">
        <f>IFERROR(IF(VLOOKUP(TableHandbook[[#This Row],[UDC]],TableAvailabilities[],6,FALSE)&gt;0,"Y",""),"")</f>
        <v/>
      </c>
      <c r="L137" s="75" t="str">
        <f>IFERROR(IF(VLOOKUP(TableHandbook[[#This Row],[UDC]],TableAvailabilities[],7,FALSE)&gt;0,"Y",""),"")</f>
        <v/>
      </c>
      <c r="M137" s="207"/>
      <c r="N137" s="209" t="str">
        <f>IFERROR(VLOOKUP(TableHandbook[[#This Row],[UDC]],TableBEDUC[],7,FALSE),"")</f>
        <v/>
      </c>
      <c r="O137" s="209" t="str">
        <f>IFERROR(VLOOKUP(TableHandbook[[#This Row],[UDC]],TableBEDEC[],7,FALSE),"")</f>
        <v/>
      </c>
      <c r="P137" s="211" t="str">
        <f>IFERROR(VLOOKUP(TableHandbook[[#This Row],[UDC]],TableBEDPR[],7,FALSE),"")</f>
        <v/>
      </c>
      <c r="Q137" s="209" t="str">
        <f>IFERROR(VLOOKUP(TableHandbook[[#This Row],[UDC]],TableSTRUCATHL[],7,FALSE),"")</f>
        <v/>
      </c>
      <c r="R137" s="209" t="str">
        <f>IFERROR(VLOOKUP(TableHandbook[[#This Row],[UDC]],TableSTRUENGLL[],7,FALSE),"")</f>
        <v/>
      </c>
      <c r="S137" s="209" t="str">
        <f>IFERROR(VLOOKUP(TableHandbook[[#This Row],[UDC]],TableSTRUHLTPE[],7,FALSE),"")</f>
        <v/>
      </c>
      <c r="T137" s="209" t="str">
        <f>IFERROR(VLOOKUP(TableHandbook[[#This Row],[UDC]],TableSTRUISTEM[],7,FALSE),"")</f>
        <v/>
      </c>
      <c r="U137" s="209" t="str">
        <f>IFERROR(VLOOKUP(TableHandbook[[#This Row],[UDC]],TableSTRULITNU[],7,FALSE),"")</f>
        <v/>
      </c>
      <c r="V137" s="209" t="str">
        <f>IFERROR(VLOOKUP(TableHandbook[[#This Row],[UDC]],TableSTRUTECHS[],7,FALSE),"")</f>
        <v/>
      </c>
      <c r="W137" s="211" t="str">
        <f>IFERROR(VLOOKUP(TableHandbook[[#This Row],[UDC]],TableBEDSC[],7,FALSE),"")</f>
        <v/>
      </c>
      <c r="X137" s="211" t="str">
        <f>IFERROR(VLOOKUP(TableHandbook[[#This Row],[UDC]],TableMJRUARDR1[],7,FALSE),"")</f>
        <v/>
      </c>
      <c r="Y137" s="209" t="str">
        <f>IFERROR(VLOOKUP(TableHandbook[[#This Row],[UDC]],TableMJRUARME1[],7,FALSE),"")</f>
        <v/>
      </c>
      <c r="Z137" s="209" t="str">
        <f>IFERROR(VLOOKUP(TableHandbook[[#This Row],[UDC]],TableMJRUARVA1[],7,FALSE),"")</f>
        <v/>
      </c>
      <c r="AA137" s="209" t="str">
        <f>IFERROR(VLOOKUP(TableHandbook[[#This Row],[UDC]],TableMJRUENGL1[],7,FALSE),"")</f>
        <v/>
      </c>
      <c r="AB137" s="209" t="str">
        <f>IFERROR(VLOOKUP(TableHandbook[[#This Row],[UDC]],TableMJRUHSEC1[],7,FALSE),"")</f>
        <v/>
      </c>
      <c r="AC137" s="209" t="str">
        <f>IFERROR(VLOOKUP(TableHandbook[[#This Row],[UDC]],TableMJRUHSGE1[],7,FALSE),"")</f>
        <v/>
      </c>
      <c r="AD137" s="209" t="str">
        <f>IFERROR(VLOOKUP(TableHandbook[[#This Row],[UDC]],TableMJRUHSHI1[],7,FALSE),"")</f>
        <v/>
      </c>
      <c r="AE137" s="209" t="str">
        <f>IFERROR(VLOOKUP(TableHandbook[[#This Row],[UDC]],TableMJRUHSPL1[],7,FALSE),"")</f>
        <v/>
      </c>
      <c r="AF137" s="209" t="str">
        <f>IFERROR(VLOOKUP(TableHandbook[[#This Row],[UDC]],TableMJRUMATH1[],7,FALSE),"")</f>
        <v/>
      </c>
      <c r="AG137" s="209" t="str">
        <f>IFERROR(VLOOKUP(TableHandbook[[#This Row],[UDC]],TableMJRUPHYSE[],7,FALSE),"")</f>
        <v/>
      </c>
      <c r="AH137" s="209" t="str">
        <f>IFERROR(VLOOKUP(TableHandbook[[#This Row],[UDC]],TableMJRUSCBI1[],7,FALSE),"")</f>
        <v>Core</v>
      </c>
      <c r="AI137" s="209" t="str">
        <f>IFERROR(VLOOKUP(TableHandbook[[#This Row],[UDC]],TableMJRUSCCH1[],7,FALSE),"")</f>
        <v/>
      </c>
      <c r="AJ137" s="209" t="str">
        <f>IFERROR(VLOOKUP(TableHandbook[[#This Row],[UDC]],TableMJRUSCHB1[],7,FALSE),"")</f>
        <v>Core</v>
      </c>
      <c r="AK137" s="209" t="str">
        <f>IFERROR(VLOOKUP(TableHandbook[[#This Row],[UDC]],TableMJRUSCPH1[],7,FALSE),"")</f>
        <v/>
      </c>
      <c r="AL137" s="209" t="str">
        <f>IFERROR(VLOOKUP(TableHandbook[[#This Row],[UDC]],TableMJRUSCPS1[],7,FALSE),"")</f>
        <v/>
      </c>
      <c r="AM137" s="211" t="str">
        <f>IFERROR(VLOOKUP(TableHandbook[[#This Row],[UDC]],TableSTRUBIOLB[],7,FALSE),"")</f>
        <v/>
      </c>
      <c r="AN137" s="209" t="str">
        <f>IFERROR(VLOOKUP(TableHandbook[[#This Row],[UDC]],TableSTRUBSCIM[],7,FALSE),"")</f>
        <v>AltCore</v>
      </c>
      <c r="AO137" s="209" t="str">
        <f>IFERROR(VLOOKUP(TableHandbook[[#This Row],[UDC]],TableSTRUCHEMB[],7,FALSE),"")</f>
        <v/>
      </c>
      <c r="AP137" s="209" t="str">
        <f>IFERROR(VLOOKUP(TableHandbook[[#This Row],[UDC]],TableSTRUECOB1[],7,FALSE),"")</f>
        <v/>
      </c>
      <c r="AQ137" s="209" t="str">
        <f>IFERROR(VLOOKUP(TableHandbook[[#This Row],[UDC]],TableSTRUENGLB[],7,FALSE),"")</f>
        <v/>
      </c>
      <c r="AR137" s="209" t="str">
        <f>IFERROR(VLOOKUP(TableHandbook[[#This Row],[UDC]],TableSTRUENGLM[],7,FALSE),"")</f>
        <v/>
      </c>
      <c r="AS137" s="209" t="str">
        <f>IFERROR(VLOOKUP(TableHandbook[[#This Row],[UDC]],TableSTRUGEOB1[],7,FALSE),"")</f>
        <v/>
      </c>
      <c r="AT137" s="209" t="str">
        <f>IFERROR(VLOOKUP(TableHandbook[[#This Row],[UDC]],TableSTRUGEOGM[],7,FALSE),"")</f>
        <v/>
      </c>
      <c r="AU137" s="209" t="str">
        <f>IFERROR(VLOOKUP(TableHandbook[[#This Row],[UDC]],TableSTRUHISB1[],7,FALSE),"")</f>
        <v/>
      </c>
      <c r="AV137" s="209" t="str">
        <f>IFERROR(VLOOKUP(TableHandbook[[#This Row],[UDC]],TableSTRUHISTM[],7,FALSE),"")</f>
        <v/>
      </c>
      <c r="AW137" s="209" t="str">
        <f>IFERROR(VLOOKUP(TableHandbook[[#This Row],[UDC]],TableSTRUHPEB1[],7,FALSE),"")</f>
        <v/>
      </c>
      <c r="AX137" s="209" t="str">
        <f>IFERROR(VLOOKUP(TableHandbook[[#This Row],[UDC]],TableSTRUHUMBB[],7,FALSE),"")</f>
        <v/>
      </c>
      <c r="AY137" s="209" t="str">
        <f>IFERROR(VLOOKUP(TableHandbook[[#This Row],[UDC]],TableSTRUMARTM[],7,FALSE),"")</f>
        <v/>
      </c>
      <c r="AZ137" s="209" t="str">
        <f>IFERROR(VLOOKUP(TableHandbook[[#This Row],[UDC]],TableSTRUMATHB[],7,FALSE),"")</f>
        <v/>
      </c>
      <c r="BA137" s="209" t="str">
        <f>IFERROR(VLOOKUP(TableHandbook[[#This Row],[UDC]],TableSTRUMATHM[],7,FALSE),"")</f>
        <v/>
      </c>
      <c r="BB137" s="209" t="str">
        <f>IFERROR(VLOOKUP(TableHandbook[[#This Row],[UDC]],TableSTRUPARTB[],7,FALSE),"")</f>
        <v/>
      </c>
      <c r="BC137" s="209" t="str">
        <f>IFERROR(VLOOKUP(TableHandbook[[#This Row],[UDC]],TableSTRUPARTM[],7,FALSE),"")</f>
        <v/>
      </c>
      <c r="BD137" s="209" t="str">
        <f>IFERROR(VLOOKUP(TableHandbook[[#This Row],[UDC]],TableSTRUPOLB1[],7,FALSE),"")</f>
        <v/>
      </c>
      <c r="BE137" s="209" t="str">
        <f>IFERROR(VLOOKUP(TableHandbook[[#This Row],[UDC]],TableSTRUPSYCB[],7,FALSE),"")</f>
        <v/>
      </c>
      <c r="BF137" s="209" t="str">
        <f>IFERROR(VLOOKUP(TableHandbook[[#This Row],[UDC]],TableSTRUPSYCM[],7,FALSE),"")</f>
        <v/>
      </c>
      <c r="BG137" s="209" t="str">
        <f>IFERROR(VLOOKUP(TableHandbook[[#This Row],[UDC]],TableSTRUVARTB[],7,FALSE),"")</f>
        <v/>
      </c>
      <c r="BH137" s="209" t="str">
        <f>IFERROR(VLOOKUP(TableHandbook[[#This Row],[UDC]],TableSTRUVARTM[],7,FALSE),"")</f>
        <v/>
      </c>
    </row>
    <row r="138" spans="1:60" x14ac:dyDescent="0.25">
      <c r="A138" s="296" t="s">
        <v>395</v>
      </c>
      <c r="B138" s="7">
        <v>1</v>
      </c>
      <c r="C138" s="7"/>
      <c r="D138" s="207" t="s">
        <v>940</v>
      </c>
      <c r="E138" s="7">
        <v>25</v>
      </c>
      <c r="F138" s="311" t="s">
        <v>391</v>
      </c>
      <c r="G138" s="75" t="str">
        <f>IFERROR(IF(VLOOKUP(TableHandbook[[#This Row],[UDC]],TableAvailabilities[],2,FALSE)&gt;0,"Y",""),"")</f>
        <v/>
      </c>
      <c r="H138" s="75" t="str">
        <f>IFERROR(IF(VLOOKUP(TableHandbook[[#This Row],[UDC]],TableAvailabilities[],3,FALSE)&gt;0,"Y",""),"")</f>
        <v/>
      </c>
      <c r="I138" s="75" t="str">
        <f>IFERROR(IF(VLOOKUP(TableHandbook[[#This Row],[UDC]],TableAvailabilities[],4,FALSE)&gt;0,"Y",""),"")</f>
        <v/>
      </c>
      <c r="J138" s="75" t="str">
        <f>IFERROR(IF(VLOOKUP(TableHandbook[[#This Row],[UDC]],TableAvailabilities[],5,FALSE)&gt;0,"Y",""),"")</f>
        <v/>
      </c>
      <c r="K138" s="75" t="str">
        <f>IFERROR(IF(VLOOKUP(TableHandbook[[#This Row],[UDC]],TableAvailabilities[],6,FALSE)&gt;0,"Y",""),"")</f>
        <v/>
      </c>
      <c r="L138" s="75" t="str">
        <f>IFERROR(IF(VLOOKUP(TableHandbook[[#This Row],[UDC]],TableAvailabilities[],7,FALSE)&gt;0,"Y",""),"")</f>
        <v/>
      </c>
      <c r="M138" s="207"/>
      <c r="N138" s="209" t="str">
        <f>IFERROR(VLOOKUP(TableHandbook[[#This Row],[UDC]],TableBEDUC[],7,FALSE),"")</f>
        <v/>
      </c>
      <c r="O138" s="209" t="str">
        <f>IFERROR(VLOOKUP(TableHandbook[[#This Row],[UDC]],TableBEDEC[],7,FALSE),"")</f>
        <v/>
      </c>
      <c r="P138" s="211" t="str">
        <f>IFERROR(VLOOKUP(TableHandbook[[#This Row],[UDC]],TableBEDPR[],7,FALSE),"")</f>
        <v/>
      </c>
      <c r="Q138" s="209" t="str">
        <f>IFERROR(VLOOKUP(TableHandbook[[#This Row],[UDC]],TableSTRUCATHL[],7,FALSE),"")</f>
        <v/>
      </c>
      <c r="R138" s="209" t="str">
        <f>IFERROR(VLOOKUP(TableHandbook[[#This Row],[UDC]],TableSTRUENGLL[],7,FALSE),"")</f>
        <v/>
      </c>
      <c r="S138" s="209" t="str">
        <f>IFERROR(VLOOKUP(TableHandbook[[#This Row],[UDC]],TableSTRUHLTPE[],7,FALSE),"")</f>
        <v/>
      </c>
      <c r="T138" s="209" t="str">
        <f>IFERROR(VLOOKUP(TableHandbook[[#This Row],[UDC]],TableSTRUISTEM[],7,FALSE),"")</f>
        <v/>
      </c>
      <c r="U138" s="209" t="str">
        <f>IFERROR(VLOOKUP(TableHandbook[[#This Row],[UDC]],TableSTRULITNU[],7,FALSE),"")</f>
        <v/>
      </c>
      <c r="V138" s="209" t="str">
        <f>IFERROR(VLOOKUP(TableHandbook[[#This Row],[UDC]],TableSTRUTECHS[],7,FALSE),"")</f>
        <v/>
      </c>
      <c r="W138" s="211" t="str">
        <f>IFERROR(VLOOKUP(TableHandbook[[#This Row],[UDC]],TableBEDSC[],7,FALSE),"")</f>
        <v>Core</v>
      </c>
      <c r="X138" s="211" t="str">
        <f>IFERROR(VLOOKUP(TableHandbook[[#This Row],[UDC]],TableMJRUARDR1[],7,FALSE),"")</f>
        <v/>
      </c>
      <c r="Y138" s="209" t="str">
        <f>IFERROR(VLOOKUP(TableHandbook[[#This Row],[UDC]],TableMJRUARME1[],7,FALSE),"")</f>
        <v/>
      </c>
      <c r="Z138" s="209" t="str">
        <f>IFERROR(VLOOKUP(TableHandbook[[#This Row],[UDC]],TableMJRUARVA1[],7,FALSE),"")</f>
        <v/>
      </c>
      <c r="AA138" s="209" t="str">
        <f>IFERROR(VLOOKUP(TableHandbook[[#This Row],[UDC]],TableMJRUENGL1[],7,FALSE),"")</f>
        <v/>
      </c>
      <c r="AB138" s="209" t="str">
        <f>IFERROR(VLOOKUP(TableHandbook[[#This Row],[UDC]],TableMJRUHSEC1[],7,FALSE),"")</f>
        <v/>
      </c>
      <c r="AC138" s="209" t="str">
        <f>IFERROR(VLOOKUP(TableHandbook[[#This Row],[UDC]],TableMJRUHSGE1[],7,FALSE),"")</f>
        <v/>
      </c>
      <c r="AD138" s="209" t="str">
        <f>IFERROR(VLOOKUP(TableHandbook[[#This Row],[UDC]],TableMJRUHSHI1[],7,FALSE),"")</f>
        <v/>
      </c>
      <c r="AE138" s="209" t="str">
        <f>IFERROR(VLOOKUP(TableHandbook[[#This Row],[UDC]],TableMJRUHSPL1[],7,FALSE),"")</f>
        <v/>
      </c>
      <c r="AF138" s="209" t="str">
        <f>IFERROR(VLOOKUP(TableHandbook[[#This Row],[UDC]],TableMJRUMATH1[],7,FALSE),"")</f>
        <v/>
      </c>
      <c r="AG138" s="209" t="str">
        <f>IFERROR(VLOOKUP(TableHandbook[[#This Row],[UDC]],TableMJRUPHYSE[],7,FALSE),"")</f>
        <v/>
      </c>
      <c r="AH138" s="209" t="str">
        <f>IFERROR(VLOOKUP(TableHandbook[[#This Row],[UDC]],TableMJRUSCBI1[],7,FALSE),"")</f>
        <v/>
      </c>
      <c r="AI138" s="209" t="str">
        <f>IFERROR(VLOOKUP(TableHandbook[[#This Row],[UDC]],TableMJRUSCCH1[],7,FALSE),"")</f>
        <v/>
      </c>
      <c r="AJ138" s="209" t="str">
        <f>IFERROR(VLOOKUP(TableHandbook[[#This Row],[UDC]],TableMJRUSCHB1[],7,FALSE),"")</f>
        <v/>
      </c>
      <c r="AK138" s="209" t="str">
        <f>IFERROR(VLOOKUP(TableHandbook[[#This Row],[UDC]],TableMJRUSCPH1[],7,FALSE),"")</f>
        <v/>
      </c>
      <c r="AL138" s="209" t="str">
        <f>IFERROR(VLOOKUP(TableHandbook[[#This Row],[UDC]],TableMJRUSCPS1[],7,FALSE),"")</f>
        <v/>
      </c>
      <c r="AM138" s="211" t="str">
        <f>IFERROR(VLOOKUP(TableHandbook[[#This Row],[UDC]],TableSTRUBIOLB[],7,FALSE),"")</f>
        <v/>
      </c>
      <c r="AN138" s="209" t="str">
        <f>IFERROR(VLOOKUP(TableHandbook[[#This Row],[UDC]],TableSTRUBSCIM[],7,FALSE),"")</f>
        <v/>
      </c>
      <c r="AO138" s="209" t="str">
        <f>IFERROR(VLOOKUP(TableHandbook[[#This Row],[UDC]],TableSTRUCHEMB[],7,FALSE),"")</f>
        <v/>
      </c>
      <c r="AP138" s="209" t="str">
        <f>IFERROR(VLOOKUP(TableHandbook[[#This Row],[UDC]],TableSTRUECOB1[],7,FALSE),"")</f>
        <v/>
      </c>
      <c r="AQ138" s="209" t="str">
        <f>IFERROR(VLOOKUP(TableHandbook[[#This Row],[UDC]],TableSTRUENGLB[],7,FALSE),"")</f>
        <v/>
      </c>
      <c r="AR138" s="209" t="str">
        <f>IFERROR(VLOOKUP(TableHandbook[[#This Row],[UDC]],TableSTRUENGLM[],7,FALSE),"")</f>
        <v/>
      </c>
      <c r="AS138" s="209" t="str">
        <f>IFERROR(VLOOKUP(TableHandbook[[#This Row],[UDC]],TableSTRUGEOB1[],7,FALSE),"")</f>
        <v/>
      </c>
      <c r="AT138" s="209" t="str">
        <f>IFERROR(VLOOKUP(TableHandbook[[#This Row],[UDC]],TableSTRUGEOGM[],7,FALSE),"")</f>
        <v/>
      </c>
      <c r="AU138" s="209" t="str">
        <f>IFERROR(VLOOKUP(TableHandbook[[#This Row],[UDC]],TableSTRUHISB1[],7,FALSE),"")</f>
        <v/>
      </c>
      <c r="AV138" s="209" t="str">
        <f>IFERROR(VLOOKUP(TableHandbook[[#This Row],[UDC]],TableSTRUHISTM[],7,FALSE),"")</f>
        <v/>
      </c>
      <c r="AW138" s="209" t="str">
        <f>IFERROR(VLOOKUP(TableHandbook[[#This Row],[UDC]],TableSTRUHPEB1[],7,FALSE),"")</f>
        <v/>
      </c>
      <c r="AX138" s="209" t="str">
        <f>IFERROR(VLOOKUP(TableHandbook[[#This Row],[UDC]],TableSTRUHUMBB[],7,FALSE),"")</f>
        <v/>
      </c>
      <c r="AY138" s="209" t="str">
        <f>IFERROR(VLOOKUP(TableHandbook[[#This Row],[UDC]],TableSTRUMARTM[],7,FALSE),"")</f>
        <v/>
      </c>
      <c r="AZ138" s="209" t="str">
        <f>IFERROR(VLOOKUP(TableHandbook[[#This Row],[UDC]],TableSTRUMATHB[],7,FALSE),"")</f>
        <v/>
      </c>
      <c r="BA138" s="209" t="str">
        <f>IFERROR(VLOOKUP(TableHandbook[[#This Row],[UDC]],TableSTRUMATHM[],7,FALSE),"")</f>
        <v/>
      </c>
      <c r="BB138" s="209" t="str">
        <f>IFERROR(VLOOKUP(TableHandbook[[#This Row],[UDC]],TableSTRUPARTB[],7,FALSE),"")</f>
        <v/>
      </c>
      <c r="BC138" s="209" t="str">
        <f>IFERROR(VLOOKUP(TableHandbook[[#This Row],[UDC]],TableSTRUPARTM[],7,FALSE),"")</f>
        <v/>
      </c>
      <c r="BD138" s="209" t="str">
        <f>IFERROR(VLOOKUP(TableHandbook[[#This Row],[UDC]],TableSTRUPOLB1[],7,FALSE),"")</f>
        <v/>
      </c>
      <c r="BE138" s="209" t="str">
        <f>IFERROR(VLOOKUP(TableHandbook[[#This Row],[UDC]],TableSTRUPSYCB[],7,FALSE),"")</f>
        <v/>
      </c>
      <c r="BF138" s="209" t="str">
        <f>IFERROR(VLOOKUP(TableHandbook[[#This Row],[UDC]],TableSTRUPSYCM[],7,FALSE),"")</f>
        <v/>
      </c>
      <c r="BG138" s="209" t="str">
        <f>IFERROR(VLOOKUP(TableHandbook[[#This Row],[UDC]],TableSTRUVARTB[],7,FALSE),"")</f>
        <v/>
      </c>
      <c r="BH138" s="209" t="str">
        <f>IFERROR(VLOOKUP(TableHandbook[[#This Row],[UDC]],TableSTRUVARTM[],7,FALSE),"")</f>
        <v/>
      </c>
    </row>
    <row r="139" spans="1:60" x14ac:dyDescent="0.25">
      <c r="A139" s="296" t="s">
        <v>400</v>
      </c>
      <c r="B139" s="7">
        <v>1</v>
      </c>
      <c r="C139" s="7"/>
      <c r="D139" s="207" t="s">
        <v>941</v>
      </c>
      <c r="E139" s="7">
        <v>25</v>
      </c>
      <c r="F139" s="311" t="s">
        <v>395</v>
      </c>
      <c r="G139" s="75" t="str">
        <f>IFERROR(IF(VLOOKUP(TableHandbook[[#This Row],[UDC]],TableAvailabilities[],2,FALSE)&gt;0,"Y",""),"")</f>
        <v/>
      </c>
      <c r="H139" s="75" t="str">
        <f>IFERROR(IF(VLOOKUP(TableHandbook[[#This Row],[UDC]],TableAvailabilities[],3,FALSE)&gt;0,"Y",""),"")</f>
        <v/>
      </c>
      <c r="I139" s="75" t="str">
        <f>IFERROR(IF(VLOOKUP(TableHandbook[[#This Row],[UDC]],TableAvailabilities[],4,FALSE)&gt;0,"Y",""),"")</f>
        <v/>
      </c>
      <c r="J139" s="75" t="str">
        <f>IFERROR(IF(VLOOKUP(TableHandbook[[#This Row],[UDC]],TableAvailabilities[],5,FALSE)&gt;0,"Y",""),"")</f>
        <v/>
      </c>
      <c r="K139" s="75" t="str">
        <f>IFERROR(IF(VLOOKUP(TableHandbook[[#This Row],[UDC]],TableAvailabilities[],6,FALSE)&gt;0,"Y",""),"")</f>
        <v/>
      </c>
      <c r="L139" s="75" t="str">
        <f>IFERROR(IF(VLOOKUP(TableHandbook[[#This Row],[UDC]],TableAvailabilities[],7,FALSE)&gt;0,"Y",""),"")</f>
        <v/>
      </c>
      <c r="M139" s="207"/>
      <c r="N139" s="209" t="str">
        <f>IFERROR(VLOOKUP(TableHandbook[[#This Row],[UDC]],TableBEDUC[],7,FALSE),"")</f>
        <v/>
      </c>
      <c r="O139" s="209" t="str">
        <f>IFERROR(VLOOKUP(TableHandbook[[#This Row],[UDC]],TableBEDEC[],7,FALSE),"")</f>
        <v/>
      </c>
      <c r="P139" s="211" t="str">
        <f>IFERROR(VLOOKUP(TableHandbook[[#This Row],[UDC]],TableBEDPR[],7,FALSE),"")</f>
        <v/>
      </c>
      <c r="Q139" s="209" t="str">
        <f>IFERROR(VLOOKUP(TableHandbook[[#This Row],[UDC]],TableSTRUCATHL[],7,FALSE),"")</f>
        <v/>
      </c>
      <c r="R139" s="209" t="str">
        <f>IFERROR(VLOOKUP(TableHandbook[[#This Row],[UDC]],TableSTRUENGLL[],7,FALSE),"")</f>
        <v/>
      </c>
      <c r="S139" s="209" t="str">
        <f>IFERROR(VLOOKUP(TableHandbook[[#This Row],[UDC]],TableSTRUHLTPE[],7,FALSE),"")</f>
        <v/>
      </c>
      <c r="T139" s="209" t="str">
        <f>IFERROR(VLOOKUP(TableHandbook[[#This Row],[UDC]],TableSTRUISTEM[],7,FALSE),"")</f>
        <v/>
      </c>
      <c r="U139" s="209" t="str">
        <f>IFERROR(VLOOKUP(TableHandbook[[#This Row],[UDC]],TableSTRULITNU[],7,FALSE),"")</f>
        <v/>
      </c>
      <c r="V139" s="209" t="str">
        <f>IFERROR(VLOOKUP(TableHandbook[[#This Row],[UDC]],TableSTRUTECHS[],7,FALSE),"")</f>
        <v/>
      </c>
      <c r="W139" s="211" t="str">
        <f>IFERROR(VLOOKUP(TableHandbook[[#This Row],[UDC]],TableBEDSC[],7,FALSE),"")</f>
        <v>Core</v>
      </c>
      <c r="X139" s="211" t="str">
        <f>IFERROR(VLOOKUP(TableHandbook[[#This Row],[UDC]],TableMJRUARDR1[],7,FALSE),"")</f>
        <v/>
      </c>
      <c r="Y139" s="209" t="str">
        <f>IFERROR(VLOOKUP(TableHandbook[[#This Row],[UDC]],TableMJRUARME1[],7,FALSE),"")</f>
        <v/>
      </c>
      <c r="Z139" s="209" t="str">
        <f>IFERROR(VLOOKUP(TableHandbook[[#This Row],[UDC]],TableMJRUARVA1[],7,FALSE),"")</f>
        <v/>
      </c>
      <c r="AA139" s="209" t="str">
        <f>IFERROR(VLOOKUP(TableHandbook[[#This Row],[UDC]],TableMJRUENGL1[],7,FALSE),"")</f>
        <v/>
      </c>
      <c r="AB139" s="209" t="str">
        <f>IFERROR(VLOOKUP(TableHandbook[[#This Row],[UDC]],TableMJRUHSEC1[],7,FALSE),"")</f>
        <v/>
      </c>
      <c r="AC139" s="209" t="str">
        <f>IFERROR(VLOOKUP(TableHandbook[[#This Row],[UDC]],TableMJRUHSGE1[],7,FALSE),"")</f>
        <v/>
      </c>
      <c r="AD139" s="209" t="str">
        <f>IFERROR(VLOOKUP(TableHandbook[[#This Row],[UDC]],TableMJRUHSHI1[],7,FALSE),"")</f>
        <v/>
      </c>
      <c r="AE139" s="209" t="str">
        <f>IFERROR(VLOOKUP(TableHandbook[[#This Row],[UDC]],TableMJRUHSPL1[],7,FALSE),"")</f>
        <v/>
      </c>
      <c r="AF139" s="209" t="str">
        <f>IFERROR(VLOOKUP(TableHandbook[[#This Row],[UDC]],TableMJRUMATH1[],7,FALSE),"")</f>
        <v/>
      </c>
      <c r="AG139" s="209" t="str">
        <f>IFERROR(VLOOKUP(TableHandbook[[#This Row],[UDC]],TableMJRUPHYSE[],7,FALSE),"")</f>
        <v/>
      </c>
      <c r="AH139" s="209" t="str">
        <f>IFERROR(VLOOKUP(TableHandbook[[#This Row],[UDC]],TableMJRUSCBI1[],7,FALSE),"")</f>
        <v/>
      </c>
      <c r="AI139" s="209" t="str">
        <f>IFERROR(VLOOKUP(TableHandbook[[#This Row],[UDC]],TableMJRUSCCH1[],7,FALSE),"")</f>
        <v/>
      </c>
      <c r="AJ139" s="209" t="str">
        <f>IFERROR(VLOOKUP(TableHandbook[[#This Row],[UDC]],TableMJRUSCHB1[],7,FALSE),"")</f>
        <v/>
      </c>
      <c r="AK139" s="209" t="str">
        <f>IFERROR(VLOOKUP(TableHandbook[[#This Row],[UDC]],TableMJRUSCPH1[],7,FALSE),"")</f>
        <v/>
      </c>
      <c r="AL139" s="209" t="str">
        <f>IFERROR(VLOOKUP(TableHandbook[[#This Row],[UDC]],TableMJRUSCPS1[],7,FALSE),"")</f>
        <v/>
      </c>
      <c r="AM139" s="211" t="str">
        <f>IFERROR(VLOOKUP(TableHandbook[[#This Row],[UDC]],TableSTRUBIOLB[],7,FALSE),"")</f>
        <v/>
      </c>
      <c r="AN139" s="209" t="str">
        <f>IFERROR(VLOOKUP(TableHandbook[[#This Row],[UDC]],TableSTRUBSCIM[],7,FALSE),"")</f>
        <v/>
      </c>
      <c r="AO139" s="209" t="str">
        <f>IFERROR(VLOOKUP(TableHandbook[[#This Row],[UDC]],TableSTRUCHEMB[],7,FALSE),"")</f>
        <v/>
      </c>
      <c r="AP139" s="209" t="str">
        <f>IFERROR(VLOOKUP(TableHandbook[[#This Row],[UDC]],TableSTRUECOB1[],7,FALSE),"")</f>
        <v/>
      </c>
      <c r="AQ139" s="209" t="str">
        <f>IFERROR(VLOOKUP(TableHandbook[[#This Row],[UDC]],TableSTRUENGLB[],7,FALSE),"")</f>
        <v/>
      </c>
      <c r="AR139" s="209" t="str">
        <f>IFERROR(VLOOKUP(TableHandbook[[#This Row],[UDC]],TableSTRUENGLM[],7,FALSE),"")</f>
        <v/>
      </c>
      <c r="AS139" s="209" t="str">
        <f>IFERROR(VLOOKUP(TableHandbook[[#This Row],[UDC]],TableSTRUGEOB1[],7,FALSE),"")</f>
        <v/>
      </c>
      <c r="AT139" s="209" t="str">
        <f>IFERROR(VLOOKUP(TableHandbook[[#This Row],[UDC]],TableSTRUGEOGM[],7,FALSE),"")</f>
        <v/>
      </c>
      <c r="AU139" s="209" t="str">
        <f>IFERROR(VLOOKUP(TableHandbook[[#This Row],[UDC]],TableSTRUHISB1[],7,FALSE),"")</f>
        <v/>
      </c>
      <c r="AV139" s="209" t="str">
        <f>IFERROR(VLOOKUP(TableHandbook[[#This Row],[UDC]],TableSTRUHISTM[],7,FALSE),"")</f>
        <v/>
      </c>
      <c r="AW139" s="209" t="str">
        <f>IFERROR(VLOOKUP(TableHandbook[[#This Row],[UDC]],TableSTRUHPEB1[],7,FALSE),"")</f>
        <v/>
      </c>
      <c r="AX139" s="209" t="str">
        <f>IFERROR(VLOOKUP(TableHandbook[[#This Row],[UDC]],TableSTRUHUMBB[],7,FALSE),"")</f>
        <v/>
      </c>
      <c r="AY139" s="209" t="str">
        <f>IFERROR(VLOOKUP(TableHandbook[[#This Row],[UDC]],TableSTRUMARTM[],7,FALSE),"")</f>
        <v/>
      </c>
      <c r="AZ139" s="209" t="str">
        <f>IFERROR(VLOOKUP(TableHandbook[[#This Row],[UDC]],TableSTRUMATHB[],7,FALSE),"")</f>
        <v/>
      </c>
      <c r="BA139" s="209" t="str">
        <f>IFERROR(VLOOKUP(TableHandbook[[#This Row],[UDC]],TableSTRUMATHM[],7,FALSE),"")</f>
        <v/>
      </c>
      <c r="BB139" s="209" t="str">
        <f>IFERROR(VLOOKUP(TableHandbook[[#This Row],[UDC]],TableSTRUPARTB[],7,FALSE),"")</f>
        <v/>
      </c>
      <c r="BC139" s="209" t="str">
        <f>IFERROR(VLOOKUP(TableHandbook[[#This Row],[UDC]],TableSTRUPARTM[],7,FALSE),"")</f>
        <v/>
      </c>
      <c r="BD139" s="209" t="str">
        <f>IFERROR(VLOOKUP(TableHandbook[[#This Row],[UDC]],TableSTRUPOLB1[],7,FALSE),"")</f>
        <v/>
      </c>
      <c r="BE139" s="209" t="str">
        <f>IFERROR(VLOOKUP(TableHandbook[[#This Row],[UDC]],TableSTRUPSYCB[],7,FALSE),"")</f>
        <v/>
      </c>
      <c r="BF139" s="209" t="str">
        <f>IFERROR(VLOOKUP(TableHandbook[[#This Row],[UDC]],TableSTRUPSYCM[],7,FALSE),"")</f>
        <v/>
      </c>
      <c r="BG139" s="209" t="str">
        <f>IFERROR(VLOOKUP(TableHandbook[[#This Row],[UDC]],TableSTRUVARTB[],7,FALSE),"")</f>
        <v/>
      </c>
      <c r="BH139" s="209" t="str">
        <f>IFERROR(VLOOKUP(TableHandbook[[#This Row],[UDC]],TableSTRUVARTM[],7,FALSE),"")</f>
        <v/>
      </c>
    </row>
    <row r="140" spans="1:60" x14ac:dyDescent="0.25">
      <c r="A140" s="6" t="s">
        <v>485</v>
      </c>
      <c r="B140" s="7">
        <v>2</v>
      </c>
      <c r="C140" s="7"/>
      <c r="D140" s="207" t="s">
        <v>942</v>
      </c>
      <c r="E140" s="7">
        <v>25</v>
      </c>
      <c r="F140" s="311" t="s">
        <v>464</v>
      </c>
      <c r="G140" s="75" t="str">
        <f>IFERROR(IF(VLOOKUP(TableHandbook[[#This Row],[UDC]],TableAvailabilities[],2,FALSE)&gt;0,"Y",""),"")</f>
        <v/>
      </c>
      <c r="H140" s="75" t="str">
        <f>IFERROR(IF(VLOOKUP(TableHandbook[[#This Row],[UDC]],TableAvailabilities[],3,FALSE)&gt;0,"Y",""),"")</f>
        <v/>
      </c>
      <c r="I140" s="75" t="str">
        <f>IFERROR(IF(VLOOKUP(TableHandbook[[#This Row],[UDC]],TableAvailabilities[],4,FALSE)&gt;0,"Y",""),"")</f>
        <v/>
      </c>
      <c r="J140" s="75" t="str">
        <f>IFERROR(IF(VLOOKUP(TableHandbook[[#This Row],[UDC]],TableAvailabilities[],5,FALSE)&gt;0,"Y",""),"")</f>
        <v>Y</v>
      </c>
      <c r="K140" s="75" t="str">
        <f>IFERROR(IF(VLOOKUP(TableHandbook[[#This Row],[UDC]],TableAvailabilities[],6,FALSE)&gt;0,"Y",""),"")</f>
        <v>Y</v>
      </c>
      <c r="L140" s="75" t="str">
        <f>IFERROR(IF(VLOOKUP(TableHandbook[[#This Row],[UDC]],TableAvailabilities[],7,FALSE)&gt;0,"Y",""),"")</f>
        <v/>
      </c>
      <c r="M140" s="207"/>
      <c r="N140" s="209" t="str">
        <f>IFERROR(VLOOKUP(TableHandbook[[#This Row],[UDC]],TableBEDUC[],7,FALSE),"")</f>
        <v/>
      </c>
      <c r="O140" s="209" t="str">
        <f>IFERROR(VLOOKUP(TableHandbook[[#This Row],[UDC]],TableBEDEC[],7,FALSE),"")</f>
        <v/>
      </c>
      <c r="P140" s="211" t="str">
        <f>IFERROR(VLOOKUP(TableHandbook[[#This Row],[UDC]],TableBEDPR[],7,FALSE),"")</f>
        <v/>
      </c>
      <c r="Q140" s="209" t="str">
        <f>IFERROR(VLOOKUP(TableHandbook[[#This Row],[UDC]],TableSTRUCATHL[],7,FALSE),"")</f>
        <v/>
      </c>
      <c r="R140" s="209" t="str">
        <f>IFERROR(VLOOKUP(TableHandbook[[#This Row],[UDC]],TableSTRUENGLL[],7,FALSE),"")</f>
        <v/>
      </c>
      <c r="S140" s="209" t="str">
        <f>IFERROR(VLOOKUP(TableHandbook[[#This Row],[UDC]],TableSTRUHLTPE[],7,FALSE),"")</f>
        <v/>
      </c>
      <c r="T140" s="209" t="str">
        <f>IFERROR(VLOOKUP(TableHandbook[[#This Row],[UDC]],TableSTRUISTEM[],7,FALSE),"")</f>
        <v/>
      </c>
      <c r="U140" s="209" t="str">
        <f>IFERROR(VLOOKUP(TableHandbook[[#This Row],[UDC]],TableSTRULITNU[],7,FALSE),"")</f>
        <v/>
      </c>
      <c r="V140" s="209" t="str">
        <f>IFERROR(VLOOKUP(TableHandbook[[#This Row],[UDC]],TableSTRUTECHS[],7,FALSE),"")</f>
        <v/>
      </c>
      <c r="W140" s="211" t="str">
        <f>IFERROR(VLOOKUP(TableHandbook[[#This Row],[UDC]],TableBEDSC[],7,FALSE),"")</f>
        <v/>
      </c>
      <c r="X140" s="211" t="str">
        <f>IFERROR(VLOOKUP(TableHandbook[[#This Row],[UDC]],TableMJRUARDR1[],7,FALSE),"")</f>
        <v/>
      </c>
      <c r="Y140" s="209" t="str">
        <f>IFERROR(VLOOKUP(TableHandbook[[#This Row],[UDC]],TableMJRUARME1[],7,FALSE),"")</f>
        <v/>
      </c>
      <c r="Z140" s="209" t="str">
        <f>IFERROR(VLOOKUP(TableHandbook[[#This Row],[UDC]],TableMJRUARVA1[],7,FALSE),"")</f>
        <v/>
      </c>
      <c r="AA140" s="209" t="str">
        <f>IFERROR(VLOOKUP(TableHandbook[[#This Row],[UDC]],TableMJRUENGL1[],7,FALSE),"")</f>
        <v>Core</v>
      </c>
      <c r="AB140" s="209" t="str">
        <f>IFERROR(VLOOKUP(TableHandbook[[#This Row],[UDC]],TableMJRUHSEC1[],7,FALSE),"")</f>
        <v/>
      </c>
      <c r="AC140" s="209" t="str">
        <f>IFERROR(VLOOKUP(TableHandbook[[#This Row],[UDC]],TableMJRUHSGE1[],7,FALSE),"")</f>
        <v/>
      </c>
      <c r="AD140" s="209" t="str">
        <f>IFERROR(VLOOKUP(TableHandbook[[#This Row],[UDC]],TableMJRUHSHI1[],7,FALSE),"")</f>
        <v/>
      </c>
      <c r="AE140" s="209" t="str">
        <f>IFERROR(VLOOKUP(TableHandbook[[#This Row],[UDC]],TableMJRUHSPL1[],7,FALSE),"")</f>
        <v/>
      </c>
      <c r="AF140" s="209" t="str">
        <f>IFERROR(VLOOKUP(TableHandbook[[#This Row],[UDC]],TableMJRUMATH1[],7,FALSE),"")</f>
        <v/>
      </c>
      <c r="AG140" s="209" t="str">
        <f>IFERROR(VLOOKUP(TableHandbook[[#This Row],[UDC]],TableMJRUPHYSE[],7,FALSE),"")</f>
        <v/>
      </c>
      <c r="AH140" s="209" t="str">
        <f>IFERROR(VLOOKUP(TableHandbook[[#This Row],[UDC]],TableMJRUSCBI1[],7,FALSE),"")</f>
        <v/>
      </c>
      <c r="AI140" s="209" t="str">
        <f>IFERROR(VLOOKUP(TableHandbook[[#This Row],[UDC]],TableMJRUSCCH1[],7,FALSE),"")</f>
        <v/>
      </c>
      <c r="AJ140" s="209" t="str">
        <f>IFERROR(VLOOKUP(TableHandbook[[#This Row],[UDC]],TableMJRUSCHB1[],7,FALSE),"")</f>
        <v/>
      </c>
      <c r="AK140" s="209" t="str">
        <f>IFERROR(VLOOKUP(TableHandbook[[#This Row],[UDC]],TableMJRUSCPH1[],7,FALSE),"")</f>
        <v/>
      </c>
      <c r="AL140" s="209" t="str">
        <f>IFERROR(VLOOKUP(TableHandbook[[#This Row],[UDC]],TableMJRUSCPS1[],7,FALSE),"")</f>
        <v/>
      </c>
      <c r="AM140" s="211" t="str">
        <f>IFERROR(VLOOKUP(TableHandbook[[#This Row],[UDC]],TableSTRUBIOLB[],7,FALSE),"")</f>
        <v/>
      </c>
      <c r="AN140" s="209" t="str">
        <f>IFERROR(VLOOKUP(TableHandbook[[#This Row],[UDC]],TableSTRUBSCIM[],7,FALSE),"")</f>
        <v/>
      </c>
      <c r="AO140" s="209" t="str">
        <f>IFERROR(VLOOKUP(TableHandbook[[#This Row],[UDC]],TableSTRUCHEMB[],7,FALSE),"")</f>
        <v/>
      </c>
      <c r="AP140" s="209" t="str">
        <f>IFERROR(VLOOKUP(TableHandbook[[#This Row],[UDC]],TableSTRUECOB1[],7,FALSE),"")</f>
        <v/>
      </c>
      <c r="AQ140" s="209" t="str">
        <f>IFERROR(VLOOKUP(TableHandbook[[#This Row],[UDC]],TableSTRUENGLB[],7,FALSE),"")</f>
        <v/>
      </c>
      <c r="AR140" s="209" t="str">
        <f>IFERROR(VLOOKUP(TableHandbook[[#This Row],[UDC]],TableSTRUENGLM[],7,FALSE),"")</f>
        <v>Core</v>
      </c>
      <c r="AS140" s="209" t="str">
        <f>IFERROR(VLOOKUP(TableHandbook[[#This Row],[UDC]],TableSTRUGEOB1[],7,FALSE),"")</f>
        <v/>
      </c>
      <c r="AT140" s="209" t="str">
        <f>IFERROR(VLOOKUP(TableHandbook[[#This Row],[UDC]],TableSTRUGEOGM[],7,FALSE),"")</f>
        <v/>
      </c>
      <c r="AU140" s="209" t="str">
        <f>IFERROR(VLOOKUP(TableHandbook[[#This Row],[UDC]],TableSTRUHISB1[],7,FALSE),"")</f>
        <v/>
      </c>
      <c r="AV140" s="209" t="str">
        <f>IFERROR(VLOOKUP(TableHandbook[[#This Row],[UDC]],TableSTRUHISTM[],7,FALSE),"")</f>
        <v/>
      </c>
      <c r="AW140" s="209" t="str">
        <f>IFERROR(VLOOKUP(TableHandbook[[#This Row],[UDC]],TableSTRUHPEB1[],7,FALSE),"")</f>
        <v/>
      </c>
      <c r="AX140" s="209" t="str">
        <f>IFERROR(VLOOKUP(TableHandbook[[#This Row],[UDC]],TableSTRUHUMBB[],7,FALSE),"")</f>
        <v/>
      </c>
      <c r="AY140" s="209" t="str">
        <f>IFERROR(VLOOKUP(TableHandbook[[#This Row],[UDC]],TableSTRUMARTM[],7,FALSE),"")</f>
        <v/>
      </c>
      <c r="AZ140" s="209" t="str">
        <f>IFERROR(VLOOKUP(TableHandbook[[#This Row],[UDC]],TableSTRUMATHB[],7,FALSE),"")</f>
        <v/>
      </c>
      <c r="BA140" s="209" t="str">
        <f>IFERROR(VLOOKUP(TableHandbook[[#This Row],[UDC]],TableSTRUMATHM[],7,FALSE),"")</f>
        <v/>
      </c>
      <c r="BB140" s="209" t="str">
        <f>IFERROR(VLOOKUP(TableHandbook[[#This Row],[UDC]],TableSTRUPARTB[],7,FALSE),"")</f>
        <v/>
      </c>
      <c r="BC140" s="209" t="str">
        <f>IFERROR(VLOOKUP(TableHandbook[[#This Row],[UDC]],TableSTRUPARTM[],7,FALSE),"")</f>
        <v/>
      </c>
      <c r="BD140" s="209" t="str">
        <f>IFERROR(VLOOKUP(TableHandbook[[#This Row],[UDC]],TableSTRUPOLB1[],7,FALSE),"")</f>
        <v/>
      </c>
      <c r="BE140" s="209" t="str">
        <f>IFERROR(VLOOKUP(TableHandbook[[#This Row],[UDC]],TableSTRUPSYCB[],7,FALSE),"")</f>
        <v/>
      </c>
      <c r="BF140" s="209" t="str">
        <f>IFERROR(VLOOKUP(TableHandbook[[#This Row],[UDC]],TableSTRUPSYCM[],7,FALSE),"")</f>
        <v/>
      </c>
      <c r="BG140" s="209" t="str">
        <f>IFERROR(VLOOKUP(TableHandbook[[#This Row],[UDC]],TableSTRUVARTB[],7,FALSE),"")</f>
        <v/>
      </c>
      <c r="BH140" s="209" t="str">
        <f>IFERROR(VLOOKUP(TableHandbook[[#This Row],[UDC]],TableSTRUVARTM[],7,FALSE),"")</f>
        <v/>
      </c>
    </row>
    <row r="141" spans="1:60" ht="26.25" x14ac:dyDescent="0.25">
      <c r="A141" s="6" t="s">
        <v>466</v>
      </c>
      <c r="B141" s="7">
        <v>1</v>
      </c>
      <c r="C141" s="7"/>
      <c r="D141" s="207" t="s">
        <v>943</v>
      </c>
      <c r="E141" s="7">
        <v>25</v>
      </c>
      <c r="F141" s="312" t="s">
        <v>830</v>
      </c>
      <c r="G141" s="75" t="str">
        <f>IFERROR(IF(VLOOKUP(TableHandbook[[#This Row],[UDC]],TableAvailabilities[],2,FALSE)&gt;0,"Y",""),"")</f>
        <v>Y</v>
      </c>
      <c r="H141" s="75" t="str">
        <f>IFERROR(IF(VLOOKUP(TableHandbook[[#This Row],[UDC]],TableAvailabilities[],3,FALSE)&gt;0,"Y",""),"")</f>
        <v>Y</v>
      </c>
      <c r="I141" s="75" t="str">
        <f>IFERROR(IF(VLOOKUP(TableHandbook[[#This Row],[UDC]],TableAvailabilities[],4,FALSE)&gt;0,"Y",""),"")</f>
        <v/>
      </c>
      <c r="J141" s="75" t="str">
        <f>IFERROR(IF(VLOOKUP(TableHandbook[[#This Row],[UDC]],TableAvailabilities[],5,FALSE)&gt;0,"Y",""),"")</f>
        <v/>
      </c>
      <c r="K141" s="75" t="str">
        <f>IFERROR(IF(VLOOKUP(TableHandbook[[#This Row],[UDC]],TableAvailabilities[],6,FALSE)&gt;0,"Y",""),"")</f>
        <v/>
      </c>
      <c r="L141" s="75" t="str">
        <f>IFERROR(IF(VLOOKUP(TableHandbook[[#This Row],[UDC]],TableAvailabilities[],7,FALSE)&gt;0,"Y",""),"")</f>
        <v/>
      </c>
      <c r="M141" s="314" t="s">
        <v>944</v>
      </c>
      <c r="N141" s="209" t="str">
        <f>IFERROR(VLOOKUP(TableHandbook[[#This Row],[UDC]],TableBEDUC[],7,FALSE),"")</f>
        <v/>
      </c>
      <c r="O141" s="209" t="str">
        <f>IFERROR(VLOOKUP(TableHandbook[[#This Row],[UDC]],TableBEDEC[],7,FALSE),"")</f>
        <v/>
      </c>
      <c r="P141" s="211" t="str">
        <f>IFERROR(VLOOKUP(TableHandbook[[#This Row],[UDC]],TableBEDPR[],7,FALSE),"")</f>
        <v/>
      </c>
      <c r="Q141" s="209" t="str">
        <f>IFERROR(VLOOKUP(TableHandbook[[#This Row],[UDC]],TableSTRUCATHL[],7,FALSE),"")</f>
        <v/>
      </c>
      <c r="R141" s="209" t="str">
        <f>IFERROR(VLOOKUP(TableHandbook[[#This Row],[UDC]],TableSTRUENGLL[],7,FALSE),"")</f>
        <v/>
      </c>
      <c r="S141" s="209" t="str">
        <f>IFERROR(VLOOKUP(TableHandbook[[#This Row],[UDC]],TableSTRUHLTPE[],7,FALSE),"")</f>
        <v/>
      </c>
      <c r="T141" s="209" t="str">
        <f>IFERROR(VLOOKUP(TableHandbook[[#This Row],[UDC]],TableSTRUISTEM[],7,FALSE),"")</f>
        <v/>
      </c>
      <c r="U141" s="209" t="str">
        <f>IFERROR(VLOOKUP(TableHandbook[[#This Row],[UDC]],TableSTRULITNU[],7,FALSE),"")</f>
        <v/>
      </c>
      <c r="V141" s="209" t="str">
        <f>IFERROR(VLOOKUP(TableHandbook[[#This Row],[UDC]],TableSTRUTECHS[],7,FALSE),"")</f>
        <v/>
      </c>
      <c r="W141" s="211" t="str">
        <f>IFERROR(VLOOKUP(TableHandbook[[#This Row],[UDC]],TableBEDSC[],7,FALSE),"")</f>
        <v/>
      </c>
      <c r="X141" s="211" t="str">
        <f>IFERROR(VLOOKUP(TableHandbook[[#This Row],[UDC]],TableMJRUARDR1[],7,FALSE),"")</f>
        <v/>
      </c>
      <c r="Y141" s="209" t="str">
        <f>IFERROR(VLOOKUP(TableHandbook[[#This Row],[UDC]],TableMJRUARME1[],7,FALSE),"")</f>
        <v/>
      </c>
      <c r="Z141" s="209" t="str">
        <f>IFERROR(VLOOKUP(TableHandbook[[#This Row],[UDC]],TableMJRUARVA1[],7,FALSE),"")</f>
        <v/>
      </c>
      <c r="AA141" s="209" t="str">
        <f>IFERROR(VLOOKUP(TableHandbook[[#This Row],[UDC]],TableMJRUENGL1[],7,FALSE),"")</f>
        <v/>
      </c>
      <c r="AB141" s="209" t="str">
        <f>IFERROR(VLOOKUP(TableHandbook[[#This Row],[UDC]],TableMJRUHSEC1[],7,FALSE),"")</f>
        <v/>
      </c>
      <c r="AC141" s="209" t="str">
        <f>IFERROR(VLOOKUP(TableHandbook[[#This Row],[UDC]],TableMJRUHSGE1[],7,FALSE),"")</f>
        <v/>
      </c>
      <c r="AD141" s="209" t="str">
        <f>IFERROR(VLOOKUP(TableHandbook[[#This Row],[UDC]],TableMJRUHSHI1[],7,FALSE),"")</f>
        <v/>
      </c>
      <c r="AE141" s="209" t="str">
        <f>IFERROR(VLOOKUP(TableHandbook[[#This Row],[UDC]],TableMJRUHSPL1[],7,FALSE),"")</f>
        <v/>
      </c>
      <c r="AF141" s="209" t="str">
        <f>IFERROR(VLOOKUP(TableHandbook[[#This Row],[UDC]],TableMJRUMATH1[],7,FALSE),"")</f>
        <v>Core</v>
      </c>
      <c r="AG141" s="209" t="str">
        <f>IFERROR(VLOOKUP(TableHandbook[[#This Row],[UDC]],TableMJRUPHYSE[],7,FALSE),"")</f>
        <v/>
      </c>
      <c r="AH141" s="209" t="str">
        <f>IFERROR(VLOOKUP(TableHandbook[[#This Row],[UDC]],TableMJRUSCBI1[],7,FALSE),"")</f>
        <v/>
      </c>
      <c r="AI141" s="209" t="str">
        <f>IFERROR(VLOOKUP(TableHandbook[[#This Row],[UDC]],TableMJRUSCCH1[],7,FALSE),"")</f>
        <v/>
      </c>
      <c r="AJ141" s="209" t="str">
        <f>IFERROR(VLOOKUP(TableHandbook[[#This Row],[UDC]],TableMJRUSCHB1[],7,FALSE),"")</f>
        <v/>
      </c>
      <c r="AK141" s="209" t="str">
        <f>IFERROR(VLOOKUP(TableHandbook[[#This Row],[UDC]],TableMJRUSCPH1[],7,FALSE),"")</f>
        <v>Core</v>
      </c>
      <c r="AL141" s="209" t="str">
        <f>IFERROR(VLOOKUP(TableHandbook[[#This Row],[UDC]],TableMJRUSCPS1[],7,FALSE),"")</f>
        <v/>
      </c>
      <c r="AM141" s="211" t="str">
        <f>IFERROR(VLOOKUP(TableHandbook[[#This Row],[UDC]],TableSTRUBIOLB[],7,FALSE),"")</f>
        <v/>
      </c>
      <c r="AN141" s="209" t="str">
        <f>IFERROR(VLOOKUP(TableHandbook[[#This Row],[UDC]],TableSTRUBSCIM[],7,FALSE),"")</f>
        <v/>
      </c>
      <c r="AO141" s="209" t="str">
        <f>IFERROR(VLOOKUP(TableHandbook[[#This Row],[UDC]],TableSTRUCHEMB[],7,FALSE),"")</f>
        <v/>
      </c>
      <c r="AP141" s="209" t="str">
        <f>IFERROR(VLOOKUP(TableHandbook[[#This Row],[UDC]],TableSTRUECOB1[],7,FALSE),"")</f>
        <v/>
      </c>
      <c r="AQ141" s="209" t="str">
        <f>IFERROR(VLOOKUP(TableHandbook[[#This Row],[UDC]],TableSTRUENGLB[],7,FALSE),"")</f>
        <v/>
      </c>
      <c r="AR141" s="209" t="str">
        <f>IFERROR(VLOOKUP(TableHandbook[[#This Row],[UDC]],TableSTRUENGLM[],7,FALSE),"")</f>
        <v/>
      </c>
      <c r="AS141" s="209" t="str">
        <f>IFERROR(VLOOKUP(TableHandbook[[#This Row],[UDC]],TableSTRUGEOB1[],7,FALSE),"")</f>
        <v/>
      </c>
      <c r="AT141" s="209" t="str">
        <f>IFERROR(VLOOKUP(TableHandbook[[#This Row],[UDC]],TableSTRUGEOGM[],7,FALSE),"")</f>
        <v/>
      </c>
      <c r="AU141" s="209" t="str">
        <f>IFERROR(VLOOKUP(TableHandbook[[#This Row],[UDC]],TableSTRUHISB1[],7,FALSE),"")</f>
        <v/>
      </c>
      <c r="AV141" s="209" t="str">
        <f>IFERROR(VLOOKUP(TableHandbook[[#This Row],[UDC]],TableSTRUHISTM[],7,FALSE),"")</f>
        <v/>
      </c>
      <c r="AW141" s="209" t="str">
        <f>IFERROR(VLOOKUP(TableHandbook[[#This Row],[UDC]],TableSTRUHPEB1[],7,FALSE),"")</f>
        <v/>
      </c>
      <c r="AX141" s="209" t="str">
        <f>IFERROR(VLOOKUP(TableHandbook[[#This Row],[UDC]],TableSTRUHUMBB[],7,FALSE),"")</f>
        <v/>
      </c>
      <c r="AY141" s="209" t="str">
        <f>IFERROR(VLOOKUP(TableHandbook[[#This Row],[UDC]],TableSTRUMARTM[],7,FALSE),"")</f>
        <v/>
      </c>
      <c r="AZ141" s="209" t="str">
        <f>IFERROR(VLOOKUP(TableHandbook[[#This Row],[UDC]],TableSTRUMATHB[],7,FALSE),"")</f>
        <v/>
      </c>
      <c r="BA141" s="209" t="str">
        <f>IFERROR(VLOOKUP(TableHandbook[[#This Row],[UDC]],TableSTRUMATHM[],7,FALSE),"")</f>
        <v>Core</v>
      </c>
      <c r="BB141" s="209" t="str">
        <f>IFERROR(VLOOKUP(TableHandbook[[#This Row],[UDC]],TableSTRUPARTB[],7,FALSE),"")</f>
        <v/>
      </c>
      <c r="BC141" s="209" t="str">
        <f>IFERROR(VLOOKUP(TableHandbook[[#This Row],[UDC]],TableSTRUPARTM[],7,FALSE),"")</f>
        <v/>
      </c>
      <c r="BD141" s="209" t="str">
        <f>IFERROR(VLOOKUP(TableHandbook[[#This Row],[UDC]],TableSTRUPOLB1[],7,FALSE),"")</f>
        <v/>
      </c>
      <c r="BE141" s="209" t="str">
        <f>IFERROR(VLOOKUP(TableHandbook[[#This Row],[UDC]],TableSTRUPSYCB[],7,FALSE),"")</f>
        <v/>
      </c>
      <c r="BF141" s="209" t="str">
        <f>IFERROR(VLOOKUP(TableHandbook[[#This Row],[UDC]],TableSTRUPSYCM[],7,FALSE),"")</f>
        <v/>
      </c>
      <c r="BG141" s="209" t="str">
        <f>IFERROR(VLOOKUP(TableHandbook[[#This Row],[UDC]],TableSTRUVARTB[],7,FALSE),"")</f>
        <v/>
      </c>
      <c r="BH141" s="209" t="str">
        <f>IFERROR(VLOOKUP(TableHandbook[[#This Row],[UDC]],TableSTRUVARTM[],7,FALSE),"")</f>
        <v/>
      </c>
    </row>
    <row r="142" spans="1:60" x14ac:dyDescent="0.25">
      <c r="A142" s="6" t="s">
        <v>487</v>
      </c>
      <c r="B142" s="7">
        <v>2</v>
      </c>
      <c r="C142" s="7"/>
      <c r="D142" s="207" t="s">
        <v>945</v>
      </c>
      <c r="E142" s="7">
        <v>25</v>
      </c>
      <c r="F142" s="311" t="s">
        <v>466</v>
      </c>
      <c r="G142" s="75" t="str">
        <f>IFERROR(IF(VLOOKUP(TableHandbook[[#This Row],[UDC]],TableAvailabilities[],2,FALSE)&gt;0,"Y",""),"")</f>
        <v/>
      </c>
      <c r="H142" s="75" t="str">
        <f>IFERROR(IF(VLOOKUP(TableHandbook[[#This Row],[UDC]],TableAvailabilities[],3,FALSE)&gt;0,"Y",""),"")</f>
        <v/>
      </c>
      <c r="I142" s="75" t="str">
        <f>IFERROR(IF(VLOOKUP(TableHandbook[[#This Row],[UDC]],TableAvailabilities[],4,FALSE)&gt;0,"Y",""),"")</f>
        <v/>
      </c>
      <c r="J142" s="75" t="str">
        <f>IFERROR(IF(VLOOKUP(TableHandbook[[#This Row],[UDC]],TableAvailabilities[],5,FALSE)&gt;0,"Y",""),"")</f>
        <v>Y</v>
      </c>
      <c r="K142" s="75" t="str">
        <f>IFERROR(IF(VLOOKUP(TableHandbook[[#This Row],[UDC]],TableAvailabilities[],6,FALSE)&gt;0,"Y",""),"")</f>
        <v>Y</v>
      </c>
      <c r="L142" s="75" t="str">
        <f>IFERROR(IF(VLOOKUP(TableHandbook[[#This Row],[UDC]],TableAvailabilities[],7,FALSE)&gt;0,"Y",""),"")</f>
        <v/>
      </c>
      <c r="M142" s="207"/>
      <c r="N142" s="209" t="str">
        <f>IFERROR(VLOOKUP(TableHandbook[[#This Row],[UDC]],TableBEDUC[],7,FALSE),"")</f>
        <v/>
      </c>
      <c r="O142" s="209" t="str">
        <f>IFERROR(VLOOKUP(TableHandbook[[#This Row],[UDC]],TableBEDEC[],7,FALSE),"")</f>
        <v/>
      </c>
      <c r="P142" s="211" t="str">
        <f>IFERROR(VLOOKUP(TableHandbook[[#This Row],[UDC]],TableBEDPR[],7,FALSE),"")</f>
        <v/>
      </c>
      <c r="Q142" s="209" t="str">
        <f>IFERROR(VLOOKUP(TableHandbook[[#This Row],[UDC]],TableSTRUCATHL[],7,FALSE),"")</f>
        <v/>
      </c>
      <c r="R142" s="209" t="str">
        <f>IFERROR(VLOOKUP(TableHandbook[[#This Row],[UDC]],TableSTRUENGLL[],7,FALSE),"")</f>
        <v/>
      </c>
      <c r="S142" s="209" t="str">
        <f>IFERROR(VLOOKUP(TableHandbook[[#This Row],[UDC]],TableSTRUHLTPE[],7,FALSE),"")</f>
        <v/>
      </c>
      <c r="T142" s="209" t="str">
        <f>IFERROR(VLOOKUP(TableHandbook[[#This Row],[UDC]],TableSTRUISTEM[],7,FALSE),"")</f>
        <v/>
      </c>
      <c r="U142" s="209" t="str">
        <f>IFERROR(VLOOKUP(TableHandbook[[#This Row],[UDC]],TableSTRULITNU[],7,FALSE),"")</f>
        <v/>
      </c>
      <c r="V142" s="209" t="str">
        <f>IFERROR(VLOOKUP(TableHandbook[[#This Row],[UDC]],TableSTRUTECHS[],7,FALSE),"")</f>
        <v/>
      </c>
      <c r="W142" s="211" t="str">
        <f>IFERROR(VLOOKUP(TableHandbook[[#This Row],[UDC]],TableBEDSC[],7,FALSE),"")</f>
        <v/>
      </c>
      <c r="X142" s="211" t="str">
        <f>IFERROR(VLOOKUP(TableHandbook[[#This Row],[UDC]],TableMJRUARDR1[],7,FALSE),"")</f>
        <v/>
      </c>
      <c r="Y142" s="209" t="str">
        <f>IFERROR(VLOOKUP(TableHandbook[[#This Row],[UDC]],TableMJRUARME1[],7,FALSE),"")</f>
        <v/>
      </c>
      <c r="Z142" s="209" t="str">
        <f>IFERROR(VLOOKUP(TableHandbook[[#This Row],[UDC]],TableMJRUARVA1[],7,FALSE),"")</f>
        <v/>
      </c>
      <c r="AA142" s="209" t="str">
        <f>IFERROR(VLOOKUP(TableHandbook[[#This Row],[UDC]],TableMJRUENGL1[],7,FALSE),"")</f>
        <v/>
      </c>
      <c r="AB142" s="209" t="str">
        <f>IFERROR(VLOOKUP(TableHandbook[[#This Row],[UDC]],TableMJRUHSEC1[],7,FALSE),"")</f>
        <v/>
      </c>
      <c r="AC142" s="209" t="str">
        <f>IFERROR(VLOOKUP(TableHandbook[[#This Row],[UDC]],TableMJRUHSGE1[],7,FALSE),"")</f>
        <v/>
      </c>
      <c r="AD142" s="209" t="str">
        <f>IFERROR(VLOOKUP(TableHandbook[[#This Row],[UDC]],TableMJRUHSHI1[],7,FALSE),"")</f>
        <v/>
      </c>
      <c r="AE142" s="209" t="str">
        <f>IFERROR(VLOOKUP(TableHandbook[[#This Row],[UDC]],TableMJRUHSPL1[],7,FALSE),"")</f>
        <v/>
      </c>
      <c r="AF142" s="209" t="str">
        <f>IFERROR(VLOOKUP(TableHandbook[[#This Row],[UDC]],TableMJRUMATH1[],7,FALSE),"")</f>
        <v>Core</v>
      </c>
      <c r="AG142" s="209" t="str">
        <f>IFERROR(VLOOKUP(TableHandbook[[#This Row],[UDC]],TableMJRUPHYSE[],7,FALSE),"")</f>
        <v/>
      </c>
      <c r="AH142" s="209" t="str">
        <f>IFERROR(VLOOKUP(TableHandbook[[#This Row],[UDC]],TableMJRUSCBI1[],7,FALSE),"")</f>
        <v/>
      </c>
      <c r="AI142" s="209" t="str">
        <f>IFERROR(VLOOKUP(TableHandbook[[#This Row],[UDC]],TableMJRUSCCH1[],7,FALSE),"")</f>
        <v/>
      </c>
      <c r="AJ142" s="209" t="str">
        <f>IFERROR(VLOOKUP(TableHandbook[[#This Row],[UDC]],TableMJRUSCHB1[],7,FALSE),"")</f>
        <v/>
      </c>
      <c r="AK142" s="209" t="str">
        <f>IFERROR(VLOOKUP(TableHandbook[[#This Row],[UDC]],TableMJRUSCPH1[],7,FALSE),"")</f>
        <v>Core</v>
      </c>
      <c r="AL142" s="209" t="str">
        <f>IFERROR(VLOOKUP(TableHandbook[[#This Row],[UDC]],TableMJRUSCPS1[],7,FALSE),"")</f>
        <v/>
      </c>
      <c r="AM142" s="211" t="str">
        <f>IFERROR(VLOOKUP(TableHandbook[[#This Row],[UDC]],TableSTRUBIOLB[],7,FALSE),"")</f>
        <v/>
      </c>
      <c r="AN142" s="209" t="str">
        <f>IFERROR(VLOOKUP(TableHandbook[[#This Row],[UDC]],TableSTRUBSCIM[],7,FALSE),"")</f>
        <v/>
      </c>
      <c r="AO142" s="209" t="str">
        <f>IFERROR(VLOOKUP(TableHandbook[[#This Row],[UDC]],TableSTRUCHEMB[],7,FALSE),"")</f>
        <v/>
      </c>
      <c r="AP142" s="209" t="str">
        <f>IFERROR(VLOOKUP(TableHandbook[[#This Row],[UDC]],TableSTRUECOB1[],7,FALSE),"")</f>
        <v/>
      </c>
      <c r="AQ142" s="209" t="str">
        <f>IFERROR(VLOOKUP(TableHandbook[[#This Row],[UDC]],TableSTRUENGLB[],7,FALSE),"")</f>
        <v/>
      </c>
      <c r="AR142" s="209" t="str">
        <f>IFERROR(VLOOKUP(TableHandbook[[#This Row],[UDC]],TableSTRUENGLM[],7,FALSE),"")</f>
        <v/>
      </c>
      <c r="AS142" s="209" t="str">
        <f>IFERROR(VLOOKUP(TableHandbook[[#This Row],[UDC]],TableSTRUGEOB1[],7,FALSE),"")</f>
        <v/>
      </c>
      <c r="AT142" s="209" t="str">
        <f>IFERROR(VLOOKUP(TableHandbook[[#This Row],[UDC]],TableSTRUGEOGM[],7,FALSE),"")</f>
        <v/>
      </c>
      <c r="AU142" s="209" t="str">
        <f>IFERROR(VLOOKUP(TableHandbook[[#This Row],[UDC]],TableSTRUHISB1[],7,FALSE),"")</f>
        <v/>
      </c>
      <c r="AV142" s="209" t="str">
        <f>IFERROR(VLOOKUP(TableHandbook[[#This Row],[UDC]],TableSTRUHISTM[],7,FALSE),"")</f>
        <v/>
      </c>
      <c r="AW142" s="209" t="str">
        <f>IFERROR(VLOOKUP(TableHandbook[[#This Row],[UDC]],TableSTRUHPEB1[],7,FALSE),"")</f>
        <v/>
      </c>
      <c r="AX142" s="209" t="str">
        <f>IFERROR(VLOOKUP(TableHandbook[[#This Row],[UDC]],TableSTRUHUMBB[],7,FALSE),"")</f>
        <v/>
      </c>
      <c r="AY142" s="209" t="str">
        <f>IFERROR(VLOOKUP(TableHandbook[[#This Row],[UDC]],TableSTRUMARTM[],7,FALSE),"")</f>
        <v/>
      </c>
      <c r="AZ142" s="209" t="str">
        <f>IFERROR(VLOOKUP(TableHandbook[[#This Row],[UDC]],TableSTRUMATHB[],7,FALSE),"")</f>
        <v/>
      </c>
      <c r="BA142" s="209" t="str">
        <f>IFERROR(VLOOKUP(TableHandbook[[#This Row],[UDC]],TableSTRUMATHM[],7,FALSE),"")</f>
        <v>Core</v>
      </c>
      <c r="BB142" s="209" t="str">
        <f>IFERROR(VLOOKUP(TableHandbook[[#This Row],[UDC]],TableSTRUPARTB[],7,FALSE),"")</f>
        <v/>
      </c>
      <c r="BC142" s="209" t="str">
        <f>IFERROR(VLOOKUP(TableHandbook[[#This Row],[UDC]],TableSTRUPARTM[],7,FALSE),"")</f>
        <v/>
      </c>
      <c r="BD142" s="209" t="str">
        <f>IFERROR(VLOOKUP(TableHandbook[[#This Row],[UDC]],TableSTRUPOLB1[],7,FALSE),"")</f>
        <v/>
      </c>
      <c r="BE142" s="209" t="str">
        <f>IFERROR(VLOOKUP(TableHandbook[[#This Row],[UDC]],TableSTRUPSYCB[],7,FALSE),"")</f>
        <v/>
      </c>
      <c r="BF142" s="209" t="str">
        <f>IFERROR(VLOOKUP(TableHandbook[[#This Row],[UDC]],TableSTRUPSYCM[],7,FALSE),"")</f>
        <v/>
      </c>
      <c r="BG142" s="209" t="str">
        <f>IFERROR(VLOOKUP(TableHandbook[[#This Row],[UDC]],TableSTRUVARTB[],7,FALSE),"")</f>
        <v/>
      </c>
      <c r="BH142" s="209" t="str">
        <f>IFERROR(VLOOKUP(TableHandbook[[#This Row],[UDC]],TableSTRUVARTM[],7,FALSE),"")</f>
        <v/>
      </c>
    </row>
    <row r="143" spans="1:60" x14ac:dyDescent="0.25">
      <c r="A143" s="6" t="s">
        <v>461</v>
      </c>
      <c r="B143" s="7">
        <v>1</v>
      </c>
      <c r="C143" s="7"/>
      <c r="D143" s="207" t="s">
        <v>946</v>
      </c>
      <c r="E143" s="7">
        <v>25</v>
      </c>
      <c r="F143" s="311" t="s">
        <v>830</v>
      </c>
      <c r="G143" s="75" t="str">
        <f>IFERROR(IF(VLOOKUP(TableHandbook[[#This Row],[UDC]],TableAvailabilities[],2,FALSE)&gt;0,"Y",""),"")</f>
        <v>Y</v>
      </c>
      <c r="H143" s="75" t="str">
        <f>IFERROR(IF(VLOOKUP(TableHandbook[[#This Row],[UDC]],TableAvailabilities[],3,FALSE)&gt;0,"Y",""),"")</f>
        <v>Y</v>
      </c>
      <c r="I143" s="75" t="str">
        <f>IFERROR(IF(VLOOKUP(TableHandbook[[#This Row],[UDC]],TableAvailabilities[],4,FALSE)&gt;0,"Y",""),"")</f>
        <v/>
      </c>
      <c r="J143" s="75" t="str">
        <f>IFERROR(IF(VLOOKUP(TableHandbook[[#This Row],[UDC]],TableAvailabilities[],5,FALSE)&gt;0,"Y",""),"")</f>
        <v/>
      </c>
      <c r="K143" s="75" t="str">
        <f>IFERROR(IF(VLOOKUP(TableHandbook[[#This Row],[UDC]],TableAvailabilities[],6,FALSE)&gt;0,"Y",""),"")</f>
        <v/>
      </c>
      <c r="L143" s="75" t="str">
        <f>IFERROR(IF(VLOOKUP(TableHandbook[[#This Row],[UDC]],TableAvailabilities[],7,FALSE)&gt;0,"Y",""),"")</f>
        <v/>
      </c>
      <c r="M143" s="207"/>
      <c r="N143" s="209" t="str">
        <f>IFERROR(VLOOKUP(TableHandbook[[#This Row],[UDC]],TableBEDUC[],7,FALSE),"")</f>
        <v/>
      </c>
      <c r="O143" s="209" t="str">
        <f>IFERROR(VLOOKUP(TableHandbook[[#This Row],[UDC]],TableBEDEC[],7,FALSE),"")</f>
        <v/>
      </c>
      <c r="P143" s="211" t="str">
        <f>IFERROR(VLOOKUP(TableHandbook[[#This Row],[UDC]],TableBEDPR[],7,FALSE),"")</f>
        <v/>
      </c>
      <c r="Q143" s="209" t="str">
        <f>IFERROR(VLOOKUP(TableHandbook[[#This Row],[UDC]],TableSTRUCATHL[],7,FALSE),"")</f>
        <v/>
      </c>
      <c r="R143" s="209" t="str">
        <f>IFERROR(VLOOKUP(TableHandbook[[#This Row],[UDC]],TableSTRUENGLL[],7,FALSE),"")</f>
        <v/>
      </c>
      <c r="S143" s="209" t="str">
        <f>IFERROR(VLOOKUP(TableHandbook[[#This Row],[UDC]],TableSTRUHLTPE[],7,FALSE),"")</f>
        <v/>
      </c>
      <c r="T143" s="209" t="str">
        <f>IFERROR(VLOOKUP(TableHandbook[[#This Row],[UDC]],TableSTRUISTEM[],7,FALSE),"")</f>
        <v/>
      </c>
      <c r="U143" s="209" t="str">
        <f>IFERROR(VLOOKUP(TableHandbook[[#This Row],[UDC]],TableSTRULITNU[],7,FALSE),"")</f>
        <v/>
      </c>
      <c r="V143" s="209" t="str">
        <f>IFERROR(VLOOKUP(TableHandbook[[#This Row],[UDC]],TableSTRUTECHS[],7,FALSE),"")</f>
        <v/>
      </c>
      <c r="W143" s="211" t="str">
        <f>IFERROR(VLOOKUP(TableHandbook[[#This Row],[UDC]],TableBEDSC[],7,FALSE),"")</f>
        <v/>
      </c>
      <c r="X143" s="211" t="str">
        <f>IFERROR(VLOOKUP(TableHandbook[[#This Row],[UDC]],TableMJRUARDR1[],7,FALSE),"")</f>
        <v/>
      </c>
      <c r="Y143" s="209" t="str">
        <f>IFERROR(VLOOKUP(TableHandbook[[#This Row],[UDC]],TableMJRUARME1[],7,FALSE),"")</f>
        <v/>
      </c>
      <c r="Z143" s="209" t="str">
        <f>IFERROR(VLOOKUP(TableHandbook[[#This Row],[UDC]],TableMJRUARVA1[],7,FALSE),"")</f>
        <v/>
      </c>
      <c r="AA143" s="209" t="str">
        <f>IFERROR(VLOOKUP(TableHandbook[[#This Row],[UDC]],TableMJRUENGL1[],7,FALSE),"")</f>
        <v/>
      </c>
      <c r="AB143" s="209" t="str">
        <f>IFERROR(VLOOKUP(TableHandbook[[#This Row],[UDC]],TableMJRUHSEC1[],7,FALSE),"")</f>
        <v/>
      </c>
      <c r="AC143" s="209" t="str">
        <f>IFERROR(VLOOKUP(TableHandbook[[#This Row],[UDC]],TableMJRUHSGE1[],7,FALSE),"")</f>
        <v/>
      </c>
      <c r="AD143" s="209" t="str">
        <f>IFERROR(VLOOKUP(TableHandbook[[#This Row],[UDC]],TableMJRUHSHI1[],7,FALSE),"")</f>
        <v/>
      </c>
      <c r="AE143" s="209" t="str">
        <f>IFERROR(VLOOKUP(TableHandbook[[#This Row],[UDC]],TableMJRUHSPL1[],7,FALSE),"")</f>
        <v/>
      </c>
      <c r="AF143" s="209" t="str">
        <f>IFERROR(VLOOKUP(TableHandbook[[#This Row],[UDC]],TableMJRUMATH1[],7,FALSE),"")</f>
        <v/>
      </c>
      <c r="AG143" s="209" t="str">
        <f>IFERROR(VLOOKUP(TableHandbook[[#This Row],[UDC]],TableMJRUPHYSE[],7,FALSE),"")</f>
        <v/>
      </c>
      <c r="AH143" s="209" t="str">
        <f>IFERROR(VLOOKUP(TableHandbook[[#This Row],[UDC]],TableMJRUSCBI1[],7,FALSE),"")</f>
        <v>Core</v>
      </c>
      <c r="AI143" s="209" t="str">
        <f>IFERROR(VLOOKUP(TableHandbook[[#This Row],[UDC]],TableMJRUSCCH1[],7,FALSE),"")</f>
        <v>Core</v>
      </c>
      <c r="AJ143" s="209" t="str">
        <f>IFERROR(VLOOKUP(TableHandbook[[#This Row],[UDC]],TableMJRUSCHB1[],7,FALSE),"")</f>
        <v>Core</v>
      </c>
      <c r="AK143" s="209" t="str">
        <f>IFERROR(VLOOKUP(TableHandbook[[#This Row],[UDC]],TableMJRUSCPH1[],7,FALSE),"")</f>
        <v>Core</v>
      </c>
      <c r="AL143" s="209" t="str">
        <f>IFERROR(VLOOKUP(TableHandbook[[#This Row],[UDC]],TableMJRUSCPS1[],7,FALSE),"")</f>
        <v>Core</v>
      </c>
      <c r="AM143" s="211" t="str">
        <f>IFERROR(VLOOKUP(TableHandbook[[#This Row],[UDC]],TableSTRUBIOLB[],7,FALSE),"")</f>
        <v/>
      </c>
      <c r="AN143" s="209" t="str">
        <f>IFERROR(VLOOKUP(TableHandbook[[#This Row],[UDC]],TableSTRUBSCIM[],7,FALSE),"")</f>
        <v>Core</v>
      </c>
      <c r="AO143" s="209" t="str">
        <f>IFERROR(VLOOKUP(TableHandbook[[#This Row],[UDC]],TableSTRUCHEMB[],7,FALSE),"")</f>
        <v/>
      </c>
      <c r="AP143" s="209" t="str">
        <f>IFERROR(VLOOKUP(TableHandbook[[#This Row],[UDC]],TableSTRUECOB1[],7,FALSE),"")</f>
        <v/>
      </c>
      <c r="AQ143" s="209" t="str">
        <f>IFERROR(VLOOKUP(TableHandbook[[#This Row],[UDC]],TableSTRUENGLB[],7,FALSE),"")</f>
        <v/>
      </c>
      <c r="AR143" s="209" t="str">
        <f>IFERROR(VLOOKUP(TableHandbook[[#This Row],[UDC]],TableSTRUENGLM[],7,FALSE),"")</f>
        <v/>
      </c>
      <c r="AS143" s="209" t="str">
        <f>IFERROR(VLOOKUP(TableHandbook[[#This Row],[UDC]],TableSTRUGEOB1[],7,FALSE),"")</f>
        <v/>
      </c>
      <c r="AT143" s="209" t="str">
        <f>IFERROR(VLOOKUP(TableHandbook[[#This Row],[UDC]],TableSTRUGEOGM[],7,FALSE),"")</f>
        <v/>
      </c>
      <c r="AU143" s="209" t="str">
        <f>IFERROR(VLOOKUP(TableHandbook[[#This Row],[UDC]],TableSTRUHISB1[],7,FALSE),"")</f>
        <v/>
      </c>
      <c r="AV143" s="209" t="str">
        <f>IFERROR(VLOOKUP(TableHandbook[[#This Row],[UDC]],TableSTRUHISTM[],7,FALSE),"")</f>
        <v/>
      </c>
      <c r="AW143" s="209" t="str">
        <f>IFERROR(VLOOKUP(TableHandbook[[#This Row],[UDC]],TableSTRUHPEB1[],7,FALSE),"")</f>
        <v/>
      </c>
      <c r="AX143" s="209" t="str">
        <f>IFERROR(VLOOKUP(TableHandbook[[#This Row],[UDC]],TableSTRUHUMBB[],7,FALSE),"")</f>
        <v/>
      </c>
      <c r="AY143" s="209" t="str">
        <f>IFERROR(VLOOKUP(TableHandbook[[#This Row],[UDC]],TableSTRUMARTM[],7,FALSE),"")</f>
        <v/>
      </c>
      <c r="AZ143" s="209" t="str">
        <f>IFERROR(VLOOKUP(TableHandbook[[#This Row],[UDC]],TableSTRUMATHB[],7,FALSE),"")</f>
        <v/>
      </c>
      <c r="BA143" s="209" t="str">
        <f>IFERROR(VLOOKUP(TableHandbook[[#This Row],[UDC]],TableSTRUMATHM[],7,FALSE),"")</f>
        <v/>
      </c>
      <c r="BB143" s="209" t="str">
        <f>IFERROR(VLOOKUP(TableHandbook[[#This Row],[UDC]],TableSTRUPARTB[],7,FALSE),"")</f>
        <v/>
      </c>
      <c r="BC143" s="209" t="str">
        <f>IFERROR(VLOOKUP(TableHandbook[[#This Row],[UDC]],TableSTRUPARTM[],7,FALSE),"")</f>
        <v/>
      </c>
      <c r="BD143" s="209" t="str">
        <f>IFERROR(VLOOKUP(TableHandbook[[#This Row],[UDC]],TableSTRUPOLB1[],7,FALSE),"")</f>
        <v/>
      </c>
      <c r="BE143" s="209" t="str">
        <f>IFERROR(VLOOKUP(TableHandbook[[#This Row],[UDC]],TableSTRUPSYCB[],7,FALSE),"")</f>
        <v/>
      </c>
      <c r="BF143" s="209" t="str">
        <f>IFERROR(VLOOKUP(TableHandbook[[#This Row],[UDC]],TableSTRUPSYCM[],7,FALSE),"")</f>
        <v>Core</v>
      </c>
      <c r="BG143" s="209" t="str">
        <f>IFERROR(VLOOKUP(TableHandbook[[#This Row],[UDC]],TableSTRUVARTB[],7,FALSE),"")</f>
        <v/>
      </c>
      <c r="BH143" s="209" t="str">
        <f>IFERROR(VLOOKUP(TableHandbook[[#This Row],[UDC]],TableSTRUVARTM[],7,FALSE),"")</f>
        <v/>
      </c>
    </row>
    <row r="144" spans="1:60" x14ac:dyDescent="0.25">
      <c r="A144" s="6" t="s">
        <v>483</v>
      </c>
      <c r="B144" s="7">
        <v>2</v>
      </c>
      <c r="C144" s="7"/>
      <c r="D144" s="207" t="s">
        <v>947</v>
      </c>
      <c r="E144" s="7">
        <v>25</v>
      </c>
      <c r="F144" s="311" t="s">
        <v>461</v>
      </c>
      <c r="G144" s="75" t="str">
        <f>IFERROR(IF(VLOOKUP(TableHandbook[[#This Row],[UDC]],TableAvailabilities[],2,FALSE)&gt;0,"Y",""),"")</f>
        <v/>
      </c>
      <c r="H144" s="75" t="str">
        <f>IFERROR(IF(VLOOKUP(TableHandbook[[#This Row],[UDC]],TableAvailabilities[],3,FALSE)&gt;0,"Y",""),"")</f>
        <v/>
      </c>
      <c r="I144" s="75" t="str">
        <f>IFERROR(IF(VLOOKUP(TableHandbook[[#This Row],[UDC]],TableAvailabilities[],4,FALSE)&gt;0,"Y",""),"")</f>
        <v/>
      </c>
      <c r="J144" s="75" t="str">
        <f>IFERROR(IF(VLOOKUP(TableHandbook[[#This Row],[UDC]],TableAvailabilities[],5,FALSE)&gt;0,"Y",""),"")</f>
        <v>Y</v>
      </c>
      <c r="K144" s="75" t="str">
        <f>IFERROR(IF(VLOOKUP(TableHandbook[[#This Row],[UDC]],TableAvailabilities[],6,FALSE)&gt;0,"Y",""),"")</f>
        <v>Y</v>
      </c>
      <c r="L144" s="75" t="str">
        <f>IFERROR(IF(VLOOKUP(TableHandbook[[#This Row],[UDC]],TableAvailabilities[],7,FALSE)&gt;0,"Y",""),"")</f>
        <v/>
      </c>
      <c r="M144" s="207"/>
      <c r="N144" s="209" t="str">
        <f>IFERROR(VLOOKUP(TableHandbook[[#This Row],[UDC]],TableBEDUC[],7,FALSE),"")</f>
        <v/>
      </c>
      <c r="O144" s="209" t="str">
        <f>IFERROR(VLOOKUP(TableHandbook[[#This Row],[UDC]],TableBEDEC[],7,FALSE),"")</f>
        <v/>
      </c>
      <c r="P144" s="211" t="str">
        <f>IFERROR(VLOOKUP(TableHandbook[[#This Row],[UDC]],TableBEDPR[],7,FALSE),"")</f>
        <v/>
      </c>
      <c r="Q144" s="209" t="str">
        <f>IFERROR(VLOOKUP(TableHandbook[[#This Row],[UDC]],TableSTRUCATHL[],7,FALSE),"")</f>
        <v/>
      </c>
      <c r="R144" s="209" t="str">
        <f>IFERROR(VLOOKUP(TableHandbook[[#This Row],[UDC]],TableSTRUENGLL[],7,FALSE),"")</f>
        <v/>
      </c>
      <c r="S144" s="209" t="str">
        <f>IFERROR(VLOOKUP(TableHandbook[[#This Row],[UDC]],TableSTRUHLTPE[],7,FALSE),"")</f>
        <v/>
      </c>
      <c r="T144" s="209" t="str">
        <f>IFERROR(VLOOKUP(TableHandbook[[#This Row],[UDC]],TableSTRUISTEM[],7,FALSE),"")</f>
        <v/>
      </c>
      <c r="U144" s="209" t="str">
        <f>IFERROR(VLOOKUP(TableHandbook[[#This Row],[UDC]],TableSTRULITNU[],7,FALSE),"")</f>
        <v/>
      </c>
      <c r="V144" s="209" t="str">
        <f>IFERROR(VLOOKUP(TableHandbook[[#This Row],[UDC]],TableSTRUTECHS[],7,FALSE),"")</f>
        <v/>
      </c>
      <c r="W144" s="211" t="str">
        <f>IFERROR(VLOOKUP(TableHandbook[[#This Row],[UDC]],TableBEDSC[],7,FALSE),"")</f>
        <v/>
      </c>
      <c r="X144" s="211" t="str">
        <f>IFERROR(VLOOKUP(TableHandbook[[#This Row],[UDC]],TableMJRUARDR1[],7,FALSE),"")</f>
        <v/>
      </c>
      <c r="Y144" s="209" t="str">
        <f>IFERROR(VLOOKUP(TableHandbook[[#This Row],[UDC]],TableMJRUARME1[],7,FALSE),"")</f>
        <v/>
      </c>
      <c r="Z144" s="209" t="str">
        <f>IFERROR(VLOOKUP(TableHandbook[[#This Row],[UDC]],TableMJRUARVA1[],7,FALSE),"")</f>
        <v/>
      </c>
      <c r="AA144" s="209" t="str">
        <f>IFERROR(VLOOKUP(TableHandbook[[#This Row],[UDC]],TableMJRUENGL1[],7,FALSE),"")</f>
        <v/>
      </c>
      <c r="AB144" s="209" t="str">
        <f>IFERROR(VLOOKUP(TableHandbook[[#This Row],[UDC]],TableMJRUHSEC1[],7,FALSE),"")</f>
        <v/>
      </c>
      <c r="AC144" s="209" t="str">
        <f>IFERROR(VLOOKUP(TableHandbook[[#This Row],[UDC]],TableMJRUHSGE1[],7,FALSE),"")</f>
        <v/>
      </c>
      <c r="AD144" s="209" t="str">
        <f>IFERROR(VLOOKUP(TableHandbook[[#This Row],[UDC]],TableMJRUHSHI1[],7,FALSE),"")</f>
        <v/>
      </c>
      <c r="AE144" s="209" t="str">
        <f>IFERROR(VLOOKUP(TableHandbook[[#This Row],[UDC]],TableMJRUHSPL1[],7,FALSE),"")</f>
        <v/>
      </c>
      <c r="AF144" s="209" t="str">
        <f>IFERROR(VLOOKUP(TableHandbook[[#This Row],[UDC]],TableMJRUMATH1[],7,FALSE),"")</f>
        <v/>
      </c>
      <c r="AG144" s="209" t="str">
        <f>IFERROR(VLOOKUP(TableHandbook[[#This Row],[UDC]],TableMJRUPHYSE[],7,FALSE),"")</f>
        <v/>
      </c>
      <c r="AH144" s="209" t="str">
        <f>IFERROR(VLOOKUP(TableHandbook[[#This Row],[UDC]],TableMJRUSCBI1[],7,FALSE),"")</f>
        <v>Core</v>
      </c>
      <c r="AI144" s="209" t="str">
        <f>IFERROR(VLOOKUP(TableHandbook[[#This Row],[UDC]],TableMJRUSCCH1[],7,FALSE),"")</f>
        <v>Core</v>
      </c>
      <c r="AJ144" s="209" t="str">
        <f>IFERROR(VLOOKUP(TableHandbook[[#This Row],[UDC]],TableMJRUSCHB1[],7,FALSE),"")</f>
        <v>Core</v>
      </c>
      <c r="AK144" s="209" t="str">
        <f>IFERROR(VLOOKUP(TableHandbook[[#This Row],[UDC]],TableMJRUSCPH1[],7,FALSE),"")</f>
        <v>Core</v>
      </c>
      <c r="AL144" s="209" t="str">
        <f>IFERROR(VLOOKUP(TableHandbook[[#This Row],[UDC]],TableMJRUSCPS1[],7,FALSE),"")</f>
        <v>Core</v>
      </c>
      <c r="AM144" s="211" t="str">
        <f>IFERROR(VLOOKUP(TableHandbook[[#This Row],[UDC]],TableSTRUBIOLB[],7,FALSE),"")</f>
        <v/>
      </c>
      <c r="AN144" s="209" t="str">
        <f>IFERROR(VLOOKUP(TableHandbook[[#This Row],[UDC]],TableSTRUBSCIM[],7,FALSE),"")</f>
        <v>Core</v>
      </c>
      <c r="AO144" s="209" t="str">
        <f>IFERROR(VLOOKUP(TableHandbook[[#This Row],[UDC]],TableSTRUCHEMB[],7,FALSE),"")</f>
        <v/>
      </c>
      <c r="AP144" s="209" t="str">
        <f>IFERROR(VLOOKUP(TableHandbook[[#This Row],[UDC]],TableSTRUECOB1[],7,FALSE),"")</f>
        <v/>
      </c>
      <c r="AQ144" s="209" t="str">
        <f>IFERROR(VLOOKUP(TableHandbook[[#This Row],[UDC]],TableSTRUENGLB[],7,FALSE),"")</f>
        <v/>
      </c>
      <c r="AR144" s="209" t="str">
        <f>IFERROR(VLOOKUP(TableHandbook[[#This Row],[UDC]],TableSTRUENGLM[],7,FALSE),"")</f>
        <v/>
      </c>
      <c r="AS144" s="209" t="str">
        <f>IFERROR(VLOOKUP(TableHandbook[[#This Row],[UDC]],TableSTRUGEOB1[],7,FALSE),"")</f>
        <v/>
      </c>
      <c r="AT144" s="209" t="str">
        <f>IFERROR(VLOOKUP(TableHandbook[[#This Row],[UDC]],TableSTRUGEOGM[],7,FALSE),"")</f>
        <v/>
      </c>
      <c r="AU144" s="209" t="str">
        <f>IFERROR(VLOOKUP(TableHandbook[[#This Row],[UDC]],TableSTRUHISB1[],7,FALSE),"")</f>
        <v/>
      </c>
      <c r="AV144" s="209" t="str">
        <f>IFERROR(VLOOKUP(TableHandbook[[#This Row],[UDC]],TableSTRUHISTM[],7,FALSE),"")</f>
        <v/>
      </c>
      <c r="AW144" s="209" t="str">
        <f>IFERROR(VLOOKUP(TableHandbook[[#This Row],[UDC]],TableSTRUHPEB1[],7,FALSE),"")</f>
        <v/>
      </c>
      <c r="AX144" s="209" t="str">
        <f>IFERROR(VLOOKUP(TableHandbook[[#This Row],[UDC]],TableSTRUHUMBB[],7,FALSE),"")</f>
        <v/>
      </c>
      <c r="AY144" s="209" t="str">
        <f>IFERROR(VLOOKUP(TableHandbook[[#This Row],[UDC]],TableSTRUMARTM[],7,FALSE),"")</f>
        <v/>
      </c>
      <c r="AZ144" s="209" t="str">
        <f>IFERROR(VLOOKUP(TableHandbook[[#This Row],[UDC]],TableSTRUMATHB[],7,FALSE),"")</f>
        <v/>
      </c>
      <c r="BA144" s="209" t="str">
        <f>IFERROR(VLOOKUP(TableHandbook[[#This Row],[UDC]],TableSTRUMATHM[],7,FALSE),"")</f>
        <v/>
      </c>
      <c r="BB144" s="209" t="str">
        <f>IFERROR(VLOOKUP(TableHandbook[[#This Row],[UDC]],TableSTRUPARTB[],7,FALSE),"")</f>
        <v/>
      </c>
      <c r="BC144" s="209" t="str">
        <f>IFERROR(VLOOKUP(TableHandbook[[#This Row],[UDC]],TableSTRUPARTM[],7,FALSE),"")</f>
        <v/>
      </c>
      <c r="BD144" s="209" t="str">
        <f>IFERROR(VLOOKUP(TableHandbook[[#This Row],[UDC]],TableSTRUPOLB1[],7,FALSE),"")</f>
        <v/>
      </c>
      <c r="BE144" s="209" t="str">
        <f>IFERROR(VLOOKUP(TableHandbook[[#This Row],[UDC]],TableSTRUPSYCB[],7,FALSE),"")</f>
        <v/>
      </c>
      <c r="BF144" s="209" t="str">
        <f>IFERROR(VLOOKUP(TableHandbook[[#This Row],[UDC]],TableSTRUPSYCM[],7,FALSE),"")</f>
        <v>Core</v>
      </c>
      <c r="BG144" s="209" t="str">
        <f>IFERROR(VLOOKUP(TableHandbook[[#This Row],[UDC]],TableSTRUVARTB[],7,FALSE),"")</f>
        <v/>
      </c>
      <c r="BH144" s="209" t="str">
        <f>IFERROR(VLOOKUP(TableHandbook[[#This Row],[UDC]],TableSTRUVARTM[],7,FALSE),"")</f>
        <v/>
      </c>
    </row>
    <row r="145" spans="1:60" ht="39" x14ac:dyDescent="0.25">
      <c r="A145" s="6" t="s">
        <v>465</v>
      </c>
      <c r="B145" s="7">
        <v>1</v>
      </c>
      <c r="C145" s="7"/>
      <c r="D145" s="207" t="s">
        <v>948</v>
      </c>
      <c r="E145" s="7">
        <v>25</v>
      </c>
      <c r="F145" s="312" t="s">
        <v>830</v>
      </c>
      <c r="G145" s="75" t="str">
        <f>IFERROR(IF(VLOOKUP(TableHandbook[[#This Row],[UDC]],TableAvailabilities[],2,FALSE)&gt;0,"Y",""),"")</f>
        <v>Y</v>
      </c>
      <c r="H145" s="75" t="str">
        <f>IFERROR(IF(VLOOKUP(TableHandbook[[#This Row],[UDC]],TableAvailabilities[],3,FALSE)&gt;0,"Y",""),"")</f>
        <v>Y</v>
      </c>
      <c r="I145" s="75" t="str">
        <f>IFERROR(IF(VLOOKUP(TableHandbook[[#This Row],[UDC]],TableAvailabilities[],4,FALSE)&gt;0,"Y",""),"")</f>
        <v/>
      </c>
      <c r="J145" s="75" t="str">
        <f>IFERROR(IF(VLOOKUP(TableHandbook[[#This Row],[UDC]],TableAvailabilities[],5,FALSE)&gt;0,"Y",""),"")</f>
        <v/>
      </c>
      <c r="K145" s="75" t="str">
        <f>IFERROR(IF(VLOOKUP(TableHandbook[[#This Row],[UDC]],TableAvailabilities[],6,FALSE)&gt;0,"Y",""),"")</f>
        <v/>
      </c>
      <c r="L145" s="75" t="str">
        <f>IFERROR(IF(VLOOKUP(TableHandbook[[#This Row],[UDC]],TableAvailabilities[],7,FALSE)&gt;0,"Y",""),"")</f>
        <v/>
      </c>
      <c r="M145" s="314" t="s">
        <v>949</v>
      </c>
      <c r="N145" s="209" t="str">
        <f>IFERROR(VLOOKUP(TableHandbook[[#This Row],[UDC]],TableBEDUC[],7,FALSE),"")</f>
        <v/>
      </c>
      <c r="O145" s="209" t="str">
        <f>IFERROR(VLOOKUP(TableHandbook[[#This Row],[UDC]],TableBEDEC[],7,FALSE),"")</f>
        <v/>
      </c>
      <c r="P145" s="211" t="str">
        <f>IFERROR(VLOOKUP(TableHandbook[[#This Row],[UDC]],TableBEDPR[],7,FALSE),"")</f>
        <v/>
      </c>
      <c r="Q145" s="209" t="str">
        <f>IFERROR(VLOOKUP(TableHandbook[[#This Row],[UDC]],TableSTRUCATHL[],7,FALSE),"")</f>
        <v/>
      </c>
      <c r="R145" s="209" t="str">
        <f>IFERROR(VLOOKUP(TableHandbook[[#This Row],[UDC]],TableSTRUENGLL[],7,FALSE),"")</f>
        <v/>
      </c>
      <c r="S145" s="209" t="str">
        <f>IFERROR(VLOOKUP(TableHandbook[[#This Row],[UDC]],TableSTRUHLTPE[],7,FALSE),"")</f>
        <v/>
      </c>
      <c r="T145" s="209" t="str">
        <f>IFERROR(VLOOKUP(TableHandbook[[#This Row],[UDC]],TableSTRUISTEM[],7,FALSE),"")</f>
        <v/>
      </c>
      <c r="U145" s="209" t="str">
        <f>IFERROR(VLOOKUP(TableHandbook[[#This Row],[UDC]],TableSTRULITNU[],7,FALSE),"")</f>
        <v/>
      </c>
      <c r="V145" s="209" t="str">
        <f>IFERROR(VLOOKUP(TableHandbook[[#This Row],[UDC]],TableSTRUTECHS[],7,FALSE),"")</f>
        <v/>
      </c>
      <c r="W145" s="211" t="str">
        <f>IFERROR(VLOOKUP(TableHandbook[[#This Row],[UDC]],TableBEDSC[],7,FALSE),"")</f>
        <v/>
      </c>
      <c r="X145" s="211" t="str">
        <f>IFERROR(VLOOKUP(TableHandbook[[#This Row],[UDC]],TableMJRUARDR1[],7,FALSE),"")</f>
        <v/>
      </c>
      <c r="Y145" s="209" t="str">
        <f>IFERROR(VLOOKUP(TableHandbook[[#This Row],[UDC]],TableMJRUARME1[],7,FALSE),"")</f>
        <v/>
      </c>
      <c r="Z145" s="209" t="str">
        <f>IFERROR(VLOOKUP(TableHandbook[[#This Row],[UDC]],TableMJRUARVA1[],7,FALSE),"")</f>
        <v/>
      </c>
      <c r="AA145" s="209" t="str">
        <f>IFERROR(VLOOKUP(TableHandbook[[#This Row],[UDC]],TableMJRUENGL1[],7,FALSE),"")</f>
        <v/>
      </c>
      <c r="AB145" s="209" t="str">
        <f>IFERROR(VLOOKUP(TableHandbook[[#This Row],[UDC]],TableMJRUHSEC1[],7,FALSE),"")</f>
        <v>Core</v>
      </c>
      <c r="AC145" s="209" t="str">
        <f>IFERROR(VLOOKUP(TableHandbook[[#This Row],[UDC]],TableMJRUHSGE1[],7,FALSE),"")</f>
        <v>Core</v>
      </c>
      <c r="AD145" s="209" t="str">
        <f>IFERROR(VLOOKUP(TableHandbook[[#This Row],[UDC]],TableMJRUHSHI1[],7,FALSE),"")</f>
        <v>Core</v>
      </c>
      <c r="AE145" s="209" t="str">
        <f>IFERROR(VLOOKUP(TableHandbook[[#This Row],[UDC]],TableMJRUHSPL1[],7,FALSE),"")</f>
        <v>Core</v>
      </c>
      <c r="AF145" s="209" t="str">
        <f>IFERROR(VLOOKUP(TableHandbook[[#This Row],[UDC]],TableMJRUMATH1[],7,FALSE),"")</f>
        <v/>
      </c>
      <c r="AG145" s="209" t="str">
        <f>IFERROR(VLOOKUP(TableHandbook[[#This Row],[UDC]],TableMJRUPHYSE[],7,FALSE),"")</f>
        <v/>
      </c>
      <c r="AH145" s="209" t="str">
        <f>IFERROR(VLOOKUP(TableHandbook[[#This Row],[UDC]],TableMJRUSCBI1[],7,FALSE),"")</f>
        <v/>
      </c>
      <c r="AI145" s="209" t="str">
        <f>IFERROR(VLOOKUP(TableHandbook[[#This Row],[UDC]],TableMJRUSCCH1[],7,FALSE),"")</f>
        <v/>
      </c>
      <c r="AJ145" s="209" t="str">
        <f>IFERROR(VLOOKUP(TableHandbook[[#This Row],[UDC]],TableMJRUSCHB1[],7,FALSE),"")</f>
        <v/>
      </c>
      <c r="AK145" s="209" t="str">
        <f>IFERROR(VLOOKUP(TableHandbook[[#This Row],[UDC]],TableMJRUSCPH1[],7,FALSE),"")</f>
        <v/>
      </c>
      <c r="AL145" s="209" t="str">
        <f>IFERROR(VLOOKUP(TableHandbook[[#This Row],[UDC]],TableMJRUSCPS1[],7,FALSE),"")</f>
        <v/>
      </c>
      <c r="AM145" s="211" t="str">
        <f>IFERROR(VLOOKUP(TableHandbook[[#This Row],[UDC]],TableSTRUBIOLB[],7,FALSE),"")</f>
        <v/>
      </c>
      <c r="AN145" s="209" t="str">
        <f>IFERROR(VLOOKUP(TableHandbook[[#This Row],[UDC]],TableSTRUBSCIM[],7,FALSE),"")</f>
        <v/>
      </c>
      <c r="AO145" s="209" t="str">
        <f>IFERROR(VLOOKUP(TableHandbook[[#This Row],[UDC]],TableSTRUCHEMB[],7,FALSE),"")</f>
        <v/>
      </c>
      <c r="AP145" s="209" t="str">
        <f>IFERROR(VLOOKUP(TableHandbook[[#This Row],[UDC]],TableSTRUECOB1[],7,FALSE),"")</f>
        <v/>
      </c>
      <c r="AQ145" s="209" t="str">
        <f>IFERROR(VLOOKUP(TableHandbook[[#This Row],[UDC]],TableSTRUENGLB[],7,FALSE),"")</f>
        <v/>
      </c>
      <c r="AR145" s="209" t="str">
        <f>IFERROR(VLOOKUP(TableHandbook[[#This Row],[UDC]],TableSTRUENGLM[],7,FALSE),"")</f>
        <v/>
      </c>
      <c r="AS145" s="209" t="str">
        <f>IFERROR(VLOOKUP(TableHandbook[[#This Row],[UDC]],TableSTRUGEOB1[],7,FALSE),"")</f>
        <v/>
      </c>
      <c r="AT145" s="209" t="str">
        <f>IFERROR(VLOOKUP(TableHandbook[[#This Row],[UDC]],TableSTRUGEOGM[],7,FALSE),"")</f>
        <v>Core</v>
      </c>
      <c r="AU145" s="209" t="str">
        <f>IFERROR(VLOOKUP(TableHandbook[[#This Row],[UDC]],TableSTRUHISB1[],7,FALSE),"")</f>
        <v/>
      </c>
      <c r="AV145" s="209" t="str">
        <f>IFERROR(VLOOKUP(TableHandbook[[#This Row],[UDC]],TableSTRUHISTM[],7,FALSE),"")</f>
        <v>Core</v>
      </c>
      <c r="AW145" s="209" t="str">
        <f>IFERROR(VLOOKUP(TableHandbook[[#This Row],[UDC]],TableSTRUHPEB1[],7,FALSE),"")</f>
        <v/>
      </c>
      <c r="AX145" s="209" t="str">
        <f>IFERROR(VLOOKUP(TableHandbook[[#This Row],[UDC]],TableSTRUHUMBB[],7,FALSE),"")</f>
        <v/>
      </c>
      <c r="AY145" s="209" t="str">
        <f>IFERROR(VLOOKUP(TableHandbook[[#This Row],[UDC]],TableSTRUMARTM[],7,FALSE),"")</f>
        <v/>
      </c>
      <c r="AZ145" s="209" t="str">
        <f>IFERROR(VLOOKUP(TableHandbook[[#This Row],[UDC]],TableSTRUMATHB[],7,FALSE),"")</f>
        <v/>
      </c>
      <c r="BA145" s="209" t="str">
        <f>IFERROR(VLOOKUP(TableHandbook[[#This Row],[UDC]],TableSTRUMATHM[],7,FALSE),"")</f>
        <v/>
      </c>
      <c r="BB145" s="209" t="str">
        <f>IFERROR(VLOOKUP(TableHandbook[[#This Row],[UDC]],TableSTRUPARTB[],7,FALSE),"")</f>
        <v/>
      </c>
      <c r="BC145" s="209" t="str">
        <f>IFERROR(VLOOKUP(TableHandbook[[#This Row],[UDC]],TableSTRUPARTM[],7,FALSE),"")</f>
        <v/>
      </c>
      <c r="BD145" s="209" t="str">
        <f>IFERROR(VLOOKUP(TableHandbook[[#This Row],[UDC]],TableSTRUPOLB1[],7,FALSE),"")</f>
        <v/>
      </c>
      <c r="BE145" s="209" t="str">
        <f>IFERROR(VLOOKUP(TableHandbook[[#This Row],[UDC]],TableSTRUPSYCB[],7,FALSE),"")</f>
        <v/>
      </c>
      <c r="BF145" s="209" t="str">
        <f>IFERROR(VLOOKUP(TableHandbook[[#This Row],[UDC]],TableSTRUPSYCM[],7,FALSE),"")</f>
        <v/>
      </c>
      <c r="BG145" s="209" t="str">
        <f>IFERROR(VLOOKUP(TableHandbook[[#This Row],[UDC]],TableSTRUVARTB[],7,FALSE),"")</f>
        <v/>
      </c>
      <c r="BH145" s="209" t="str">
        <f>IFERROR(VLOOKUP(TableHandbook[[#This Row],[UDC]],TableSTRUVARTM[],7,FALSE),"")</f>
        <v/>
      </c>
    </row>
    <row r="146" spans="1:60" x14ac:dyDescent="0.25">
      <c r="A146" s="6" t="s">
        <v>486</v>
      </c>
      <c r="B146" s="7">
        <v>2</v>
      </c>
      <c r="C146" s="7"/>
      <c r="D146" s="207" t="s">
        <v>950</v>
      </c>
      <c r="E146" s="7">
        <v>25</v>
      </c>
      <c r="F146" s="311" t="s">
        <v>465</v>
      </c>
      <c r="G146" s="75" t="str">
        <f>IFERROR(IF(VLOOKUP(TableHandbook[[#This Row],[UDC]],TableAvailabilities[],2,FALSE)&gt;0,"Y",""),"")</f>
        <v/>
      </c>
      <c r="H146" s="75" t="str">
        <f>IFERROR(IF(VLOOKUP(TableHandbook[[#This Row],[UDC]],TableAvailabilities[],3,FALSE)&gt;0,"Y",""),"")</f>
        <v/>
      </c>
      <c r="I146" s="75" t="str">
        <f>IFERROR(IF(VLOOKUP(TableHandbook[[#This Row],[UDC]],TableAvailabilities[],4,FALSE)&gt;0,"Y",""),"")</f>
        <v/>
      </c>
      <c r="J146" s="75" t="str">
        <f>IFERROR(IF(VLOOKUP(TableHandbook[[#This Row],[UDC]],TableAvailabilities[],5,FALSE)&gt;0,"Y",""),"")</f>
        <v>Y</v>
      </c>
      <c r="K146" s="75" t="str">
        <f>IFERROR(IF(VLOOKUP(TableHandbook[[#This Row],[UDC]],TableAvailabilities[],6,FALSE)&gt;0,"Y",""),"")</f>
        <v>Y</v>
      </c>
      <c r="L146" s="75" t="str">
        <f>IFERROR(IF(VLOOKUP(TableHandbook[[#This Row],[UDC]],TableAvailabilities[],7,FALSE)&gt;0,"Y",""),"")</f>
        <v/>
      </c>
      <c r="M146" s="207"/>
      <c r="N146" s="209" t="str">
        <f>IFERROR(VLOOKUP(TableHandbook[[#This Row],[UDC]],TableBEDUC[],7,FALSE),"")</f>
        <v/>
      </c>
      <c r="O146" s="209" t="str">
        <f>IFERROR(VLOOKUP(TableHandbook[[#This Row],[UDC]],TableBEDEC[],7,FALSE),"")</f>
        <v/>
      </c>
      <c r="P146" s="211" t="str">
        <f>IFERROR(VLOOKUP(TableHandbook[[#This Row],[UDC]],TableBEDPR[],7,FALSE),"")</f>
        <v/>
      </c>
      <c r="Q146" s="209" t="str">
        <f>IFERROR(VLOOKUP(TableHandbook[[#This Row],[UDC]],TableSTRUCATHL[],7,FALSE),"")</f>
        <v/>
      </c>
      <c r="R146" s="209" t="str">
        <f>IFERROR(VLOOKUP(TableHandbook[[#This Row],[UDC]],TableSTRUENGLL[],7,FALSE),"")</f>
        <v/>
      </c>
      <c r="S146" s="209" t="str">
        <f>IFERROR(VLOOKUP(TableHandbook[[#This Row],[UDC]],TableSTRUHLTPE[],7,FALSE),"")</f>
        <v/>
      </c>
      <c r="T146" s="209" t="str">
        <f>IFERROR(VLOOKUP(TableHandbook[[#This Row],[UDC]],TableSTRUISTEM[],7,FALSE),"")</f>
        <v/>
      </c>
      <c r="U146" s="209" t="str">
        <f>IFERROR(VLOOKUP(TableHandbook[[#This Row],[UDC]],TableSTRULITNU[],7,FALSE),"")</f>
        <v/>
      </c>
      <c r="V146" s="209" t="str">
        <f>IFERROR(VLOOKUP(TableHandbook[[#This Row],[UDC]],TableSTRUTECHS[],7,FALSE),"")</f>
        <v/>
      </c>
      <c r="W146" s="211" t="str">
        <f>IFERROR(VLOOKUP(TableHandbook[[#This Row],[UDC]],TableBEDSC[],7,FALSE),"")</f>
        <v/>
      </c>
      <c r="X146" s="211" t="str">
        <f>IFERROR(VLOOKUP(TableHandbook[[#This Row],[UDC]],TableMJRUARDR1[],7,FALSE),"")</f>
        <v/>
      </c>
      <c r="Y146" s="209" t="str">
        <f>IFERROR(VLOOKUP(TableHandbook[[#This Row],[UDC]],TableMJRUARME1[],7,FALSE),"")</f>
        <v/>
      </c>
      <c r="Z146" s="209" t="str">
        <f>IFERROR(VLOOKUP(TableHandbook[[#This Row],[UDC]],TableMJRUARVA1[],7,FALSE),"")</f>
        <v/>
      </c>
      <c r="AA146" s="209" t="str">
        <f>IFERROR(VLOOKUP(TableHandbook[[#This Row],[UDC]],TableMJRUENGL1[],7,FALSE),"")</f>
        <v/>
      </c>
      <c r="AB146" s="209" t="str">
        <f>IFERROR(VLOOKUP(TableHandbook[[#This Row],[UDC]],TableMJRUHSEC1[],7,FALSE),"")</f>
        <v>Core</v>
      </c>
      <c r="AC146" s="209" t="str">
        <f>IFERROR(VLOOKUP(TableHandbook[[#This Row],[UDC]],TableMJRUHSGE1[],7,FALSE),"")</f>
        <v>Core</v>
      </c>
      <c r="AD146" s="209" t="str">
        <f>IFERROR(VLOOKUP(TableHandbook[[#This Row],[UDC]],TableMJRUHSHI1[],7,FALSE),"")</f>
        <v>Core</v>
      </c>
      <c r="AE146" s="209" t="str">
        <f>IFERROR(VLOOKUP(TableHandbook[[#This Row],[UDC]],TableMJRUHSPL1[],7,FALSE),"")</f>
        <v>Core</v>
      </c>
      <c r="AF146" s="209" t="str">
        <f>IFERROR(VLOOKUP(TableHandbook[[#This Row],[UDC]],TableMJRUMATH1[],7,FALSE),"")</f>
        <v/>
      </c>
      <c r="AG146" s="209" t="str">
        <f>IFERROR(VLOOKUP(TableHandbook[[#This Row],[UDC]],TableMJRUPHYSE[],7,FALSE),"")</f>
        <v/>
      </c>
      <c r="AH146" s="209" t="str">
        <f>IFERROR(VLOOKUP(TableHandbook[[#This Row],[UDC]],TableMJRUSCBI1[],7,FALSE),"")</f>
        <v/>
      </c>
      <c r="AI146" s="209" t="str">
        <f>IFERROR(VLOOKUP(TableHandbook[[#This Row],[UDC]],TableMJRUSCCH1[],7,FALSE),"")</f>
        <v/>
      </c>
      <c r="AJ146" s="209" t="str">
        <f>IFERROR(VLOOKUP(TableHandbook[[#This Row],[UDC]],TableMJRUSCHB1[],7,FALSE),"")</f>
        <v/>
      </c>
      <c r="AK146" s="209" t="str">
        <f>IFERROR(VLOOKUP(TableHandbook[[#This Row],[UDC]],TableMJRUSCPH1[],7,FALSE),"")</f>
        <v/>
      </c>
      <c r="AL146" s="209" t="str">
        <f>IFERROR(VLOOKUP(TableHandbook[[#This Row],[UDC]],TableMJRUSCPS1[],7,FALSE),"")</f>
        <v/>
      </c>
      <c r="AM146" s="211" t="str">
        <f>IFERROR(VLOOKUP(TableHandbook[[#This Row],[UDC]],TableSTRUBIOLB[],7,FALSE),"")</f>
        <v/>
      </c>
      <c r="AN146" s="209" t="str">
        <f>IFERROR(VLOOKUP(TableHandbook[[#This Row],[UDC]],TableSTRUBSCIM[],7,FALSE),"")</f>
        <v/>
      </c>
      <c r="AO146" s="209" t="str">
        <f>IFERROR(VLOOKUP(TableHandbook[[#This Row],[UDC]],TableSTRUCHEMB[],7,FALSE),"")</f>
        <v/>
      </c>
      <c r="AP146" s="209" t="str">
        <f>IFERROR(VLOOKUP(TableHandbook[[#This Row],[UDC]],TableSTRUECOB1[],7,FALSE),"")</f>
        <v/>
      </c>
      <c r="AQ146" s="209" t="str">
        <f>IFERROR(VLOOKUP(TableHandbook[[#This Row],[UDC]],TableSTRUENGLB[],7,FALSE),"")</f>
        <v/>
      </c>
      <c r="AR146" s="209" t="str">
        <f>IFERROR(VLOOKUP(TableHandbook[[#This Row],[UDC]],TableSTRUENGLM[],7,FALSE),"")</f>
        <v/>
      </c>
      <c r="AS146" s="209" t="str">
        <f>IFERROR(VLOOKUP(TableHandbook[[#This Row],[UDC]],TableSTRUGEOB1[],7,FALSE),"")</f>
        <v/>
      </c>
      <c r="AT146" s="209" t="str">
        <f>IFERROR(VLOOKUP(TableHandbook[[#This Row],[UDC]],TableSTRUGEOGM[],7,FALSE),"")</f>
        <v>Core</v>
      </c>
      <c r="AU146" s="209" t="str">
        <f>IFERROR(VLOOKUP(TableHandbook[[#This Row],[UDC]],TableSTRUHISB1[],7,FALSE),"")</f>
        <v/>
      </c>
      <c r="AV146" s="209" t="str">
        <f>IFERROR(VLOOKUP(TableHandbook[[#This Row],[UDC]],TableSTRUHISTM[],7,FALSE),"")</f>
        <v>Core</v>
      </c>
      <c r="AW146" s="209" t="str">
        <f>IFERROR(VLOOKUP(TableHandbook[[#This Row],[UDC]],TableSTRUHPEB1[],7,FALSE),"")</f>
        <v/>
      </c>
      <c r="AX146" s="209" t="str">
        <f>IFERROR(VLOOKUP(TableHandbook[[#This Row],[UDC]],TableSTRUHUMBB[],7,FALSE),"")</f>
        <v/>
      </c>
      <c r="AY146" s="209" t="str">
        <f>IFERROR(VLOOKUP(TableHandbook[[#This Row],[UDC]],TableSTRUMARTM[],7,FALSE),"")</f>
        <v/>
      </c>
      <c r="AZ146" s="209" t="str">
        <f>IFERROR(VLOOKUP(TableHandbook[[#This Row],[UDC]],TableSTRUMATHB[],7,FALSE),"")</f>
        <v/>
      </c>
      <c r="BA146" s="209" t="str">
        <f>IFERROR(VLOOKUP(TableHandbook[[#This Row],[UDC]],TableSTRUMATHM[],7,FALSE),"")</f>
        <v/>
      </c>
      <c r="BB146" s="209" t="str">
        <f>IFERROR(VLOOKUP(TableHandbook[[#This Row],[UDC]],TableSTRUPARTB[],7,FALSE),"")</f>
        <v/>
      </c>
      <c r="BC146" s="209" t="str">
        <f>IFERROR(VLOOKUP(TableHandbook[[#This Row],[UDC]],TableSTRUPARTM[],7,FALSE),"")</f>
        <v/>
      </c>
      <c r="BD146" s="209" t="str">
        <f>IFERROR(VLOOKUP(TableHandbook[[#This Row],[UDC]],TableSTRUPOLB1[],7,FALSE),"")</f>
        <v/>
      </c>
      <c r="BE146" s="209" t="str">
        <f>IFERROR(VLOOKUP(TableHandbook[[#This Row],[UDC]],TableSTRUPSYCB[],7,FALSE),"")</f>
        <v/>
      </c>
      <c r="BF146" s="209" t="str">
        <f>IFERROR(VLOOKUP(TableHandbook[[#This Row],[UDC]],TableSTRUPSYCM[],7,FALSE),"")</f>
        <v/>
      </c>
      <c r="BG146" s="209" t="str">
        <f>IFERROR(VLOOKUP(TableHandbook[[#This Row],[UDC]],TableSTRUVARTB[],7,FALSE),"")</f>
        <v/>
      </c>
      <c r="BH146" s="209" t="str">
        <f>IFERROR(VLOOKUP(TableHandbook[[#This Row],[UDC]],TableSTRUVARTM[],7,FALSE),"")</f>
        <v/>
      </c>
    </row>
    <row r="147" spans="1:60" x14ac:dyDescent="0.25">
      <c r="A147" s="6" t="s">
        <v>484</v>
      </c>
      <c r="B147" s="7">
        <v>2</v>
      </c>
      <c r="C147" s="7"/>
      <c r="D147" s="207" t="s">
        <v>951</v>
      </c>
      <c r="E147" s="7">
        <v>25</v>
      </c>
      <c r="F147" s="311" t="s">
        <v>463</v>
      </c>
      <c r="G147" s="75" t="str">
        <f>IFERROR(IF(VLOOKUP(TableHandbook[[#This Row],[UDC]],TableAvailabilities[],2,FALSE)&gt;0,"Y",""),"")</f>
        <v/>
      </c>
      <c r="H147" s="75" t="str">
        <f>IFERROR(IF(VLOOKUP(TableHandbook[[#This Row],[UDC]],TableAvailabilities[],3,FALSE)&gt;0,"Y",""),"")</f>
        <v/>
      </c>
      <c r="I147" s="75" t="str">
        <f>IFERROR(IF(VLOOKUP(TableHandbook[[#This Row],[UDC]],TableAvailabilities[],4,FALSE)&gt;0,"Y",""),"")</f>
        <v/>
      </c>
      <c r="J147" s="75" t="str">
        <f>IFERROR(IF(VLOOKUP(TableHandbook[[#This Row],[UDC]],TableAvailabilities[],5,FALSE)&gt;0,"Y",""),"")</f>
        <v>Y</v>
      </c>
      <c r="K147" s="75" t="str">
        <f>IFERROR(IF(VLOOKUP(TableHandbook[[#This Row],[UDC]],TableAvailabilities[],6,FALSE)&gt;0,"Y",""),"")</f>
        <v>Y</v>
      </c>
      <c r="L147" s="75" t="str">
        <f>IFERROR(IF(VLOOKUP(TableHandbook[[#This Row],[UDC]],TableAvailabilities[],7,FALSE)&gt;0,"Y",""),"")</f>
        <v/>
      </c>
      <c r="M147" s="207"/>
      <c r="N147" s="209" t="str">
        <f>IFERROR(VLOOKUP(TableHandbook[[#This Row],[UDC]],TableBEDUC[],7,FALSE),"")</f>
        <v/>
      </c>
      <c r="O147" s="209" t="str">
        <f>IFERROR(VLOOKUP(TableHandbook[[#This Row],[UDC]],TableBEDEC[],7,FALSE),"")</f>
        <v/>
      </c>
      <c r="P147" s="211" t="str">
        <f>IFERROR(VLOOKUP(TableHandbook[[#This Row],[UDC]],TableBEDPR[],7,FALSE),"")</f>
        <v/>
      </c>
      <c r="Q147" s="209" t="str">
        <f>IFERROR(VLOOKUP(TableHandbook[[#This Row],[UDC]],TableSTRUCATHL[],7,FALSE),"")</f>
        <v/>
      </c>
      <c r="R147" s="209" t="str">
        <f>IFERROR(VLOOKUP(TableHandbook[[#This Row],[UDC]],TableSTRUENGLL[],7,FALSE),"")</f>
        <v/>
      </c>
      <c r="S147" s="209" t="str">
        <f>IFERROR(VLOOKUP(TableHandbook[[#This Row],[UDC]],TableSTRUHLTPE[],7,FALSE),"")</f>
        <v/>
      </c>
      <c r="T147" s="209" t="str">
        <f>IFERROR(VLOOKUP(TableHandbook[[#This Row],[UDC]],TableSTRUISTEM[],7,FALSE),"")</f>
        <v/>
      </c>
      <c r="U147" s="209" t="str">
        <f>IFERROR(VLOOKUP(TableHandbook[[#This Row],[UDC]],TableSTRULITNU[],7,FALSE),"")</f>
        <v/>
      </c>
      <c r="V147" s="209" t="str">
        <f>IFERROR(VLOOKUP(TableHandbook[[#This Row],[UDC]],TableSTRUTECHS[],7,FALSE),"")</f>
        <v/>
      </c>
      <c r="W147" s="211" t="str">
        <f>IFERROR(VLOOKUP(TableHandbook[[#This Row],[UDC]],TableBEDSC[],7,FALSE),"")</f>
        <v/>
      </c>
      <c r="X147" s="211" t="str">
        <f>IFERROR(VLOOKUP(TableHandbook[[#This Row],[UDC]],TableMJRUARDR1[],7,FALSE),"")</f>
        <v>Core</v>
      </c>
      <c r="Y147" s="209" t="str">
        <f>IFERROR(VLOOKUP(TableHandbook[[#This Row],[UDC]],TableMJRUARME1[],7,FALSE),"")</f>
        <v>Core</v>
      </c>
      <c r="Z147" s="209" t="str">
        <f>IFERROR(VLOOKUP(TableHandbook[[#This Row],[UDC]],TableMJRUARVA1[],7,FALSE),"")</f>
        <v>Core</v>
      </c>
      <c r="AA147" s="209" t="str">
        <f>IFERROR(VLOOKUP(TableHandbook[[#This Row],[UDC]],TableMJRUENGL1[],7,FALSE),"")</f>
        <v/>
      </c>
      <c r="AB147" s="209" t="str">
        <f>IFERROR(VLOOKUP(TableHandbook[[#This Row],[UDC]],TableMJRUHSEC1[],7,FALSE),"")</f>
        <v/>
      </c>
      <c r="AC147" s="209" t="str">
        <f>IFERROR(VLOOKUP(TableHandbook[[#This Row],[UDC]],TableMJRUHSGE1[],7,FALSE),"")</f>
        <v/>
      </c>
      <c r="AD147" s="209" t="str">
        <f>IFERROR(VLOOKUP(TableHandbook[[#This Row],[UDC]],TableMJRUHSHI1[],7,FALSE),"")</f>
        <v/>
      </c>
      <c r="AE147" s="209" t="str">
        <f>IFERROR(VLOOKUP(TableHandbook[[#This Row],[UDC]],TableMJRUHSPL1[],7,FALSE),"")</f>
        <v/>
      </c>
      <c r="AF147" s="209" t="str">
        <f>IFERROR(VLOOKUP(TableHandbook[[#This Row],[UDC]],TableMJRUMATH1[],7,FALSE),"")</f>
        <v/>
      </c>
      <c r="AG147" s="209" t="str">
        <f>IFERROR(VLOOKUP(TableHandbook[[#This Row],[UDC]],TableMJRUPHYSE[],7,FALSE),"")</f>
        <v/>
      </c>
      <c r="AH147" s="209" t="str">
        <f>IFERROR(VLOOKUP(TableHandbook[[#This Row],[UDC]],TableMJRUSCBI1[],7,FALSE),"")</f>
        <v/>
      </c>
      <c r="AI147" s="209" t="str">
        <f>IFERROR(VLOOKUP(TableHandbook[[#This Row],[UDC]],TableMJRUSCCH1[],7,FALSE),"")</f>
        <v/>
      </c>
      <c r="AJ147" s="209" t="str">
        <f>IFERROR(VLOOKUP(TableHandbook[[#This Row],[UDC]],TableMJRUSCHB1[],7,FALSE),"")</f>
        <v/>
      </c>
      <c r="AK147" s="209" t="str">
        <f>IFERROR(VLOOKUP(TableHandbook[[#This Row],[UDC]],TableMJRUSCPH1[],7,FALSE),"")</f>
        <v/>
      </c>
      <c r="AL147" s="209" t="str">
        <f>IFERROR(VLOOKUP(TableHandbook[[#This Row],[UDC]],TableMJRUSCPS1[],7,FALSE),"")</f>
        <v/>
      </c>
      <c r="AM147" s="211" t="str">
        <f>IFERROR(VLOOKUP(TableHandbook[[#This Row],[UDC]],TableSTRUBIOLB[],7,FALSE),"")</f>
        <v/>
      </c>
      <c r="AN147" s="209" t="str">
        <f>IFERROR(VLOOKUP(TableHandbook[[#This Row],[UDC]],TableSTRUBSCIM[],7,FALSE),"")</f>
        <v/>
      </c>
      <c r="AO147" s="209" t="str">
        <f>IFERROR(VLOOKUP(TableHandbook[[#This Row],[UDC]],TableSTRUCHEMB[],7,FALSE),"")</f>
        <v/>
      </c>
      <c r="AP147" s="209" t="str">
        <f>IFERROR(VLOOKUP(TableHandbook[[#This Row],[UDC]],TableSTRUECOB1[],7,FALSE),"")</f>
        <v/>
      </c>
      <c r="AQ147" s="209" t="str">
        <f>IFERROR(VLOOKUP(TableHandbook[[#This Row],[UDC]],TableSTRUENGLB[],7,FALSE),"")</f>
        <v/>
      </c>
      <c r="AR147" s="209" t="str">
        <f>IFERROR(VLOOKUP(TableHandbook[[#This Row],[UDC]],TableSTRUENGLM[],7,FALSE),"")</f>
        <v/>
      </c>
      <c r="AS147" s="209" t="str">
        <f>IFERROR(VLOOKUP(TableHandbook[[#This Row],[UDC]],TableSTRUGEOB1[],7,FALSE),"")</f>
        <v/>
      </c>
      <c r="AT147" s="209" t="str">
        <f>IFERROR(VLOOKUP(TableHandbook[[#This Row],[UDC]],TableSTRUGEOGM[],7,FALSE),"")</f>
        <v/>
      </c>
      <c r="AU147" s="209" t="str">
        <f>IFERROR(VLOOKUP(TableHandbook[[#This Row],[UDC]],TableSTRUHISB1[],7,FALSE),"")</f>
        <v/>
      </c>
      <c r="AV147" s="209" t="str">
        <f>IFERROR(VLOOKUP(TableHandbook[[#This Row],[UDC]],TableSTRUHISTM[],7,FALSE),"")</f>
        <v/>
      </c>
      <c r="AW147" s="209" t="str">
        <f>IFERROR(VLOOKUP(TableHandbook[[#This Row],[UDC]],TableSTRUHPEB1[],7,FALSE),"")</f>
        <v/>
      </c>
      <c r="AX147" s="209" t="str">
        <f>IFERROR(VLOOKUP(TableHandbook[[#This Row],[UDC]],TableSTRUHUMBB[],7,FALSE),"")</f>
        <v/>
      </c>
      <c r="AY147" s="209" t="str">
        <f>IFERROR(VLOOKUP(TableHandbook[[#This Row],[UDC]],TableSTRUMARTM[],7,FALSE),"")</f>
        <v>Core</v>
      </c>
      <c r="AZ147" s="209" t="str">
        <f>IFERROR(VLOOKUP(TableHandbook[[#This Row],[UDC]],TableSTRUMATHB[],7,FALSE),"")</f>
        <v/>
      </c>
      <c r="BA147" s="209" t="str">
        <f>IFERROR(VLOOKUP(TableHandbook[[#This Row],[UDC]],TableSTRUMATHM[],7,FALSE),"")</f>
        <v/>
      </c>
      <c r="BB147" s="209" t="str">
        <f>IFERROR(VLOOKUP(TableHandbook[[#This Row],[UDC]],TableSTRUPARTB[],7,FALSE),"")</f>
        <v/>
      </c>
      <c r="BC147" s="209" t="str">
        <f>IFERROR(VLOOKUP(TableHandbook[[#This Row],[UDC]],TableSTRUPARTM[],7,FALSE),"")</f>
        <v>Core</v>
      </c>
      <c r="BD147" s="209" t="str">
        <f>IFERROR(VLOOKUP(TableHandbook[[#This Row],[UDC]],TableSTRUPOLB1[],7,FALSE),"")</f>
        <v/>
      </c>
      <c r="BE147" s="209" t="str">
        <f>IFERROR(VLOOKUP(TableHandbook[[#This Row],[UDC]],TableSTRUPSYCB[],7,FALSE),"")</f>
        <v/>
      </c>
      <c r="BF147" s="209" t="str">
        <f>IFERROR(VLOOKUP(TableHandbook[[#This Row],[UDC]],TableSTRUPSYCM[],7,FALSE),"")</f>
        <v/>
      </c>
      <c r="BG147" s="209" t="str">
        <f>IFERROR(VLOOKUP(TableHandbook[[#This Row],[UDC]],TableSTRUVARTB[],7,FALSE),"")</f>
        <v/>
      </c>
      <c r="BH147" s="209" t="str">
        <f>IFERROR(VLOOKUP(TableHandbook[[#This Row],[UDC]],TableSTRUVARTM[],7,FALSE),"")</f>
        <v>Core</v>
      </c>
    </row>
    <row r="148" spans="1:60" ht="26.25" x14ac:dyDescent="0.25">
      <c r="A148" s="6" t="s">
        <v>464</v>
      </c>
      <c r="B148" s="7">
        <v>1</v>
      </c>
      <c r="C148" s="7"/>
      <c r="D148" s="207" t="s">
        <v>952</v>
      </c>
      <c r="E148" s="7">
        <v>25</v>
      </c>
      <c r="F148" s="312" t="s">
        <v>830</v>
      </c>
      <c r="G148" s="75" t="str">
        <f>IFERROR(IF(VLOOKUP(TableHandbook[[#This Row],[UDC]],TableAvailabilities[],2,FALSE)&gt;0,"Y",""),"")</f>
        <v>Y</v>
      </c>
      <c r="H148" s="75" t="str">
        <f>IFERROR(IF(VLOOKUP(TableHandbook[[#This Row],[UDC]],TableAvailabilities[],3,FALSE)&gt;0,"Y",""),"")</f>
        <v>Y</v>
      </c>
      <c r="I148" s="75" t="str">
        <f>IFERROR(IF(VLOOKUP(TableHandbook[[#This Row],[UDC]],TableAvailabilities[],4,FALSE)&gt;0,"Y",""),"")</f>
        <v/>
      </c>
      <c r="J148" s="75" t="str">
        <f>IFERROR(IF(VLOOKUP(TableHandbook[[#This Row],[UDC]],TableAvailabilities[],5,FALSE)&gt;0,"Y",""),"")</f>
        <v/>
      </c>
      <c r="K148" s="75" t="str">
        <f>IFERROR(IF(VLOOKUP(TableHandbook[[#This Row],[UDC]],TableAvailabilities[],6,FALSE)&gt;0,"Y",""),"")</f>
        <v/>
      </c>
      <c r="L148" s="75" t="str">
        <f>IFERROR(IF(VLOOKUP(TableHandbook[[#This Row],[UDC]],TableAvailabilities[],7,FALSE)&gt;0,"Y",""),"")</f>
        <v/>
      </c>
      <c r="M148" s="314" t="s">
        <v>944</v>
      </c>
      <c r="N148" s="209" t="str">
        <f>IFERROR(VLOOKUP(TableHandbook[[#This Row],[UDC]],TableBEDUC[],7,FALSE),"")</f>
        <v/>
      </c>
      <c r="O148" s="209" t="str">
        <f>IFERROR(VLOOKUP(TableHandbook[[#This Row],[UDC]],TableBEDEC[],7,FALSE),"")</f>
        <v/>
      </c>
      <c r="P148" s="211" t="str">
        <f>IFERROR(VLOOKUP(TableHandbook[[#This Row],[UDC]],TableBEDPR[],7,FALSE),"")</f>
        <v/>
      </c>
      <c r="Q148" s="209" t="str">
        <f>IFERROR(VLOOKUP(TableHandbook[[#This Row],[UDC]],TableSTRUCATHL[],7,FALSE),"")</f>
        <v/>
      </c>
      <c r="R148" s="209" t="str">
        <f>IFERROR(VLOOKUP(TableHandbook[[#This Row],[UDC]],TableSTRUENGLL[],7,FALSE),"")</f>
        <v/>
      </c>
      <c r="S148" s="209" t="str">
        <f>IFERROR(VLOOKUP(TableHandbook[[#This Row],[UDC]],TableSTRUHLTPE[],7,FALSE),"")</f>
        <v/>
      </c>
      <c r="T148" s="209" t="str">
        <f>IFERROR(VLOOKUP(TableHandbook[[#This Row],[UDC]],TableSTRUISTEM[],7,FALSE),"")</f>
        <v/>
      </c>
      <c r="U148" s="209" t="str">
        <f>IFERROR(VLOOKUP(TableHandbook[[#This Row],[UDC]],TableSTRULITNU[],7,FALSE),"")</f>
        <v/>
      </c>
      <c r="V148" s="209" t="str">
        <f>IFERROR(VLOOKUP(TableHandbook[[#This Row],[UDC]],TableSTRUTECHS[],7,FALSE),"")</f>
        <v/>
      </c>
      <c r="W148" s="211" t="str">
        <f>IFERROR(VLOOKUP(TableHandbook[[#This Row],[UDC]],TableBEDSC[],7,FALSE),"")</f>
        <v/>
      </c>
      <c r="X148" s="211" t="str">
        <f>IFERROR(VLOOKUP(TableHandbook[[#This Row],[UDC]],TableMJRUARDR1[],7,FALSE),"")</f>
        <v/>
      </c>
      <c r="Y148" s="209" t="str">
        <f>IFERROR(VLOOKUP(TableHandbook[[#This Row],[UDC]],TableMJRUARME1[],7,FALSE),"")</f>
        <v/>
      </c>
      <c r="Z148" s="209" t="str">
        <f>IFERROR(VLOOKUP(TableHandbook[[#This Row],[UDC]],TableMJRUARVA1[],7,FALSE),"")</f>
        <v/>
      </c>
      <c r="AA148" s="209" t="str">
        <f>IFERROR(VLOOKUP(TableHandbook[[#This Row],[UDC]],TableMJRUENGL1[],7,FALSE),"")</f>
        <v>Core</v>
      </c>
      <c r="AB148" s="209" t="str">
        <f>IFERROR(VLOOKUP(TableHandbook[[#This Row],[UDC]],TableMJRUHSEC1[],7,FALSE),"")</f>
        <v/>
      </c>
      <c r="AC148" s="209" t="str">
        <f>IFERROR(VLOOKUP(TableHandbook[[#This Row],[UDC]],TableMJRUHSGE1[],7,FALSE),"")</f>
        <v/>
      </c>
      <c r="AD148" s="209" t="str">
        <f>IFERROR(VLOOKUP(TableHandbook[[#This Row],[UDC]],TableMJRUHSHI1[],7,FALSE),"")</f>
        <v/>
      </c>
      <c r="AE148" s="209" t="str">
        <f>IFERROR(VLOOKUP(TableHandbook[[#This Row],[UDC]],TableMJRUHSPL1[],7,FALSE),"")</f>
        <v/>
      </c>
      <c r="AF148" s="209" t="str">
        <f>IFERROR(VLOOKUP(TableHandbook[[#This Row],[UDC]],TableMJRUMATH1[],7,FALSE),"")</f>
        <v/>
      </c>
      <c r="AG148" s="209" t="str">
        <f>IFERROR(VLOOKUP(TableHandbook[[#This Row],[UDC]],TableMJRUPHYSE[],7,FALSE),"")</f>
        <v/>
      </c>
      <c r="AH148" s="209" t="str">
        <f>IFERROR(VLOOKUP(TableHandbook[[#This Row],[UDC]],TableMJRUSCBI1[],7,FALSE),"")</f>
        <v/>
      </c>
      <c r="AI148" s="209" t="str">
        <f>IFERROR(VLOOKUP(TableHandbook[[#This Row],[UDC]],TableMJRUSCCH1[],7,FALSE),"")</f>
        <v/>
      </c>
      <c r="AJ148" s="209" t="str">
        <f>IFERROR(VLOOKUP(TableHandbook[[#This Row],[UDC]],TableMJRUSCHB1[],7,FALSE),"")</f>
        <v/>
      </c>
      <c r="AK148" s="209" t="str">
        <f>IFERROR(VLOOKUP(TableHandbook[[#This Row],[UDC]],TableMJRUSCPH1[],7,FALSE),"")</f>
        <v/>
      </c>
      <c r="AL148" s="209" t="str">
        <f>IFERROR(VLOOKUP(TableHandbook[[#This Row],[UDC]],TableMJRUSCPS1[],7,FALSE),"")</f>
        <v/>
      </c>
      <c r="AM148" s="211" t="str">
        <f>IFERROR(VLOOKUP(TableHandbook[[#This Row],[UDC]],TableSTRUBIOLB[],7,FALSE),"")</f>
        <v/>
      </c>
      <c r="AN148" s="209" t="str">
        <f>IFERROR(VLOOKUP(TableHandbook[[#This Row],[UDC]],TableSTRUBSCIM[],7,FALSE),"")</f>
        <v/>
      </c>
      <c r="AO148" s="209" t="str">
        <f>IFERROR(VLOOKUP(TableHandbook[[#This Row],[UDC]],TableSTRUCHEMB[],7,FALSE),"")</f>
        <v/>
      </c>
      <c r="AP148" s="209" t="str">
        <f>IFERROR(VLOOKUP(TableHandbook[[#This Row],[UDC]],TableSTRUECOB1[],7,FALSE),"")</f>
        <v/>
      </c>
      <c r="AQ148" s="209" t="str">
        <f>IFERROR(VLOOKUP(TableHandbook[[#This Row],[UDC]],TableSTRUENGLB[],7,FALSE),"")</f>
        <v/>
      </c>
      <c r="AR148" s="209" t="str">
        <f>IFERROR(VLOOKUP(TableHandbook[[#This Row],[UDC]],TableSTRUENGLM[],7,FALSE),"")</f>
        <v>Core</v>
      </c>
      <c r="AS148" s="209" t="str">
        <f>IFERROR(VLOOKUP(TableHandbook[[#This Row],[UDC]],TableSTRUGEOB1[],7,FALSE),"")</f>
        <v/>
      </c>
      <c r="AT148" s="209" t="str">
        <f>IFERROR(VLOOKUP(TableHandbook[[#This Row],[UDC]],TableSTRUGEOGM[],7,FALSE),"")</f>
        <v/>
      </c>
      <c r="AU148" s="209" t="str">
        <f>IFERROR(VLOOKUP(TableHandbook[[#This Row],[UDC]],TableSTRUHISB1[],7,FALSE),"")</f>
        <v/>
      </c>
      <c r="AV148" s="209" t="str">
        <f>IFERROR(VLOOKUP(TableHandbook[[#This Row],[UDC]],TableSTRUHISTM[],7,FALSE),"")</f>
        <v/>
      </c>
      <c r="AW148" s="209" t="str">
        <f>IFERROR(VLOOKUP(TableHandbook[[#This Row],[UDC]],TableSTRUHPEB1[],7,FALSE),"")</f>
        <v/>
      </c>
      <c r="AX148" s="209" t="str">
        <f>IFERROR(VLOOKUP(TableHandbook[[#This Row],[UDC]],TableSTRUHUMBB[],7,FALSE),"")</f>
        <v/>
      </c>
      <c r="AY148" s="209" t="str">
        <f>IFERROR(VLOOKUP(TableHandbook[[#This Row],[UDC]],TableSTRUMARTM[],7,FALSE),"")</f>
        <v/>
      </c>
      <c r="AZ148" s="209" t="str">
        <f>IFERROR(VLOOKUP(TableHandbook[[#This Row],[UDC]],TableSTRUMATHB[],7,FALSE),"")</f>
        <v/>
      </c>
      <c r="BA148" s="209" t="str">
        <f>IFERROR(VLOOKUP(TableHandbook[[#This Row],[UDC]],TableSTRUMATHM[],7,FALSE),"")</f>
        <v/>
      </c>
      <c r="BB148" s="209" t="str">
        <f>IFERROR(VLOOKUP(TableHandbook[[#This Row],[UDC]],TableSTRUPARTB[],7,FALSE),"")</f>
        <v/>
      </c>
      <c r="BC148" s="209" t="str">
        <f>IFERROR(VLOOKUP(TableHandbook[[#This Row],[UDC]],TableSTRUPARTM[],7,FALSE),"")</f>
        <v/>
      </c>
      <c r="BD148" s="209" t="str">
        <f>IFERROR(VLOOKUP(TableHandbook[[#This Row],[UDC]],TableSTRUPOLB1[],7,FALSE),"")</f>
        <v/>
      </c>
      <c r="BE148" s="209" t="str">
        <f>IFERROR(VLOOKUP(TableHandbook[[#This Row],[UDC]],TableSTRUPSYCB[],7,FALSE),"")</f>
        <v/>
      </c>
      <c r="BF148" s="209" t="str">
        <f>IFERROR(VLOOKUP(TableHandbook[[#This Row],[UDC]],TableSTRUPSYCM[],7,FALSE),"")</f>
        <v/>
      </c>
      <c r="BG148" s="209" t="str">
        <f>IFERROR(VLOOKUP(TableHandbook[[#This Row],[UDC]],TableSTRUVARTB[],7,FALSE),"")</f>
        <v/>
      </c>
      <c r="BH148" s="209" t="str">
        <f>IFERROR(VLOOKUP(TableHandbook[[#This Row],[UDC]],TableSTRUVARTM[],7,FALSE),"")</f>
        <v/>
      </c>
    </row>
    <row r="149" spans="1:60" x14ac:dyDescent="0.25">
      <c r="A149" s="6" t="s">
        <v>463</v>
      </c>
      <c r="B149" s="7">
        <v>1</v>
      </c>
      <c r="C149" s="7"/>
      <c r="D149" s="207" t="s">
        <v>953</v>
      </c>
      <c r="E149" s="7">
        <v>25</v>
      </c>
      <c r="F149" s="311" t="s">
        <v>830</v>
      </c>
      <c r="G149" s="75" t="str">
        <f>IFERROR(IF(VLOOKUP(TableHandbook[[#This Row],[UDC]],TableAvailabilities[],2,FALSE)&gt;0,"Y",""),"")</f>
        <v>Y</v>
      </c>
      <c r="H149" s="75" t="str">
        <f>IFERROR(IF(VLOOKUP(TableHandbook[[#This Row],[UDC]],TableAvailabilities[],3,FALSE)&gt;0,"Y",""),"")</f>
        <v>Y</v>
      </c>
      <c r="I149" s="75" t="str">
        <f>IFERROR(IF(VLOOKUP(TableHandbook[[#This Row],[UDC]],TableAvailabilities[],4,FALSE)&gt;0,"Y",""),"")</f>
        <v/>
      </c>
      <c r="J149" s="75" t="str">
        <f>IFERROR(IF(VLOOKUP(TableHandbook[[#This Row],[UDC]],TableAvailabilities[],5,FALSE)&gt;0,"Y",""),"")</f>
        <v/>
      </c>
      <c r="K149" s="75" t="str">
        <f>IFERROR(IF(VLOOKUP(TableHandbook[[#This Row],[UDC]],TableAvailabilities[],6,FALSE)&gt;0,"Y",""),"")</f>
        <v/>
      </c>
      <c r="L149" s="75" t="str">
        <f>IFERROR(IF(VLOOKUP(TableHandbook[[#This Row],[UDC]],TableAvailabilities[],7,FALSE)&gt;0,"Y",""),"")</f>
        <v/>
      </c>
      <c r="M149" s="207"/>
      <c r="N149" s="209" t="str">
        <f>IFERROR(VLOOKUP(TableHandbook[[#This Row],[UDC]],TableBEDUC[],7,FALSE),"")</f>
        <v/>
      </c>
      <c r="O149" s="209" t="str">
        <f>IFERROR(VLOOKUP(TableHandbook[[#This Row],[UDC]],TableBEDEC[],7,FALSE),"")</f>
        <v/>
      </c>
      <c r="P149" s="211" t="str">
        <f>IFERROR(VLOOKUP(TableHandbook[[#This Row],[UDC]],TableBEDPR[],7,FALSE),"")</f>
        <v/>
      </c>
      <c r="Q149" s="209" t="str">
        <f>IFERROR(VLOOKUP(TableHandbook[[#This Row],[UDC]],TableSTRUCATHL[],7,FALSE),"")</f>
        <v/>
      </c>
      <c r="R149" s="209" t="str">
        <f>IFERROR(VLOOKUP(TableHandbook[[#This Row],[UDC]],TableSTRUENGLL[],7,FALSE),"")</f>
        <v/>
      </c>
      <c r="S149" s="209" t="str">
        <f>IFERROR(VLOOKUP(TableHandbook[[#This Row],[UDC]],TableSTRUHLTPE[],7,FALSE),"")</f>
        <v/>
      </c>
      <c r="T149" s="209" t="str">
        <f>IFERROR(VLOOKUP(TableHandbook[[#This Row],[UDC]],TableSTRUISTEM[],7,FALSE),"")</f>
        <v/>
      </c>
      <c r="U149" s="209" t="str">
        <f>IFERROR(VLOOKUP(TableHandbook[[#This Row],[UDC]],TableSTRULITNU[],7,FALSE),"")</f>
        <v/>
      </c>
      <c r="V149" s="209" t="str">
        <f>IFERROR(VLOOKUP(TableHandbook[[#This Row],[UDC]],TableSTRUTECHS[],7,FALSE),"")</f>
        <v/>
      </c>
      <c r="W149" s="211" t="str">
        <f>IFERROR(VLOOKUP(TableHandbook[[#This Row],[UDC]],TableBEDSC[],7,FALSE),"")</f>
        <v/>
      </c>
      <c r="X149" s="211" t="str">
        <f>IFERROR(VLOOKUP(TableHandbook[[#This Row],[UDC]],TableMJRUARDR1[],7,FALSE),"")</f>
        <v>Core</v>
      </c>
      <c r="Y149" s="209" t="str">
        <f>IFERROR(VLOOKUP(TableHandbook[[#This Row],[UDC]],TableMJRUARME1[],7,FALSE),"")</f>
        <v>Core</v>
      </c>
      <c r="Z149" s="209" t="str">
        <f>IFERROR(VLOOKUP(TableHandbook[[#This Row],[UDC]],TableMJRUARVA1[],7,FALSE),"")</f>
        <v>Core</v>
      </c>
      <c r="AA149" s="209" t="str">
        <f>IFERROR(VLOOKUP(TableHandbook[[#This Row],[UDC]],TableMJRUENGL1[],7,FALSE),"")</f>
        <v/>
      </c>
      <c r="AB149" s="209" t="str">
        <f>IFERROR(VLOOKUP(TableHandbook[[#This Row],[UDC]],TableMJRUHSEC1[],7,FALSE),"")</f>
        <v/>
      </c>
      <c r="AC149" s="209" t="str">
        <f>IFERROR(VLOOKUP(TableHandbook[[#This Row],[UDC]],TableMJRUHSGE1[],7,FALSE),"")</f>
        <v/>
      </c>
      <c r="AD149" s="209" t="str">
        <f>IFERROR(VLOOKUP(TableHandbook[[#This Row],[UDC]],TableMJRUHSHI1[],7,FALSE),"")</f>
        <v/>
      </c>
      <c r="AE149" s="209" t="str">
        <f>IFERROR(VLOOKUP(TableHandbook[[#This Row],[UDC]],TableMJRUHSPL1[],7,FALSE),"")</f>
        <v/>
      </c>
      <c r="AF149" s="209" t="str">
        <f>IFERROR(VLOOKUP(TableHandbook[[#This Row],[UDC]],TableMJRUMATH1[],7,FALSE),"")</f>
        <v/>
      </c>
      <c r="AG149" s="209" t="str">
        <f>IFERROR(VLOOKUP(TableHandbook[[#This Row],[UDC]],TableMJRUPHYSE[],7,FALSE),"")</f>
        <v/>
      </c>
      <c r="AH149" s="209" t="str">
        <f>IFERROR(VLOOKUP(TableHandbook[[#This Row],[UDC]],TableMJRUSCBI1[],7,FALSE),"")</f>
        <v/>
      </c>
      <c r="AI149" s="209" t="str">
        <f>IFERROR(VLOOKUP(TableHandbook[[#This Row],[UDC]],TableMJRUSCCH1[],7,FALSE),"")</f>
        <v/>
      </c>
      <c r="AJ149" s="209" t="str">
        <f>IFERROR(VLOOKUP(TableHandbook[[#This Row],[UDC]],TableMJRUSCHB1[],7,FALSE),"")</f>
        <v/>
      </c>
      <c r="AK149" s="209" t="str">
        <f>IFERROR(VLOOKUP(TableHandbook[[#This Row],[UDC]],TableMJRUSCPH1[],7,FALSE),"")</f>
        <v/>
      </c>
      <c r="AL149" s="209" t="str">
        <f>IFERROR(VLOOKUP(TableHandbook[[#This Row],[UDC]],TableMJRUSCPS1[],7,FALSE),"")</f>
        <v/>
      </c>
      <c r="AM149" s="211" t="str">
        <f>IFERROR(VLOOKUP(TableHandbook[[#This Row],[UDC]],TableSTRUBIOLB[],7,FALSE),"")</f>
        <v/>
      </c>
      <c r="AN149" s="209" t="str">
        <f>IFERROR(VLOOKUP(TableHandbook[[#This Row],[UDC]],TableSTRUBSCIM[],7,FALSE),"")</f>
        <v/>
      </c>
      <c r="AO149" s="209" t="str">
        <f>IFERROR(VLOOKUP(TableHandbook[[#This Row],[UDC]],TableSTRUCHEMB[],7,FALSE),"")</f>
        <v/>
      </c>
      <c r="AP149" s="209" t="str">
        <f>IFERROR(VLOOKUP(TableHandbook[[#This Row],[UDC]],TableSTRUECOB1[],7,FALSE),"")</f>
        <v/>
      </c>
      <c r="AQ149" s="209" t="str">
        <f>IFERROR(VLOOKUP(TableHandbook[[#This Row],[UDC]],TableSTRUENGLB[],7,FALSE),"")</f>
        <v/>
      </c>
      <c r="AR149" s="209" t="str">
        <f>IFERROR(VLOOKUP(TableHandbook[[#This Row],[UDC]],TableSTRUENGLM[],7,FALSE),"")</f>
        <v/>
      </c>
      <c r="AS149" s="209" t="str">
        <f>IFERROR(VLOOKUP(TableHandbook[[#This Row],[UDC]],TableSTRUGEOB1[],7,FALSE),"")</f>
        <v/>
      </c>
      <c r="AT149" s="209" t="str">
        <f>IFERROR(VLOOKUP(TableHandbook[[#This Row],[UDC]],TableSTRUGEOGM[],7,FALSE),"")</f>
        <v/>
      </c>
      <c r="AU149" s="209" t="str">
        <f>IFERROR(VLOOKUP(TableHandbook[[#This Row],[UDC]],TableSTRUHISB1[],7,FALSE),"")</f>
        <v/>
      </c>
      <c r="AV149" s="209" t="str">
        <f>IFERROR(VLOOKUP(TableHandbook[[#This Row],[UDC]],TableSTRUHISTM[],7,FALSE),"")</f>
        <v/>
      </c>
      <c r="AW149" s="209" t="str">
        <f>IFERROR(VLOOKUP(TableHandbook[[#This Row],[UDC]],TableSTRUHPEB1[],7,FALSE),"")</f>
        <v/>
      </c>
      <c r="AX149" s="209" t="str">
        <f>IFERROR(VLOOKUP(TableHandbook[[#This Row],[UDC]],TableSTRUHUMBB[],7,FALSE),"")</f>
        <v/>
      </c>
      <c r="AY149" s="209" t="str">
        <f>IFERROR(VLOOKUP(TableHandbook[[#This Row],[UDC]],TableSTRUMARTM[],7,FALSE),"")</f>
        <v>Core</v>
      </c>
      <c r="AZ149" s="209" t="str">
        <f>IFERROR(VLOOKUP(TableHandbook[[#This Row],[UDC]],TableSTRUMATHB[],7,FALSE),"")</f>
        <v/>
      </c>
      <c r="BA149" s="209" t="str">
        <f>IFERROR(VLOOKUP(TableHandbook[[#This Row],[UDC]],TableSTRUMATHM[],7,FALSE),"")</f>
        <v/>
      </c>
      <c r="BB149" s="209" t="str">
        <f>IFERROR(VLOOKUP(TableHandbook[[#This Row],[UDC]],TableSTRUPARTB[],7,FALSE),"")</f>
        <v/>
      </c>
      <c r="BC149" s="209" t="str">
        <f>IFERROR(VLOOKUP(TableHandbook[[#This Row],[UDC]],TableSTRUPARTM[],7,FALSE),"")</f>
        <v>Core</v>
      </c>
      <c r="BD149" s="209" t="str">
        <f>IFERROR(VLOOKUP(TableHandbook[[#This Row],[UDC]],TableSTRUPOLB1[],7,FALSE),"")</f>
        <v/>
      </c>
      <c r="BE149" s="209" t="str">
        <f>IFERROR(VLOOKUP(TableHandbook[[#This Row],[UDC]],TableSTRUPSYCB[],7,FALSE),"")</f>
        <v/>
      </c>
      <c r="BF149" s="209" t="str">
        <f>IFERROR(VLOOKUP(TableHandbook[[#This Row],[UDC]],TableSTRUPSYCM[],7,FALSE),"")</f>
        <v/>
      </c>
      <c r="BG149" s="209" t="str">
        <f>IFERROR(VLOOKUP(TableHandbook[[#This Row],[UDC]],TableSTRUVARTB[],7,FALSE),"")</f>
        <v/>
      </c>
      <c r="BH149" s="209" t="str">
        <f>IFERROR(VLOOKUP(TableHandbook[[#This Row],[UDC]],TableSTRUVARTM[],7,FALSE),"")</f>
        <v>Core</v>
      </c>
    </row>
    <row r="150" spans="1:60" x14ac:dyDescent="0.25">
      <c r="A150" s="6" t="s">
        <v>477</v>
      </c>
      <c r="B150" s="7">
        <v>1</v>
      </c>
      <c r="C150" s="7"/>
      <c r="D150" s="207" t="s">
        <v>954</v>
      </c>
      <c r="E150" s="7">
        <v>25</v>
      </c>
      <c r="F150" s="312" t="s">
        <v>783</v>
      </c>
      <c r="G150" s="75" t="str">
        <f>IFERROR(IF(VLOOKUP(TableHandbook[[#This Row],[UDC]],TableAvailabilities[],2,FALSE)&gt;0,"Y",""),"")</f>
        <v>Y</v>
      </c>
      <c r="H150" s="75" t="str">
        <f>IFERROR(IF(VLOOKUP(TableHandbook[[#This Row],[UDC]],TableAvailabilities[],3,FALSE)&gt;0,"Y",""),"")</f>
        <v>Y</v>
      </c>
      <c r="I150" s="75" t="str">
        <f>IFERROR(IF(VLOOKUP(TableHandbook[[#This Row],[UDC]],TableAvailabilities[],4,FALSE)&gt;0,"Y",""),"")</f>
        <v/>
      </c>
      <c r="J150" s="75" t="str">
        <f>IFERROR(IF(VLOOKUP(TableHandbook[[#This Row],[UDC]],TableAvailabilities[],5,FALSE)&gt;0,"Y",""),"")</f>
        <v/>
      </c>
      <c r="K150" s="75" t="str">
        <f>IFERROR(IF(VLOOKUP(TableHandbook[[#This Row],[UDC]],TableAvailabilities[],6,FALSE)&gt;0,"Y",""),"")</f>
        <v/>
      </c>
      <c r="L150" s="75" t="str">
        <f>IFERROR(IF(VLOOKUP(TableHandbook[[#This Row],[UDC]],TableAvailabilities[],7,FALSE)&gt;0,"Y",""),"")</f>
        <v/>
      </c>
      <c r="M150" s="309" t="s">
        <v>955</v>
      </c>
      <c r="N150" s="209" t="str">
        <f>IFERROR(VLOOKUP(TableHandbook[[#This Row],[UDC]],TableBEDUC[],7,FALSE),"")</f>
        <v/>
      </c>
      <c r="O150" s="209" t="str">
        <f>IFERROR(VLOOKUP(TableHandbook[[#This Row],[UDC]],TableBEDEC[],7,FALSE),"")</f>
        <v/>
      </c>
      <c r="P150" s="211" t="str">
        <f>IFERROR(VLOOKUP(TableHandbook[[#This Row],[UDC]],TableBEDPR[],7,FALSE),"")</f>
        <v/>
      </c>
      <c r="Q150" s="209" t="str">
        <f>IFERROR(VLOOKUP(TableHandbook[[#This Row],[UDC]],TableSTRUCATHL[],7,FALSE),"")</f>
        <v/>
      </c>
      <c r="R150" s="209" t="str">
        <f>IFERROR(VLOOKUP(TableHandbook[[#This Row],[UDC]],TableSTRUENGLL[],7,FALSE),"")</f>
        <v/>
      </c>
      <c r="S150" s="209" t="str">
        <f>IFERROR(VLOOKUP(TableHandbook[[#This Row],[UDC]],TableSTRUHLTPE[],7,FALSE),"")</f>
        <v/>
      </c>
      <c r="T150" s="209" t="str">
        <f>IFERROR(VLOOKUP(TableHandbook[[#This Row],[UDC]],TableSTRUISTEM[],7,FALSE),"")</f>
        <v/>
      </c>
      <c r="U150" s="209" t="str">
        <f>IFERROR(VLOOKUP(TableHandbook[[#This Row],[UDC]],TableSTRULITNU[],7,FALSE),"")</f>
        <v/>
      </c>
      <c r="V150" s="209" t="str">
        <f>IFERROR(VLOOKUP(TableHandbook[[#This Row],[UDC]],TableSTRUTECHS[],7,FALSE),"")</f>
        <v/>
      </c>
      <c r="W150" s="211" t="str">
        <f>IFERROR(VLOOKUP(TableHandbook[[#This Row],[UDC]],TableBEDSC[],7,FALSE),"")</f>
        <v/>
      </c>
      <c r="X150" s="211" t="str">
        <f>IFERROR(VLOOKUP(TableHandbook[[#This Row],[UDC]],TableMJRUARDR1[],7,FALSE),"")</f>
        <v/>
      </c>
      <c r="Y150" s="209" t="str">
        <f>IFERROR(VLOOKUP(TableHandbook[[#This Row],[UDC]],TableMJRUARME1[],7,FALSE),"")</f>
        <v/>
      </c>
      <c r="Z150" s="209" t="str">
        <f>IFERROR(VLOOKUP(TableHandbook[[#This Row],[UDC]],TableMJRUARVA1[],7,FALSE),"")</f>
        <v/>
      </c>
      <c r="AA150" s="209" t="str">
        <f>IFERROR(VLOOKUP(TableHandbook[[#This Row],[UDC]],TableMJRUENGL1[],7,FALSE),"")</f>
        <v/>
      </c>
      <c r="AB150" s="209" t="str">
        <f>IFERROR(VLOOKUP(TableHandbook[[#This Row],[UDC]],TableMJRUHSEC1[],7,FALSE),"")</f>
        <v/>
      </c>
      <c r="AC150" s="209" t="str">
        <f>IFERROR(VLOOKUP(TableHandbook[[#This Row],[UDC]],TableMJRUHSGE1[],7,FALSE),"")</f>
        <v/>
      </c>
      <c r="AD150" s="209" t="str">
        <f>IFERROR(VLOOKUP(TableHandbook[[#This Row],[UDC]],TableMJRUHSHI1[],7,FALSE),"")</f>
        <v/>
      </c>
      <c r="AE150" s="209" t="str">
        <f>IFERROR(VLOOKUP(TableHandbook[[#This Row],[UDC]],TableMJRUHSPL1[],7,FALSE),"")</f>
        <v/>
      </c>
      <c r="AF150" s="209" t="str">
        <f>IFERROR(VLOOKUP(TableHandbook[[#This Row],[UDC]],TableMJRUMATH1[],7,FALSE),"")</f>
        <v/>
      </c>
      <c r="AG150" s="209" t="str">
        <f>IFERROR(VLOOKUP(TableHandbook[[#This Row],[UDC]],TableMJRUPHYSE[],7,FALSE),"")</f>
        <v>Core</v>
      </c>
      <c r="AH150" s="209" t="str">
        <f>IFERROR(VLOOKUP(TableHandbook[[#This Row],[UDC]],TableMJRUSCBI1[],7,FALSE),"")</f>
        <v/>
      </c>
      <c r="AI150" s="209" t="str">
        <f>IFERROR(VLOOKUP(TableHandbook[[#This Row],[UDC]],TableMJRUSCCH1[],7,FALSE),"")</f>
        <v/>
      </c>
      <c r="AJ150" s="209" t="str">
        <f>IFERROR(VLOOKUP(TableHandbook[[#This Row],[UDC]],TableMJRUSCHB1[],7,FALSE),"")</f>
        <v/>
      </c>
      <c r="AK150" s="209" t="str">
        <f>IFERROR(VLOOKUP(TableHandbook[[#This Row],[UDC]],TableMJRUSCPH1[],7,FALSE),"")</f>
        <v/>
      </c>
      <c r="AL150" s="209" t="str">
        <f>IFERROR(VLOOKUP(TableHandbook[[#This Row],[UDC]],TableMJRUSCPS1[],7,FALSE),"")</f>
        <v/>
      </c>
      <c r="AM150" s="211" t="str">
        <f>IFERROR(VLOOKUP(TableHandbook[[#This Row],[UDC]],TableSTRUBIOLB[],7,FALSE),"")</f>
        <v/>
      </c>
      <c r="AN150" s="209" t="str">
        <f>IFERROR(VLOOKUP(TableHandbook[[#This Row],[UDC]],TableSTRUBSCIM[],7,FALSE),"")</f>
        <v/>
      </c>
      <c r="AO150" s="209" t="str">
        <f>IFERROR(VLOOKUP(TableHandbook[[#This Row],[UDC]],TableSTRUCHEMB[],7,FALSE),"")</f>
        <v/>
      </c>
      <c r="AP150" s="209" t="str">
        <f>IFERROR(VLOOKUP(TableHandbook[[#This Row],[UDC]],TableSTRUECOB1[],7,FALSE),"")</f>
        <v/>
      </c>
      <c r="AQ150" s="209" t="str">
        <f>IFERROR(VLOOKUP(TableHandbook[[#This Row],[UDC]],TableSTRUENGLB[],7,FALSE),"")</f>
        <v/>
      </c>
      <c r="AR150" s="209" t="str">
        <f>IFERROR(VLOOKUP(TableHandbook[[#This Row],[UDC]],TableSTRUENGLM[],7,FALSE),"")</f>
        <v/>
      </c>
      <c r="AS150" s="209" t="str">
        <f>IFERROR(VLOOKUP(TableHandbook[[#This Row],[UDC]],TableSTRUGEOB1[],7,FALSE),"")</f>
        <v/>
      </c>
      <c r="AT150" s="209" t="str">
        <f>IFERROR(VLOOKUP(TableHandbook[[#This Row],[UDC]],TableSTRUGEOGM[],7,FALSE),"")</f>
        <v/>
      </c>
      <c r="AU150" s="209" t="str">
        <f>IFERROR(VLOOKUP(TableHandbook[[#This Row],[UDC]],TableSTRUHISB1[],7,FALSE),"")</f>
        <v/>
      </c>
      <c r="AV150" s="209" t="str">
        <f>IFERROR(VLOOKUP(TableHandbook[[#This Row],[UDC]],TableSTRUHISTM[],7,FALSE),"")</f>
        <v/>
      </c>
      <c r="AW150" s="209" t="str">
        <f>IFERROR(VLOOKUP(TableHandbook[[#This Row],[UDC]],TableSTRUHPEB1[],7,FALSE),"")</f>
        <v/>
      </c>
      <c r="AX150" s="209" t="str">
        <f>IFERROR(VLOOKUP(TableHandbook[[#This Row],[UDC]],TableSTRUHUMBB[],7,FALSE),"")</f>
        <v/>
      </c>
      <c r="AY150" s="209" t="str">
        <f>IFERROR(VLOOKUP(TableHandbook[[#This Row],[UDC]],TableSTRUMARTM[],7,FALSE),"")</f>
        <v/>
      </c>
      <c r="AZ150" s="209" t="str">
        <f>IFERROR(VLOOKUP(TableHandbook[[#This Row],[UDC]],TableSTRUMATHB[],7,FALSE),"")</f>
        <v/>
      </c>
      <c r="BA150" s="209" t="str">
        <f>IFERROR(VLOOKUP(TableHandbook[[#This Row],[UDC]],TableSTRUMATHM[],7,FALSE),"")</f>
        <v/>
      </c>
      <c r="BB150" s="209" t="str">
        <f>IFERROR(VLOOKUP(TableHandbook[[#This Row],[UDC]],TableSTRUPARTB[],7,FALSE),"")</f>
        <v/>
      </c>
      <c r="BC150" s="209" t="str">
        <f>IFERROR(VLOOKUP(TableHandbook[[#This Row],[UDC]],TableSTRUPARTM[],7,FALSE),"")</f>
        <v/>
      </c>
      <c r="BD150" s="209" t="str">
        <f>IFERROR(VLOOKUP(TableHandbook[[#This Row],[UDC]],TableSTRUPOLB1[],7,FALSE),"")</f>
        <v/>
      </c>
      <c r="BE150" s="209" t="str">
        <f>IFERROR(VLOOKUP(TableHandbook[[#This Row],[UDC]],TableSTRUPSYCB[],7,FALSE),"")</f>
        <v/>
      </c>
      <c r="BF150" s="209" t="str">
        <f>IFERROR(VLOOKUP(TableHandbook[[#This Row],[UDC]],TableSTRUPSYCM[],7,FALSE),"")</f>
        <v/>
      </c>
      <c r="BG150" s="209" t="str">
        <f>IFERROR(VLOOKUP(TableHandbook[[#This Row],[UDC]],TableSTRUVARTB[],7,FALSE),"")</f>
        <v/>
      </c>
      <c r="BH150" s="209" t="str">
        <f>IFERROR(VLOOKUP(TableHandbook[[#This Row],[UDC]],TableSTRUVARTM[],7,FALSE),"")</f>
        <v/>
      </c>
    </row>
    <row r="151" spans="1:60" x14ac:dyDescent="0.25">
      <c r="A151" s="6" t="s">
        <v>488</v>
      </c>
      <c r="B151" s="7">
        <v>1</v>
      </c>
      <c r="C151" s="7"/>
      <c r="D151" s="207" t="s">
        <v>956</v>
      </c>
      <c r="E151" s="7">
        <v>25</v>
      </c>
      <c r="F151" s="311" t="s">
        <v>477</v>
      </c>
      <c r="G151" s="75" t="str">
        <f>IFERROR(IF(VLOOKUP(TableHandbook[[#This Row],[UDC]],TableAvailabilities[],2,FALSE)&gt;0,"Y",""),"")</f>
        <v/>
      </c>
      <c r="H151" s="75" t="str">
        <f>IFERROR(IF(VLOOKUP(TableHandbook[[#This Row],[UDC]],TableAvailabilities[],3,FALSE)&gt;0,"Y",""),"")</f>
        <v/>
      </c>
      <c r="I151" s="75" t="str">
        <f>IFERROR(IF(VLOOKUP(TableHandbook[[#This Row],[UDC]],TableAvailabilities[],4,FALSE)&gt;0,"Y",""),"")</f>
        <v/>
      </c>
      <c r="J151" s="75" t="str">
        <f>IFERROR(IF(VLOOKUP(TableHandbook[[#This Row],[UDC]],TableAvailabilities[],5,FALSE)&gt;0,"Y",""),"")</f>
        <v>Y</v>
      </c>
      <c r="K151" s="75" t="str">
        <f>IFERROR(IF(VLOOKUP(TableHandbook[[#This Row],[UDC]],TableAvailabilities[],6,FALSE)&gt;0,"Y",""),"")</f>
        <v>Y</v>
      </c>
      <c r="L151" s="75" t="str">
        <f>IFERROR(IF(VLOOKUP(TableHandbook[[#This Row],[UDC]],TableAvailabilities[],7,FALSE)&gt;0,"Y",""),"")</f>
        <v/>
      </c>
      <c r="M151" s="207"/>
      <c r="N151" s="209" t="str">
        <f>IFERROR(VLOOKUP(TableHandbook[[#This Row],[UDC]],TableBEDUC[],7,FALSE),"")</f>
        <v/>
      </c>
      <c r="O151" s="209" t="str">
        <f>IFERROR(VLOOKUP(TableHandbook[[#This Row],[UDC]],TableBEDEC[],7,FALSE),"")</f>
        <v/>
      </c>
      <c r="P151" s="211" t="str">
        <f>IFERROR(VLOOKUP(TableHandbook[[#This Row],[UDC]],TableBEDPR[],7,FALSE),"")</f>
        <v/>
      </c>
      <c r="Q151" s="209" t="str">
        <f>IFERROR(VLOOKUP(TableHandbook[[#This Row],[UDC]],TableSTRUCATHL[],7,FALSE),"")</f>
        <v/>
      </c>
      <c r="R151" s="209" t="str">
        <f>IFERROR(VLOOKUP(TableHandbook[[#This Row],[UDC]],TableSTRUENGLL[],7,FALSE),"")</f>
        <v/>
      </c>
      <c r="S151" s="209" t="str">
        <f>IFERROR(VLOOKUP(TableHandbook[[#This Row],[UDC]],TableSTRUHLTPE[],7,FALSE),"")</f>
        <v/>
      </c>
      <c r="T151" s="209" t="str">
        <f>IFERROR(VLOOKUP(TableHandbook[[#This Row],[UDC]],TableSTRUISTEM[],7,FALSE),"")</f>
        <v/>
      </c>
      <c r="U151" s="209" t="str">
        <f>IFERROR(VLOOKUP(TableHandbook[[#This Row],[UDC]],TableSTRULITNU[],7,FALSE),"")</f>
        <v/>
      </c>
      <c r="V151" s="209" t="str">
        <f>IFERROR(VLOOKUP(TableHandbook[[#This Row],[UDC]],TableSTRUTECHS[],7,FALSE),"")</f>
        <v/>
      </c>
      <c r="W151" s="211" t="str">
        <f>IFERROR(VLOOKUP(TableHandbook[[#This Row],[UDC]],TableBEDSC[],7,FALSE),"")</f>
        <v/>
      </c>
      <c r="X151" s="211" t="str">
        <f>IFERROR(VLOOKUP(TableHandbook[[#This Row],[UDC]],TableMJRUARDR1[],7,FALSE),"")</f>
        <v/>
      </c>
      <c r="Y151" s="209" t="str">
        <f>IFERROR(VLOOKUP(TableHandbook[[#This Row],[UDC]],TableMJRUARME1[],7,FALSE),"")</f>
        <v/>
      </c>
      <c r="Z151" s="209" t="str">
        <f>IFERROR(VLOOKUP(TableHandbook[[#This Row],[UDC]],TableMJRUARVA1[],7,FALSE),"")</f>
        <v/>
      </c>
      <c r="AA151" s="209" t="str">
        <f>IFERROR(VLOOKUP(TableHandbook[[#This Row],[UDC]],TableMJRUENGL1[],7,FALSE),"")</f>
        <v/>
      </c>
      <c r="AB151" s="209" t="str">
        <f>IFERROR(VLOOKUP(TableHandbook[[#This Row],[UDC]],TableMJRUHSEC1[],7,FALSE),"")</f>
        <v/>
      </c>
      <c r="AC151" s="209" t="str">
        <f>IFERROR(VLOOKUP(TableHandbook[[#This Row],[UDC]],TableMJRUHSGE1[],7,FALSE),"")</f>
        <v/>
      </c>
      <c r="AD151" s="209" t="str">
        <f>IFERROR(VLOOKUP(TableHandbook[[#This Row],[UDC]],TableMJRUHSHI1[],7,FALSE),"")</f>
        <v/>
      </c>
      <c r="AE151" s="209" t="str">
        <f>IFERROR(VLOOKUP(TableHandbook[[#This Row],[UDC]],TableMJRUHSPL1[],7,FALSE),"")</f>
        <v/>
      </c>
      <c r="AF151" s="209" t="str">
        <f>IFERROR(VLOOKUP(TableHandbook[[#This Row],[UDC]],TableMJRUMATH1[],7,FALSE),"")</f>
        <v/>
      </c>
      <c r="AG151" s="209" t="str">
        <f>IFERROR(VLOOKUP(TableHandbook[[#This Row],[UDC]],TableMJRUPHYSE[],7,FALSE),"")</f>
        <v>Core</v>
      </c>
      <c r="AH151" s="209" t="str">
        <f>IFERROR(VLOOKUP(TableHandbook[[#This Row],[UDC]],TableMJRUSCBI1[],7,FALSE),"")</f>
        <v/>
      </c>
      <c r="AI151" s="209" t="str">
        <f>IFERROR(VLOOKUP(TableHandbook[[#This Row],[UDC]],TableMJRUSCCH1[],7,FALSE),"")</f>
        <v/>
      </c>
      <c r="AJ151" s="209" t="str">
        <f>IFERROR(VLOOKUP(TableHandbook[[#This Row],[UDC]],TableMJRUSCHB1[],7,FALSE),"")</f>
        <v/>
      </c>
      <c r="AK151" s="209" t="str">
        <f>IFERROR(VLOOKUP(TableHandbook[[#This Row],[UDC]],TableMJRUSCPH1[],7,FALSE),"")</f>
        <v/>
      </c>
      <c r="AL151" s="209" t="str">
        <f>IFERROR(VLOOKUP(TableHandbook[[#This Row],[UDC]],TableMJRUSCPS1[],7,FALSE),"")</f>
        <v/>
      </c>
      <c r="AM151" s="211" t="str">
        <f>IFERROR(VLOOKUP(TableHandbook[[#This Row],[UDC]],TableSTRUBIOLB[],7,FALSE),"")</f>
        <v/>
      </c>
      <c r="AN151" s="209" t="str">
        <f>IFERROR(VLOOKUP(TableHandbook[[#This Row],[UDC]],TableSTRUBSCIM[],7,FALSE),"")</f>
        <v/>
      </c>
      <c r="AO151" s="209" t="str">
        <f>IFERROR(VLOOKUP(TableHandbook[[#This Row],[UDC]],TableSTRUCHEMB[],7,FALSE),"")</f>
        <v/>
      </c>
      <c r="AP151" s="209" t="str">
        <f>IFERROR(VLOOKUP(TableHandbook[[#This Row],[UDC]],TableSTRUECOB1[],7,FALSE),"")</f>
        <v/>
      </c>
      <c r="AQ151" s="209" t="str">
        <f>IFERROR(VLOOKUP(TableHandbook[[#This Row],[UDC]],TableSTRUENGLB[],7,FALSE),"")</f>
        <v/>
      </c>
      <c r="AR151" s="209" t="str">
        <f>IFERROR(VLOOKUP(TableHandbook[[#This Row],[UDC]],TableSTRUENGLM[],7,FALSE),"")</f>
        <v/>
      </c>
      <c r="AS151" s="209" t="str">
        <f>IFERROR(VLOOKUP(TableHandbook[[#This Row],[UDC]],TableSTRUGEOB1[],7,FALSE),"")</f>
        <v/>
      </c>
      <c r="AT151" s="209" t="str">
        <f>IFERROR(VLOOKUP(TableHandbook[[#This Row],[UDC]],TableSTRUGEOGM[],7,FALSE),"")</f>
        <v/>
      </c>
      <c r="AU151" s="209" t="str">
        <f>IFERROR(VLOOKUP(TableHandbook[[#This Row],[UDC]],TableSTRUHISB1[],7,FALSE),"")</f>
        <v/>
      </c>
      <c r="AV151" s="209" t="str">
        <f>IFERROR(VLOOKUP(TableHandbook[[#This Row],[UDC]],TableSTRUHISTM[],7,FALSE),"")</f>
        <v/>
      </c>
      <c r="AW151" s="209" t="str">
        <f>IFERROR(VLOOKUP(TableHandbook[[#This Row],[UDC]],TableSTRUHPEB1[],7,FALSE),"")</f>
        <v/>
      </c>
      <c r="AX151" s="209" t="str">
        <f>IFERROR(VLOOKUP(TableHandbook[[#This Row],[UDC]],TableSTRUHUMBB[],7,FALSE),"")</f>
        <v/>
      </c>
      <c r="AY151" s="209" t="str">
        <f>IFERROR(VLOOKUP(TableHandbook[[#This Row],[UDC]],TableSTRUMARTM[],7,FALSE),"")</f>
        <v/>
      </c>
      <c r="AZ151" s="209" t="str">
        <f>IFERROR(VLOOKUP(TableHandbook[[#This Row],[UDC]],TableSTRUMATHB[],7,FALSE),"")</f>
        <v/>
      </c>
      <c r="BA151" s="209" t="str">
        <f>IFERROR(VLOOKUP(TableHandbook[[#This Row],[UDC]],TableSTRUMATHM[],7,FALSE),"")</f>
        <v/>
      </c>
      <c r="BB151" s="209" t="str">
        <f>IFERROR(VLOOKUP(TableHandbook[[#This Row],[UDC]],TableSTRUPARTB[],7,FALSE),"")</f>
        <v/>
      </c>
      <c r="BC151" s="209" t="str">
        <f>IFERROR(VLOOKUP(TableHandbook[[#This Row],[UDC]],TableSTRUPARTM[],7,FALSE),"")</f>
        <v/>
      </c>
      <c r="BD151" s="209" t="str">
        <f>IFERROR(VLOOKUP(TableHandbook[[#This Row],[UDC]],TableSTRUPOLB1[],7,FALSE),"")</f>
        <v/>
      </c>
      <c r="BE151" s="209" t="str">
        <f>IFERROR(VLOOKUP(TableHandbook[[#This Row],[UDC]],TableSTRUPSYCB[],7,FALSE),"")</f>
        <v/>
      </c>
      <c r="BF151" s="209" t="str">
        <f>IFERROR(VLOOKUP(TableHandbook[[#This Row],[UDC]],TableSTRUPSYCM[],7,FALSE),"")</f>
        <v/>
      </c>
      <c r="BG151" s="209" t="str">
        <f>IFERROR(VLOOKUP(TableHandbook[[#This Row],[UDC]],TableSTRUVARTB[],7,FALSE),"")</f>
        <v/>
      </c>
      <c r="BH151" s="209" t="str">
        <f>IFERROR(VLOOKUP(TableHandbook[[#This Row],[UDC]],TableSTRUVARTM[],7,FALSE),"")</f>
        <v/>
      </c>
    </row>
    <row r="152" spans="1:60" x14ac:dyDescent="0.25">
      <c r="A152" s="6" t="s">
        <v>957</v>
      </c>
      <c r="B152" s="7">
        <v>1</v>
      </c>
      <c r="C152" s="7"/>
      <c r="D152" s="207" t="s">
        <v>958</v>
      </c>
      <c r="E152" s="7">
        <v>25</v>
      </c>
      <c r="F152" s="84" t="s">
        <v>783</v>
      </c>
      <c r="G152" s="75" t="str">
        <f>IFERROR(IF(VLOOKUP(TableHandbook[[#This Row],[UDC]],TableAvailabilities[],2,FALSE)&gt;0,"Y",""),"")</f>
        <v/>
      </c>
      <c r="H152" s="75" t="str">
        <f>IFERROR(IF(VLOOKUP(TableHandbook[[#This Row],[UDC]],TableAvailabilities[],3,FALSE)&gt;0,"Y",""),"")</f>
        <v/>
      </c>
      <c r="I152" s="75" t="str">
        <f>IFERROR(IF(VLOOKUP(TableHandbook[[#This Row],[UDC]],TableAvailabilities[],4,FALSE)&gt;0,"Y",""),"")</f>
        <v/>
      </c>
      <c r="J152" s="75" t="str">
        <f>IFERROR(IF(VLOOKUP(TableHandbook[[#This Row],[UDC]],TableAvailabilities[],5,FALSE)&gt;0,"Y",""),"")</f>
        <v/>
      </c>
      <c r="K152" s="75" t="str">
        <f>IFERROR(IF(VLOOKUP(TableHandbook[[#This Row],[UDC]],TableAvailabilities[],6,FALSE)&gt;0,"Y",""),"")</f>
        <v/>
      </c>
      <c r="L152" s="75" t="str">
        <f>IFERROR(IF(VLOOKUP(TableHandbook[[#This Row],[UDC]],TableAvailabilities[],7,FALSE)&gt;0,"Y",""),"")</f>
        <v/>
      </c>
      <c r="M152" s="207" t="s">
        <v>922</v>
      </c>
      <c r="N152" s="209" t="str">
        <f>IFERROR(VLOOKUP(TableHandbook[[#This Row],[UDC]],TableBEDUC[],7,FALSE),"")</f>
        <v/>
      </c>
      <c r="O152" s="209" t="str">
        <f>IFERROR(VLOOKUP(TableHandbook[[#This Row],[UDC]],TableBEDEC[],7,FALSE),"")</f>
        <v/>
      </c>
      <c r="P152" s="211" t="str">
        <f>IFERROR(VLOOKUP(TableHandbook[[#This Row],[UDC]],TableBEDPR[],7,FALSE),"")</f>
        <v/>
      </c>
      <c r="Q152" s="209" t="str">
        <f>IFERROR(VLOOKUP(TableHandbook[[#This Row],[UDC]],TableSTRUCATHL[],7,FALSE),"")</f>
        <v/>
      </c>
      <c r="R152" s="209" t="str">
        <f>IFERROR(VLOOKUP(TableHandbook[[#This Row],[UDC]],TableSTRUENGLL[],7,FALSE),"")</f>
        <v/>
      </c>
      <c r="S152" s="209" t="str">
        <f>IFERROR(VLOOKUP(TableHandbook[[#This Row],[UDC]],TableSTRUHLTPE[],7,FALSE),"")</f>
        <v/>
      </c>
      <c r="T152" s="209" t="str">
        <f>IFERROR(VLOOKUP(TableHandbook[[#This Row],[UDC]],TableSTRUISTEM[],7,FALSE),"")</f>
        <v/>
      </c>
      <c r="U152" s="209" t="str">
        <f>IFERROR(VLOOKUP(TableHandbook[[#This Row],[UDC]],TableSTRULITNU[],7,FALSE),"")</f>
        <v/>
      </c>
      <c r="V152" s="209" t="str">
        <f>IFERROR(VLOOKUP(TableHandbook[[#This Row],[UDC]],TableSTRUTECHS[],7,FALSE),"")</f>
        <v/>
      </c>
      <c r="W152" s="211" t="str">
        <f>IFERROR(VLOOKUP(TableHandbook[[#This Row],[UDC]],TableBEDSC[],7,FALSE),"")</f>
        <v/>
      </c>
      <c r="X152" s="211" t="str">
        <f>IFERROR(VLOOKUP(TableHandbook[[#This Row],[UDC]],TableMJRUARDR1[],7,FALSE),"")</f>
        <v/>
      </c>
      <c r="Y152" s="209" t="str">
        <f>IFERROR(VLOOKUP(TableHandbook[[#This Row],[UDC]],TableMJRUARME1[],7,FALSE),"")</f>
        <v/>
      </c>
      <c r="Z152" s="209" t="str">
        <f>IFERROR(VLOOKUP(TableHandbook[[#This Row],[UDC]],TableMJRUARVA1[],7,FALSE),"")</f>
        <v/>
      </c>
      <c r="AA152" s="209" t="str">
        <f>IFERROR(VLOOKUP(TableHandbook[[#This Row],[UDC]],TableMJRUENGL1[],7,FALSE),"")</f>
        <v/>
      </c>
      <c r="AB152" s="209" t="str">
        <f>IFERROR(VLOOKUP(TableHandbook[[#This Row],[UDC]],TableMJRUHSEC1[],7,FALSE),"")</f>
        <v/>
      </c>
      <c r="AC152" s="209" t="str">
        <f>IFERROR(VLOOKUP(TableHandbook[[#This Row],[UDC]],TableMJRUHSGE1[],7,FALSE),"")</f>
        <v/>
      </c>
      <c r="AD152" s="209" t="str">
        <f>IFERROR(VLOOKUP(TableHandbook[[#This Row],[UDC]],TableMJRUHSHI1[],7,FALSE),"")</f>
        <v/>
      </c>
      <c r="AE152" s="209" t="str">
        <f>IFERROR(VLOOKUP(TableHandbook[[#This Row],[UDC]],TableMJRUHSPL1[],7,FALSE),"")</f>
        <v/>
      </c>
      <c r="AF152" s="209" t="str">
        <f>IFERROR(VLOOKUP(TableHandbook[[#This Row],[UDC]],TableMJRUMATH1[],7,FALSE),"")</f>
        <v/>
      </c>
      <c r="AG152" s="209" t="str">
        <f>IFERROR(VLOOKUP(TableHandbook[[#This Row],[UDC]],TableMJRUPHYSE[],7,FALSE),"")</f>
        <v/>
      </c>
      <c r="AH152" s="209" t="str">
        <f>IFERROR(VLOOKUP(TableHandbook[[#This Row],[UDC]],TableMJRUSCBI1[],7,FALSE),"")</f>
        <v/>
      </c>
      <c r="AI152" s="209" t="str">
        <f>IFERROR(VLOOKUP(TableHandbook[[#This Row],[UDC]],TableMJRUSCCH1[],7,FALSE),"")</f>
        <v/>
      </c>
      <c r="AJ152" s="209" t="str">
        <f>IFERROR(VLOOKUP(TableHandbook[[#This Row],[UDC]],TableMJRUSCHB1[],7,FALSE),"")</f>
        <v/>
      </c>
      <c r="AK152" s="209" t="str">
        <f>IFERROR(VLOOKUP(TableHandbook[[#This Row],[UDC]],TableMJRUSCPH1[],7,FALSE),"")</f>
        <v/>
      </c>
      <c r="AL152" s="209" t="str">
        <f>IFERROR(VLOOKUP(TableHandbook[[#This Row],[UDC]],TableMJRUSCPS1[],7,FALSE),"")</f>
        <v/>
      </c>
      <c r="AM152" s="211" t="str">
        <f>IFERROR(VLOOKUP(TableHandbook[[#This Row],[UDC]],TableSTRUBIOLB[],7,FALSE),"")</f>
        <v/>
      </c>
      <c r="AN152" s="209" t="str">
        <f>IFERROR(VLOOKUP(TableHandbook[[#This Row],[UDC]],TableSTRUBSCIM[],7,FALSE),"")</f>
        <v/>
      </c>
      <c r="AO152" s="209" t="str">
        <f>IFERROR(VLOOKUP(TableHandbook[[#This Row],[UDC]],TableSTRUCHEMB[],7,FALSE),"")</f>
        <v/>
      </c>
      <c r="AP152" s="209" t="str">
        <f>IFERROR(VLOOKUP(TableHandbook[[#This Row],[UDC]],TableSTRUECOB1[],7,FALSE),"")</f>
        <v/>
      </c>
      <c r="AQ152" s="209" t="str">
        <f>IFERROR(VLOOKUP(TableHandbook[[#This Row],[UDC]],TableSTRUENGLB[],7,FALSE),"")</f>
        <v/>
      </c>
      <c r="AR152" s="209" t="str">
        <f>IFERROR(VLOOKUP(TableHandbook[[#This Row],[UDC]],TableSTRUENGLM[],7,FALSE),"")</f>
        <v/>
      </c>
      <c r="AS152" s="209" t="str">
        <f>IFERROR(VLOOKUP(TableHandbook[[#This Row],[UDC]],TableSTRUGEOB1[],7,FALSE),"")</f>
        <v/>
      </c>
      <c r="AT152" s="209" t="str">
        <f>IFERROR(VLOOKUP(TableHandbook[[#This Row],[UDC]],TableSTRUGEOGM[],7,FALSE),"")</f>
        <v/>
      </c>
      <c r="AU152" s="209" t="str">
        <f>IFERROR(VLOOKUP(TableHandbook[[#This Row],[UDC]],TableSTRUHISB1[],7,FALSE),"")</f>
        <v/>
      </c>
      <c r="AV152" s="209" t="str">
        <f>IFERROR(VLOOKUP(TableHandbook[[#This Row],[UDC]],TableSTRUHISTM[],7,FALSE),"")</f>
        <v/>
      </c>
      <c r="AW152" s="209" t="str">
        <f>IFERROR(VLOOKUP(TableHandbook[[#This Row],[UDC]],TableSTRUHPEB1[],7,FALSE),"")</f>
        <v/>
      </c>
      <c r="AX152" s="209" t="str">
        <f>IFERROR(VLOOKUP(TableHandbook[[#This Row],[UDC]],TableSTRUHUMBB[],7,FALSE),"")</f>
        <v/>
      </c>
      <c r="AY152" s="209" t="str">
        <f>IFERROR(VLOOKUP(TableHandbook[[#This Row],[UDC]],TableSTRUMARTM[],7,FALSE),"")</f>
        <v/>
      </c>
      <c r="AZ152" s="209" t="str">
        <f>IFERROR(VLOOKUP(TableHandbook[[#This Row],[UDC]],TableSTRUMATHB[],7,FALSE),"")</f>
        <v/>
      </c>
      <c r="BA152" s="209" t="str">
        <f>IFERROR(VLOOKUP(TableHandbook[[#This Row],[UDC]],TableSTRUMATHM[],7,FALSE),"")</f>
        <v/>
      </c>
      <c r="BB152" s="209" t="str">
        <f>IFERROR(VLOOKUP(TableHandbook[[#This Row],[UDC]],TableSTRUPARTB[],7,FALSE),"")</f>
        <v/>
      </c>
      <c r="BC152" s="209" t="str">
        <f>IFERROR(VLOOKUP(TableHandbook[[#This Row],[UDC]],TableSTRUPARTM[],7,FALSE),"")</f>
        <v/>
      </c>
      <c r="BD152" s="209" t="str">
        <f>IFERROR(VLOOKUP(TableHandbook[[#This Row],[UDC]],TableSTRUPOLB1[],7,FALSE),"")</f>
        <v/>
      </c>
      <c r="BE152" s="209" t="str">
        <f>IFERROR(VLOOKUP(TableHandbook[[#This Row],[UDC]],TableSTRUPSYCB[],7,FALSE),"")</f>
        <v/>
      </c>
      <c r="BF152" s="209" t="str">
        <f>IFERROR(VLOOKUP(TableHandbook[[#This Row],[UDC]],TableSTRUPSYCM[],7,FALSE),"")</f>
        <v/>
      </c>
      <c r="BG152" s="209" t="str">
        <f>IFERROR(VLOOKUP(TableHandbook[[#This Row],[UDC]],TableSTRUVARTB[],7,FALSE),"")</f>
        <v/>
      </c>
      <c r="BH152" s="209" t="str">
        <f>IFERROR(VLOOKUP(TableHandbook[[#This Row],[UDC]],TableSTRUVARTM[],7,FALSE),"")</f>
        <v/>
      </c>
    </row>
    <row r="153" spans="1:60" x14ac:dyDescent="0.25">
      <c r="A153" s="6" t="s">
        <v>60</v>
      </c>
      <c r="B153" s="7">
        <v>1</v>
      </c>
      <c r="C153" s="7"/>
      <c r="D153" s="207" t="s">
        <v>959</v>
      </c>
      <c r="E153" s="7">
        <v>25</v>
      </c>
      <c r="F153" s="84" t="s">
        <v>783</v>
      </c>
      <c r="G153" s="75" t="str">
        <f>IFERROR(IF(VLOOKUP(TableHandbook[[#This Row],[UDC]],TableAvailabilities[],2,FALSE)&gt;0,"Y",""),"")</f>
        <v>Y</v>
      </c>
      <c r="H153" s="75" t="str">
        <f>IFERROR(IF(VLOOKUP(TableHandbook[[#This Row],[UDC]],TableAvailabilities[],3,FALSE)&gt;0,"Y",""),"")</f>
        <v>Y</v>
      </c>
      <c r="I153" s="75" t="str">
        <f>IFERROR(IF(VLOOKUP(TableHandbook[[#This Row],[UDC]],TableAvailabilities[],4,FALSE)&gt;0,"Y",""),"")</f>
        <v>Y</v>
      </c>
      <c r="J153" s="75" t="str">
        <f>IFERROR(IF(VLOOKUP(TableHandbook[[#This Row],[UDC]],TableAvailabilities[],5,FALSE)&gt;0,"Y",""),"")</f>
        <v>Y</v>
      </c>
      <c r="K153" s="75" t="str">
        <f>IFERROR(IF(VLOOKUP(TableHandbook[[#This Row],[UDC]],TableAvailabilities[],6,FALSE)&gt;0,"Y",""),"")</f>
        <v>Y</v>
      </c>
      <c r="L153" s="75" t="str">
        <f>IFERROR(IF(VLOOKUP(TableHandbook[[#This Row],[UDC]],TableAvailabilities[],7,FALSE)&gt;0,"Y",""),"")</f>
        <v/>
      </c>
      <c r="M153" s="207"/>
      <c r="N153" s="209" t="str">
        <f>IFERROR(VLOOKUP(TableHandbook[[#This Row],[UDC]],TableBEDUC[],7,FALSE),"")</f>
        <v>Core</v>
      </c>
      <c r="O153" s="209" t="str">
        <f>IFERROR(VLOOKUP(TableHandbook[[#This Row],[UDC]],TableBEDEC[],7,FALSE),"")</f>
        <v>Core</v>
      </c>
      <c r="P153" s="211" t="str">
        <f>IFERROR(VLOOKUP(TableHandbook[[#This Row],[UDC]],TableBEDPR[],7,FALSE),"")</f>
        <v>Core</v>
      </c>
      <c r="Q153" s="209" t="str">
        <f>IFERROR(VLOOKUP(TableHandbook[[#This Row],[UDC]],TableSTRUCATHL[],7,FALSE),"")</f>
        <v/>
      </c>
      <c r="R153" s="209" t="str">
        <f>IFERROR(VLOOKUP(TableHandbook[[#This Row],[UDC]],TableSTRUENGLL[],7,FALSE),"")</f>
        <v/>
      </c>
      <c r="S153" s="209" t="str">
        <f>IFERROR(VLOOKUP(TableHandbook[[#This Row],[UDC]],TableSTRUHLTPE[],7,FALSE),"")</f>
        <v/>
      </c>
      <c r="T153" s="209" t="str">
        <f>IFERROR(VLOOKUP(TableHandbook[[#This Row],[UDC]],TableSTRUISTEM[],7,FALSE),"")</f>
        <v/>
      </c>
      <c r="U153" s="209" t="str">
        <f>IFERROR(VLOOKUP(TableHandbook[[#This Row],[UDC]],TableSTRULITNU[],7,FALSE),"")</f>
        <v/>
      </c>
      <c r="V153" s="209" t="str">
        <f>IFERROR(VLOOKUP(TableHandbook[[#This Row],[UDC]],TableSTRUTECHS[],7,FALSE),"")</f>
        <v/>
      </c>
      <c r="W153" s="211" t="str">
        <f>IFERROR(VLOOKUP(TableHandbook[[#This Row],[UDC]],TableBEDSC[],7,FALSE),"")</f>
        <v>Core</v>
      </c>
      <c r="X153" s="211" t="str">
        <f>IFERROR(VLOOKUP(TableHandbook[[#This Row],[UDC]],TableMJRUARDR1[],7,FALSE),"")</f>
        <v/>
      </c>
      <c r="Y153" s="209" t="str">
        <f>IFERROR(VLOOKUP(TableHandbook[[#This Row],[UDC]],TableMJRUARME1[],7,FALSE),"")</f>
        <v/>
      </c>
      <c r="Z153" s="209" t="str">
        <f>IFERROR(VLOOKUP(TableHandbook[[#This Row],[UDC]],TableMJRUARVA1[],7,FALSE),"")</f>
        <v/>
      </c>
      <c r="AA153" s="209" t="str">
        <f>IFERROR(VLOOKUP(TableHandbook[[#This Row],[UDC]],TableMJRUENGL1[],7,FALSE),"")</f>
        <v/>
      </c>
      <c r="AB153" s="209" t="str">
        <f>IFERROR(VLOOKUP(TableHandbook[[#This Row],[UDC]],TableMJRUHSEC1[],7,FALSE),"")</f>
        <v/>
      </c>
      <c r="AC153" s="209" t="str">
        <f>IFERROR(VLOOKUP(TableHandbook[[#This Row],[UDC]],TableMJRUHSGE1[],7,FALSE),"")</f>
        <v/>
      </c>
      <c r="AD153" s="209" t="str">
        <f>IFERROR(VLOOKUP(TableHandbook[[#This Row],[UDC]],TableMJRUHSHI1[],7,FALSE),"")</f>
        <v/>
      </c>
      <c r="AE153" s="209" t="str">
        <f>IFERROR(VLOOKUP(TableHandbook[[#This Row],[UDC]],TableMJRUHSPL1[],7,FALSE),"")</f>
        <v/>
      </c>
      <c r="AF153" s="209" t="str">
        <f>IFERROR(VLOOKUP(TableHandbook[[#This Row],[UDC]],TableMJRUMATH1[],7,FALSE),"")</f>
        <v/>
      </c>
      <c r="AG153" s="209" t="str">
        <f>IFERROR(VLOOKUP(TableHandbook[[#This Row],[UDC]],TableMJRUPHYSE[],7,FALSE),"")</f>
        <v/>
      </c>
      <c r="AH153" s="209" t="str">
        <f>IFERROR(VLOOKUP(TableHandbook[[#This Row],[UDC]],TableMJRUSCBI1[],7,FALSE),"")</f>
        <v/>
      </c>
      <c r="AI153" s="209" t="str">
        <f>IFERROR(VLOOKUP(TableHandbook[[#This Row],[UDC]],TableMJRUSCCH1[],7,FALSE),"")</f>
        <v/>
      </c>
      <c r="AJ153" s="209" t="str">
        <f>IFERROR(VLOOKUP(TableHandbook[[#This Row],[UDC]],TableMJRUSCHB1[],7,FALSE),"")</f>
        <v/>
      </c>
      <c r="AK153" s="209" t="str">
        <f>IFERROR(VLOOKUP(TableHandbook[[#This Row],[UDC]],TableMJRUSCPH1[],7,FALSE),"")</f>
        <v/>
      </c>
      <c r="AL153" s="209" t="str">
        <f>IFERROR(VLOOKUP(TableHandbook[[#This Row],[UDC]],TableMJRUSCPS1[],7,FALSE),"")</f>
        <v/>
      </c>
      <c r="AM153" s="211" t="str">
        <f>IFERROR(VLOOKUP(TableHandbook[[#This Row],[UDC]],TableSTRUBIOLB[],7,FALSE),"")</f>
        <v/>
      </c>
      <c r="AN153" s="209" t="str">
        <f>IFERROR(VLOOKUP(TableHandbook[[#This Row],[UDC]],TableSTRUBSCIM[],7,FALSE),"")</f>
        <v/>
      </c>
      <c r="AO153" s="209" t="str">
        <f>IFERROR(VLOOKUP(TableHandbook[[#This Row],[UDC]],TableSTRUCHEMB[],7,FALSE),"")</f>
        <v/>
      </c>
      <c r="AP153" s="209" t="str">
        <f>IFERROR(VLOOKUP(TableHandbook[[#This Row],[UDC]],TableSTRUECOB1[],7,FALSE),"")</f>
        <v/>
      </c>
      <c r="AQ153" s="209" t="str">
        <f>IFERROR(VLOOKUP(TableHandbook[[#This Row],[UDC]],TableSTRUENGLB[],7,FALSE),"")</f>
        <v/>
      </c>
      <c r="AR153" s="209" t="str">
        <f>IFERROR(VLOOKUP(TableHandbook[[#This Row],[UDC]],TableSTRUENGLM[],7,FALSE),"")</f>
        <v/>
      </c>
      <c r="AS153" s="209" t="str">
        <f>IFERROR(VLOOKUP(TableHandbook[[#This Row],[UDC]],TableSTRUGEOB1[],7,FALSE),"")</f>
        <v/>
      </c>
      <c r="AT153" s="209" t="str">
        <f>IFERROR(VLOOKUP(TableHandbook[[#This Row],[UDC]],TableSTRUGEOGM[],7,FALSE),"")</f>
        <v/>
      </c>
      <c r="AU153" s="209" t="str">
        <f>IFERROR(VLOOKUP(TableHandbook[[#This Row],[UDC]],TableSTRUHISB1[],7,FALSE),"")</f>
        <v/>
      </c>
      <c r="AV153" s="209" t="str">
        <f>IFERROR(VLOOKUP(TableHandbook[[#This Row],[UDC]],TableSTRUHISTM[],7,FALSE),"")</f>
        <v/>
      </c>
      <c r="AW153" s="209" t="str">
        <f>IFERROR(VLOOKUP(TableHandbook[[#This Row],[UDC]],TableSTRUHPEB1[],7,FALSE),"")</f>
        <v/>
      </c>
      <c r="AX153" s="209" t="str">
        <f>IFERROR(VLOOKUP(TableHandbook[[#This Row],[UDC]],TableSTRUHUMBB[],7,FALSE),"")</f>
        <v/>
      </c>
      <c r="AY153" s="209" t="str">
        <f>IFERROR(VLOOKUP(TableHandbook[[#This Row],[UDC]],TableSTRUMARTM[],7,FALSE),"")</f>
        <v/>
      </c>
      <c r="AZ153" s="209" t="str">
        <f>IFERROR(VLOOKUP(TableHandbook[[#This Row],[UDC]],TableSTRUMATHB[],7,FALSE),"")</f>
        <v/>
      </c>
      <c r="BA153" s="209" t="str">
        <f>IFERROR(VLOOKUP(TableHandbook[[#This Row],[UDC]],TableSTRUMATHM[],7,FALSE),"")</f>
        <v/>
      </c>
      <c r="BB153" s="209" t="str">
        <f>IFERROR(VLOOKUP(TableHandbook[[#This Row],[UDC]],TableSTRUPARTB[],7,FALSE),"")</f>
        <v/>
      </c>
      <c r="BC153" s="209" t="str">
        <f>IFERROR(VLOOKUP(TableHandbook[[#This Row],[UDC]],TableSTRUPARTM[],7,FALSE),"")</f>
        <v/>
      </c>
      <c r="BD153" s="209" t="str">
        <f>IFERROR(VLOOKUP(TableHandbook[[#This Row],[UDC]],TableSTRUPOLB1[],7,FALSE),"")</f>
        <v/>
      </c>
      <c r="BE153" s="209" t="str">
        <f>IFERROR(VLOOKUP(TableHandbook[[#This Row],[UDC]],TableSTRUPSYCB[],7,FALSE),"")</f>
        <v/>
      </c>
      <c r="BF153" s="209" t="str">
        <f>IFERROR(VLOOKUP(TableHandbook[[#This Row],[UDC]],TableSTRUPSYCM[],7,FALSE),"")</f>
        <v/>
      </c>
      <c r="BG153" s="209" t="str">
        <f>IFERROR(VLOOKUP(TableHandbook[[#This Row],[UDC]],TableSTRUVARTB[],7,FALSE),"")</f>
        <v/>
      </c>
      <c r="BH153" s="209" t="str">
        <f>IFERROR(VLOOKUP(TableHandbook[[#This Row],[UDC]],TableSTRUVARTM[],7,FALSE),"")</f>
        <v/>
      </c>
    </row>
    <row r="154" spans="1:60" x14ac:dyDescent="0.25">
      <c r="A154" s="6" t="s">
        <v>55</v>
      </c>
      <c r="B154" s="7">
        <v>1</v>
      </c>
      <c r="C154" s="7"/>
      <c r="D154" s="207" t="s">
        <v>960</v>
      </c>
      <c r="E154" s="7">
        <v>25</v>
      </c>
      <c r="F154" s="84" t="s">
        <v>783</v>
      </c>
      <c r="G154" s="75" t="str">
        <f>IFERROR(IF(VLOOKUP(TableHandbook[[#This Row],[UDC]],TableAvailabilities[],2,FALSE)&gt;0,"Y",""),"")</f>
        <v>Y</v>
      </c>
      <c r="H154" s="75" t="str">
        <f>IFERROR(IF(VLOOKUP(TableHandbook[[#This Row],[UDC]],TableAvailabilities[],3,FALSE)&gt;0,"Y",""),"")</f>
        <v>Y</v>
      </c>
      <c r="I154" s="75" t="str">
        <f>IFERROR(IF(VLOOKUP(TableHandbook[[#This Row],[UDC]],TableAvailabilities[],4,FALSE)&gt;0,"Y",""),"")</f>
        <v>Y</v>
      </c>
      <c r="J154" s="75" t="str">
        <f>IFERROR(IF(VLOOKUP(TableHandbook[[#This Row],[UDC]],TableAvailabilities[],5,FALSE)&gt;0,"Y",""),"")</f>
        <v/>
      </c>
      <c r="K154" s="75" t="str">
        <f>IFERROR(IF(VLOOKUP(TableHandbook[[#This Row],[UDC]],TableAvailabilities[],6,FALSE)&gt;0,"Y",""),"")</f>
        <v/>
      </c>
      <c r="L154" s="75" t="str">
        <f>IFERROR(IF(VLOOKUP(TableHandbook[[#This Row],[UDC]],TableAvailabilities[],7,FALSE)&gt;0,"Y",""),"")</f>
        <v/>
      </c>
      <c r="M154" s="207"/>
      <c r="N154" s="209" t="str">
        <f>IFERROR(VLOOKUP(TableHandbook[[#This Row],[UDC]],TableBEDUC[],7,FALSE),"")</f>
        <v>Core</v>
      </c>
      <c r="O154" s="209" t="str">
        <f>IFERROR(VLOOKUP(TableHandbook[[#This Row],[UDC]],TableBEDEC[],7,FALSE),"")</f>
        <v>Core</v>
      </c>
      <c r="P154" s="211" t="str">
        <f>IFERROR(VLOOKUP(TableHandbook[[#This Row],[UDC]],TableBEDPR[],7,FALSE),"")</f>
        <v>Core</v>
      </c>
      <c r="Q154" s="209" t="str">
        <f>IFERROR(VLOOKUP(TableHandbook[[#This Row],[UDC]],TableSTRUCATHL[],7,FALSE),"")</f>
        <v/>
      </c>
      <c r="R154" s="209" t="str">
        <f>IFERROR(VLOOKUP(TableHandbook[[#This Row],[UDC]],TableSTRUENGLL[],7,FALSE),"")</f>
        <v/>
      </c>
      <c r="S154" s="209" t="str">
        <f>IFERROR(VLOOKUP(TableHandbook[[#This Row],[UDC]],TableSTRUHLTPE[],7,FALSE),"")</f>
        <v/>
      </c>
      <c r="T154" s="209" t="str">
        <f>IFERROR(VLOOKUP(TableHandbook[[#This Row],[UDC]],TableSTRUISTEM[],7,FALSE),"")</f>
        <v/>
      </c>
      <c r="U154" s="209" t="str">
        <f>IFERROR(VLOOKUP(TableHandbook[[#This Row],[UDC]],TableSTRULITNU[],7,FALSE),"")</f>
        <v/>
      </c>
      <c r="V154" s="209" t="str">
        <f>IFERROR(VLOOKUP(TableHandbook[[#This Row],[UDC]],TableSTRUTECHS[],7,FALSE),"")</f>
        <v/>
      </c>
      <c r="W154" s="211" t="str">
        <f>IFERROR(VLOOKUP(TableHandbook[[#This Row],[UDC]],TableBEDSC[],7,FALSE),"")</f>
        <v>Core</v>
      </c>
      <c r="X154" s="211" t="str">
        <f>IFERROR(VLOOKUP(TableHandbook[[#This Row],[UDC]],TableMJRUARDR1[],7,FALSE),"")</f>
        <v/>
      </c>
      <c r="Y154" s="209" t="str">
        <f>IFERROR(VLOOKUP(TableHandbook[[#This Row],[UDC]],TableMJRUARME1[],7,FALSE),"")</f>
        <v/>
      </c>
      <c r="Z154" s="209" t="str">
        <f>IFERROR(VLOOKUP(TableHandbook[[#This Row],[UDC]],TableMJRUARVA1[],7,FALSE),"")</f>
        <v/>
      </c>
      <c r="AA154" s="209" t="str">
        <f>IFERROR(VLOOKUP(TableHandbook[[#This Row],[UDC]],TableMJRUENGL1[],7,FALSE),"")</f>
        <v/>
      </c>
      <c r="AB154" s="209" t="str">
        <f>IFERROR(VLOOKUP(TableHandbook[[#This Row],[UDC]],TableMJRUHSEC1[],7,FALSE),"")</f>
        <v/>
      </c>
      <c r="AC154" s="209" t="str">
        <f>IFERROR(VLOOKUP(TableHandbook[[#This Row],[UDC]],TableMJRUHSGE1[],7,FALSE),"")</f>
        <v/>
      </c>
      <c r="AD154" s="209" t="str">
        <f>IFERROR(VLOOKUP(TableHandbook[[#This Row],[UDC]],TableMJRUHSHI1[],7,FALSE),"")</f>
        <v/>
      </c>
      <c r="AE154" s="209" t="str">
        <f>IFERROR(VLOOKUP(TableHandbook[[#This Row],[UDC]],TableMJRUHSPL1[],7,FALSE),"")</f>
        <v/>
      </c>
      <c r="AF154" s="209" t="str">
        <f>IFERROR(VLOOKUP(TableHandbook[[#This Row],[UDC]],TableMJRUMATH1[],7,FALSE),"")</f>
        <v/>
      </c>
      <c r="AG154" s="209" t="str">
        <f>IFERROR(VLOOKUP(TableHandbook[[#This Row],[UDC]],TableMJRUPHYSE[],7,FALSE),"")</f>
        <v/>
      </c>
      <c r="AH154" s="209" t="str">
        <f>IFERROR(VLOOKUP(TableHandbook[[#This Row],[UDC]],TableMJRUSCBI1[],7,FALSE),"")</f>
        <v/>
      </c>
      <c r="AI154" s="209" t="str">
        <f>IFERROR(VLOOKUP(TableHandbook[[#This Row],[UDC]],TableMJRUSCCH1[],7,FALSE),"")</f>
        <v/>
      </c>
      <c r="AJ154" s="209" t="str">
        <f>IFERROR(VLOOKUP(TableHandbook[[#This Row],[UDC]],TableMJRUSCHB1[],7,FALSE),"")</f>
        <v/>
      </c>
      <c r="AK154" s="209" t="str">
        <f>IFERROR(VLOOKUP(TableHandbook[[#This Row],[UDC]],TableMJRUSCPH1[],7,FALSE),"")</f>
        <v/>
      </c>
      <c r="AL154" s="209" t="str">
        <f>IFERROR(VLOOKUP(TableHandbook[[#This Row],[UDC]],TableMJRUSCPS1[],7,FALSE),"")</f>
        <v/>
      </c>
      <c r="AM154" s="211" t="str">
        <f>IFERROR(VLOOKUP(TableHandbook[[#This Row],[UDC]],TableSTRUBIOLB[],7,FALSE),"")</f>
        <v/>
      </c>
      <c r="AN154" s="209" t="str">
        <f>IFERROR(VLOOKUP(TableHandbook[[#This Row],[UDC]],TableSTRUBSCIM[],7,FALSE),"")</f>
        <v/>
      </c>
      <c r="AO154" s="209" t="str">
        <f>IFERROR(VLOOKUP(TableHandbook[[#This Row],[UDC]],TableSTRUCHEMB[],7,FALSE),"")</f>
        <v/>
      </c>
      <c r="AP154" s="209" t="str">
        <f>IFERROR(VLOOKUP(TableHandbook[[#This Row],[UDC]],TableSTRUECOB1[],7,FALSE),"")</f>
        <v/>
      </c>
      <c r="AQ154" s="209" t="str">
        <f>IFERROR(VLOOKUP(TableHandbook[[#This Row],[UDC]],TableSTRUENGLB[],7,FALSE),"")</f>
        <v/>
      </c>
      <c r="AR154" s="209" t="str">
        <f>IFERROR(VLOOKUP(TableHandbook[[#This Row],[UDC]],TableSTRUENGLM[],7,FALSE),"")</f>
        <v/>
      </c>
      <c r="AS154" s="209" t="str">
        <f>IFERROR(VLOOKUP(TableHandbook[[#This Row],[UDC]],TableSTRUGEOB1[],7,FALSE),"")</f>
        <v/>
      </c>
      <c r="AT154" s="209" t="str">
        <f>IFERROR(VLOOKUP(TableHandbook[[#This Row],[UDC]],TableSTRUGEOGM[],7,FALSE),"")</f>
        <v/>
      </c>
      <c r="AU154" s="209" t="str">
        <f>IFERROR(VLOOKUP(TableHandbook[[#This Row],[UDC]],TableSTRUHISB1[],7,FALSE),"")</f>
        <v/>
      </c>
      <c r="AV154" s="209" t="str">
        <f>IFERROR(VLOOKUP(TableHandbook[[#This Row],[UDC]],TableSTRUHISTM[],7,FALSE),"")</f>
        <v/>
      </c>
      <c r="AW154" s="209" t="str">
        <f>IFERROR(VLOOKUP(TableHandbook[[#This Row],[UDC]],TableSTRUHPEB1[],7,FALSE),"")</f>
        <v/>
      </c>
      <c r="AX154" s="209" t="str">
        <f>IFERROR(VLOOKUP(TableHandbook[[#This Row],[UDC]],TableSTRUHUMBB[],7,FALSE),"")</f>
        <v/>
      </c>
      <c r="AY154" s="209" t="str">
        <f>IFERROR(VLOOKUP(TableHandbook[[#This Row],[UDC]],TableSTRUMARTM[],7,FALSE),"")</f>
        <v/>
      </c>
      <c r="AZ154" s="209" t="str">
        <f>IFERROR(VLOOKUP(TableHandbook[[#This Row],[UDC]],TableSTRUMATHB[],7,FALSE),"")</f>
        <v/>
      </c>
      <c r="BA154" s="209" t="str">
        <f>IFERROR(VLOOKUP(TableHandbook[[#This Row],[UDC]],TableSTRUMATHM[],7,FALSE),"")</f>
        <v/>
      </c>
      <c r="BB154" s="209" t="str">
        <f>IFERROR(VLOOKUP(TableHandbook[[#This Row],[UDC]],TableSTRUPARTB[],7,FALSE),"")</f>
        <v/>
      </c>
      <c r="BC154" s="209" t="str">
        <f>IFERROR(VLOOKUP(TableHandbook[[#This Row],[UDC]],TableSTRUPARTM[],7,FALSE),"")</f>
        <v/>
      </c>
      <c r="BD154" s="209" t="str">
        <f>IFERROR(VLOOKUP(TableHandbook[[#This Row],[UDC]],TableSTRUPOLB1[],7,FALSE),"")</f>
        <v/>
      </c>
      <c r="BE154" s="209" t="str">
        <f>IFERROR(VLOOKUP(TableHandbook[[#This Row],[UDC]],TableSTRUPSYCB[],7,FALSE),"")</f>
        <v/>
      </c>
      <c r="BF154" s="209" t="str">
        <f>IFERROR(VLOOKUP(TableHandbook[[#This Row],[UDC]],TableSTRUPSYCM[],7,FALSE),"")</f>
        <v/>
      </c>
      <c r="BG154" s="209" t="str">
        <f>IFERROR(VLOOKUP(TableHandbook[[#This Row],[UDC]],TableSTRUVARTB[],7,FALSE),"")</f>
        <v/>
      </c>
      <c r="BH154" s="209" t="str">
        <f>IFERROR(VLOOKUP(TableHandbook[[#This Row],[UDC]],TableSTRUVARTM[],7,FALSE),"")</f>
        <v/>
      </c>
    </row>
    <row r="155" spans="1:60" x14ac:dyDescent="0.25">
      <c r="A155" s="6" t="s">
        <v>62</v>
      </c>
      <c r="B155" s="7">
        <v>1</v>
      </c>
      <c r="C155" s="7"/>
      <c r="D155" s="207" t="s">
        <v>961</v>
      </c>
      <c r="E155" s="7">
        <v>25</v>
      </c>
      <c r="F155" s="84" t="s">
        <v>783</v>
      </c>
      <c r="G155" s="75" t="str">
        <f>IFERROR(IF(VLOOKUP(TableHandbook[[#This Row],[UDC]],TableAvailabilities[],2,FALSE)&gt;0,"Y",""),"")</f>
        <v>Y</v>
      </c>
      <c r="H155" s="75" t="str">
        <f>IFERROR(IF(VLOOKUP(TableHandbook[[#This Row],[UDC]],TableAvailabilities[],3,FALSE)&gt;0,"Y",""),"")</f>
        <v>Y</v>
      </c>
      <c r="I155" s="75" t="str">
        <f>IFERROR(IF(VLOOKUP(TableHandbook[[#This Row],[UDC]],TableAvailabilities[],4,FALSE)&gt;0,"Y",""),"")</f>
        <v>Y</v>
      </c>
      <c r="J155" s="75" t="str">
        <f>IFERROR(IF(VLOOKUP(TableHandbook[[#This Row],[UDC]],TableAvailabilities[],5,FALSE)&gt;0,"Y",""),"")</f>
        <v/>
      </c>
      <c r="K155" s="75" t="str">
        <f>IFERROR(IF(VLOOKUP(TableHandbook[[#This Row],[UDC]],TableAvailabilities[],6,FALSE)&gt;0,"Y",""),"")</f>
        <v/>
      </c>
      <c r="L155" s="75" t="str">
        <f>IFERROR(IF(VLOOKUP(TableHandbook[[#This Row],[UDC]],TableAvailabilities[],7,FALSE)&gt;0,"Y",""),"")</f>
        <v/>
      </c>
      <c r="N155" s="209" t="str">
        <f>IFERROR(VLOOKUP(TableHandbook[[#This Row],[UDC]],TableBEDUC[],7,FALSE),"")</f>
        <v>Core</v>
      </c>
      <c r="O155" s="209" t="str">
        <f>IFERROR(VLOOKUP(TableHandbook[[#This Row],[UDC]],TableBEDEC[],7,FALSE),"")</f>
        <v>Core</v>
      </c>
      <c r="P155" s="211" t="str">
        <f>IFERROR(VLOOKUP(TableHandbook[[#This Row],[UDC]],TableBEDPR[],7,FALSE),"")</f>
        <v>Core</v>
      </c>
      <c r="Q155" s="209" t="str">
        <f>IFERROR(VLOOKUP(TableHandbook[[#This Row],[UDC]],TableSTRUCATHL[],7,FALSE),"")</f>
        <v/>
      </c>
      <c r="R155" s="209" t="str">
        <f>IFERROR(VLOOKUP(TableHandbook[[#This Row],[UDC]],TableSTRUENGLL[],7,FALSE),"")</f>
        <v/>
      </c>
      <c r="S155" s="209" t="str">
        <f>IFERROR(VLOOKUP(TableHandbook[[#This Row],[UDC]],TableSTRUHLTPE[],7,FALSE),"")</f>
        <v/>
      </c>
      <c r="T155" s="209" t="str">
        <f>IFERROR(VLOOKUP(TableHandbook[[#This Row],[UDC]],TableSTRUISTEM[],7,FALSE),"")</f>
        <v/>
      </c>
      <c r="U155" s="209" t="str">
        <f>IFERROR(VLOOKUP(TableHandbook[[#This Row],[UDC]],TableSTRULITNU[],7,FALSE),"")</f>
        <v/>
      </c>
      <c r="V155" s="209" t="str">
        <f>IFERROR(VLOOKUP(TableHandbook[[#This Row],[UDC]],TableSTRUTECHS[],7,FALSE),"")</f>
        <v/>
      </c>
      <c r="W155" s="211" t="str">
        <f>IFERROR(VLOOKUP(TableHandbook[[#This Row],[UDC]],TableBEDSC[],7,FALSE),"")</f>
        <v/>
      </c>
      <c r="X155" s="211" t="str">
        <f>IFERROR(VLOOKUP(TableHandbook[[#This Row],[UDC]],TableMJRUARDR1[],7,FALSE),"")</f>
        <v/>
      </c>
      <c r="Y155" s="209" t="str">
        <f>IFERROR(VLOOKUP(TableHandbook[[#This Row],[UDC]],TableMJRUARME1[],7,FALSE),"")</f>
        <v/>
      </c>
      <c r="Z155" s="209" t="str">
        <f>IFERROR(VLOOKUP(TableHandbook[[#This Row],[UDC]],TableMJRUARVA1[],7,FALSE),"")</f>
        <v/>
      </c>
      <c r="AA155" s="209" t="str">
        <f>IFERROR(VLOOKUP(TableHandbook[[#This Row],[UDC]],TableMJRUENGL1[],7,FALSE),"")</f>
        <v/>
      </c>
      <c r="AB155" s="209" t="str">
        <f>IFERROR(VLOOKUP(TableHandbook[[#This Row],[UDC]],TableMJRUHSEC1[],7,FALSE),"")</f>
        <v/>
      </c>
      <c r="AC155" s="209" t="str">
        <f>IFERROR(VLOOKUP(TableHandbook[[#This Row],[UDC]],TableMJRUHSGE1[],7,FALSE),"")</f>
        <v/>
      </c>
      <c r="AD155" s="209" t="str">
        <f>IFERROR(VLOOKUP(TableHandbook[[#This Row],[UDC]],TableMJRUHSHI1[],7,FALSE),"")</f>
        <v/>
      </c>
      <c r="AE155" s="209" t="str">
        <f>IFERROR(VLOOKUP(TableHandbook[[#This Row],[UDC]],TableMJRUHSPL1[],7,FALSE),"")</f>
        <v/>
      </c>
      <c r="AF155" s="209" t="str">
        <f>IFERROR(VLOOKUP(TableHandbook[[#This Row],[UDC]],TableMJRUMATH1[],7,FALSE),"")</f>
        <v/>
      </c>
      <c r="AG155" s="209" t="str">
        <f>IFERROR(VLOOKUP(TableHandbook[[#This Row],[UDC]],TableMJRUPHYSE[],7,FALSE),"")</f>
        <v/>
      </c>
      <c r="AH155" s="209" t="str">
        <f>IFERROR(VLOOKUP(TableHandbook[[#This Row],[UDC]],TableMJRUSCBI1[],7,FALSE),"")</f>
        <v/>
      </c>
      <c r="AI155" s="209" t="str">
        <f>IFERROR(VLOOKUP(TableHandbook[[#This Row],[UDC]],TableMJRUSCCH1[],7,FALSE),"")</f>
        <v/>
      </c>
      <c r="AJ155" s="209" t="str">
        <f>IFERROR(VLOOKUP(TableHandbook[[#This Row],[UDC]],TableMJRUSCHB1[],7,FALSE),"")</f>
        <v/>
      </c>
      <c r="AK155" s="209" t="str">
        <f>IFERROR(VLOOKUP(TableHandbook[[#This Row],[UDC]],TableMJRUSCPH1[],7,FALSE),"")</f>
        <v/>
      </c>
      <c r="AL155" s="209" t="str">
        <f>IFERROR(VLOOKUP(TableHandbook[[#This Row],[UDC]],TableMJRUSCPS1[],7,FALSE),"")</f>
        <v/>
      </c>
      <c r="AM155" s="211" t="str">
        <f>IFERROR(VLOOKUP(TableHandbook[[#This Row],[UDC]],TableSTRUBIOLB[],7,FALSE),"")</f>
        <v/>
      </c>
      <c r="AN155" s="209" t="str">
        <f>IFERROR(VLOOKUP(TableHandbook[[#This Row],[UDC]],TableSTRUBSCIM[],7,FALSE),"")</f>
        <v/>
      </c>
      <c r="AO155" s="209" t="str">
        <f>IFERROR(VLOOKUP(TableHandbook[[#This Row],[UDC]],TableSTRUCHEMB[],7,FALSE),"")</f>
        <v/>
      </c>
      <c r="AP155" s="209" t="str">
        <f>IFERROR(VLOOKUP(TableHandbook[[#This Row],[UDC]],TableSTRUECOB1[],7,FALSE),"")</f>
        <v/>
      </c>
      <c r="AQ155" s="209" t="str">
        <f>IFERROR(VLOOKUP(TableHandbook[[#This Row],[UDC]],TableSTRUENGLB[],7,FALSE),"")</f>
        <v/>
      </c>
      <c r="AR155" s="209" t="str">
        <f>IFERROR(VLOOKUP(TableHandbook[[#This Row],[UDC]],TableSTRUENGLM[],7,FALSE),"")</f>
        <v/>
      </c>
      <c r="AS155" s="209" t="str">
        <f>IFERROR(VLOOKUP(TableHandbook[[#This Row],[UDC]],TableSTRUGEOB1[],7,FALSE),"")</f>
        <v/>
      </c>
      <c r="AT155" s="209" t="str">
        <f>IFERROR(VLOOKUP(TableHandbook[[#This Row],[UDC]],TableSTRUGEOGM[],7,FALSE),"")</f>
        <v/>
      </c>
      <c r="AU155" s="209" t="str">
        <f>IFERROR(VLOOKUP(TableHandbook[[#This Row],[UDC]],TableSTRUHISB1[],7,FALSE),"")</f>
        <v/>
      </c>
      <c r="AV155" s="209" t="str">
        <f>IFERROR(VLOOKUP(TableHandbook[[#This Row],[UDC]],TableSTRUHISTM[],7,FALSE),"")</f>
        <v/>
      </c>
      <c r="AW155" s="209" t="str">
        <f>IFERROR(VLOOKUP(TableHandbook[[#This Row],[UDC]],TableSTRUHPEB1[],7,FALSE),"")</f>
        <v/>
      </c>
      <c r="AX155" s="209" t="str">
        <f>IFERROR(VLOOKUP(TableHandbook[[#This Row],[UDC]],TableSTRUHUMBB[],7,FALSE),"")</f>
        <v/>
      </c>
      <c r="AY155" s="209" t="str">
        <f>IFERROR(VLOOKUP(TableHandbook[[#This Row],[UDC]],TableSTRUMARTM[],7,FALSE),"")</f>
        <v/>
      </c>
      <c r="AZ155" s="209" t="str">
        <f>IFERROR(VLOOKUP(TableHandbook[[#This Row],[UDC]],TableSTRUMATHB[],7,FALSE),"")</f>
        <v/>
      </c>
      <c r="BA155" s="209" t="str">
        <f>IFERROR(VLOOKUP(TableHandbook[[#This Row],[UDC]],TableSTRUMATHM[],7,FALSE),"")</f>
        <v/>
      </c>
      <c r="BB155" s="209" t="str">
        <f>IFERROR(VLOOKUP(TableHandbook[[#This Row],[UDC]],TableSTRUPARTB[],7,FALSE),"")</f>
        <v/>
      </c>
      <c r="BC155" s="209" t="str">
        <f>IFERROR(VLOOKUP(TableHandbook[[#This Row],[UDC]],TableSTRUPARTM[],7,FALSE),"")</f>
        <v/>
      </c>
      <c r="BD155" s="209" t="str">
        <f>IFERROR(VLOOKUP(TableHandbook[[#This Row],[UDC]],TableSTRUPOLB1[],7,FALSE),"")</f>
        <v/>
      </c>
      <c r="BE155" s="209" t="str">
        <f>IFERROR(VLOOKUP(TableHandbook[[#This Row],[UDC]],TableSTRUPSYCB[],7,FALSE),"")</f>
        <v/>
      </c>
      <c r="BF155" s="209" t="str">
        <f>IFERROR(VLOOKUP(TableHandbook[[#This Row],[UDC]],TableSTRUPSYCM[],7,FALSE),"")</f>
        <v/>
      </c>
      <c r="BG155" s="209" t="str">
        <f>IFERROR(VLOOKUP(TableHandbook[[#This Row],[UDC]],TableSTRUVARTB[],7,FALSE),"")</f>
        <v/>
      </c>
      <c r="BH155" s="209" t="str">
        <f>IFERROR(VLOOKUP(TableHandbook[[#This Row],[UDC]],TableSTRUVARTM[],7,FALSE),"")</f>
        <v/>
      </c>
    </row>
    <row r="156" spans="1:60" x14ac:dyDescent="0.25">
      <c r="A156" s="6" t="s">
        <v>61</v>
      </c>
      <c r="B156" s="7">
        <v>1</v>
      </c>
      <c r="C156" s="7"/>
      <c r="D156" s="207" t="s">
        <v>962</v>
      </c>
      <c r="E156" s="7">
        <v>25</v>
      </c>
      <c r="F156" s="84" t="s">
        <v>783</v>
      </c>
      <c r="G156" s="75" t="str">
        <f>IFERROR(IF(VLOOKUP(TableHandbook[[#This Row],[UDC]],TableAvailabilities[],2,FALSE)&gt;0,"Y",""),"")</f>
        <v/>
      </c>
      <c r="H156" s="75" t="str">
        <f>IFERROR(IF(VLOOKUP(TableHandbook[[#This Row],[UDC]],TableAvailabilities[],3,FALSE)&gt;0,"Y",""),"")</f>
        <v/>
      </c>
      <c r="I156" s="75" t="str">
        <f>IFERROR(IF(VLOOKUP(TableHandbook[[#This Row],[UDC]],TableAvailabilities[],4,FALSE)&gt;0,"Y",""),"")</f>
        <v/>
      </c>
      <c r="J156" s="75" t="str">
        <f>IFERROR(IF(VLOOKUP(TableHandbook[[#This Row],[UDC]],TableAvailabilities[],5,FALSE)&gt;0,"Y",""),"")</f>
        <v>Y</v>
      </c>
      <c r="K156" s="75" t="str">
        <f>IFERROR(IF(VLOOKUP(TableHandbook[[#This Row],[UDC]],TableAvailabilities[],6,FALSE)&gt;0,"Y",""),"")</f>
        <v>Y</v>
      </c>
      <c r="L156" s="75" t="str">
        <f>IFERROR(IF(VLOOKUP(TableHandbook[[#This Row],[UDC]],TableAvailabilities[],7,FALSE)&gt;0,"Y",""),"")</f>
        <v>Y</v>
      </c>
      <c r="M156" s="207"/>
      <c r="N156" s="209" t="str">
        <f>IFERROR(VLOOKUP(TableHandbook[[#This Row],[UDC]],TableBEDUC[],7,FALSE),"")</f>
        <v>Core</v>
      </c>
      <c r="O156" s="209" t="str">
        <f>IFERROR(VLOOKUP(TableHandbook[[#This Row],[UDC]],TableBEDEC[],7,FALSE),"")</f>
        <v>Core</v>
      </c>
      <c r="P156" s="211" t="str">
        <f>IFERROR(VLOOKUP(TableHandbook[[#This Row],[UDC]],TableBEDPR[],7,FALSE),"")</f>
        <v>Core</v>
      </c>
      <c r="Q156" s="209" t="str">
        <f>IFERROR(VLOOKUP(TableHandbook[[#This Row],[UDC]],TableSTRUCATHL[],7,FALSE),"")</f>
        <v/>
      </c>
      <c r="R156" s="209" t="str">
        <f>IFERROR(VLOOKUP(TableHandbook[[#This Row],[UDC]],TableSTRUENGLL[],7,FALSE),"")</f>
        <v/>
      </c>
      <c r="S156" s="209" t="str">
        <f>IFERROR(VLOOKUP(TableHandbook[[#This Row],[UDC]],TableSTRUHLTPE[],7,FALSE),"")</f>
        <v/>
      </c>
      <c r="T156" s="209" t="str">
        <f>IFERROR(VLOOKUP(TableHandbook[[#This Row],[UDC]],TableSTRUISTEM[],7,FALSE),"")</f>
        <v/>
      </c>
      <c r="U156" s="209" t="str">
        <f>IFERROR(VLOOKUP(TableHandbook[[#This Row],[UDC]],TableSTRULITNU[],7,FALSE),"")</f>
        <v/>
      </c>
      <c r="V156" s="209" t="str">
        <f>IFERROR(VLOOKUP(TableHandbook[[#This Row],[UDC]],TableSTRUTECHS[],7,FALSE),"")</f>
        <v/>
      </c>
      <c r="W156" s="211" t="str">
        <f>IFERROR(VLOOKUP(TableHandbook[[#This Row],[UDC]],TableBEDSC[],7,FALSE),"")</f>
        <v/>
      </c>
      <c r="X156" s="211" t="str">
        <f>IFERROR(VLOOKUP(TableHandbook[[#This Row],[UDC]],TableMJRUARDR1[],7,FALSE),"")</f>
        <v/>
      </c>
      <c r="Y156" s="209" t="str">
        <f>IFERROR(VLOOKUP(TableHandbook[[#This Row],[UDC]],TableMJRUARME1[],7,FALSE),"")</f>
        <v/>
      </c>
      <c r="Z156" s="209" t="str">
        <f>IFERROR(VLOOKUP(TableHandbook[[#This Row],[UDC]],TableMJRUARVA1[],7,FALSE),"")</f>
        <v/>
      </c>
      <c r="AA156" s="209" t="str">
        <f>IFERROR(VLOOKUP(TableHandbook[[#This Row],[UDC]],TableMJRUENGL1[],7,FALSE),"")</f>
        <v/>
      </c>
      <c r="AB156" s="209" t="str">
        <f>IFERROR(VLOOKUP(TableHandbook[[#This Row],[UDC]],TableMJRUHSEC1[],7,FALSE),"")</f>
        <v/>
      </c>
      <c r="AC156" s="209" t="str">
        <f>IFERROR(VLOOKUP(TableHandbook[[#This Row],[UDC]],TableMJRUHSGE1[],7,FALSE),"")</f>
        <v/>
      </c>
      <c r="AD156" s="209" t="str">
        <f>IFERROR(VLOOKUP(TableHandbook[[#This Row],[UDC]],TableMJRUHSHI1[],7,FALSE),"")</f>
        <v/>
      </c>
      <c r="AE156" s="209" t="str">
        <f>IFERROR(VLOOKUP(TableHandbook[[#This Row],[UDC]],TableMJRUHSPL1[],7,FALSE),"")</f>
        <v/>
      </c>
      <c r="AF156" s="209" t="str">
        <f>IFERROR(VLOOKUP(TableHandbook[[#This Row],[UDC]],TableMJRUMATH1[],7,FALSE),"")</f>
        <v/>
      </c>
      <c r="AG156" s="209" t="str">
        <f>IFERROR(VLOOKUP(TableHandbook[[#This Row],[UDC]],TableMJRUPHYSE[],7,FALSE),"")</f>
        <v/>
      </c>
      <c r="AH156" s="209" t="str">
        <f>IFERROR(VLOOKUP(TableHandbook[[#This Row],[UDC]],TableMJRUSCBI1[],7,FALSE),"")</f>
        <v/>
      </c>
      <c r="AI156" s="209" t="str">
        <f>IFERROR(VLOOKUP(TableHandbook[[#This Row],[UDC]],TableMJRUSCCH1[],7,FALSE),"")</f>
        <v/>
      </c>
      <c r="AJ156" s="209" t="str">
        <f>IFERROR(VLOOKUP(TableHandbook[[#This Row],[UDC]],TableMJRUSCHB1[],7,FALSE),"")</f>
        <v/>
      </c>
      <c r="AK156" s="209" t="str">
        <f>IFERROR(VLOOKUP(TableHandbook[[#This Row],[UDC]],TableMJRUSCPH1[],7,FALSE),"")</f>
        <v/>
      </c>
      <c r="AL156" s="209" t="str">
        <f>IFERROR(VLOOKUP(TableHandbook[[#This Row],[UDC]],TableMJRUSCPS1[],7,FALSE),"")</f>
        <v/>
      </c>
      <c r="AM156" s="211" t="str">
        <f>IFERROR(VLOOKUP(TableHandbook[[#This Row],[UDC]],TableSTRUBIOLB[],7,FALSE),"")</f>
        <v/>
      </c>
      <c r="AN156" s="209" t="str">
        <f>IFERROR(VLOOKUP(TableHandbook[[#This Row],[UDC]],TableSTRUBSCIM[],7,FALSE),"")</f>
        <v/>
      </c>
      <c r="AO156" s="209" t="str">
        <f>IFERROR(VLOOKUP(TableHandbook[[#This Row],[UDC]],TableSTRUCHEMB[],7,FALSE),"")</f>
        <v/>
      </c>
      <c r="AP156" s="209" t="str">
        <f>IFERROR(VLOOKUP(TableHandbook[[#This Row],[UDC]],TableSTRUECOB1[],7,FALSE),"")</f>
        <v/>
      </c>
      <c r="AQ156" s="209" t="str">
        <f>IFERROR(VLOOKUP(TableHandbook[[#This Row],[UDC]],TableSTRUENGLB[],7,FALSE),"")</f>
        <v/>
      </c>
      <c r="AR156" s="209" t="str">
        <f>IFERROR(VLOOKUP(TableHandbook[[#This Row],[UDC]],TableSTRUENGLM[],7,FALSE),"")</f>
        <v/>
      </c>
      <c r="AS156" s="209" t="str">
        <f>IFERROR(VLOOKUP(TableHandbook[[#This Row],[UDC]],TableSTRUGEOB1[],7,FALSE),"")</f>
        <v/>
      </c>
      <c r="AT156" s="209" t="str">
        <f>IFERROR(VLOOKUP(TableHandbook[[#This Row],[UDC]],TableSTRUGEOGM[],7,FALSE),"")</f>
        <v/>
      </c>
      <c r="AU156" s="209" t="str">
        <f>IFERROR(VLOOKUP(TableHandbook[[#This Row],[UDC]],TableSTRUHISB1[],7,FALSE),"")</f>
        <v/>
      </c>
      <c r="AV156" s="209" t="str">
        <f>IFERROR(VLOOKUP(TableHandbook[[#This Row],[UDC]],TableSTRUHISTM[],7,FALSE),"")</f>
        <v/>
      </c>
      <c r="AW156" s="209" t="str">
        <f>IFERROR(VLOOKUP(TableHandbook[[#This Row],[UDC]],TableSTRUHPEB1[],7,FALSE),"")</f>
        <v/>
      </c>
      <c r="AX156" s="209" t="str">
        <f>IFERROR(VLOOKUP(TableHandbook[[#This Row],[UDC]],TableSTRUHUMBB[],7,FALSE),"")</f>
        <v/>
      </c>
      <c r="AY156" s="209" t="str">
        <f>IFERROR(VLOOKUP(TableHandbook[[#This Row],[UDC]],TableSTRUMARTM[],7,FALSE),"")</f>
        <v/>
      </c>
      <c r="AZ156" s="209" t="str">
        <f>IFERROR(VLOOKUP(TableHandbook[[#This Row],[UDC]],TableSTRUMATHB[],7,FALSE),"")</f>
        <v/>
      </c>
      <c r="BA156" s="209" t="str">
        <f>IFERROR(VLOOKUP(TableHandbook[[#This Row],[UDC]],TableSTRUMATHM[],7,FALSE),"")</f>
        <v/>
      </c>
      <c r="BB156" s="209" t="str">
        <f>IFERROR(VLOOKUP(TableHandbook[[#This Row],[UDC]],TableSTRUPARTB[],7,FALSE),"")</f>
        <v/>
      </c>
      <c r="BC156" s="209" t="str">
        <f>IFERROR(VLOOKUP(TableHandbook[[#This Row],[UDC]],TableSTRUPARTM[],7,FALSE),"")</f>
        <v/>
      </c>
      <c r="BD156" s="209" t="str">
        <f>IFERROR(VLOOKUP(TableHandbook[[#This Row],[UDC]],TableSTRUPOLB1[],7,FALSE),"")</f>
        <v/>
      </c>
      <c r="BE156" s="209" t="str">
        <f>IFERROR(VLOOKUP(TableHandbook[[#This Row],[UDC]],TableSTRUPSYCB[],7,FALSE),"")</f>
        <v/>
      </c>
      <c r="BF156" s="209" t="str">
        <f>IFERROR(VLOOKUP(TableHandbook[[#This Row],[UDC]],TableSTRUPSYCM[],7,FALSE),"")</f>
        <v/>
      </c>
      <c r="BG156" s="209" t="str">
        <f>IFERROR(VLOOKUP(TableHandbook[[#This Row],[UDC]],TableSTRUVARTB[],7,FALSE),"")</f>
        <v/>
      </c>
      <c r="BH156" s="209" t="str">
        <f>IFERROR(VLOOKUP(TableHandbook[[#This Row],[UDC]],TableSTRUVARTM[],7,FALSE),"")</f>
        <v/>
      </c>
    </row>
    <row r="157" spans="1:60" x14ac:dyDescent="0.25">
      <c r="A157" s="6" t="s">
        <v>57</v>
      </c>
      <c r="B157" s="7">
        <v>1</v>
      </c>
      <c r="C157" s="7"/>
      <c r="D157" s="207" t="s">
        <v>963</v>
      </c>
      <c r="E157" s="7">
        <v>25</v>
      </c>
      <c r="F157" s="84" t="s">
        <v>783</v>
      </c>
      <c r="G157" s="75" t="str">
        <f>IFERROR(IF(VLOOKUP(TableHandbook[[#This Row],[UDC]],TableAvailabilities[],2,FALSE)&gt;0,"Y",""),"")</f>
        <v/>
      </c>
      <c r="H157" s="75" t="str">
        <f>IFERROR(IF(VLOOKUP(TableHandbook[[#This Row],[UDC]],TableAvailabilities[],3,FALSE)&gt;0,"Y",""),"")</f>
        <v/>
      </c>
      <c r="I157" s="75" t="str">
        <f>IFERROR(IF(VLOOKUP(TableHandbook[[#This Row],[UDC]],TableAvailabilities[],4,FALSE)&gt;0,"Y",""),"")</f>
        <v/>
      </c>
      <c r="J157" s="75" t="str">
        <f>IFERROR(IF(VLOOKUP(TableHandbook[[#This Row],[UDC]],TableAvailabilities[],5,FALSE)&gt;0,"Y",""),"")</f>
        <v>Y</v>
      </c>
      <c r="K157" s="75" t="str">
        <f>IFERROR(IF(VLOOKUP(TableHandbook[[#This Row],[UDC]],TableAvailabilities[],6,FALSE)&gt;0,"Y",""),"")</f>
        <v>Y</v>
      </c>
      <c r="L157" s="75" t="str">
        <f>IFERROR(IF(VLOOKUP(TableHandbook[[#This Row],[UDC]],TableAvailabilities[],7,FALSE)&gt;0,"Y",""),"")</f>
        <v>Y</v>
      </c>
      <c r="M157" s="207"/>
      <c r="N157" s="209" t="str">
        <f>IFERROR(VLOOKUP(TableHandbook[[#This Row],[UDC]],TableBEDUC[],7,FALSE),"")</f>
        <v>Core</v>
      </c>
      <c r="O157" s="209" t="str">
        <f>IFERROR(VLOOKUP(TableHandbook[[#This Row],[UDC]],TableBEDEC[],7,FALSE),"")</f>
        <v>Core</v>
      </c>
      <c r="P157" s="211" t="str">
        <f>IFERROR(VLOOKUP(TableHandbook[[#This Row],[UDC]],TableBEDPR[],7,FALSE),"")</f>
        <v>Core</v>
      </c>
      <c r="Q157" s="209" t="str">
        <f>IFERROR(VLOOKUP(TableHandbook[[#This Row],[UDC]],TableSTRUCATHL[],7,FALSE),"")</f>
        <v/>
      </c>
      <c r="R157" s="209" t="str">
        <f>IFERROR(VLOOKUP(TableHandbook[[#This Row],[UDC]],TableSTRUENGLL[],7,FALSE),"")</f>
        <v/>
      </c>
      <c r="S157" s="209" t="str">
        <f>IFERROR(VLOOKUP(TableHandbook[[#This Row],[UDC]],TableSTRUHLTPE[],7,FALSE),"")</f>
        <v/>
      </c>
      <c r="T157" s="209" t="str">
        <f>IFERROR(VLOOKUP(TableHandbook[[#This Row],[UDC]],TableSTRUISTEM[],7,FALSE),"")</f>
        <v/>
      </c>
      <c r="U157" s="209" t="str">
        <f>IFERROR(VLOOKUP(TableHandbook[[#This Row],[UDC]],TableSTRULITNU[],7,FALSE),"")</f>
        <v/>
      </c>
      <c r="V157" s="209" t="str">
        <f>IFERROR(VLOOKUP(TableHandbook[[#This Row],[UDC]],TableSTRUTECHS[],7,FALSE),"")</f>
        <v/>
      </c>
      <c r="W157" s="211" t="str">
        <f>IFERROR(VLOOKUP(TableHandbook[[#This Row],[UDC]],TableBEDSC[],7,FALSE),"")</f>
        <v/>
      </c>
      <c r="X157" s="211" t="str">
        <f>IFERROR(VLOOKUP(TableHandbook[[#This Row],[UDC]],TableMJRUARDR1[],7,FALSE),"")</f>
        <v/>
      </c>
      <c r="Y157" s="209" t="str">
        <f>IFERROR(VLOOKUP(TableHandbook[[#This Row],[UDC]],TableMJRUARME1[],7,FALSE),"")</f>
        <v/>
      </c>
      <c r="Z157" s="209" t="str">
        <f>IFERROR(VLOOKUP(TableHandbook[[#This Row],[UDC]],TableMJRUARVA1[],7,FALSE),"")</f>
        <v/>
      </c>
      <c r="AA157" s="209" t="str">
        <f>IFERROR(VLOOKUP(TableHandbook[[#This Row],[UDC]],TableMJRUENGL1[],7,FALSE),"")</f>
        <v/>
      </c>
      <c r="AB157" s="209" t="str">
        <f>IFERROR(VLOOKUP(TableHandbook[[#This Row],[UDC]],TableMJRUHSEC1[],7,FALSE),"")</f>
        <v/>
      </c>
      <c r="AC157" s="209" t="str">
        <f>IFERROR(VLOOKUP(TableHandbook[[#This Row],[UDC]],TableMJRUHSGE1[],7,FALSE),"")</f>
        <v/>
      </c>
      <c r="AD157" s="209" t="str">
        <f>IFERROR(VLOOKUP(TableHandbook[[#This Row],[UDC]],TableMJRUHSHI1[],7,FALSE),"")</f>
        <v/>
      </c>
      <c r="AE157" s="209" t="str">
        <f>IFERROR(VLOOKUP(TableHandbook[[#This Row],[UDC]],TableMJRUHSPL1[],7,FALSE),"")</f>
        <v/>
      </c>
      <c r="AF157" s="209" t="str">
        <f>IFERROR(VLOOKUP(TableHandbook[[#This Row],[UDC]],TableMJRUMATH1[],7,FALSE),"")</f>
        <v/>
      </c>
      <c r="AG157" s="209" t="str">
        <f>IFERROR(VLOOKUP(TableHandbook[[#This Row],[UDC]],TableMJRUPHYSE[],7,FALSE),"")</f>
        <v/>
      </c>
      <c r="AH157" s="209" t="str">
        <f>IFERROR(VLOOKUP(TableHandbook[[#This Row],[UDC]],TableMJRUSCBI1[],7,FALSE),"")</f>
        <v/>
      </c>
      <c r="AI157" s="209" t="str">
        <f>IFERROR(VLOOKUP(TableHandbook[[#This Row],[UDC]],TableMJRUSCCH1[],7,FALSE),"")</f>
        <v/>
      </c>
      <c r="AJ157" s="209" t="str">
        <f>IFERROR(VLOOKUP(TableHandbook[[#This Row],[UDC]],TableMJRUSCHB1[],7,FALSE),"")</f>
        <v/>
      </c>
      <c r="AK157" s="209" t="str">
        <f>IFERROR(VLOOKUP(TableHandbook[[#This Row],[UDC]],TableMJRUSCPH1[],7,FALSE),"")</f>
        <v/>
      </c>
      <c r="AL157" s="209" t="str">
        <f>IFERROR(VLOOKUP(TableHandbook[[#This Row],[UDC]],TableMJRUSCPS1[],7,FALSE),"")</f>
        <v/>
      </c>
      <c r="AM157" s="211" t="str">
        <f>IFERROR(VLOOKUP(TableHandbook[[#This Row],[UDC]],TableSTRUBIOLB[],7,FALSE),"")</f>
        <v/>
      </c>
      <c r="AN157" s="209" t="str">
        <f>IFERROR(VLOOKUP(TableHandbook[[#This Row],[UDC]],TableSTRUBSCIM[],7,FALSE),"")</f>
        <v/>
      </c>
      <c r="AO157" s="209" t="str">
        <f>IFERROR(VLOOKUP(TableHandbook[[#This Row],[UDC]],TableSTRUCHEMB[],7,FALSE),"")</f>
        <v/>
      </c>
      <c r="AP157" s="209" t="str">
        <f>IFERROR(VLOOKUP(TableHandbook[[#This Row],[UDC]],TableSTRUECOB1[],7,FALSE),"")</f>
        <v/>
      </c>
      <c r="AQ157" s="209" t="str">
        <f>IFERROR(VLOOKUP(TableHandbook[[#This Row],[UDC]],TableSTRUENGLB[],7,FALSE),"")</f>
        <v/>
      </c>
      <c r="AR157" s="209" t="str">
        <f>IFERROR(VLOOKUP(TableHandbook[[#This Row],[UDC]],TableSTRUENGLM[],7,FALSE),"")</f>
        <v/>
      </c>
      <c r="AS157" s="209" t="str">
        <f>IFERROR(VLOOKUP(TableHandbook[[#This Row],[UDC]],TableSTRUGEOB1[],7,FALSE),"")</f>
        <v/>
      </c>
      <c r="AT157" s="209" t="str">
        <f>IFERROR(VLOOKUP(TableHandbook[[#This Row],[UDC]],TableSTRUGEOGM[],7,FALSE),"")</f>
        <v/>
      </c>
      <c r="AU157" s="209" t="str">
        <f>IFERROR(VLOOKUP(TableHandbook[[#This Row],[UDC]],TableSTRUHISB1[],7,FALSE),"")</f>
        <v/>
      </c>
      <c r="AV157" s="209" t="str">
        <f>IFERROR(VLOOKUP(TableHandbook[[#This Row],[UDC]],TableSTRUHISTM[],7,FALSE),"")</f>
        <v/>
      </c>
      <c r="AW157" s="209" t="str">
        <f>IFERROR(VLOOKUP(TableHandbook[[#This Row],[UDC]],TableSTRUHPEB1[],7,FALSE),"")</f>
        <v/>
      </c>
      <c r="AX157" s="209" t="str">
        <f>IFERROR(VLOOKUP(TableHandbook[[#This Row],[UDC]],TableSTRUHUMBB[],7,FALSE),"")</f>
        <v/>
      </c>
      <c r="AY157" s="209" t="str">
        <f>IFERROR(VLOOKUP(TableHandbook[[#This Row],[UDC]],TableSTRUMARTM[],7,FALSE),"")</f>
        <v/>
      </c>
      <c r="AZ157" s="209" t="str">
        <f>IFERROR(VLOOKUP(TableHandbook[[#This Row],[UDC]],TableSTRUMATHB[],7,FALSE),"")</f>
        <v/>
      </c>
      <c r="BA157" s="209" t="str">
        <f>IFERROR(VLOOKUP(TableHandbook[[#This Row],[UDC]],TableSTRUMATHM[],7,FALSE),"")</f>
        <v/>
      </c>
      <c r="BB157" s="209" t="str">
        <f>IFERROR(VLOOKUP(TableHandbook[[#This Row],[UDC]],TableSTRUPARTB[],7,FALSE),"")</f>
        <v/>
      </c>
      <c r="BC157" s="209" t="str">
        <f>IFERROR(VLOOKUP(TableHandbook[[#This Row],[UDC]],TableSTRUPARTM[],7,FALSE),"")</f>
        <v/>
      </c>
      <c r="BD157" s="209" t="str">
        <f>IFERROR(VLOOKUP(TableHandbook[[#This Row],[UDC]],TableSTRUPOLB1[],7,FALSE),"")</f>
        <v/>
      </c>
      <c r="BE157" s="209" t="str">
        <f>IFERROR(VLOOKUP(TableHandbook[[#This Row],[UDC]],TableSTRUPSYCB[],7,FALSE),"")</f>
        <v/>
      </c>
      <c r="BF157" s="209" t="str">
        <f>IFERROR(VLOOKUP(TableHandbook[[#This Row],[UDC]],TableSTRUPSYCM[],7,FALSE),"")</f>
        <v/>
      </c>
      <c r="BG157" s="209" t="str">
        <f>IFERROR(VLOOKUP(TableHandbook[[#This Row],[UDC]],TableSTRUVARTB[],7,FALSE),"")</f>
        <v/>
      </c>
      <c r="BH157" s="209" t="str">
        <f>IFERROR(VLOOKUP(TableHandbook[[#This Row],[UDC]],TableSTRUVARTM[],7,FALSE),"")</f>
        <v/>
      </c>
    </row>
    <row r="158" spans="1:60" x14ac:dyDescent="0.25">
      <c r="A158" s="6" t="s">
        <v>58</v>
      </c>
      <c r="B158" s="7">
        <v>1</v>
      </c>
      <c r="C158" s="7"/>
      <c r="D158" s="207" t="s">
        <v>964</v>
      </c>
      <c r="E158" s="7">
        <v>25</v>
      </c>
      <c r="F158" s="84" t="s">
        <v>783</v>
      </c>
      <c r="G158" s="75" t="str">
        <f>IFERROR(IF(VLOOKUP(TableHandbook[[#This Row],[UDC]],TableAvailabilities[],2,FALSE)&gt;0,"Y",""),"")</f>
        <v/>
      </c>
      <c r="H158" s="75" t="str">
        <f>IFERROR(IF(VLOOKUP(TableHandbook[[#This Row],[UDC]],TableAvailabilities[],3,FALSE)&gt;0,"Y",""),"")</f>
        <v/>
      </c>
      <c r="I158" s="75" t="str">
        <f>IFERROR(IF(VLOOKUP(TableHandbook[[#This Row],[UDC]],TableAvailabilities[],4,FALSE)&gt;0,"Y",""),"")</f>
        <v/>
      </c>
      <c r="J158" s="75" t="str">
        <f>IFERROR(IF(VLOOKUP(TableHandbook[[#This Row],[UDC]],TableAvailabilities[],5,FALSE)&gt;0,"Y",""),"")</f>
        <v>Y</v>
      </c>
      <c r="K158" s="75" t="str">
        <f>IFERROR(IF(VLOOKUP(TableHandbook[[#This Row],[UDC]],TableAvailabilities[],6,FALSE)&gt;0,"Y",""),"")</f>
        <v>Y</v>
      </c>
      <c r="L158" s="75" t="str">
        <f>IFERROR(IF(VLOOKUP(TableHandbook[[#This Row],[UDC]],TableAvailabilities[],7,FALSE)&gt;0,"Y",""),"")</f>
        <v>Y</v>
      </c>
      <c r="M158" s="207"/>
      <c r="N158" s="209" t="str">
        <f>IFERROR(VLOOKUP(TableHandbook[[#This Row],[UDC]],TableBEDUC[],7,FALSE),"")</f>
        <v>Core</v>
      </c>
      <c r="O158" s="209" t="str">
        <f>IFERROR(VLOOKUP(TableHandbook[[#This Row],[UDC]],TableBEDEC[],7,FALSE),"")</f>
        <v>Core</v>
      </c>
      <c r="P158" s="211" t="str">
        <f>IFERROR(VLOOKUP(TableHandbook[[#This Row],[UDC]],TableBEDPR[],7,FALSE),"")</f>
        <v>Core</v>
      </c>
      <c r="Q158" s="209" t="str">
        <f>IFERROR(VLOOKUP(TableHandbook[[#This Row],[UDC]],TableSTRUCATHL[],7,FALSE),"")</f>
        <v/>
      </c>
      <c r="R158" s="209" t="str">
        <f>IFERROR(VLOOKUP(TableHandbook[[#This Row],[UDC]],TableSTRUENGLL[],7,FALSE),"")</f>
        <v/>
      </c>
      <c r="S158" s="209" t="str">
        <f>IFERROR(VLOOKUP(TableHandbook[[#This Row],[UDC]],TableSTRUHLTPE[],7,FALSE),"")</f>
        <v/>
      </c>
      <c r="T158" s="209" t="str">
        <f>IFERROR(VLOOKUP(TableHandbook[[#This Row],[UDC]],TableSTRUISTEM[],7,FALSE),"")</f>
        <v/>
      </c>
      <c r="U158" s="209" t="str">
        <f>IFERROR(VLOOKUP(TableHandbook[[#This Row],[UDC]],TableSTRULITNU[],7,FALSE),"")</f>
        <v/>
      </c>
      <c r="V158" s="209" t="str">
        <f>IFERROR(VLOOKUP(TableHandbook[[#This Row],[UDC]],TableSTRUTECHS[],7,FALSE),"")</f>
        <v/>
      </c>
      <c r="W158" s="211" t="str">
        <f>IFERROR(VLOOKUP(TableHandbook[[#This Row],[UDC]],TableBEDSC[],7,FALSE),"")</f>
        <v/>
      </c>
      <c r="X158" s="211" t="str">
        <f>IFERROR(VLOOKUP(TableHandbook[[#This Row],[UDC]],TableMJRUARDR1[],7,FALSE),"")</f>
        <v/>
      </c>
      <c r="Y158" s="209" t="str">
        <f>IFERROR(VLOOKUP(TableHandbook[[#This Row],[UDC]],TableMJRUARME1[],7,FALSE),"")</f>
        <v/>
      </c>
      <c r="Z158" s="209" t="str">
        <f>IFERROR(VLOOKUP(TableHandbook[[#This Row],[UDC]],TableMJRUARVA1[],7,FALSE),"")</f>
        <v/>
      </c>
      <c r="AA158" s="209" t="str">
        <f>IFERROR(VLOOKUP(TableHandbook[[#This Row],[UDC]],TableMJRUENGL1[],7,FALSE),"")</f>
        <v/>
      </c>
      <c r="AB158" s="209" t="str">
        <f>IFERROR(VLOOKUP(TableHandbook[[#This Row],[UDC]],TableMJRUHSEC1[],7,FALSE),"")</f>
        <v/>
      </c>
      <c r="AC158" s="209" t="str">
        <f>IFERROR(VLOOKUP(TableHandbook[[#This Row],[UDC]],TableMJRUHSGE1[],7,FALSE),"")</f>
        <v/>
      </c>
      <c r="AD158" s="209" t="str">
        <f>IFERROR(VLOOKUP(TableHandbook[[#This Row],[UDC]],TableMJRUHSHI1[],7,FALSE),"")</f>
        <v/>
      </c>
      <c r="AE158" s="209" t="str">
        <f>IFERROR(VLOOKUP(TableHandbook[[#This Row],[UDC]],TableMJRUHSPL1[],7,FALSE),"")</f>
        <v/>
      </c>
      <c r="AF158" s="209" t="str">
        <f>IFERROR(VLOOKUP(TableHandbook[[#This Row],[UDC]],TableMJRUMATH1[],7,FALSE),"")</f>
        <v/>
      </c>
      <c r="AG158" s="209" t="str">
        <f>IFERROR(VLOOKUP(TableHandbook[[#This Row],[UDC]],TableMJRUPHYSE[],7,FALSE),"")</f>
        <v/>
      </c>
      <c r="AH158" s="209" t="str">
        <f>IFERROR(VLOOKUP(TableHandbook[[#This Row],[UDC]],TableMJRUSCBI1[],7,FALSE),"")</f>
        <v/>
      </c>
      <c r="AI158" s="209" t="str">
        <f>IFERROR(VLOOKUP(TableHandbook[[#This Row],[UDC]],TableMJRUSCCH1[],7,FALSE),"")</f>
        <v/>
      </c>
      <c r="AJ158" s="209" t="str">
        <f>IFERROR(VLOOKUP(TableHandbook[[#This Row],[UDC]],TableMJRUSCHB1[],7,FALSE),"")</f>
        <v/>
      </c>
      <c r="AK158" s="209" t="str">
        <f>IFERROR(VLOOKUP(TableHandbook[[#This Row],[UDC]],TableMJRUSCPH1[],7,FALSE),"")</f>
        <v/>
      </c>
      <c r="AL158" s="209" t="str">
        <f>IFERROR(VLOOKUP(TableHandbook[[#This Row],[UDC]],TableMJRUSCPS1[],7,FALSE),"")</f>
        <v/>
      </c>
      <c r="AM158" s="211" t="str">
        <f>IFERROR(VLOOKUP(TableHandbook[[#This Row],[UDC]],TableSTRUBIOLB[],7,FALSE),"")</f>
        <v/>
      </c>
      <c r="AN158" s="209" t="str">
        <f>IFERROR(VLOOKUP(TableHandbook[[#This Row],[UDC]],TableSTRUBSCIM[],7,FALSE),"")</f>
        <v/>
      </c>
      <c r="AO158" s="209" t="str">
        <f>IFERROR(VLOOKUP(TableHandbook[[#This Row],[UDC]],TableSTRUCHEMB[],7,FALSE),"")</f>
        <v/>
      </c>
      <c r="AP158" s="209" t="str">
        <f>IFERROR(VLOOKUP(TableHandbook[[#This Row],[UDC]],TableSTRUECOB1[],7,FALSE),"")</f>
        <v/>
      </c>
      <c r="AQ158" s="209" t="str">
        <f>IFERROR(VLOOKUP(TableHandbook[[#This Row],[UDC]],TableSTRUENGLB[],7,FALSE),"")</f>
        <v/>
      </c>
      <c r="AR158" s="209" t="str">
        <f>IFERROR(VLOOKUP(TableHandbook[[#This Row],[UDC]],TableSTRUENGLM[],7,FALSE),"")</f>
        <v/>
      </c>
      <c r="AS158" s="209" t="str">
        <f>IFERROR(VLOOKUP(TableHandbook[[#This Row],[UDC]],TableSTRUGEOB1[],7,FALSE),"")</f>
        <v/>
      </c>
      <c r="AT158" s="209" t="str">
        <f>IFERROR(VLOOKUP(TableHandbook[[#This Row],[UDC]],TableSTRUGEOGM[],7,FALSE),"")</f>
        <v/>
      </c>
      <c r="AU158" s="209" t="str">
        <f>IFERROR(VLOOKUP(TableHandbook[[#This Row],[UDC]],TableSTRUHISB1[],7,FALSE),"")</f>
        <v/>
      </c>
      <c r="AV158" s="209" t="str">
        <f>IFERROR(VLOOKUP(TableHandbook[[#This Row],[UDC]],TableSTRUHISTM[],7,FALSE),"")</f>
        <v/>
      </c>
      <c r="AW158" s="209" t="str">
        <f>IFERROR(VLOOKUP(TableHandbook[[#This Row],[UDC]],TableSTRUHPEB1[],7,FALSE),"")</f>
        <v/>
      </c>
      <c r="AX158" s="209" t="str">
        <f>IFERROR(VLOOKUP(TableHandbook[[#This Row],[UDC]],TableSTRUHUMBB[],7,FALSE),"")</f>
        <v/>
      </c>
      <c r="AY158" s="209" t="str">
        <f>IFERROR(VLOOKUP(TableHandbook[[#This Row],[UDC]],TableSTRUMARTM[],7,FALSE),"")</f>
        <v/>
      </c>
      <c r="AZ158" s="209" t="str">
        <f>IFERROR(VLOOKUP(TableHandbook[[#This Row],[UDC]],TableSTRUMATHB[],7,FALSE),"")</f>
        <v/>
      </c>
      <c r="BA158" s="209" t="str">
        <f>IFERROR(VLOOKUP(TableHandbook[[#This Row],[UDC]],TableSTRUMATHM[],7,FALSE),"")</f>
        <v/>
      </c>
      <c r="BB158" s="209" t="str">
        <f>IFERROR(VLOOKUP(TableHandbook[[#This Row],[UDC]],TableSTRUPARTB[],7,FALSE),"")</f>
        <v>AltCore</v>
      </c>
      <c r="BC158" s="209" t="str">
        <f>IFERROR(VLOOKUP(TableHandbook[[#This Row],[UDC]],TableSTRUPARTM[],7,FALSE),"")</f>
        <v/>
      </c>
      <c r="BD158" s="209" t="str">
        <f>IFERROR(VLOOKUP(TableHandbook[[#This Row],[UDC]],TableSTRUPOLB1[],7,FALSE),"")</f>
        <v/>
      </c>
      <c r="BE158" s="209" t="str">
        <f>IFERROR(VLOOKUP(TableHandbook[[#This Row],[UDC]],TableSTRUPSYCB[],7,FALSE),"")</f>
        <v/>
      </c>
      <c r="BF158" s="209" t="str">
        <f>IFERROR(VLOOKUP(TableHandbook[[#This Row],[UDC]],TableSTRUPSYCM[],7,FALSE),"")</f>
        <v/>
      </c>
      <c r="BG158" s="209" t="str">
        <f>IFERROR(VLOOKUP(TableHandbook[[#This Row],[UDC]],TableSTRUVARTB[],7,FALSE),"")</f>
        <v>Core</v>
      </c>
      <c r="BH158" s="209" t="str">
        <f>IFERROR(VLOOKUP(TableHandbook[[#This Row],[UDC]],TableSTRUVARTM[],7,FALSE),"")</f>
        <v/>
      </c>
    </row>
    <row r="159" spans="1:60" x14ac:dyDescent="0.25">
      <c r="A159" s="6" t="s">
        <v>63</v>
      </c>
      <c r="B159" s="7">
        <v>1</v>
      </c>
      <c r="C159" s="7"/>
      <c r="D159" s="207" t="s">
        <v>965</v>
      </c>
      <c r="E159" s="7">
        <v>25</v>
      </c>
      <c r="F159" s="84" t="s">
        <v>783</v>
      </c>
      <c r="G159" s="75" t="str">
        <f>IFERROR(IF(VLOOKUP(TableHandbook[[#This Row],[UDC]],TableAvailabilities[],2,FALSE)&gt;0,"Y",""),"")</f>
        <v/>
      </c>
      <c r="H159" s="75" t="str">
        <f>IFERROR(IF(VLOOKUP(TableHandbook[[#This Row],[UDC]],TableAvailabilities[],3,FALSE)&gt;0,"Y",""),"")</f>
        <v/>
      </c>
      <c r="I159" s="75" t="str">
        <f>IFERROR(IF(VLOOKUP(TableHandbook[[#This Row],[UDC]],TableAvailabilities[],4,FALSE)&gt;0,"Y",""),"")</f>
        <v/>
      </c>
      <c r="J159" s="75" t="str">
        <f>IFERROR(IF(VLOOKUP(TableHandbook[[#This Row],[UDC]],TableAvailabilities[],5,FALSE)&gt;0,"Y",""),"")</f>
        <v>Y</v>
      </c>
      <c r="K159" s="75" t="str">
        <f>IFERROR(IF(VLOOKUP(TableHandbook[[#This Row],[UDC]],TableAvailabilities[],6,FALSE)&gt;0,"Y",""),"")</f>
        <v>Y</v>
      </c>
      <c r="L159" s="75" t="str">
        <f>IFERROR(IF(VLOOKUP(TableHandbook[[#This Row],[UDC]],TableAvailabilities[],7,FALSE)&gt;0,"Y",""),"")</f>
        <v>Y</v>
      </c>
      <c r="M159" s="207"/>
      <c r="N159" s="209" t="str">
        <f>IFERROR(VLOOKUP(TableHandbook[[#This Row],[UDC]],TableBEDUC[],7,FALSE),"")</f>
        <v>Core</v>
      </c>
      <c r="O159" s="209" t="str">
        <f>IFERROR(VLOOKUP(TableHandbook[[#This Row],[UDC]],TableBEDEC[],7,FALSE),"")</f>
        <v>Core</v>
      </c>
      <c r="P159" s="211" t="str">
        <f>IFERROR(VLOOKUP(TableHandbook[[#This Row],[UDC]],TableBEDPR[],7,FALSE),"")</f>
        <v>Core</v>
      </c>
      <c r="Q159" s="209" t="str">
        <f>IFERROR(VLOOKUP(TableHandbook[[#This Row],[UDC]],TableSTRUCATHL[],7,FALSE),"")</f>
        <v/>
      </c>
      <c r="R159" s="209" t="str">
        <f>IFERROR(VLOOKUP(TableHandbook[[#This Row],[UDC]],TableSTRUENGLL[],7,FALSE),"")</f>
        <v/>
      </c>
      <c r="S159" s="209" t="str">
        <f>IFERROR(VLOOKUP(TableHandbook[[#This Row],[UDC]],TableSTRUHLTPE[],7,FALSE),"")</f>
        <v/>
      </c>
      <c r="T159" s="209" t="str">
        <f>IFERROR(VLOOKUP(TableHandbook[[#This Row],[UDC]],TableSTRUISTEM[],7,FALSE),"")</f>
        <v/>
      </c>
      <c r="U159" s="209" t="str">
        <f>IFERROR(VLOOKUP(TableHandbook[[#This Row],[UDC]],TableSTRULITNU[],7,FALSE),"")</f>
        <v/>
      </c>
      <c r="V159" s="209" t="str">
        <f>IFERROR(VLOOKUP(TableHandbook[[#This Row],[UDC]],TableSTRUTECHS[],7,FALSE),"")</f>
        <v/>
      </c>
      <c r="W159" s="211" t="str">
        <f>IFERROR(VLOOKUP(TableHandbook[[#This Row],[UDC]],TableBEDSC[],7,FALSE),"")</f>
        <v/>
      </c>
      <c r="X159" s="211" t="str">
        <f>IFERROR(VLOOKUP(TableHandbook[[#This Row],[UDC]],TableMJRUARDR1[],7,FALSE),"")</f>
        <v/>
      </c>
      <c r="Y159" s="209" t="str">
        <f>IFERROR(VLOOKUP(TableHandbook[[#This Row],[UDC]],TableMJRUARME1[],7,FALSE),"")</f>
        <v/>
      </c>
      <c r="Z159" s="209" t="str">
        <f>IFERROR(VLOOKUP(TableHandbook[[#This Row],[UDC]],TableMJRUARVA1[],7,FALSE),"")</f>
        <v/>
      </c>
      <c r="AA159" s="209" t="str">
        <f>IFERROR(VLOOKUP(TableHandbook[[#This Row],[UDC]],TableMJRUENGL1[],7,FALSE),"")</f>
        <v/>
      </c>
      <c r="AB159" s="209" t="str">
        <f>IFERROR(VLOOKUP(TableHandbook[[#This Row],[UDC]],TableMJRUHSEC1[],7,FALSE),"")</f>
        <v/>
      </c>
      <c r="AC159" s="209" t="str">
        <f>IFERROR(VLOOKUP(TableHandbook[[#This Row],[UDC]],TableMJRUHSGE1[],7,FALSE),"")</f>
        <v/>
      </c>
      <c r="AD159" s="209" t="str">
        <f>IFERROR(VLOOKUP(TableHandbook[[#This Row],[UDC]],TableMJRUHSHI1[],7,FALSE),"")</f>
        <v/>
      </c>
      <c r="AE159" s="209" t="str">
        <f>IFERROR(VLOOKUP(TableHandbook[[#This Row],[UDC]],TableMJRUHSPL1[],7,FALSE),"")</f>
        <v/>
      </c>
      <c r="AF159" s="209" t="str">
        <f>IFERROR(VLOOKUP(TableHandbook[[#This Row],[UDC]],TableMJRUMATH1[],7,FALSE),"")</f>
        <v/>
      </c>
      <c r="AG159" s="209" t="str">
        <f>IFERROR(VLOOKUP(TableHandbook[[#This Row],[UDC]],TableMJRUPHYSE[],7,FALSE),"")</f>
        <v/>
      </c>
      <c r="AH159" s="209" t="str">
        <f>IFERROR(VLOOKUP(TableHandbook[[#This Row],[UDC]],TableMJRUSCBI1[],7,FALSE),"")</f>
        <v/>
      </c>
      <c r="AI159" s="209" t="str">
        <f>IFERROR(VLOOKUP(TableHandbook[[#This Row],[UDC]],TableMJRUSCCH1[],7,FALSE),"")</f>
        <v/>
      </c>
      <c r="AJ159" s="209" t="str">
        <f>IFERROR(VLOOKUP(TableHandbook[[#This Row],[UDC]],TableMJRUSCHB1[],7,FALSE),"")</f>
        <v/>
      </c>
      <c r="AK159" s="209" t="str">
        <f>IFERROR(VLOOKUP(TableHandbook[[#This Row],[UDC]],TableMJRUSCPH1[],7,FALSE),"")</f>
        <v/>
      </c>
      <c r="AL159" s="209" t="str">
        <f>IFERROR(VLOOKUP(TableHandbook[[#This Row],[UDC]],TableMJRUSCPS1[],7,FALSE),"")</f>
        <v/>
      </c>
      <c r="AM159" s="211" t="str">
        <f>IFERROR(VLOOKUP(TableHandbook[[#This Row],[UDC]],TableSTRUBIOLB[],7,FALSE),"")</f>
        <v/>
      </c>
      <c r="AN159" s="209" t="str">
        <f>IFERROR(VLOOKUP(TableHandbook[[#This Row],[UDC]],TableSTRUBSCIM[],7,FALSE),"")</f>
        <v/>
      </c>
      <c r="AO159" s="209" t="str">
        <f>IFERROR(VLOOKUP(TableHandbook[[#This Row],[UDC]],TableSTRUCHEMB[],7,FALSE),"")</f>
        <v/>
      </c>
      <c r="AP159" s="209" t="str">
        <f>IFERROR(VLOOKUP(TableHandbook[[#This Row],[UDC]],TableSTRUECOB1[],7,FALSE),"")</f>
        <v/>
      </c>
      <c r="AQ159" s="209" t="str">
        <f>IFERROR(VLOOKUP(TableHandbook[[#This Row],[UDC]],TableSTRUENGLB[],7,FALSE),"")</f>
        <v/>
      </c>
      <c r="AR159" s="209" t="str">
        <f>IFERROR(VLOOKUP(TableHandbook[[#This Row],[UDC]],TableSTRUENGLM[],7,FALSE),"")</f>
        <v/>
      </c>
      <c r="AS159" s="209" t="str">
        <f>IFERROR(VLOOKUP(TableHandbook[[#This Row],[UDC]],TableSTRUGEOB1[],7,FALSE),"")</f>
        <v/>
      </c>
      <c r="AT159" s="209" t="str">
        <f>IFERROR(VLOOKUP(TableHandbook[[#This Row],[UDC]],TableSTRUGEOGM[],7,FALSE),"")</f>
        <v/>
      </c>
      <c r="AU159" s="209" t="str">
        <f>IFERROR(VLOOKUP(TableHandbook[[#This Row],[UDC]],TableSTRUHISB1[],7,FALSE),"")</f>
        <v/>
      </c>
      <c r="AV159" s="209" t="str">
        <f>IFERROR(VLOOKUP(TableHandbook[[#This Row],[UDC]],TableSTRUHISTM[],7,FALSE),"")</f>
        <v/>
      </c>
      <c r="AW159" s="209" t="str">
        <f>IFERROR(VLOOKUP(TableHandbook[[#This Row],[UDC]],TableSTRUHPEB1[],7,FALSE),"")</f>
        <v/>
      </c>
      <c r="AX159" s="209" t="str">
        <f>IFERROR(VLOOKUP(TableHandbook[[#This Row],[UDC]],TableSTRUHUMBB[],7,FALSE),"")</f>
        <v/>
      </c>
      <c r="AY159" s="209" t="str">
        <f>IFERROR(VLOOKUP(TableHandbook[[#This Row],[UDC]],TableSTRUMARTM[],7,FALSE),"")</f>
        <v/>
      </c>
      <c r="AZ159" s="209" t="str">
        <f>IFERROR(VLOOKUP(TableHandbook[[#This Row],[UDC]],TableSTRUMATHB[],7,FALSE),"")</f>
        <v/>
      </c>
      <c r="BA159" s="209" t="str">
        <f>IFERROR(VLOOKUP(TableHandbook[[#This Row],[UDC]],TableSTRUMATHM[],7,FALSE),"")</f>
        <v/>
      </c>
      <c r="BB159" s="209" t="str">
        <f>IFERROR(VLOOKUP(TableHandbook[[#This Row],[UDC]],TableSTRUPARTB[],7,FALSE),"")</f>
        <v/>
      </c>
      <c r="BC159" s="209" t="str">
        <f>IFERROR(VLOOKUP(TableHandbook[[#This Row],[UDC]],TableSTRUPARTM[],7,FALSE),"")</f>
        <v/>
      </c>
      <c r="BD159" s="209" t="str">
        <f>IFERROR(VLOOKUP(TableHandbook[[#This Row],[UDC]],TableSTRUPOLB1[],7,FALSE),"")</f>
        <v/>
      </c>
      <c r="BE159" s="209" t="str">
        <f>IFERROR(VLOOKUP(TableHandbook[[#This Row],[UDC]],TableSTRUPSYCB[],7,FALSE),"")</f>
        <v/>
      </c>
      <c r="BF159" s="209" t="str">
        <f>IFERROR(VLOOKUP(TableHandbook[[#This Row],[UDC]],TableSTRUPSYCM[],7,FALSE),"")</f>
        <v/>
      </c>
      <c r="BG159" s="209" t="str">
        <f>IFERROR(VLOOKUP(TableHandbook[[#This Row],[UDC]],TableSTRUVARTB[],7,FALSE),"")</f>
        <v/>
      </c>
      <c r="BH159" s="209" t="str">
        <f>IFERROR(VLOOKUP(TableHandbook[[#This Row],[UDC]],TableSTRUVARTM[],7,FALSE),"")</f>
        <v/>
      </c>
    </row>
    <row r="160" spans="1:60" x14ac:dyDescent="0.25">
      <c r="A160" s="6" t="s">
        <v>75</v>
      </c>
      <c r="B160" s="7">
        <v>1</v>
      </c>
      <c r="C160" s="7"/>
      <c r="D160" s="207" t="s">
        <v>966</v>
      </c>
      <c r="E160" s="7">
        <v>25</v>
      </c>
      <c r="F160" s="84" t="s">
        <v>783</v>
      </c>
      <c r="G160" s="75" t="str">
        <f>IFERROR(IF(VLOOKUP(TableHandbook[[#This Row],[UDC]],TableAvailabilities[],2,FALSE)&gt;0,"Y",""),"")</f>
        <v>Y</v>
      </c>
      <c r="H160" s="75" t="str">
        <f>IFERROR(IF(VLOOKUP(TableHandbook[[#This Row],[UDC]],TableAvailabilities[],3,FALSE)&gt;0,"Y",""),"")</f>
        <v>Y</v>
      </c>
      <c r="I160" s="75" t="str">
        <f>IFERROR(IF(VLOOKUP(TableHandbook[[#This Row],[UDC]],TableAvailabilities[],4,FALSE)&gt;0,"Y",""),"")</f>
        <v>Y</v>
      </c>
      <c r="J160" s="75" t="str">
        <f>IFERROR(IF(VLOOKUP(TableHandbook[[#This Row],[UDC]],TableAvailabilities[],5,FALSE)&gt;0,"Y",""),"")</f>
        <v>Y</v>
      </c>
      <c r="K160" s="75" t="str">
        <f>IFERROR(IF(VLOOKUP(TableHandbook[[#This Row],[UDC]],TableAvailabilities[],6,FALSE)&gt;0,"Y",""),"")</f>
        <v>Y</v>
      </c>
      <c r="L160" s="75" t="str">
        <f>IFERROR(IF(VLOOKUP(TableHandbook[[#This Row],[UDC]],TableAvailabilities[],7,FALSE)&gt;0,"Y",""),"")</f>
        <v>Y</v>
      </c>
      <c r="M160" s="207"/>
      <c r="N160" s="209" t="str">
        <f>IFERROR(VLOOKUP(TableHandbook[[#This Row],[UDC]],TableBEDUC[],7,FALSE),"")</f>
        <v>Core</v>
      </c>
      <c r="O160" s="209" t="str">
        <f>IFERROR(VLOOKUP(TableHandbook[[#This Row],[UDC]],TableBEDEC[],7,FALSE),"")</f>
        <v>Core</v>
      </c>
      <c r="P160" s="211" t="str">
        <f>IFERROR(VLOOKUP(TableHandbook[[#This Row],[UDC]],TableBEDPR[],7,FALSE),"")</f>
        <v>Core</v>
      </c>
      <c r="Q160" s="209" t="str">
        <f>IFERROR(VLOOKUP(TableHandbook[[#This Row],[UDC]],TableSTRUCATHL[],7,FALSE),"")</f>
        <v/>
      </c>
      <c r="R160" s="209" t="str">
        <f>IFERROR(VLOOKUP(TableHandbook[[#This Row],[UDC]],TableSTRUENGLL[],7,FALSE),"")</f>
        <v/>
      </c>
      <c r="S160" s="209" t="str">
        <f>IFERROR(VLOOKUP(TableHandbook[[#This Row],[UDC]],TableSTRUHLTPE[],7,FALSE),"")</f>
        <v/>
      </c>
      <c r="T160" s="209" t="str">
        <f>IFERROR(VLOOKUP(TableHandbook[[#This Row],[UDC]],TableSTRUISTEM[],7,FALSE),"")</f>
        <v/>
      </c>
      <c r="U160" s="209" t="str">
        <f>IFERROR(VLOOKUP(TableHandbook[[#This Row],[UDC]],TableSTRULITNU[],7,FALSE),"")</f>
        <v/>
      </c>
      <c r="V160" s="209" t="str">
        <f>IFERROR(VLOOKUP(TableHandbook[[#This Row],[UDC]],TableSTRUTECHS[],7,FALSE),"")</f>
        <v/>
      </c>
      <c r="W160" s="211" t="str">
        <f>IFERROR(VLOOKUP(TableHandbook[[#This Row],[UDC]],TableBEDSC[],7,FALSE),"")</f>
        <v>Core</v>
      </c>
      <c r="X160" s="211" t="str">
        <f>IFERROR(VLOOKUP(TableHandbook[[#This Row],[UDC]],TableMJRUARDR1[],7,FALSE),"")</f>
        <v/>
      </c>
      <c r="Y160" s="209" t="str">
        <f>IFERROR(VLOOKUP(TableHandbook[[#This Row],[UDC]],TableMJRUARME1[],7,FALSE),"")</f>
        <v/>
      </c>
      <c r="Z160" s="209" t="str">
        <f>IFERROR(VLOOKUP(TableHandbook[[#This Row],[UDC]],TableMJRUARVA1[],7,FALSE),"")</f>
        <v/>
      </c>
      <c r="AA160" s="209" t="str">
        <f>IFERROR(VLOOKUP(TableHandbook[[#This Row],[UDC]],TableMJRUENGL1[],7,FALSE),"")</f>
        <v/>
      </c>
      <c r="AB160" s="209" t="str">
        <f>IFERROR(VLOOKUP(TableHandbook[[#This Row],[UDC]],TableMJRUHSEC1[],7,FALSE),"")</f>
        <v/>
      </c>
      <c r="AC160" s="209" t="str">
        <f>IFERROR(VLOOKUP(TableHandbook[[#This Row],[UDC]],TableMJRUHSGE1[],7,FALSE),"")</f>
        <v/>
      </c>
      <c r="AD160" s="209" t="str">
        <f>IFERROR(VLOOKUP(TableHandbook[[#This Row],[UDC]],TableMJRUHSHI1[],7,FALSE),"")</f>
        <v/>
      </c>
      <c r="AE160" s="209" t="str">
        <f>IFERROR(VLOOKUP(TableHandbook[[#This Row],[UDC]],TableMJRUHSPL1[],7,FALSE),"")</f>
        <v/>
      </c>
      <c r="AF160" s="209" t="str">
        <f>IFERROR(VLOOKUP(TableHandbook[[#This Row],[UDC]],TableMJRUMATH1[],7,FALSE),"")</f>
        <v/>
      </c>
      <c r="AG160" s="209" t="str">
        <f>IFERROR(VLOOKUP(TableHandbook[[#This Row],[UDC]],TableMJRUPHYSE[],7,FALSE),"")</f>
        <v/>
      </c>
      <c r="AH160" s="209" t="str">
        <f>IFERROR(VLOOKUP(TableHandbook[[#This Row],[UDC]],TableMJRUSCBI1[],7,FALSE),"")</f>
        <v/>
      </c>
      <c r="AI160" s="209" t="str">
        <f>IFERROR(VLOOKUP(TableHandbook[[#This Row],[UDC]],TableMJRUSCCH1[],7,FALSE),"")</f>
        <v/>
      </c>
      <c r="AJ160" s="209" t="str">
        <f>IFERROR(VLOOKUP(TableHandbook[[#This Row],[UDC]],TableMJRUSCHB1[],7,FALSE),"")</f>
        <v/>
      </c>
      <c r="AK160" s="209" t="str">
        <f>IFERROR(VLOOKUP(TableHandbook[[#This Row],[UDC]],TableMJRUSCPH1[],7,FALSE),"")</f>
        <v/>
      </c>
      <c r="AL160" s="209" t="str">
        <f>IFERROR(VLOOKUP(TableHandbook[[#This Row],[UDC]],TableMJRUSCPS1[],7,FALSE),"")</f>
        <v/>
      </c>
      <c r="AM160" s="211" t="str">
        <f>IFERROR(VLOOKUP(TableHandbook[[#This Row],[UDC]],TableSTRUBIOLB[],7,FALSE),"")</f>
        <v/>
      </c>
      <c r="AN160" s="209" t="str">
        <f>IFERROR(VLOOKUP(TableHandbook[[#This Row],[UDC]],TableSTRUBSCIM[],7,FALSE),"")</f>
        <v/>
      </c>
      <c r="AO160" s="209" t="str">
        <f>IFERROR(VLOOKUP(TableHandbook[[#This Row],[UDC]],TableSTRUCHEMB[],7,FALSE),"")</f>
        <v/>
      </c>
      <c r="AP160" s="209" t="str">
        <f>IFERROR(VLOOKUP(TableHandbook[[#This Row],[UDC]],TableSTRUECOB1[],7,FALSE),"")</f>
        <v/>
      </c>
      <c r="AQ160" s="209" t="str">
        <f>IFERROR(VLOOKUP(TableHandbook[[#This Row],[UDC]],TableSTRUENGLB[],7,FALSE),"")</f>
        <v/>
      </c>
      <c r="AR160" s="209" t="str">
        <f>IFERROR(VLOOKUP(TableHandbook[[#This Row],[UDC]],TableSTRUENGLM[],7,FALSE),"")</f>
        <v/>
      </c>
      <c r="AS160" s="209" t="str">
        <f>IFERROR(VLOOKUP(TableHandbook[[#This Row],[UDC]],TableSTRUGEOB1[],7,FALSE),"")</f>
        <v/>
      </c>
      <c r="AT160" s="209" t="str">
        <f>IFERROR(VLOOKUP(TableHandbook[[#This Row],[UDC]],TableSTRUGEOGM[],7,FALSE),"")</f>
        <v/>
      </c>
      <c r="AU160" s="209" t="str">
        <f>IFERROR(VLOOKUP(TableHandbook[[#This Row],[UDC]],TableSTRUHISB1[],7,FALSE),"")</f>
        <v/>
      </c>
      <c r="AV160" s="209" t="str">
        <f>IFERROR(VLOOKUP(TableHandbook[[#This Row],[UDC]],TableSTRUHISTM[],7,FALSE),"")</f>
        <v/>
      </c>
      <c r="AW160" s="209" t="str">
        <f>IFERROR(VLOOKUP(TableHandbook[[#This Row],[UDC]],TableSTRUHPEB1[],7,FALSE),"")</f>
        <v/>
      </c>
      <c r="AX160" s="209" t="str">
        <f>IFERROR(VLOOKUP(TableHandbook[[#This Row],[UDC]],TableSTRUHUMBB[],7,FALSE),"")</f>
        <v/>
      </c>
      <c r="AY160" s="209" t="str">
        <f>IFERROR(VLOOKUP(TableHandbook[[#This Row],[UDC]],TableSTRUMARTM[],7,FALSE),"")</f>
        <v/>
      </c>
      <c r="AZ160" s="209" t="str">
        <f>IFERROR(VLOOKUP(TableHandbook[[#This Row],[UDC]],TableSTRUMATHB[],7,FALSE),"")</f>
        <v/>
      </c>
      <c r="BA160" s="209" t="str">
        <f>IFERROR(VLOOKUP(TableHandbook[[#This Row],[UDC]],TableSTRUMATHM[],7,FALSE),"")</f>
        <v/>
      </c>
      <c r="BB160" s="209" t="str">
        <f>IFERROR(VLOOKUP(TableHandbook[[#This Row],[UDC]],TableSTRUPARTB[],7,FALSE),"")</f>
        <v/>
      </c>
      <c r="BC160" s="209" t="str">
        <f>IFERROR(VLOOKUP(TableHandbook[[#This Row],[UDC]],TableSTRUPARTM[],7,FALSE),"")</f>
        <v/>
      </c>
      <c r="BD160" s="209" t="str">
        <f>IFERROR(VLOOKUP(TableHandbook[[#This Row],[UDC]],TableSTRUPOLB1[],7,FALSE),"")</f>
        <v/>
      </c>
      <c r="BE160" s="209" t="str">
        <f>IFERROR(VLOOKUP(TableHandbook[[#This Row],[UDC]],TableSTRUPSYCB[],7,FALSE),"")</f>
        <v/>
      </c>
      <c r="BF160" s="209" t="str">
        <f>IFERROR(VLOOKUP(TableHandbook[[#This Row],[UDC]],TableSTRUPSYCM[],7,FALSE),"")</f>
        <v/>
      </c>
      <c r="BG160" s="209" t="str">
        <f>IFERROR(VLOOKUP(TableHandbook[[#This Row],[UDC]],TableSTRUVARTB[],7,FALSE),"")</f>
        <v/>
      </c>
      <c r="BH160" s="209" t="str">
        <f>IFERROR(VLOOKUP(TableHandbook[[#This Row],[UDC]],TableSTRUVARTM[],7,FALSE),"")</f>
        <v/>
      </c>
    </row>
    <row r="161" spans="1:60" x14ac:dyDescent="0.25">
      <c r="A161" s="296" t="s">
        <v>379</v>
      </c>
      <c r="B161" s="7">
        <v>1</v>
      </c>
      <c r="C161" s="7"/>
      <c r="D161" s="207" t="s">
        <v>967</v>
      </c>
      <c r="E161" s="7">
        <v>25</v>
      </c>
      <c r="F161" s="311" t="s">
        <v>88</v>
      </c>
      <c r="G161" s="75" t="str">
        <f>IFERROR(IF(VLOOKUP(TableHandbook[[#This Row],[UDC]],TableAvailabilities[],2,FALSE)&gt;0,"Y",""),"")</f>
        <v/>
      </c>
      <c r="H161" s="75" t="str">
        <f>IFERROR(IF(VLOOKUP(TableHandbook[[#This Row],[UDC]],TableAvailabilities[],3,FALSE)&gt;0,"Y",""),"")</f>
        <v/>
      </c>
      <c r="I161" s="75" t="str">
        <f>IFERROR(IF(VLOOKUP(TableHandbook[[#This Row],[UDC]],TableAvailabilities[],4,FALSE)&gt;0,"Y",""),"")</f>
        <v/>
      </c>
      <c r="J161" s="75" t="str">
        <f>IFERROR(IF(VLOOKUP(TableHandbook[[#This Row],[UDC]],TableAvailabilities[],5,FALSE)&gt;0,"Y",""),"")</f>
        <v>Y</v>
      </c>
      <c r="K161" s="75" t="str">
        <f>IFERROR(IF(VLOOKUP(TableHandbook[[#This Row],[UDC]],TableAvailabilities[],6,FALSE)&gt;0,"Y",""),"")</f>
        <v/>
      </c>
      <c r="L161" s="75" t="str">
        <f>IFERROR(IF(VLOOKUP(TableHandbook[[#This Row],[UDC]],TableAvailabilities[],7,FALSE)&gt;0,"Y",""),"")</f>
        <v/>
      </c>
      <c r="M161" s="207"/>
      <c r="N161" s="209" t="str">
        <f>IFERROR(VLOOKUP(TableHandbook[[#This Row],[UDC]],TableBEDUC[],7,FALSE),"")</f>
        <v/>
      </c>
      <c r="O161" s="209" t="str">
        <f>IFERROR(VLOOKUP(TableHandbook[[#This Row],[UDC]],TableBEDEC[],7,FALSE),"")</f>
        <v/>
      </c>
      <c r="P161" s="211" t="str">
        <f>IFERROR(VLOOKUP(TableHandbook[[#This Row],[UDC]],TableBEDPR[],7,FALSE),"")</f>
        <v/>
      </c>
      <c r="Q161" s="209" t="str">
        <f>IFERROR(VLOOKUP(TableHandbook[[#This Row],[UDC]],TableSTRUCATHL[],7,FALSE),"")</f>
        <v/>
      </c>
      <c r="R161" s="209" t="str">
        <f>IFERROR(VLOOKUP(TableHandbook[[#This Row],[UDC]],TableSTRUENGLL[],7,FALSE),"")</f>
        <v/>
      </c>
      <c r="S161" s="209" t="str">
        <f>IFERROR(VLOOKUP(TableHandbook[[#This Row],[UDC]],TableSTRUHLTPE[],7,FALSE),"")</f>
        <v/>
      </c>
      <c r="T161" s="209" t="str">
        <f>IFERROR(VLOOKUP(TableHandbook[[#This Row],[UDC]],TableSTRUISTEM[],7,FALSE),"")</f>
        <v/>
      </c>
      <c r="U161" s="209" t="str">
        <f>IFERROR(VLOOKUP(TableHandbook[[#This Row],[UDC]],TableSTRULITNU[],7,FALSE),"")</f>
        <v/>
      </c>
      <c r="V161" s="209" t="str">
        <f>IFERROR(VLOOKUP(TableHandbook[[#This Row],[UDC]],TableSTRUTECHS[],7,FALSE),"")</f>
        <v/>
      </c>
      <c r="W161" s="211" t="str">
        <f>IFERROR(VLOOKUP(TableHandbook[[#This Row],[UDC]],TableBEDSC[],7,FALSE),"")</f>
        <v>Core</v>
      </c>
      <c r="X161" s="211" t="str">
        <f>IFERROR(VLOOKUP(TableHandbook[[#This Row],[UDC]],TableMJRUARDR1[],7,FALSE),"")</f>
        <v/>
      </c>
      <c r="Y161" s="209" t="str">
        <f>IFERROR(VLOOKUP(TableHandbook[[#This Row],[UDC]],TableMJRUARME1[],7,FALSE),"")</f>
        <v/>
      </c>
      <c r="Z161" s="209" t="str">
        <f>IFERROR(VLOOKUP(TableHandbook[[#This Row],[UDC]],TableMJRUARVA1[],7,FALSE),"")</f>
        <v/>
      </c>
      <c r="AA161" s="209" t="str">
        <f>IFERROR(VLOOKUP(TableHandbook[[#This Row],[UDC]],TableMJRUENGL1[],7,FALSE),"")</f>
        <v/>
      </c>
      <c r="AB161" s="209" t="str">
        <f>IFERROR(VLOOKUP(TableHandbook[[#This Row],[UDC]],TableMJRUHSEC1[],7,FALSE),"")</f>
        <v/>
      </c>
      <c r="AC161" s="209" t="str">
        <f>IFERROR(VLOOKUP(TableHandbook[[#This Row],[UDC]],TableMJRUHSGE1[],7,FALSE),"")</f>
        <v/>
      </c>
      <c r="AD161" s="209" t="str">
        <f>IFERROR(VLOOKUP(TableHandbook[[#This Row],[UDC]],TableMJRUHSHI1[],7,FALSE),"")</f>
        <v/>
      </c>
      <c r="AE161" s="209" t="str">
        <f>IFERROR(VLOOKUP(TableHandbook[[#This Row],[UDC]],TableMJRUHSPL1[],7,FALSE),"")</f>
        <v/>
      </c>
      <c r="AF161" s="209" t="str">
        <f>IFERROR(VLOOKUP(TableHandbook[[#This Row],[UDC]],TableMJRUMATH1[],7,FALSE),"")</f>
        <v/>
      </c>
      <c r="AG161" s="209" t="str">
        <f>IFERROR(VLOOKUP(TableHandbook[[#This Row],[UDC]],TableMJRUPHYSE[],7,FALSE),"")</f>
        <v/>
      </c>
      <c r="AH161" s="209" t="str">
        <f>IFERROR(VLOOKUP(TableHandbook[[#This Row],[UDC]],TableMJRUSCBI1[],7,FALSE),"")</f>
        <v/>
      </c>
      <c r="AI161" s="209" t="str">
        <f>IFERROR(VLOOKUP(TableHandbook[[#This Row],[UDC]],TableMJRUSCCH1[],7,FALSE),"")</f>
        <v/>
      </c>
      <c r="AJ161" s="209" t="str">
        <f>IFERROR(VLOOKUP(TableHandbook[[#This Row],[UDC]],TableMJRUSCHB1[],7,FALSE),"")</f>
        <v/>
      </c>
      <c r="AK161" s="209" t="str">
        <f>IFERROR(VLOOKUP(TableHandbook[[#This Row],[UDC]],TableMJRUSCPH1[],7,FALSE),"")</f>
        <v/>
      </c>
      <c r="AL161" s="209" t="str">
        <f>IFERROR(VLOOKUP(TableHandbook[[#This Row],[UDC]],TableMJRUSCPS1[],7,FALSE),"")</f>
        <v/>
      </c>
      <c r="AM161" s="211" t="str">
        <f>IFERROR(VLOOKUP(TableHandbook[[#This Row],[UDC]],TableSTRUBIOLB[],7,FALSE),"")</f>
        <v/>
      </c>
      <c r="AN161" s="209" t="str">
        <f>IFERROR(VLOOKUP(TableHandbook[[#This Row],[UDC]],TableSTRUBSCIM[],7,FALSE),"")</f>
        <v/>
      </c>
      <c r="AO161" s="209" t="str">
        <f>IFERROR(VLOOKUP(TableHandbook[[#This Row],[UDC]],TableSTRUCHEMB[],7,FALSE),"")</f>
        <v/>
      </c>
      <c r="AP161" s="209" t="str">
        <f>IFERROR(VLOOKUP(TableHandbook[[#This Row],[UDC]],TableSTRUECOB1[],7,FALSE),"")</f>
        <v/>
      </c>
      <c r="AQ161" s="209" t="str">
        <f>IFERROR(VLOOKUP(TableHandbook[[#This Row],[UDC]],TableSTRUENGLB[],7,FALSE),"")</f>
        <v/>
      </c>
      <c r="AR161" s="209" t="str">
        <f>IFERROR(VLOOKUP(TableHandbook[[#This Row],[UDC]],TableSTRUENGLM[],7,FALSE),"")</f>
        <v/>
      </c>
      <c r="AS161" s="209" t="str">
        <f>IFERROR(VLOOKUP(TableHandbook[[#This Row],[UDC]],TableSTRUGEOB1[],7,FALSE),"")</f>
        <v/>
      </c>
      <c r="AT161" s="209" t="str">
        <f>IFERROR(VLOOKUP(TableHandbook[[#This Row],[UDC]],TableSTRUGEOGM[],7,FALSE),"")</f>
        <v/>
      </c>
      <c r="AU161" s="209" t="str">
        <f>IFERROR(VLOOKUP(TableHandbook[[#This Row],[UDC]],TableSTRUHISB1[],7,FALSE),"")</f>
        <v/>
      </c>
      <c r="AV161" s="209" t="str">
        <f>IFERROR(VLOOKUP(TableHandbook[[#This Row],[UDC]],TableSTRUHISTM[],7,FALSE),"")</f>
        <v/>
      </c>
      <c r="AW161" s="209" t="str">
        <f>IFERROR(VLOOKUP(TableHandbook[[#This Row],[UDC]],TableSTRUHPEB1[],7,FALSE),"")</f>
        <v/>
      </c>
      <c r="AX161" s="209" t="str">
        <f>IFERROR(VLOOKUP(TableHandbook[[#This Row],[UDC]],TableSTRUHUMBB[],7,FALSE),"")</f>
        <v/>
      </c>
      <c r="AY161" s="209" t="str">
        <f>IFERROR(VLOOKUP(TableHandbook[[#This Row],[UDC]],TableSTRUMARTM[],7,FALSE),"")</f>
        <v/>
      </c>
      <c r="AZ161" s="209" t="str">
        <f>IFERROR(VLOOKUP(TableHandbook[[#This Row],[UDC]],TableSTRUMATHB[],7,FALSE),"")</f>
        <v/>
      </c>
      <c r="BA161" s="209" t="str">
        <f>IFERROR(VLOOKUP(TableHandbook[[#This Row],[UDC]],TableSTRUMATHM[],7,FALSE),"")</f>
        <v/>
      </c>
      <c r="BB161" s="209" t="str">
        <f>IFERROR(VLOOKUP(TableHandbook[[#This Row],[UDC]],TableSTRUPARTB[],7,FALSE),"")</f>
        <v/>
      </c>
      <c r="BC161" s="209" t="str">
        <f>IFERROR(VLOOKUP(TableHandbook[[#This Row],[UDC]],TableSTRUPARTM[],7,FALSE),"")</f>
        <v/>
      </c>
      <c r="BD161" s="209" t="str">
        <f>IFERROR(VLOOKUP(TableHandbook[[#This Row],[UDC]],TableSTRUPOLB1[],7,FALSE),"")</f>
        <v/>
      </c>
      <c r="BE161" s="209" t="str">
        <f>IFERROR(VLOOKUP(TableHandbook[[#This Row],[UDC]],TableSTRUPSYCB[],7,FALSE),"")</f>
        <v/>
      </c>
      <c r="BF161" s="209" t="str">
        <f>IFERROR(VLOOKUP(TableHandbook[[#This Row],[UDC]],TableSTRUPSYCM[],7,FALSE),"")</f>
        <v/>
      </c>
      <c r="BG161" s="209" t="str">
        <f>IFERROR(VLOOKUP(TableHandbook[[#This Row],[UDC]],TableSTRUVARTB[],7,FALSE),"")</f>
        <v/>
      </c>
      <c r="BH161" s="209" t="str">
        <f>IFERROR(VLOOKUP(TableHandbook[[#This Row],[UDC]],TableSTRUVARTM[],7,FALSE),"")</f>
        <v/>
      </c>
    </row>
    <row r="162" spans="1:60" x14ac:dyDescent="0.25">
      <c r="A162" s="6" t="s">
        <v>88</v>
      </c>
      <c r="B162" s="7">
        <v>1</v>
      </c>
      <c r="C162" s="7"/>
      <c r="D162" s="207" t="s">
        <v>968</v>
      </c>
      <c r="E162" s="7">
        <v>25</v>
      </c>
      <c r="F162" s="84" t="s">
        <v>783</v>
      </c>
      <c r="G162" s="75" t="str">
        <f>IFERROR(IF(VLOOKUP(TableHandbook[[#This Row],[UDC]],TableAvailabilities[],2,FALSE)&gt;0,"Y",""),"")</f>
        <v>Y</v>
      </c>
      <c r="H162" s="75" t="str">
        <f>IFERROR(IF(VLOOKUP(TableHandbook[[#This Row],[UDC]],TableAvailabilities[],3,FALSE)&gt;0,"Y",""),"")</f>
        <v>Y</v>
      </c>
      <c r="I162" s="75" t="str">
        <f>IFERROR(IF(VLOOKUP(TableHandbook[[#This Row],[UDC]],TableAvailabilities[],4,FALSE)&gt;0,"Y",""),"")</f>
        <v/>
      </c>
      <c r="J162" s="75" t="str">
        <f>IFERROR(IF(VLOOKUP(TableHandbook[[#This Row],[UDC]],TableAvailabilities[],5,FALSE)&gt;0,"Y",""),"")</f>
        <v/>
      </c>
      <c r="K162" s="75" t="str">
        <f>IFERROR(IF(VLOOKUP(TableHandbook[[#This Row],[UDC]],TableAvailabilities[],6,FALSE)&gt;0,"Y",""),"")</f>
        <v/>
      </c>
      <c r="L162" s="75" t="str">
        <f>IFERROR(IF(VLOOKUP(TableHandbook[[#This Row],[UDC]],TableAvailabilities[],7,FALSE)&gt;0,"Y",""),"")</f>
        <v/>
      </c>
      <c r="M162" s="207"/>
      <c r="N162" s="209" t="str">
        <f>IFERROR(VLOOKUP(TableHandbook[[#This Row],[UDC]],TableBEDUC[],7,FALSE),"")</f>
        <v>Core</v>
      </c>
      <c r="O162" s="209" t="str">
        <f>IFERROR(VLOOKUP(TableHandbook[[#This Row],[UDC]],TableBEDEC[],7,FALSE),"")</f>
        <v/>
      </c>
      <c r="P162" s="211" t="str">
        <f>IFERROR(VLOOKUP(TableHandbook[[#This Row],[UDC]],TableBEDPR[],7,FALSE),"")</f>
        <v/>
      </c>
      <c r="Q162" s="209" t="str">
        <f>IFERROR(VLOOKUP(TableHandbook[[#This Row],[UDC]],TableSTRUCATHL[],7,FALSE),"")</f>
        <v/>
      </c>
      <c r="R162" s="209" t="str">
        <f>IFERROR(VLOOKUP(TableHandbook[[#This Row],[UDC]],TableSTRUENGLL[],7,FALSE),"")</f>
        <v/>
      </c>
      <c r="S162" s="209" t="str">
        <f>IFERROR(VLOOKUP(TableHandbook[[#This Row],[UDC]],TableSTRUHLTPE[],7,FALSE),"")</f>
        <v/>
      </c>
      <c r="T162" s="209" t="str">
        <f>IFERROR(VLOOKUP(TableHandbook[[#This Row],[UDC]],TableSTRUISTEM[],7,FALSE),"")</f>
        <v/>
      </c>
      <c r="U162" s="209" t="str">
        <f>IFERROR(VLOOKUP(TableHandbook[[#This Row],[UDC]],TableSTRULITNU[],7,FALSE),"")</f>
        <v/>
      </c>
      <c r="V162" s="209" t="str">
        <f>IFERROR(VLOOKUP(TableHandbook[[#This Row],[UDC]],TableSTRUTECHS[],7,FALSE),"")</f>
        <v/>
      </c>
      <c r="W162" s="211" t="str">
        <f>IFERROR(VLOOKUP(TableHandbook[[#This Row],[UDC]],TableBEDSC[],7,FALSE),"")</f>
        <v>Core</v>
      </c>
      <c r="X162" s="211" t="str">
        <f>IFERROR(VLOOKUP(TableHandbook[[#This Row],[UDC]],TableMJRUARDR1[],7,FALSE),"")</f>
        <v/>
      </c>
      <c r="Y162" s="209" t="str">
        <f>IFERROR(VLOOKUP(TableHandbook[[#This Row],[UDC]],TableMJRUARME1[],7,FALSE),"")</f>
        <v/>
      </c>
      <c r="Z162" s="209" t="str">
        <f>IFERROR(VLOOKUP(TableHandbook[[#This Row],[UDC]],TableMJRUARVA1[],7,FALSE),"")</f>
        <v/>
      </c>
      <c r="AA162" s="209" t="str">
        <f>IFERROR(VLOOKUP(TableHandbook[[#This Row],[UDC]],TableMJRUENGL1[],7,FALSE),"")</f>
        <v/>
      </c>
      <c r="AB162" s="209" t="str">
        <f>IFERROR(VLOOKUP(TableHandbook[[#This Row],[UDC]],TableMJRUHSEC1[],7,FALSE),"")</f>
        <v/>
      </c>
      <c r="AC162" s="209" t="str">
        <f>IFERROR(VLOOKUP(TableHandbook[[#This Row],[UDC]],TableMJRUHSGE1[],7,FALSE),"")</f>
        <v/>
      </c>
      <c r="AD162" s="209" t="str">
        <f>IFERROR(VLOOKUP(TableHandbook[[#This Row],[UDC]],TableMJRUHSHI1[],7,FALSE),"")</f>
        <v/>
      </c>
      <c r="AE162" s="209" t="str">
        <f>IFERROR(VLOOKUP(TableHandbook[[#This Row],[UDC]],TableMJRUHSPL1[],7,FALSE),"")</f>
        <v/>
      </c>
      <c r="AF162" s="209" t="str">
        <f>IFERROR(VLOOKUP(TableHandbook[[#This Row],[UDC]],TableMJRUMATH1[],7,FALSE),"")</f>
        <v/>
      </c>
      <c r="AG162" s="209" t="str">
        <f>IFERROR(VLOOKUP(TableHandbook[[#This Row],[UDC]],TableMJRUPHYSE[],7,FALSE),"")</f>
        <v/>
      </c>
      <c r="AH162" s="209" t="str">
        <f>IFERROR(VLOOKUP(TableHandbook[[#This Row],[UDC]],TableMJRUSCBI1[],7,FALSE),"")</f>
        <v/>
      </c>
      <c r="AI162" s="209" t="str">
        <f>IFERROR(VLOOKUP(TableHandbook[[#This Row],[UDC]],TableMJRUSCCH1[],7,FALSE),"")</f>
        <v/>
      </c>
      <c r="AJ162" s="209" t="str">
        <f>IFERROR(VLOOKUP(TableHandbook[[#This Row],[UDC]],TableMJRUSCHB1[],7,FALSE),"")</f>
        <v/>
      </c>
      <c r="AK162" s="209" t="str">
        <f>IFERROR(VLOOKUP(TableHandbook[[#This Row],[UDC]],TableMJRUSCPH1[],7,FALSE),"")</f>
        <v/>
      </c>
      <c r="AL162" s="209" t="str">
        <f>IFERROR(VLOOKUP(TableHandbook[[#This Row],[UDC]],TableMJRUSCPS1[],7,FALSE),"")</f>
        <v/>
      </c>
      <c r="AM162" s="211" t="str">
        <f>IFERROR(VLOOKUP(TableHandbook[[#This Row],[UDC]],TableSTRUBIOLB[],7,FALSE),"")</f>
        <v/>
      </c>
      <c r="AN162" s="209" t="str">
        <f>IFERROR(VLOOKUP(TableHandbook[[#This Row],[UDC]],TableSTRUBSCIM[],7,FALSE),"")</f>
        <v/>
      </c>
      <c r="AO162" s="209" t="str">
        <f>IFERROR(VLOOKUP(TableHandbook[[#This Row],[UDC]],TableSTRUCHEMB[],7,FALSE),"")</f>
        <v/>
      </c>
      <c r="AP162" s="209" t="str">
        <f>IFERROR(VLOOKUP(TableHandbook[[#This Row],[UDC]],TableSTRUECOB1[],7,FALSE),"")</f>
        <v/>
      </c>
      <c r="AQ162" s="209" t="str">
        <f>IFERROR(VLOOKUP(TableHandbook[[#This Row],[UDC]],TableSTRUENGLB[],7,FALSE),"")</f>
        <v/>
      </c>
      <c r="AR162" s="209" t="str">
        <f>IFERROR(VLOOKUP(TableHandbook[[#This Row],[UDC]],TableSTRUENGLM[],7,FALSE),"")</f>
        <v/>
      </c>
      <c r="AS162" s="209" t="str">
        <f>IFERROR(VLOOKUP(TableHandbook[[#This Row],[UDC]],TableSTRUGEOB1[],7,FALSE),"")</f>
        <v/>
      </c>
      <c r="AT162" s="209" t="str">
        <f>IFERROR(VLOOKUP(TableHandbook[[#This Row],[UDC]],TableSTRUGEOGM[],7,FALSE),"")</f>
        <v/>
      </c>
      <c r="AU162" s="209" t="str">
        <f>IFERROR(VLOOKUP(TableHandbook[[#This Row],[UDC]],TableSTRUHISB1[],7,FALSE),"")</f>
        <v/>
      </c>
      <c r="AV162" s="209" t="str">
        <f>IFERROR(VLOOKUP(TableHandbook[[#This Row],[UDC]],TableSTRUHISTM[],7,FALSE),"")</f>
        <v/>
      </c>
      <c r="AW162" s="209" t="str">
        <f>IFERROR(VLOOKUP(TableHandbook[[#This Row],[UDC]],TableSTRUHPEB1[],7,FALSE),"")</f>
        <v/>
      </c>
      <c r="AX162" s="209" t="str">
        <f>IFERROR(VLOOKUP(TableHandbook[[#This Row],[UDC]],TableSTRUHUMBB[],7,FALSE),"")</f>
        <v/>
      </c>
      <c r="AY162" s="209" t="str">
        <f>IFERROR(VLOOKUP(TableHandbook[[#This Row],[UDC]],TableSTRUMARTM[],7,FALSE),"")</f>
        <v/>
      </c>
      <c r="AZ162" s="209" t="str">
        <f>IFERROR(VLOOKUP(TableHandbook[[#This Row],[UDC]],TableSTRUMATHB[],7,FALSE),"")</f>
        <v/>
      </c>
      <c r="BA162" s="209" t="str">
        <f>IFERROR(VLOOKUP(TableHandbook[[#This Row],[UDC]],TableSTRUMATHM[],7,FALSE),"")</f>
        <v/>
      </c>
      <c r="BB162" s="209" t="str">
        <f>IFERROR(VLOOKUP(TableHandbook[[#This Row],[UDC]],TableSTRUPARTB[],7,FALSE),"")</f>
        <v/>
      </c>
      <c r="BC162" s="209" t="str">
        <f>IFERROR(VLOOKUP(TableHandbook[[#This Row],[UDC]],TableSTRUPARTM[],7,FALSE),"")</f>
        <v/>
      </c>
      <c r="BD162" s="209" t="str">
        <f>IFERROR(VLOOKUP(TableHandbook[[#This Row],[UDC]],TableSTRUPOLB1[],7,FALSE),"")</f>
        <v/>
      </c>
      <c r="BE162" s="209" t="str">
        <f>IFERROR(VLOOKUP(TableHandbook[[#This Row],[UDC]],TableSTRUPSYCB[],7,FALSE),"")</f>
        <v/>
      </c>
      <c r="BF162" s="209" t="str">
        <f>IFERROR(VLOOKUP(TableHandbook[[#This Row],[UDC]],TableSTRUPSYCM[],7,FALSE),"")</f>
        <v/>
      </c>
      <c r="BG162" s="209" t="str">
        <f>IFERROR(VLOOKUP(TableHandbook[[#This Row],[UDC]],TableSTRUVARTB[],7,FALSE),"")</f>
        <v/>
      </c>
      <c r="BH162" s="209" t="str">
        <f>IFERROR(VLOOKUP(TableHandbook[[#This Row],[UDC]],TableSTRUVARTM[],7,FALSE),"")</f>
        <v/>
      </c>
    </row>
    <row r="163" spans="1:60" x14ac:dyDescent="0.25">
      <c r="A163" s="6" t="s">
        <v>93</v>
      </c>
      <c r="B163" s="7">
        <v>1</v>
      </c>
      <c r="C163" s="7"/>
      <c r="D163" s="207" t="s">
        <v>969</v>
      </c>
      <c r="E163" s="7">
        <v>25</v>
      </c>
      <c r="F163" s="311" t="s">
        <v>970</v>
      </c>
      <c r="G163" s="75" t="str">
        <f>IFERROR(IF(VLOOKUP(TableHandbook[[#This Row],[UDC]],TableAvailabilities[],2,FALSE)&gt;0,"Y",""),"")</f>
        <v>Y</v>
      </c>
      <c r="H163" s="75" t="str">
        <f>IFERROR(IF(VLOOKUP(TableHandbook[[#This Row],[UDC]],TableAvailabilities[],3,FALSE)&gt;0,"Y",""),"")</f>
        <v>Y</v>
      </c>
      <c r="I163" s="75" t="str">
        <f>IFERROR(IF(VLOOKUP(TableHandbook[[#This Row],[UDC]],TableAvailabilities[],4,FALSE)&gt;0,"Y",""),"")</f>
        <v>Y</v>
      </c>
      <c r="J163" s="75" t="str">
        <f>IFERROR(IF(VLOOKUP(TableHandbook[[#This Row],[UDC]],TableAvailabilities[],5,FALSE)&gt;0,"Y",""),"")</f>
        <v>Y</v>
      </c>
      <c r="K163" s="75" t="str">
        <f>IFERROR(IF(VLOOKUP(TableHandbook[[#This Row],[UDC]],TableAvailabilities[],6,FALSE)&gt;0,"Y",""),"")</f>
        <v>Y</v>
      </c>
      <c r="L163" s="75" t="str">
        <f>IFERROR(IF(VLOOKUP(TableHandbook[[#This Row],[UDC]],TableAvailabilities[],7,FALSE)&gt;0,"Y",""),"")</f>
        <v/>
      </c>
      <c r="M163" s="207"/>
      <c r="N163" s="209" t="str">
        <f>IFERROR(VLOOKUP(TableHandbook[[#This Row],[UDC]],TableBEDUC[],7,FALSE),"")</f>
        <v>Core</v>
      </c>
      <c r="O163" s="209" t="str">
        <f>IFERROR(VLOOKUP(TableHandbook[[#This Row],[UDC]],TableBEDEC[],7,FALSE),"")</f>
        <v>Core</v>
      </c>
      <c r="P163" s="211" t="str">
        <f>IFERROR(VLOOKUP(TableHandbook[[#This Row],[UDC]],TableBEDPR[],7,FALSE),"")</f>
        <v>Core</v>
      </c>
      <c r="Q163" s="209" t="str">
        <f>IFERROR(VLOOKUP(TableHandbook[[#This Row],[UDC]],TableSTRUCATHL[],7,FALSE),"")</f>
        <v/>
      </c>
      <c r="R163" s="209" t="str">
        <f>IFERROR(VLOOKUP(TableHandbook[[#This Row],[UDC]],TableSTRUENGLL[],7,FALSE),"")</f>
        <v/>
      </c>
      <c r="S163" s="209" t="str">
        <f>IFERROR(VLOOKUP(TableHandbook[[#This Row],[UDC]],TableSTRUHLTPE[],7,FALSE),"")</f>
        <v/>
      </c>
      <c r="T163" s="209" t="str">
        <f>IFERROR(VLOOKUP(TableHandbook[[#This Row],[UDC]],TableSTRUISTEM[],7,FALSE),"")</f>
        <v/>
      </c>
      <c r="U163" s="209" t="str">
        <f>IFERROR(VLOOKUP(TableHandbook[[#This Row],[UDC]],TableSTRULITNU[],7,FALSE),"")</f>
        <v/>
      </c>
      <c r="V163" s="209" t="str">
        <f>IFERROR(VLOOKUP(TableHandbook[[#This Row],[UDC]],TableSTRUTECHS[],7,FALSE),"")</f>
        <v/>
      </c>
      <c r="W163" s="211" t="str">
        <f>IFERROR(VLOOKUP(TableHandbook[[#This Row],[UDC]],TableBEDSC[],7,FALSE),"")</f>
        <v/>
      </c>
      <c r="X163" s="211" t="str">
        <f>IFERROR(VLOOKUP(TableHandbook[[#This Row],[UDC]],TableMJRUARDR1[],7,FALSE),"")</f>
        <v/>
      </c>
      <c r="Y163" s="209" t="str">
        <f>IFERROR(VLOOKUP(TableHandbook[[#This Row],[UDC]],TableMJRUARME1[],7,FALSE),"")</f>
        <v/>
      </c>
      <c r="Z163" s="209" t="str">
        <f>IFERROR(VLOOKUP(TableHandbook[[#This Row],[UDC]],TableMJRUARVA1[],7,FALSE),"")</f>
        <v/>
      </c>
      <c r="AA163" s="209" t="str">
        <f>IFERROR(VLOOKUP(TableHandbook[[#This Row],[UDC]],TableMJRUENGL1[],7,FALSE),"")</f>
        <v/>
      </c>
      <c r="AB163" s="209" t="str">
        <f>IFERROR(VLOOKUP(TableHandbook[[#This Row],[UDC]],TableMJRUHSEC1[],7,FALSE),"")</f>
        <v/>
      </c>
      <c r="AC163" s="209" t="str">
        <f>IFERROR(VLOOKUP(TableHandbook[[#This Row],[UDC]],TableMJRUHSGE1[],7,FALSE),"")</f>
        <v/>
      </c>
      <c r="AD163" s="209" t="str">
        <f>IFERROR(VLOOKUP(TableHandbook[[#This Row],[UDC]],TableMJRUHSHI1[],7,FALSE),"")</f>
        <v/>
      </c>
      <c r="AE163" s="209" t="str">
        <f>IFERROR(VLOOKUP(TableHandbook[[#This Row],[UDC]],TableMJRUHSPL1[],7,FALSE),"")</f>
        <v/>
      </c>
      <c r="AF163" s="209" t="str">
        <f>IFERROR(VLOOKUP(TableHandbook[[#This Row],[UDC]],TableMJRUMATH1[],7,FALSE),"")</f>
        <v/>
      </c>
      <c r="AG163" s="209" t="str">
        <f>IFERROR(VLOOKUP(TableHandbook[[#This Row],[UDC]],TableMJRUPHYSE[],7,FALSE),"")</f>
        <v/>
      </c>
      <c r="AH163" s="209" t="str">
        <f>IFERROR(VLOOKUP(TableHandbook[[#This Row],[UDC]],TableMJRUSCBI1[],7,FALSE),"")</f>
        <v/>
      </c>
      <c r="AI163" s="209" t="str">
        <f>IFERROR(VLOOKUP(TableHandbook[[#This Row],[UDC]],TableMJRUSCCH1[],7,FALSE),"")</f>
        <v/>
      </c>
      <c r="AJ163" s="209" t="str">
        <f>IFERROR(VLOOKUP(TableHandbook[[#This Row],[UDC]],TableMJRUSCHB1[],7,FALSE),"")</f>
        <v/>
      </c>
      <c r="AK163" s="209" t="str">
        <f>IFERROR(VLOOKUP(TableHandbook[[#This Row],[UDC]],TableMJRUSCPH1[],7,FALSE),"")</f>
        <v/>
      </c>
      <c r="AL163" s="209" t="str">
        <f>IFERROR(VLOOKUP(TableHandbook[[#This Row],[UDC]],TableMJRUSCPS1[],7,FALSE),"")</f>
        <v/>
      </c>
      <c r="AM163" s="211" t="str">
        <f>IFERROR(VLOOKUP(TableHandbook[[#This Row],[UDC]],TableSTRUBIOLB[],7,FALSE),"")</f>
        <v/>
      </c>
      <c r="AN163" s="209" t="str">
        <f>IFERROR(VLOOKUP(TableHandbook[[#This Row],[UDC]],TableSTRUBSCIM[],7,FALSE),"")</f>
        <v/>
      </c>
      <c r="AO163" s="209" t="str">
        <f>IFERROR(VLOOKUP(TableHandbook[[#This Row],[UDC]],TableSTRUCHEMB[],7,FALSE),"")</f>
        <v/>
      </c>
      <c r="AP163" s="209" t="str">
        <f>IFERROR(VLOOKUP(TableHandbook[[#This Row],[UDC]],TableSTRUECOB1[],7,FALSE),"")</f>
        <v/>
      </c>
      <c r="AQ163" s="209" t="str">
        <f>IFERROR(VLOOKUP(TableHandbook[[#This Row],[UDC]],TableSTRUENGLB[],7,FALSE),"")</f>
        <v/>
      </c>
      <c r="AR163" s="209" t="str">
        <f>IFERROR(VLOOKUP(TableHandbook[[#This Row],[UDC]],TableSTRUENGLM[],7,FALSE),"")</f>
        <v/>
      </c>
      <c r="AS163" s="209" t="str">
        <f>IFERROR(VLOOKUP(TableHandbook[[#This Row],[UDC]],TableSTRUGEOB1[],7,FALSE),"")</f>
        <v/>
      </c>
      <c r="AT163" s="209" t="str">
        <f>IFERROR(VLOOKUP(TableHandbook[[#This Row],[UDC]],TableSTRUGEOGM[],7,FALSE),"")</f>
        <v/>
      </c>
      <c r="AU163" s="209" t="str">
        <f>IFERROR(VLOOKUP(TableHandbook[[#This Row],[UDC]],TableSTRUHISB1[],7,FALSE),"")</f>
        <v/>
      </c>
      <c r="AV163" s="209" t="str">
        <f>IFERROR(VLOOKUP(TableHandbook[[#This Row],[UDC]],TableSTRUHISTM[],7,FALSE),"")</f>
        <v/>
      </c>
      <c r="AW163" s="209" t="str">
        <f>IFERROR(VLOOKUP(TableHandbook[[#This Row],[UDC]],TableSTRUHPEB1[],7,FALSE),"")</f>
        <v/>
      </c>
      <c r="AX163" s="209" t="str">
        <f>IFERROR(VLOOKUP(TableHandbook[[#This Row],[UDC]],TableSTRUHUMBB[],7,FALSE),"")</f>
        <v/>
      </c>
      <c r="AY163" s="209" t="str">
        <f>IFERROR(VLOOKUP(TableHandbook[[#This Row],[UDC]],TableSTRUMARTM[],7,FALSE),"")</f>
        <v/>
      </c>
      <c r="AZ163" s="209" t="str">
        <f>IFERROR(VLOOKUP(TableHandbook[[#This Row],[UDC]],TableSTRUMATHB[],7,FALSE),"")</f>
        <v/>
      </c>
      <c r="BA163" s="209" t="str">
        <f>IFERROR(VLOOKUP(TableHandbook[[#This Row],[UDC]],TableSTRUMATHM[],7,FALSE),"")</f>
        <v/>
      </c>
      <c r="BB163" s="209" t="str">
        <f>IFERROR(VLOOKUP(TableHandbook[[#This Row],[UDC]],TableSTRUPARTB[],7,FALSE),"")</f>
        <v/>
      </c>
      <c r="BC163" s="209" t="str">
        <f>IFERROR(VLOOKUP(TableHandbook[[#This Row],[UDC]],TableSTRUPARTM[],7,FALSE),"")</f>
        <v/>
      </c>
      <c r="BD163" s="209" t="str">
        <f>IFERROR(VLOOKUP(TableHandbook[[#This Row],[UDC]],TableSTRUPOLB1[],7,FALSE),"")</f>
        <v/>
      </c>
      <c r="BE163" s="209" t="str">
        <f>IFERROR(VLOOKUP(TableHandbook[[#This Row],[UDC]],TableSTRUPSYCB[],7,FALSE),"")</f>
        <v/>
      </c>
      <c r="BF163" s="209" t="str">
        <f>IFERROR(VLOOKUP(TableHandbook[[#This Row],[UDC]],TableSTRUPSYCM[],7,FALSE),"")</f>
        <v/>
      </c>
      <c r="BG163" s="209" t="str">
        <f>IFERROR(VLOOKUP(TableHandbook[[#This Row],[UDC]],TableSTRUVARTB[],7,FALSE),"")</f>
        <v/>
      </c>
      <c r="BH163" s="209" t="str">
        <f>IFERROR(VLOOKUP(TableHandbook[[#This Row],[UDC]],TableSTRUVARTM[],7,FALSE),"")</f>
        <v/>
      </c>
    </row>
    <row r="164" spans="1:60" x14ac:dyDescent="0.25">
      <c r="A164" s="6" t="s">
        <v>91</v>
      </c>
      <c r="B164" s="7">
        <v>1</v>
      </c>
      <c r="C164" s="7"/>
      <c r="D164" s="207" t="s">
        <v>971</v>
      </c>
      <c r="E164" s="7">
        <v>25</v>
      </c>
      <c r="F164" s="309" t="s">
        <v>972</v>
      </c>
      <c r="G164" s="75" t="str">
        <f>IFERROR(IF(VLOOKUP(TableHandbook[[#This Row],[UDC]],TableAvailabilities[],2,FALSE)&gt;0,"Y",""),"")</f>
        <v>Y</v>
      </c>
      <c r="H164" s="75" t="str">
        <f>IFERROR(IF(VLOOKUP(TableHandbook[[#This Row],[UDC]],TableAvailabilities[],3,FALSE)&gt;0,"Y",""),"")</f>
        <v>Y</v>
      </c>
      <c r="I164" s="75" t="str">
        <f>IFERROR(IF(VLOOKUP(TableHandbook[[#This Row],[UDC]],TableAvailabilities[],4,FALSE)&gt;0,"Y",""),"")</f>
        <v>Y</v>
      </c>
      <c r="J164" s="75" t="str">
        <f>IFERROR(IF(VLOOKUP(TableHandbook[[#This Row],[UDC]],TableAvailabilities[],5,FALSE)&gt;0,"Y",""),"")</f>
        <v/>
      </c>
      <c r="K164" s="75" t="str">
        <f>IFERROR(IF(VLOOKUP(TableHandbook[[#This Row],[UDC]],TableAvailabilities[],6,FALSE)&gt;0,"Y",""),"")</f>
        <v/>
      </c>
      <c r="L164" s="75" t="str">
        <f>IFERROR(IF(VLOOKUP(TableHandbook[[#This Row],[UDC]],TableAvailabilities[],7,FALSE)&gt;0,"Y",""),"")</f>
        <v/>
      </c>
      <c r="M164" s="309" t="s">
        <v>904</v>
      </c>
      <c r="N164" s="209" t="str">
        <f>IFERROR(VLOOKUP(TableHandbook[[#This Row],[UDC]],TableBEDUC[],7,FALSE),"")</f>
        <v>Core</v>
      </c>
      <c r="O164" s="209" t="str">
        <f>IFERROR(VLOOKUP(TableHandbook[[#This Row],[UDC]],TableBEDEC[],7,FALSE),"")</f>
        <v>Core</v>
      </c>
      <c r="P164" s="211" t="str">
        <f>IFERROR(VLOOKUP(TableHandbook[[#This Row],[UDC]],TableBEDPR[],7,FALSE),"")</f>
        <v>Core</v>
      </c>
      <c r="Q164" s="209" t="str">
        <f>IFERROR(VLOOKUP(TableHandbook[[#This Row],[UDC]],TableSTRUCATHL[],7,FALSE),"")</f>
        <v/>
      </c>
      <c r="R164" s="209" t="str">
        <f>IFERROR(VLOOKUP(TableHandbook[[#This Row],[UDC]],TableSTRUENGLL[],7,FALSE),"")</f>
        <v/>
      </c>
      <c r="S164" s="209" t="str">
        <f>IFERROR(VLOOKUP(TableHandbook[[#This Row],[UDC]],TableSTRUHLTPE[],7,FALSE),"")</f>
        <v/>
      </c>
      <c r="T164" s="209" t="str">
        <f>IFERROR(VLOOKUP(TableHandbook[[#This Row],[UDC]],TableSTRUISTEM[],7,FALSE),"")</f>
        <v/>
      </c>
      <c r="U164" s="209" t="str">
        <f>IFERROR(VLOOKUP(TableHandbook[[#This Row],[UDC]],TableSTRULITNU[],7,FALSE),"")</f>
        <v/>
      </c>
      <c r="V164" s="209" t="str">
        <f>IFERROR(VLOOKUP(TableHandbook[[#This Row],[UDC]],TableSTRUTECHS[],7,FALSE),"")</f>
        <v/>
      </c>
      <c r="W164" s="211" t="str">
        <f>IFERROR(VLOOKUP(TableHandbook[[#This Row],[UDC]],TableBEDSC[],7,FALSE),"")</f>
        <v/>
      </c>
      <c r="X164" s="211" t="str">
        <f>IFERROR(VLOOKUP(TableHandbook[[#This Row],[UDC]],TableMJRUARDR1[],7,FALSE),"")</f>
        <v/>
      </c>
      <c r="Y164" s="209" t="str">
        <f>IFERROR(VLOOKUP(TableHandbook[[#This Row],[UDC]],TableMJRUARME1[],7,FALSE),"")</f>
        <v/>
      </c>
      <c r="Z164" s="209" t="str">
        <f>IFERROR(VLOOKUP(TableHandbook[[#This Row],[UDC]],TableMJRUARVA1[],7,FALSE),"")</f>
        <v/>
      </c>
      <c r="AA164" s="209" t="str">
        <f>IFERROR(VLOOKUP(TableHandbook[[#This Row],[UDC]],TableMJRUENGL1[],7,FALSE),"")</f>
        <v/>
      </c>
      <c r="AB164" s="209" t="str">
        <f>IFERROR(VLOOKUP(TableHandbook[[#This Row],[UDC]],TableMJRUHSEC1[],7,FALSE),"")</f>
        <v/>
      </c>
      <c r="AC164" s="209" t="str">
        <f>IFERROR(VLOOKUP(TableHandbook[[#This Row],[UDC]],TableMJRUHSGE1[],7,FALSE),"")</f>
        <v/>
      </c>
      <c r="AD164" s="209" t="str">
        <f>IFERROR(VLOOKUP(TableHandbook[[#This Row],[UDC]],TableMJRUHSHI1[],7,FALSE),"")</f>
        <v/>
      </c>
      <c r="AE164" s="209" t="str">
        <f>IFERROR(VLOOKUP(TableHandbook[[#This Row],[UDC]],TableMJRUHSPL1[],7,FALSE),"")</f>
        <v/>
      </c>
      <c r="AF164" s="209" t="str">
        <f>IFERROR(VLOOKUP(TableHandbook[[#This Row],[UDC]],TableMJRUMATH1[],7,FALSE),"")</f>
        <v/>
      </c>
      <c r="AG164" s="209" t="str">
        <f>IFERROR(VLOOKUP(TableHandbook[[#This Row],[UDC]],TableMJRUPHYSE[],7,FALSE),"")</f>
        <v/>
      </c>
      <c r="AH164" s="209" t="str">
        <f>IFERROR(VLOOKUP(TableHandbook[[#This Row],[UDC]],TableMJRUSCBI1[],7,FALSE),"")</f>
        <v/>
      </c>
      <c r="AI164" s="209" t="str">
        <f>IFERROR(VLOOKUP(TableHandbook[[#This Row],[UDC]],TableMJRUSCCH1[],7,FALSE),"")</f>
        <v/>
      </c>
      <c r="AJ164" s="209" t="str">
        <f>IFERROR(VLOOKUP(TableHandbook[[#This Row],[UDC]],TableMJRUSCHB1[],7,FALSE),"")</f>
        <v/>
      </c>
      <c r="AK164" s="209" t="str">
        <f>IFERROR(VLOOKUP(TableHandbook[[#This Row],[UDC]],TableMJRUSCPH1[],7,FALSE),"")</f>
        <v/>
      </c>
      <c r="AL164" s="209" t="str">
        <f>IFERROR(VLOOKUP(TableHandbook[[#This Row],[UDC]],TableMJRUSCPS1[],7,FALSE),"")</f>
        <v/>
      </c>
      <c r="AM164" s="211" t="str">
        <f>IFERROR(VLOOKUP(TableHandbook[[#This Row],[UDC]],TableSTRUBIOLB[],7,FALSE),"")</f>
        <v/>
      </c>
      <c r="AN164" s="209" t="str">
        <f>IFERROR(VLOOKUP(TableHandbook[[#This Row],[UDC]],TableSTRUBSCIM[],7,FALSE),"")</f>
        <v/>
      </c>
      <c r="AO164" s="209" t="str">
        <f>IFERROR(VLOOKUP(TableHandbook[[#This Row],[UDC]],TableSTRUCHEMB[],7,FALSE),"")</f>
        <v/>
      </c>
      <c r="AP164" s="209" t="str">
        <f>IFERROR(VLOOKUP(TableHandbook[[#This Row],[UDC]],TableSTRUECOB1[],7,FALSE),"")</f>
        <v/>
      </c>
      <c r="AQ164" s="209" t="str">
        <f>IFERROR(VLOOKUP(TableHandbook[[#This Row],[UDC]],TableSTRUENGLB[],7,FALSE),"")</f>
        <v/>
      </c>
      <c r="AR164" s="209" t="str">
        <f>IFERROR(VLOOKUP(TableHandbook[[#This Row],[UDC]],TableSTRUENGLM[],7,FALSE),"")</f>
        <v/>
      </c>
      <c r="AS164" s="209" t="str">
        <f>IFERROR(VLOOKUP(TableHandbook[[#This Row],[UDC]],TableSTRUGEOB1[],7,FALSE),"")</f>
        <v/>
      </c>
      <c r="AT164" s="209" t="str">
        <f>IFERROR(VLOOKUP(TableHandbook[[#This Row],[UDC]],TableSTRUGEOGM[],7,FALSE),"")</f>
        <v/>
      </c>
      <c r="AU164" s="209" t="str">
        <f>IFERROR(VLOOKUP(TableHandbook[[#This Row],[UDC]],TableSTRUHISB1[],7,FALSE),"")</f>
        <v/>
      </c>
      <c r="AV164" s="209" t="str">
        <f>IFERROR(VLOOKUP(TableHandbook[[#This Row],[UDC]],TableSTRUHISTM[],7,FALSE),"")</f>
        <v/>
      </c>
      <c r="AW164" s="209" t="str">
        <f>IFERROR(VLOOKUP(TableHandbook[[#This Row],[UDC]],TableSTRUHPEB1[],7,FALSE),"")</f>
        <v/>
      </c>
      <c r="AX164" s="209" t="str">
        <f>IFERROR(VLOOKUP(TableHandbook[[#This Row],[UDC]],TableSTRUHUMBB[],7,FALSE),"")</f>
        <v/>
      </c>
      <c r="AY164" s="209" t="str">
        <f>IFERROR(VLOOKUP(TableHandbook[[#This Row],[UDC]],TableSTRUMARTM[],7,FALSE),"")</f>
        <v/>
      </c>
      <c r="AZ164" s="209" t="str">
        <f>IFERROR(VLOOKUP(TableHandbook[[#This Row],[UDC]],TableSTRUMATHB[],7,FALSE),"")</f>
        <v/>
      </c>
      <c r="BA164" s="209" t="str">
        <f>IFERROR(VLOOKUP(TableHandbook[[#This Row],[UDC]],TableSTRUMATHM[],7,FALSE),"")</f>
        <v/>
      </c>
      <c r="BB164" s="209" t="str">
        <f>IFERROR(VLOOKUP(TableHandbook[[#This Row],[UDC]],TableSTRUPARTB[],7,FALSE),"")</f>
        <v/>
      </c>
      <c r="BC164" s="209" t="str">
        <f>IFERROR(VLOOKUP(TableHandbook[[#This Row],[UDC]],TableSTRUPARTM[],7,FALSE),"")</f>
        <v/>
      </c>
      <c r="BD164" s="209" t="str">
        <f>IFERROR(VLOOKUP(TableHandbook[[#This Row],[UDC]],TableSTRUPOLB1[],7,FALSE),"")</f>
        <v/>
      </c>
      <c r="BE164" s="209" t="str">
        <f>IFERROR(VLOOKUP(TableHandbook[[#This Row],[UDC]],TableSTRUPSYCB[],7,FALSE),"")</f>
        <v/>
      </c>
      <c r="BF164" s="209" t="str">
        <f>IFERROR(VLOOKUP(TableHandbook[[#This Row],[UDC]],TableSTRUPSYCM[],7,FALSE),"")</f>
        <v/>
      </c>
      <c r="BG164" s="209" t="str">
        <f>IFERROR(VLOOKUP(TableHandbook[[#This Row],[UDC]],TableSTRUVARTB[],7,FALSE),"")</f>
        <v/>
      </c>
      <c r="BH164" s="209" t="str">
        <f>IFERROR(VLOOKUP(TableHandbook[[#This Row],[UDC]],TableSTRUVARTM[],7,FALSE),"")</f>
        <v/>
      </c>
    </row>
    <row r="165" spans="1:60" x14ac:dyDescent="0.25">
      <c r="A165" s="6" t="s">
        <v>144</v>
      </c>
      <c r="B165" s="7">
        <v>1</v>
      </c>
      <c r="C165" s="7"/>
      <c r="D165" s="207" t="s">
        <v>973</v>
      </c>
      <c r="E165" s="7">
        <v>25</v>
      </c>
      <c r="F165" s="311" t="s">
        <v>974</v>
      </c>
      <c r="G165" s="75" t="str">
        <f>IFERROR(IF(VLOOKUP(TableHandbook[[#This Row],[UDC]],TableAvailabilities[],2,FALSE)&gt;0,"Y",""),"")</f>
        <v/>
      </c>
      <c r="H165" s="75" t="str">
        <f>IFERROR(IF(VLOOKUP(TableHandbook[[#This Row],[UDC]],TableAvailabilities[],3,FALSE)&gt;0,"Y",""),"")</f>
        <v>Y</v>
      </c>
      <c r="I165" s="75" t="str">
        <f>IFERROR(IF(VLOOKUP(TableHandbook[[#This Row],[UDC]],TableAvailabilities[],4,FALSE)&gt;0,"Y",""),"")</f>
        <v/>
      </c>
      <c r="J165" s="75" t="str">
        <f>IFERROR(IF(VLOOKUP(TableHandbook[[#This Row],[UDC]],TableAvailabilities[],5,FALSE)&gt;0,"Y",""),"")</f>
        <v/>
      </c>
      <c r="K165" s="75" t="str">
        <f>IFERROR(IF(VLOOKUP(TableHandbook[[#This Row],[UDC]],TableAvailabilities[],6,FALSE)&gt;0,"Y",""),"")</f>
        <v>Y</v>
      </c>
      <c r="L165" s="75" t="str">
        <f>IFERROR(IF(VLOOKUP(TableHandbook[[#This Row],[UDC]],TableAvailabilities[],7,FALSE)&gt;0,"Y",""),"")</f>
        <v/>
      </c>
      <c r="M165" s="207"/>
      <c r="N165" s="209" t="str">
        <f>IFERROR(VLOOKUP(TableHandbook[[#This Row],[UDC]],TableBEDUC[],7,FALSE),"")</f>
        <v>Core</v>
      </c>
      <c r="O165" s="209" t="str">
        <f>IFERROR(VLOOKUP(TableHandbook[[#This Row],[UDC]],TableBEDEC[],7,FALSE),"")</f>
        <v/>
      </c>
      <c r="P165" s="211" t="str">
        <f>IFERROR(VLOOKUP(TableHandbook[[#This Row],[UDC]],TableBEDPR[],7,FALSE),"")</f>
        <v/>
      </c>
      <c r="Q165" s="209" t="str">
        <f>IFERROR(VLOOKUP(TableHandbook[[#This Row],[UDC]],TableSTRUCATHL[],7,FALSE),"")</f>
        <v/>
      </c>
      <c r="R165" s="209" t="str">
        <f>IFERROR(VLOOKUP(TableHandbook[[#This Row],[UDC]],TableSTRUENGLL[],7,FALSE),"")</f>
        <v/>
      </c>
      <c r="S165" s="209" t="str">
        <f>IFERROR(VLOOKUP(TableHandbook[[#This Row],[UDC]],TableSTRUHLTPE[],7,FALSE),"")</f>
        <v/>
      </c>
      <c r="T165" s="209" t="str">
        <f>IFERROR(VLOOKUP(TableHandbook[[#This Row],[UDC]],TableSTRUISTEM[],7,FALSE),"")</f>
        <v/>
      </c>
      <c r="U165" s="209" t="str">
        <f>IFERROR(VLOOKUP(TableHandbook[[#This Row],[UDC]],TableSTRULITNU[],7,FALSE),"")</f>
        <v/>
      </c>
      <c r="V165" s="209" t="str">
        <f>IFERROR(VLOOKUP(TableHandbook[[#This Row],[UDC]],TableSTRUTECHS[],7,FALSE),"")</f>
        <v/>
      </c>
      <c r="W165" s="211" t="str">
        <f>IFERROR(VLOOKUP(TableHandbook[[#This Row],[UDC]],TableBEDSC[],7,FALSE),"")</f>
        <v/>
      </c>
      <c r="X165" s="211" t="str">
        <f>IFERROR(VLOOKUP(TableHandbook[[#This Row],[UDC]],TableMJRUARDR1[],7,FALSE),"")</f>
        <v/>
      </c>
      <c r="Y165" s="209" t="str">
        <f>IFERROR(VLOOKUP(TableHandbook[[#This Row],[UDC]],TableMJRUARME1[],7,FALSE),"")</f>
        <v/>
      </c>
      <c r="Z165" s="209" t="str">
        <f>IFERROR(VLOOKUP(TableHandbook[[#This Row],[UDC]],TableMJRUARVA1[],7,FALSE),"")</f>
        <v/>
      </c>
      <c r="AA165" s="209" t="str">
        <f>IFERROR(VLOOKUP(TableHandbook[[#This Row],[UDC]],TableMJRUENGL1[],7,FALSE),"")</f>
        <v/>
      </c>
      <c r="AB165" s="209" t="str">
        <f>IFERROR(VLOOKUP(TableHandbook[[#This Row],[UDC]],TableMJRUHSEC1[],7,FALSE),"")</f>
        <v/>
      </c>
      <c r="AC165" s="209" t="str">
        <f>IFERROR(VLOOKUP(TableHandbook[[#This Row],[UDC]],TableMJRUHSGE1[],7,FALSE),"")</f>
        <v/>
      </c>
      <c r="AD165" s="209" t="str">
        <f>IFERROR(VLOOKUP(TableHandbook[[#This Row],[UDC]],TableMJRUHSHI1[],7,FALSE),"")</f>
        <v/>
      </c>
      <c r="AE165" s="209" t="str">
        <f>IFERROR(VLOOKUP(TableHandbook[[#This Row],[UDC]],TableMJRUHSPL1[],7,FALSE),"")</f>
        <v/>
      </c>
      <c r="AF165" s="209" t="str">
        <f>IFERROR(VLOOKUP(TableHandbook[[#This Row],[UDC]],TableMJRUMATH1[],7,FALSE),"")</f>
        <v/>
      </c>
      <c r="AG165" s="209" t="str">
        <f>IFERROR(VLOOKUP(TableHandbook[[#This Row],[UDC]],TableMJRUPHYSE[],7,FALSE),"")</f>
        <v/>
      </c>
      <c r="AH165" s="209" t="str">
        <f>IFERROR(VLOOKUP(TableHandbook[[#This Row],[UDC]],TableMJRUSCBI1[],7,FALSE),"")</f>
        <v/>
      </c>
      <c r="AI165" s="209" t="str">
        <f>IFERROR(VLOOKUP(TableHandbook[[#This Row],[UDC]],TableMJRUSCCH1[],7,FALSE),"")</f>
        <v/>
      </c>
      <c r="AJ165" s="209" t="str">
        <f>IFERROR(VLOOKUP(TableHandbook[[#This Row],[UDC]],TableMJRUSCHB1[],7,FALSE),"")</f>
        <v/>
      </c>
      <c r="AK165" s="209" t="str">
        <f>IFERROR(VLOOKUP(TableHandbook[[#This Row],[UDC]],TableMJRUSCPH1[],7,FALSE),"")</f>
        <v/>
      </c>
      <c r="AL165" s="209" t="str">
        <f>IFERROR(VLOOKUP(TableHandbook[[#This Row],[UDC]],TableMJRUSCPS1[],7,FALSE),"")</f>
        <v/>
      </c>
      <c r="AM165" s="211" t="str">
        <f>IFERROR(VLOOKUP(TableHandbook[[#This Row],[UDC]],TableSTRUBIOLB[],7,FALSE),"")</f>
        <v/>
      </c>
      <c r="AN165" s="209" t="str">
        <f>IFERROR(VLOOKUP(TableHandbook[[#This Row],[UDC]],TableSTRUBSCIM[],7,FALSE),"")</f>
        <v/>
      </c>
      <c r="AO165" s="209" t="str">
        <f>IFERROR(VLOOKUP(TableHandbook[[#This Row],[UDC]],TableSTRUCHEMB[],7,FALSE),"")</f>
        <v/>
      </c>
      <c r="AP165" s="209" t="str">
        <f>IFERROR(VLOOKUP(TableHandbook[[#This Row],[UDC]],TableSTRUECOB1[],7,FALSE),"")</f>
        <v/>
      </c>
      <c r="AQ165" s="209" t="str">
        <f>IFERROR(VLOOKUP(TableHandbook[[#This Row],[UDC]],TableSTRUENGLB[],7,FALSE),"")</f>
        <v/>
      </c>
      <c r="AR165" s="209" t="str">
        <f>IFERROR(VLOOKUP(TableHandbook[[#This Row],[UDC]],TableSTRUENGLM[],7,FALSE),"")</f>
        <v/>
      </c>
      <c r="AS165" s="209" t="str">
        <f>IFERROR(VLOOKUP(TableHandbook[[#This Row],[UDC]],TableSTRUGEOB1[],7,FALSE),"")</f>
        <v/>
      </c>
      <c r="AT165" s="209" t="str">
        <f>IFERROR(VLOOKUP(TableHandbook[[#This Row],[UDC]],TableSTRUGEOGM[],7,FALSE),"")</f>
        <v/>
      </c>
      <c r="AU165" s="209" t="str">
        <f>IFERROR(VLOOKUP(TableHandbook[[#This Row],[UDC]],TableSTRUHISB1[],7,FALSE),"")</f>
        <v/>
      </c>
      <c r="AV165" s="209" t="str">
        <f>IFERROR(VLOOKUP(TableHandbook[[#This Row],[UDC]],TableSTRUHISTM[],7,FALSE),"")</f>
        <v/>
      </c>
      <c r="AW165" s="209" t="str">
        <f>IFERROR(VLOOKUP(TableHandbook[[#This Row],[UDC]],TableSTRUHPEB1[],7,FALSE),"")</f>
        <v/>
      </c>
      <c r="AX165" s="209" t="str">
        <f>IFERROR(VLOOKUP(TableHandbook[[#This Row],[UDC]],TableSTRUHUMBB[],7,FALSE),"")</f>
        <v/>
      </c>
      <c r="AY165" s="209" t="str">
        <f>IFERROR(VLOOKUP(TableHandbook[[#This Row],[UDC]],TableSTRUMARTM[],7,FALSE),"")</f>
        <v/>
      </c>
      <c r="AZ165" s="209" t="str">
        <f>IFERROR(VLOOKUP(TableHandbook[[#This Row],[UDC]],TableSTRUMATHB[],7,FALSE),"")</f>
        <v/>
      </c>
      <c r="BA165" s="209" t="str">
        <f>IFERROR(VLOOKUP(TableHandbook[[#This Row],[UDC]],TableSTRUMATHM[],7,FALSE),"")</f>
        <v/>
      </c>
      <c r="BB165" s="209" t="str">
        <f>IFERROR(VLOOKUP(TableHandbook[[#This Row],[UDC]],TableSTRUPARTB[],7,FALSE),"")</f>
        <v/>
      </c>
      <c r="BC165" s="209" t="str">
        <f>IFERROR(VLOOKUP(TableHandbook[[#This Row],[UDC]],TableSTRUPARTM[],7,FALSE),"")</f>
        <v/>
      </c>
      <c r="BD165" s="209" t="str">
        <f>IFERROR(VLOOKUP(TableHandbook[[#This Row],[UDC]],TableSTRUPOLB1[],7,FALSE),"")</f>
        <v/>
      </c>
      <c r="BE165" s="209" t="str">
        <f>IFERROR(VLOOKUP(TableHandbook[[#This Row],[UDC]],TableSTRUPSYCB[],7,FALSE),"")</f>
        <v/>
      </c>
      <c r="BF165" s="209" t="str">
        <f>IFERROR(VLOOKUP(TableHandbook[[#This Row],[UDC]],TableSTRUPSYCM[],7,FALSE),"")</f>
        <v/>
      </c>
      <c r="BG165" s="209" t="str">
        <f>IFERROR(VLOOKUP(TableHandbook[[#This Row],[UDC]],TableSTRUVARTB[],7,FALSE),"")</f>
        <v/>
      </c>
      <c r="BH165" s="209" t="str">
        <f>IFERROR(VLOOKUP(TableHandbook[[#This Row],[UDC]],TableSTRUVARTM[],7,FALSE),"")</f>
        <v/>
      </c>
    </row>
    <row r="166" spans="1:60" x14ac:dyDescent="0.25">
      <c r="A166" s="6" t="s">
        <v>194</v>
      </c>
      <c r="B166" s="7">
        <v>2</v>
      </c>
      <c r="C166" s="7"/>
      <c r="D166" s="207" t="s">
        <v>975</v>
      </c>
      <c r="E166" s="7">
        <v>25</v>
      </c>
      <c r="F166" s="84" t="s">
        <v>783</v>
      </c>
      <c r="G166" s="75" t="str">
        <f>IFERROR(IF(VLOOKUP(TableHandbook[[#This Row],[UDC]],TableAvailabilities[],2,FALSE)&gt;0,"Y",""),"")</f>
        <v>Y</v>
      </c>
      <c r="H166" s="75" t="str">
        <f>IFERROR(IF(VLOOKUP(TableHandbook[[#This Row],[UDC]],TableAvailabilities[],3,FALSE)&gt;0,"Y",""),"")</f>
        <v>Y</v>
      </c>
      <c r="I166" s="75" t="str">
        <f>IFERROR(IF(VLOOKUP(TableHandbook[[#This Row],[UDC]],TableAvailabilities[],4,FALSE)&gt;0,"Y",""),"")</f>
        <v/>
      </c>
      <c r="J166" s="75" t="str">
        <f>IFERROR(IF(VLOOKUP(TableHandbook[[#This Row],[UDC]],TableAvailabilities[],5,FALSE)&gt;0,"Y",""),"")</f>
        <v/>
      </c>
      <c r="K166" s="75" t="str">
        <f>IFERROR(IF(VLOOKUP(TableHandbook[[#This Row],[UDC]],TableAvailabilities[],6,FALSE)&gt;0,"Y",""),"")</f>
        <v/>
      </c>
      <c r="L166" s="75" t="str">
        <f>IFERROR(IF(VLOOKUP(TableHandbook[[#This Row],[UDC]],TableAvailabilities[],7,FALSE)&gt;0,"Y",""),"")</f>
        <v/>
      </c>
      <c r="M166" s="207"/>
      <c r="N166" s="209" t="str">
        <f>IFERROR(VLOOKUP(TableHandbook[[#This Row],[UDC]],TableBEDUC[],7,FALSE),"")</f>
        <v/>
      </c>
      <c r="O166" s="209" t="str">
        <f>IFERROR(VLOOKUP(TableHandbook[[#This Row],[UDC]],TableBEDEC[],7,FALSE),"")</f>
        <v>Option</v>
      </c>
      <c r="P166" s="211" t="str">
        <f>IFERROR(VLOOKUP(TableHandbook[[#This Row],[UDC]],TableBEDPR[],7,FALSE),"")</f>
        <v/>
      </c>
      <c r="Q166" s="209" t="str">
        <f>IFERROR(VLOOKUP(TableHandbook[[#This Row],[UDC]],TableSTRUCATHL[],7,FALSE),"")</f>
        <v/>
      </c>
      <c r="R166" s="209" t="str">
        <f>IFERROR(VLOOKUP(TableHandbook[[#This Row],[UDC]],TableSTRUENGLL[],7,FALSE),"")</f>
        <v/>
      </c>
      <c r="S166" s="209" t="str">
        <f>IFERROR(VLOOKUP(TableHandbook[[#This Row],[UDC]],TableSTRUHLTPE[],7,FALSE),"")</f>
        <v/>
      </c>
      <c r="T166" s="209" t="str">
        <f>IFERROR(VLOOKUP(TableHandbook[[#This Row],[UDC]],TableSTRUISTEM[],7,FALSE),"")</f>
        <v/>
      </c>
      <c r="U166" s="209" t="str">
        <f>IFERROR(VLOOKUP(TableHandbook[[#This Row],[UDC]],TableSTRULITNU[],7,FALSE),"")</f>
        <v/>
      </c>
      <c r="V166" s="209" t="str">
        <f>IFERROR(VLOOKUP(TableHandbook[[#This Row],[UDC]],TableSTRUTECHS[],7,FALSE),"")</f>
        <v/>
      </c>
      <c r="W166" s="211" t="str">
        <f>IFERROR(VLOOKUP(TableHandbook[[#This Row],[UDC]],TableBEDSC[],7,FALSE),"")</f>
        <v/>
      </c>
      <c r="X166" s="211" t="str">
        <f>IFERROR(VLOOKUP(TableHandbook[[#This Row],[UDC]],TableMJRUARDR1[],7,FALSE),"")</f>
        <v/>
      </c>
      <c r="Y166" s="209" t="str">
        <f>IFERROR(VLOOKUP(TableHandbook[[#This Row],[UDC]],TableMJRUARME1[],7,FALSE),"")</f>
        <v/>
      </c>
      <c r="Z166" s="209" t="str">
        <f>IFERROR(VLOOKUP(TableHandbook[[#This Row],[UDC]],TableMJRUARVA1[],7,FALSE),"")</f>
        <v/>
      </c>
      <c r="AA166" s="209" t="str">
        <f>IFERROR(VLOOKUP(TableHandbook[[#This Row],[UDC]],TableMJRUENGL1[],7,FALSE),"")</f>
        <v/>
      </c>
      <c r="AB166" s="209" t="str">
        <f>IFERROR(VLOOKUP(TableHandbook[[#This Row],[UDC]],TableMJRUHSEC1[],7,FALSE),"")</f>
        <v/>
      </c>
      <c r="AC166" s="209" t="str">
        <f>IFERROR(VLOOKUP(TableHandbook[[#This Row],[UDC]],TableMJRUHSGE1[],7,FALSE),"")</f>
        <v/>
      </c>
      <c r="AD166" s="209" t="str">
        <f>IFERROR(VLOOKUP(TableHandbook[[#This Row],[UDC]],TableMJRUHSHI1[],7,FALSE),"")</f>
        <v/>
      </c>
      <c r="AE166" s="209" t="str">
        <f>IFERROR(VLOOKUP(TableHandbook[[#This Row],[UDC]],TableMJRUHSPL1[],7,FALSE),"")</f>
        <v/>
      </c>
      <c r="AF166" s="209" t="str">
        <f>IFERROR(VLOOKUP(TableHandbook[[#This Row],[UDC]],TableMJRUMATH1[],7,FALSE),"")</f>
        <v/>
      </c>
      <c r="AG166" s="209" t="str">
        <f>IFERROR(VLOOKUP(TableHandbook[[#This Row],[UDC]],TableMJRUPHYSE[],7,FALSE),"")</f>
        <v/>
      </c>
      <c r="AH166" s="209" t="str">
        <f>IFERROR(VLOOKUP(TableHandbook[[#This Row],[UDC]],TableMJRUSCBI1[],7,FALSE),"")</f>
        <v/>
      </c>
      <c r="AI166" s="209" t="str">
        <f>IFERROR(VLOOKUP(TableHandbook[[#This Row],[UDC]],TableMJRUSCCH1[],7,FALSE),"")</f>
        <v/>
      </c>
      <c r="AJ166" s="209" t="str">
        <f>IFERROR(VLOOKUP(TableHandbook[[#This Row],[UDC]],TableMJRUSCHB1[],7,FALSE),"")</f>
        <v/>
      </c>
      <c r="AK166" s="209" t="str">
        <f>IFERROR(VLOOKUP(TableHandbook[[#This Row],[UDC]],TableMJRUSCPH1[],7,FALSE),"")</f>
        <v/>
      </c>
      <c r="AL166" s="209" t="str">
        <f>IFERROR(VLOOKUP(TableHandbook[[#This Row],[UDC]],TableMJRUSCPS1[],7,FALSE),"")</f>
        <v/>
      </c>
      <c r="AM166" s="211" t="str">
        <f>IFERROR(VLOOKUP(TableHandbook[[#This Row],[UDC]],TableSTRUBIOLB[],7,FALSE),"")</f>
        <v>Option</v>
      </c>
      <c r="AN166" s="209" t="str">
        <f>IFERROR(VLOOKUP(TableHandbook[[#This Row],[UDC]],TableSTRUBSCIM[],7,FALSE),"")</f>
        <v/>
      </c>
      <c r="AO166" s="209" t="str">
        <f>IFERROR(VLOOKUP(TableHandbook[[#This Row],[UDC]],TableSTRUCHEMB[],7,FALSE),"")</f>
        <v>Option</v>
      </c>
      <c r="AP166" s="209" t="str">
        <f>IFERROR(VLOOKUP(TableHandbook[[#This Row],[UDC]],TableSTRUECOB1[],7,FALSE),"")</f>
        <v>Option</v>
      </c>
      <c r="AQ166" s="209" t="str">
        <f>IFERROR(VLOOKUP(TableHandbook[[#This Row],[UDC]],TableSTRUENGLB[],7,FALSE),"")</f>
        <v>Option</v>
      </c>
      <c r="AR166" s="209" t="str">
        <f>IFERROR(VLOOKUP(TableHandbook[[#This Row],[UDC]],TableSTRUENGLM[],7,FALSE),"")</f>
        <v/>
      </c>
      <c r="AS166" s="209" t="str">
        <f>IFERROR(VLOOKUP(TableHandbook[[#This Row],[UDC]],TableSTRUGEOB1[],7,FALSE),"")</f>
        <v>Option</v>
      </c>
      <c r="AT166" s="209" t="str">
        <f>IFERROR(VLOOKUP(TableHandbook[[#This Row],[UDC]],TableSTRUGEOGM[],7,FALSE),"")</f>
        <v/>
      </c>
      <c r="AU166" s="209" t="str">
        <f>IFERROR(VLOOKUP(TableHandbook[[#This Row],[UDC]],TableSTRUHISB1[],7,FALSE),"")</f>
        <v>Option</v>
      </c>
      <c r="AV166" s="209" t="str">
        <f>IFERROR(VLOOKUP(TableHandbook[[#This Row],[UDC]],TableSTRUHISTM[],7,FALSE),"")</f>
        <v/>
      </c>
      <c r="AW166" s="209" t="str">
        <f>IFERROR(VLOOKUP(TableHandbook[[#This Row],[UDC]],TableSTRUHPEB1[],7,FALSE),"")</f>
        <v>Core</v>
      </c>
      <c r="AX166" s="209" t="str">
        <f>IFERROR(VLOOKUP(TableHandbook[[#This Row],[UDC]],TableSTRUHUMBB[],7,FALSE),"")</f>
        <v>Option</v>
      </c>
      <c r="AY166" s="209" t="str">
        <f>IFERROR(VLOOKUP(TableHandbook[[#This Row],[UDC]],TableSTRUMARTM[],7,FALSE),"")</f>
        <v/>
      </c>
      <c r="AZ166" s="209" t="str">
        <f>IFERROR(VLOOKUP(TableHandbook[[#This Row],[UDC]],TableSTRUMATHB[],7,FALSE),"")</f>
        <v>Option</v>
      </c>
      <c r="BA166" s="209" t="str">
        <f>IFERROR(VLOOKUP(TableHandbook[[#This Row],[UDC]],TableSTRUMATHM[],7,FALSE),"")</f>
        <v/>
      </c>
      <c r="BB166" s="209" t="str">
        <f>IFERROR(VLOOKUP(TableHandbook[[#This Row],[UDC]],TableSTRUPARTB[],7,FALSE),"")</f>
        <v>Option</v>
      </c>
      <c r="BC166" s="209" t="str">
        <f>IFERROR(VLOOKUP(TableHandbook[[#This Row],[UDC]],TableSTRUPARTM[],7,FALSE),"")</f>
        <v/>
      </c>
      <c r="BD166" s="209" t="str">
        <f>IFERROR(VLOOKUP(TableHandbook[[#This Row],[UDC]],TableSTRUPOLB1[],7,FALSE),"")</f>
        <v>Option</v>
      </c>
      <c r="BE166" s="209" t="str">
        <f>IFERROR(VLOOKUP(TableHandbook[[#This Row],[UDC]],TableSTRUPSYCB[],7,FALSE),"")</f>
        <v>Option</v>
      </c>
      <c r="BF166" s="209" t="str">
        <f>IFERROR(VLOOKUP(TableHandbook[[#This Row],[UDC]],TableSTRUPSYCM[],7,FALSE),"")</f>
        <v/>
      </c>
      <c r="BG166" s="209" t="str">
        <f>IFERROR(VLOOKUP(TableHandbook[[#This Row],[UDC]],TableSTRUVARTB[],7,FALSE),"")</f>
        <v>Option</v>
      </c>
      <c r="BH166" s="209" t="str">
        <f>IFERROR(VLOOKUP(TableHandbook[[#This Row],[UDC]],TableSTRUVARTM[],7,FALSE),"")</f>
        <v/>
      </c>
    </row>
    <row r="167" spans="1:60" x14ac:dyDescent="0.25">
      <c r="A167" s="6" t="s">
        <v>195</v>
      </c>
      <c r="B167" s="7">
        <v>1</v>
      </c>
      <c r="C167" s="7"/>
      <c r="D167" s="207" t="s">
        <v>976</v>
      </c>
      <c r="E167" s="7">
        <v>25</v>
      </c>
      <c r="F167" s="84" t="s">
        <v>783</v>
      </c>
      <c r="G167" s="75" t="str">
        <f>IFERROR(IF(VLOOKUP(TableHandbook[[#This Row],[UDC]],TableAvailabilities[],2,FALSE)&gt;0,"Y",""),"")</f>
        <v/>
      </c>
      <c r="H167" s="75" t="str">
        <f>IFERROR(IF(VLOOKUP(TableHandbook[[#This Row],[UDC]],TableAvailabilities[],3,FALSE)&gt;0,"Y",""),"")</f>
        <v>Y</v>
      </c>
      <c r="I167" s="75" t="str">
        <f>IFERROR(IF(VLOOKUP(TableHandbook[[#This Row],[UDC]],TableAvailabilities[],4,FALSE)&gt;0,"Y",""),"")</f>
        <v/>
      </c>
      <c r="J167" s="75" t="str">
        <f>IFERROR(IF(VLOOKUP(TableHandbook[[#This Row],[UDC]],TableAvailabilities[],5,FALSE)&gt;0,"Y",""),"")</f>
        <v/>
      </c>
      <c r="K167" s="75" t="str">
        <f>IFERROR(IF(VLOOKUP(TableHandbook[[#This Row],[UDC]],TableAvailabilities[],6,FALSE)&gt;0,"Y",""),"")</f>
        <v/>
      </c>
      <c r="L167" s="75" t="str">
        <f>IFERROR(IF(VLOOKUP(TableHandbook[[#This Row],[UDC]],TableAvailabilities[],7,FALSE)&gt;0,"Y",""),"")</f>
        <v/>
      </c>
      <c r="M167" s="207"/>
      <c r="N167" s="209" t="str">
        <f>IFERROR(VLOOKUP(TableHandbook[[#This Row],[UDC]],TableBEDUC[],7,FALSE),"")</f>
        <v/>
      </c>
      <c r="O167" s="209" t="str">
        <f>IFERROR(VLOOKUP(TableHandbook[[#This Row],[UDC]],TableBEDEC[],7,FALSE),"")</f>
        <v>Option</v>
      </c>
      <c r="P167" s="211" t="str">
        <f>IFERROR(VLOOKUP(TableHandbook[[#This Row],[UDC]],TableBEDPR[],7,FALSE),"")</f>
        <v/>
      </c>
      <c r="Q167" s="209" t="str">
        <f>IFERROR(VLOOKUP(TableHandbook[[#This Row],[UDC]],TableSTRUCATHL[],7,FALSE),"")</f>
        <v/>
      </c>
      <c r="R167" s="209" t="str">
        <f>IFERROR(VLOOKUP(TableHandbook[[#This Row],[UDC]],TableSTRUENGLL[],7,FALSE),"")</f>
        <v/>
      </c>
      <c r="S167" s="209" t="str">
        <f>IFERROR(VLOOKUP(TableHandbook[[#This Row],[UDC]],TableSTRUHLTPE[],7,FALSE),"")</f>
        <v/>
      </c>
      <c r="T167" s="209" t="str">
        <f>IFERROR(VLOOKUP(TableHandbook[[#This Row],[UDC]],TableSTRUISTEM[],7,FALSE),"")</f>
        <v/>
      </c>
      <c r="U167" s="209" t="str">
        <f>IFERROR(VLOOKUP(TableHandbook[[#This Row],[UDC]],TableSTRULITNU[],7,FALSE),"")</f>
        <v/>
      </c>
      <c r="V167" s="209" t="str">
        <f>IFERROR(VLOOKUP(TableHandbook[[#This Row],[UDC]],TableSTRUTECHS[],7,FALSE),"")</f>
        <v/>
      </c>
      <c r="W167" s="211" t="str">
        <f>IFERROR(VLOOKUP(TableHandbook[[#This Row],[UDC]],TableBEDSC[],7,FALSE),"")</f>
        <v/>
      </c>
      <c r="X167" s="211" t="str">
        <f>IFERROR(VLOOKUP(TableHandbook[[#This Row],[UDC]],TableMJRUARDR1[],7,FALSE),"")</f>
        <v/>
      </c>
      <c r="Y167" s="209" t="str">
        <f>IFERROR(VLOOKUP(TableHandbook[[#This Row],[UDC]],TableMJRUARME1[],7,FALSE),"")</f>
        <v/>
      </c>
      <c r="Z167" s="209" t="str">
        <f>IFERROR(VLOOKUP(TableHandbook[[#This Row],[UDC]],TableMJRUARVA1[],7,FALSE),"")</f>
        <v/>
      </c>
      <c r="AA167" s="209" t="str">
        <f>IFERROR(VLOOKUP(TableHandbook[[#This Row],[UDC]],TableMJRUENGL1[],7,FALSE),"")</f>
        <v/>
      </c>
      <c r="AB167" s="209" t="str">
        <f>IFERROR(VLOOKUP(TableHandbook[[#This Row],[UDC]],TableMJRUHSEC1[],7,FALSE),"")</f>
        <v/>
      </c>
      <c r="AC167" s="209" t="str">
        <f>IFERROR(VLOOKUP(TableHandbook[[#This Row],[UDC]],TableMJRUHSGE1[],7,FALSE),"")</f>
        <v/>
      </c>
      <c r="AD167" s="209" t="str">
        <f>IFERROR(VLOOKUP(TableHandbook[[#This Row],[UDC]],TableMJRUHSHI1[],7,FALSE),"")</f>
        <v/>
      </c>
      <c r="AE167" s="209" t="str">
        <f>IFERROR(VLOOKUP(TableHandbook[[#This Row],[UDC]],TableMJRUHSPL1[],7,FALSE),"")</f>
        <v/>
      </c>
      <c r="AF167" s="209" t="str">
        <f>IFERROR(VLOOKUP(TableHandbook[[#This Row],[UDC]],TableMJRUMATH1[],7,FALSE),"")</f>
        <v/>
      </c>
      <c r="AG167" s="209" t="str">
        <f>IFERROR(VLOOKUP(TableHandbook[[#This Row],[UDC]],TableMJRUPHYSE[],7,FALSE),"")</f>
        <v/>
      </c>
      <c r="AH167" s="209" t="str">
        <f>IFERROR(VLOOKUP(TableHandbook[[#This Row],[UDC]],TableMJRUSCBI1[],7,FALSE),"")</f>
        <v/>
      </c>
      <c r="AI167" s="209" t="str">
        <f>IFERROR(VLOOKUP(TableHandbook[[#This Row],[UDC]],TableMJRUSCCH1[],7,FALSE),"")</f>
        <v/>
      </c>
      <c r="AJ167" s="209" t="str">
        <f>IFERROR(VLOOKUP(TableHandbook[[#This Row],[UDC]],TableMJRUSCHB1[],7,FALSE),"")</f>
        <v/>
      </c>
      <c r="AK167" s="209" t="str">
        <f>IFERROR(VLOOKUP(TableHandbook[[#This Row],[UDC]],TableMJRUSCPH1[],7,FALSE),"")</f>
        <v/>
      </c>
      <c r="AL167" s="209" t="str">
        <f>IFERROR(VLOOKUP(TableHandbook[[#This Row],[UDC]],TableMJRUSCPS1[],7,FALSE),"")</f>
        <v/>
      </c>
      <c r="AM167" s="211" t="str">
        <f>IFERROR(VLOOKUP(TableHandbook[[#This Row],[UDC]],TableSTRUBIOLB[],7,FALSE),"")</f>
        <v>Option</v>
      </c>
      <c r="AN167" s="209" t="str">
        <f>IFERROR(VLOOKUP(TableHandbook[[#This Row],[UDC]],TableSTRUBSCIM[],7,FALSE),"")</f>
        <v/>
      </c>
      <c r="AO167" s="209" t="str">
        <f>IFERROR(VLOOKUP(TableHandbook[[#This Row],[UDC]],TableSTRUCHEMB[],7,FALSE),"")</f>
        <v>Option</v>
      </c>
      <c r="AP167" s="209" t="str">
        <f>IFERROR(VLOOKUP(TableHandbook[[#This Row],[UDC]],TableSTRUECOB1[],7,FALSE),"")</f>
        <v>Option</v>
      </c>
      <c r="AQ167" s="209" t="str">
        <f>IFERROR(VLOOKUP(TableHandbook[[#This Row],[UDC]],TableSTRUENGLB[],7,FALSE),"")</f>
        <v>Option</v>
      </c>
      <c r="AR167" s="209" t="str">
        <f>IFERROR(VLOOKUP(TableHandbook[[#This Row],[UDC]],TableSTRUENGLM[],7,FALSE),"")</f>
        <v/>
      </c>
      <c r="AS167" s="209" t="str">
        <f>IFERROR(VLOOKUP(TableHandbook[[#This Row],[UDC]],TableSTRUGEOB1[],7,FALSE),"")</f>
        <v>Option</v>
      </c>
      <c r="AT167" s="209" t="str">
        <f>IFERROR(VLOOKUP(TableHandbook[[#This Row],[UDC]],TableSTRUGEOGM[],7,FALSE),"")</f>
        <v/>
      </c>
      <c r="AU167" s="209" t="str">
        <f>IFERROR(VLOOKUP(TableHandbook[[#This Row],[UDC]],TableSTRUHISB1[],7,FALSE),"")</f>
        <v>Option</v>
      </c>
      <c r="AV167" s="209" t="str">
        <f>IFERROR(VLOOKUP(TableHandbook[[#This Row],[UDC]],TableSTRUHISTM[],7,FALSE),"")</f>
        <v/>
      </c>
      <c r="AW167" s="209" t="str">
        <f>IFERROR(VLOOKUP(TableHandbook[[#This Row],[UDC]],TableSTRUHPEB1[],7,FALSE),"")</f>
        <v>Option</v>
      </c>
      <c r="AX167" s="209" t="str">
        <f>IFERROR(VLOOKUP(TableHandbook[[#This Row],[UDC]],TableSTRUHUMBB[],7,FALSE),"")</f>
        <v>Option</v>
      </c>
      <c r="AY167" s="209" t="str">
        <f>IFERROR(VLOOKUP(TableHandbook[[#This Row],[UDC]],TableSTRUMARTM[],7,FALSE),"")</f>
        <v/>
      </c>
      <c r="AZ167" s="209" t="str">
        <f>IFERROR(VLOOKUP(TableHandbook[[#This Row],[UDC]],TableSTRUMATHB[],7,FALSE),"")</f>
        <v>Option</v>
      </c>
      <c r="BA167" s="209" t="str">
        <f>IFERROR(VLOOKUP(TableHandbook[[#This Row],[UDC]],TableSTRUMATHM[],7,FALSE),"")</f>
        <v/>
      </c>
      <c r="BB167" s="209" t="str">
        <f>IFERROR(VLOOKUP(TableHandbook[[#This Row],[UDC]],TableSTRUPARTB[],7,FALSE),"")</f>
        <v>Option</v>
      </c>
      <c r="BC167" s="209" t="str">
        <f>IFERROR(VLOOKUP(TableHandbook[[#This Row],[UDC]],TableSTRUPARTM[],7,FALSE),"")</f>
        <v/>
      </c>
      <c r="BD167" s="209" t="str">
        <f>IFERROR(VLOOKUP(TableHandbook[[#This Row],[UDC]],TableSTRUPOLB1[],7,FALSE),"")</f>
        <v>Option</v>
      </c>
      <c r="BE167" s="209" t="str">
        <f>IFERROR(VLOOKUP(TableHandbook[[#This Row],[UDC]],TableSTRUPSYCB[],7,FALSE),"")</f>
        <v>Option</v>
      </c>
      <c r="BF167" s="209" t="str">
        <f>IFERROR(VLOOKUP(TableHandbook[[#This Row],[UDC]],TableSTRUPSYCM[],7,FALSE),"")</f>
        <v/>
      </c>
      <c r="BG167" s="209" t="str">
        <f>IFERROR(VLOOKUP(TableHandbook[[#This Row],[UDC]],TableSTRUVARTB[],7,FALSE),"")</f>
        <v>Option</v>
      </c>
      <c r="BH167" s="209" t="str">
        <f>IFERROR(VLOOKUP(TableHandbook[[#This Row],[UDC]],TableSTRUVARTM[],7,FALSE),"")</f>
        <v/>
      </c>
    </row>
    <row r="168" spans="1:60" x14ac:dyDescent="0.25">
      <c r="A168" s="6" t="s">
        <v>184</v>
      </c>
      <c r="B168" s="7">
        <v>1</v>
      </c>
      <c r="C168" s="7"/>
      <c r="D168" s="207" t="s">
        <v>977</v>
      </c>
      <c r="E168" s="7">
        <v>25</v>
      </c>
      <c r="F168" s="84" t="s">
        <v>783</v>
      </c>
      <c r="G168" s="75" t="str">
        <f>IFERROR(IF(VLOOKUP(TableHandbook[[#This Row],[UDC]],TableAvailabilities[],2,FALSE)&gt;0,"Y",""),"")</f>
        <v/>
      </c>
      <c r="H168" s="75" t="str">
        <f>IFERROR(IF(VLOOKUP(TableHandbook[[#This Row],[UDC]],TableAvailabilities[],3,FALSE)&gt;0,"Y",""),"")</f>
        <v/>
      </c>
      <c r="I168" s="75" t="str">
        <f>IFERROR(IF(VLOOKUP(TableHandbook[[#This Row],[UDC]],TableAvailabilities[],4,FALSE)&gt;0,"Y",""),"")</f>
        <v/>
      </c>
      <c r="J168" s="75" t="str">
        <f>IFERROR(IF(VLOOKUP(TableHandbook[[#This Row],[UDC]],TableAvailabilities[],5,FALSE)&gt;0,"Y",""),"")</f>
        <v>Y</v>
      </c>
      <c r="K168" s="75" t="str">
        <f>IFERROR(IF(VLOOKUP(TableHandbook[[#This Row],[UDC]],TableAvailabilities[],6,FALSE)&gt;0,"Y",""),"")</f>
        <v>Y</v>
      </c>
      <c r="L168" s="75" t="str">
        <f>IFERROR(IF(VLOOKUP(TableHandbook[[#This Row],[UDC]],TableAvailabilities[],7,FALSE)&gt;0,"Y",""),"")</f>
        <v/>
      </c>
      <c r="M168" s="207"/>
      <c r="N168" s="209" t="str">
        <f>IFERROR(VLOOKUP(TableHandbook[[#This Row],[UDC]],TableBEDUC[],7,FALSE),"")</f>
        <v/>
      </c>
      <c r="O168" s="209" t="str">
        <f>IFERROR(VLOOKUP(TableHandbook[[#This Row],[UDC]],TableBEDEC[],7,FALSE),"")</f>
        <v>Option</v>
      </c>
      <c r="P168" s="211" t="str">
        <f>IFERROR(VLOOKUP(TableHandbook[[#This Row],[UDC]],TableBEDPR[],7,FALSE),"")</f>
        <v/>
      </c>
      <c r="Q168" s="209" t="str">
        <f>IFERROR(VLOOKUP(TableHandbook[[#This Row],[UDC]],TableSTRUCATHL[],7,FALSE),"")</f>
        <v/>
      </c>
      <c r="R168" s="209" t="str">
        <f>IFERROR(VLOOKUP(TableHandbook[[#This Row],[UDC]],TableSTRUENGLL[],7,FALSE),"")</f>
        <v/>
      </c>
      <c r="S168" s="209" t="str">
        <f>IFERROR(VLOOKUP(TableHandbook[[#This Row],[UDC]],TableSTRUHLTPE[],7,FALSE),"")</f>
        <v/>
      </c>
      <c r="T168" s="209" t="str">
        <f>IFERROR(VLOOKUP(TableHandbook[[#This Row],[UDC]],TableSTRUISTEM[],7,FALSE),"")</f>
        <v/>
      </c>
      <c r="U168" s="209" t="str">
        <f>IFERROR(VLOOKUP(TableHandbook[[#This Row],[UDC]],TableSTRULITNU[],7,FALSE),"")</f>
        <v>Core</v>
      </c>
      <c r="V168" s="209" t="str">
        <f>IFERROR(VLOOKUP(TableHandbook[[#This Row],[UDC]],TableSTRUTECHS[],7,FALSE),"")</f>
        <v/>
      </c>
      <c r="W168" s="211" t="str">
        <f>IFERROR(VLOOKUP(TableHandbook[[#This Row],[UDC]],TableBEDSC[],7,FALSE),"")</f>
        <v/>
      </c>
      <c r="X168" s="211" t="str">
        <f>IFERROR(VLOOKUP(TableHandbook[[#This Row],[UDC]],TableMJRUARDR1[],7,FALSE),"")</f>
        <v/>
      </c>
      <c r="Y168" s="209" t="str">
        <f>IFERROR(VLOOKUP(TableHandbook[[#This Row],[UDC]],TableMJRUARME1[],7,FALSE),"")</f>
        <v/>
      </c>
      <c r="Z168" s="209" t="str">
        <f>IFERROR(VLOOKUP(TableHandbook[[#This Row],[UDC]],TableMJRUARVA1[],7,FALSE),"")</f>
        <v/>
      </c>
      <c r="AA168" s="209" t="str">
        <f>IFERROR(VLOOKUP(TableHandbook[[#This Row],[UDC]],TableMJRUENGL1[],7,FALSE),"")</f>
        <v/>
      </c>
      <c r="AB168" s="209" t="str">
        <f>IFERROR(VLOOKUP(TableHandbook[[#This Row],[UDC]],TableMJRUHSEC1[],7,FALSE),"")</f>
        <v/>
      </c>
      <c r="AC168" s="209" t="str">
        <f>IFERROR(VLOOKUP(TableHandbook[[#This Row],[UDC]],TableMJRUHSGE1[],7,FALSE),"")</f>
        <v/>
      </c>
      <c r="AD168" s="209" t="str">
        <f>IFERROR(VLOOKUP(TableHandbook[[#This Row],[UDC]],TableMJRUHSHI1[],7,FALSE),"")</f>
        <v/>
      </c>
      <c r="AE168" s="209" t="str">
        <f>IFERROR(VLOOKUP(TableHandbook[[#This Row],[UDC]],TableMJRUHSPL1[],7,FALSE),"")</f>
        <v/>
      </c>
      <c r="AF168" s="209" t="str">
        <f>IFERROR(VLOOKUP(TableHandbook[[#This Row],[UDC]],TableMJRUMATH1[],7,FALSE),"")</f>
        <v/>
      </c>
      <c r="AG168" s="209" t="str">
        <f>IFERROR(VLOOKUP(TableHandbook[[#This Row],[UDC]],TableMJRUPHYSE[],7,FALSE),"")</f>
        <v/>
      </c>
      <c r="AH168" s="209" t="str">
        <f>IFERROR(VLOOKUP(TableHandbook[[#This Row],[UDC]],TableMJRUSCBI1[],7,FALSE),"")</f>
        <v/>
      </c>
      <c r="AI168" s="209" t="str">
        <f>IFERROR(VLOOKUP(TableHandbook[[#This Row],[UDC]],TableMJRUSCCH1[],7,FALSE),"")</f>
        <v/>
      </c>
      <c r="AJ168" s="209" t="str">
        <f>IFERROR(VLOOKUP(TableHandbook[[#This Row],[UDC]],TableMJRUSCHB1[],7,FALSE),"")</f>
        <v/>
      </c>
      <c r="AK168" s="209" t="str">
        <f>IFERROR(VLOOKUP(TableHandbook[[#This Row],[UDC]],TableMJRUSCPH1[],7,FALSE),"")</f>
        <v/>
      </c>
      <c r="AL168" s="209" t="str">
        <f>IFERROR(VLOOKUP(TableHandbook[[#This Row],[UDC]],TableMJRUSCPS1[],7,FALSE),"")</f>
        <v/>
      </c>
      <c r="AM168" s="211" t="str">
        <f>IFERROR(VLOOKUP(TableHandbook[[#This Row],[UDC]],TableSTRUBIOLB[],7,FALSE),"")</f>
        <v/>
      </c>
      <c r="AN168" s="209" t="str">
        <f>IFERROR(VLOOKUP(TableHandbook[[#This Row],[UDC]],TableSTRUBSCIM[],7,FALSE),"")</f>
        <v/>
      </c>
      <c r="AO168" s="209" t="str">
        <f>IFERROR(VLOOKUP(TableHandbook[[#This Row],[UDC]],TableSTRUCHEMB[],7,FALSE),"")</f>
        <v/>
      </c>
      <c r="AP168" s="209" t="str">
        <f>IFERROR(VLOOKUP(TableHandbook[[#This Row],[UDC]],TableSTRUECOB1[],7,FALSE),"")</f>
        <v>Option</v>
      </c>
      <c r="AQ168" s="209" t="str">
        <f>IFERROR(VLOOKUP(TableHandbook[[#This Row],[UDC]],TableSTRUENGLB[],7,FALSE),"")</f>
        <v>Option</v>
      </c>
      <c r="AR168" s="209" t="str">
        <f>IFERROR(VLOOKUP(TableHandbook[[#This Row],[UDC]],TableSTRUENGLM[],7,FALSE),"")</f>
        <v/>
      </c>
      <c r="AS168" s="209" t="str">
        <f>IFERROR(VLOOKUP(TableHandbook[[#This Row],[UDC]],TableSTRUGEOB1[],7,FALSE),"")</f>
        <v>Option</v>
      </c>
      <c r="AT168" s="209" t="str">
        <f>IFERROR(VLOOKUP(TableHandbook[[#This Row],[UDC]],TableSTRUGEOGM[],7,FALSE),"")</f>
        <v/>
      </c>
      <c r="AU168" s="209" t="str">
        <f>IFERROR(VLOOKUP(TableHandbook[[#This Row],[UDC]],TableSTRUHISB1[],7,FALSE),"")</f>
        <v>Option</v>
      </c>
      <c r="AV168" s="209" t="str">
        <f>IFERROR(VLOOKUP(TableHandbook[[#This Row],[UDC]],TableSTRUHISTM[],7,FALSE),"")</f>
        <v/>
      </c>
      <c r="AW168" s="209" t="str">
        <f>IFERROR(VLOOKUP(TableHandbook[[#This Row],[UDC]],TableSTRUHPEB1[],7,FALSE),"")</f>
        <v>Option</v>
      </c>
      <c r="AX168" s="209" t="str">
        <f>IFERROR(VLOOKUP(TableHandbook[[#This Row],[UDC]],TableSTRUHUMBB[],7,FALSE),"")</f>
        <v/>
      </c>
      <c r="AY168" s="209" t="str">
        <f>IFERROR(VLOOKUP(TableHandbook[[#This Row],[UDC]],TableSTRUMARTM[],7,FALSE),"")</f>
        <v/>
      </c>
      <c r="AZ168" s="209" t="str">
        <f>IFERROR(VLOOKUP(TableHandbook[[#This Row],[UDC]],TableSTRUMATHB[],7,FALSE),"")</f>
        <v>Option</v>
      </c>
      <c r="BA168" s="209" t="str">
        <f>IFERROR(VLOOKUP(TableHandbook[[#This Row],[UDC]],TableSTRUMATHM[],7,FALSE),"")</f>
        <v/>
      </c>
      <c r="BB168" s="209" t="str">
        <f>IFERROR(VLOOKUP(TableHandbook[[#This Row],[UDC]],TableSTRUPARTB[],7,FALSE),"")</f>
        <v>Option</v>
      </c>
      <c r="BC168" s="209" t="str">
        <f>IFERROR(VLOOKUP(TableHandbook[[#This Row],[UDC]],TableSTRUPARTM[],7,FALSE),"")</f>
        <v/>
      </c>
      <c r="BD168" s="209" t="str">
        <f>IFERROR(VLOOKUP(TableHandbook[[#This Row],[UDC]],TableSTRUPOLB1[],7,FALSE),"")</f>
        <v>Option</v>
      </c>
      <c r="BE168" s="209" t="str">
        <f>IFERROR(VLOOKUP(TableHandbook[[#This Row],[UDC]],TableSTRUPSYCB[],7,FALSE),"")</f>
        <v/>
      </c>
      <c r="BF168" s="209" t="str">
        <f>IFERROR(VLOOKUP(TableHandbook[[#This Row],[UDC]],TableSTRUPSYCM[],7,FALSE),"")</f>
        <v/>
      </c>
      <c r="BG168" s="209" t="str">
        <f>IFERROR(VLOOKUP(TableHandbook[[#This Row],[UDC]],TableSTRUVARTB[],7,FALSE),"")</f>
        <v/>
      </c>
      <c r="BH168" s="209" t="str">
        <f>IFERROR(VLOOKUP(TableHandbook[[#This Row],[UDC]],TableSTRUVARTM[],7,FALSE),"")</f>
        <v/>
      </c>
    </row>
    <row r="169" spans="1:60" x14ac:dyDescent="0.25">
      <c r="A169" s="6" t="s">
        <v>170</v>
      </c>
      <c r="B169" s="7">
        <v>1</v>
      </c>
      <c r="C169" s="7"/>
      <c r="D169" s="207" t="s">
        <v>978</v>
      </c>
      <c r="E169" s="7">
        <v>25</v>
      </c>
      <c r="F169" s="84" t="s">
        <v>783</v>
      </c>
      <c r="G169" s="75" t="str">
        <f>IFERROR(IF(VLOOKUP(TableHandbook[[#This Row],[UDC]],TableAvailabilities[],2,FALSE)&gt;0,"Y",""),"")</f>
        <v/>
      </c>
      <c r="H169" s="75" t="str">
        <f>IFERROR(IF(VLOOKUP(TableHandbook[[#This Row],[UDC]],TableAvailabilities[],3,FALSE)&gt;0,"Y",""),"")</f>
        <v/>
      </c>
      <c r="I169" s="75" t="str">
        <f>IFERROR(IF(VLOOKUP(TableHandbook[[#This Row],[UDC]],TableAvailabilities[],4,FALSE)&gt;0,"Y",""),"")</f>
        <v/>
      </c>
      <c r="J169" s="75" t="str">
        <f>IFERROR(IF(VLOOKUP(TableHandbook[[#This Row],[UDC]],TableAvailabilities[],5,FALSE)&gt;0,"Y",""),"")</f>
        <v>Y</v>
      </c>
      <c r="K169" s="75" t="str">
        <f>IFERROR(IF(VLOOKUP(TableHandbook[[#This Row],[UDC]],TableAvailabilities[],6,FALSE)&gt;0,"Y",""),"")</f>
        <v>Y</v>
      </c>
      <c r="L169" s="75" t="str">
        <f>IFERROR(IF(VLOOKUP(TableHandbook[[#This Row],[UDC]],TableAvailabilities[],7,FALSE)&gt;0,"Y",""),"")</f>
        <v/>
      </c>
      <c r="M169" s="207"/>
      <c r="N169" s="209" t="str">
        <f>IFERROR(VLOOKUP(TableHandbook[[#This Row],[UDC]],TableBEDUC[],7,FALSE),"")</f>
        <v/>
      </c>
      <c r="O169" s="209" t="str">
        <f>IFERROR(VLOOKUP(TableHandbook[[#This Row],[UDC]],TableBEDEC[],7,FALSE),"")</f>
        <v>Option</v>
      </c>
      <c r="P169" s="211" t="str">
        <f>IFERROR(VLOOKUP(TableHandbook[[#This Row],[UDC]],TableBEDPR[],7,FALSE),"")</f>
        <v/>
      </c>
      <c r="Q169" s="209" t="str">
        <f>IFERROR(VLOOKUP(TableHandbook[[#This Row],[UDC]],TableSTRUCATHL[],7,FALSE),"")</f>
        <v/>
      </c>
      <c r="R169" s="209" t="str">
        <f>IFERROR(VLOOKUP(TableHandbook[[#This Row],[UDC]],TableSTRUENGLL[],7,FALSE),"")</f>
        <v/>
      </c>
      <c r="S169" s="209" t="str">
        <f>IFERROR(VLOOKUP(TableHandbook[[#This Row],[UDC]],TableSTRUHLTPE[],7,FALSE),"")</f>
        <v/>
      </c>
      <c r="T169" s="209" t="str">
        <f>IFERROR(VLOOKUP(TableHandbook[[#This Row],[UDC]],TableSTRUISTEM[],7,FALSE),"")</f>
        <v>Core</v>
      </c>
      <c r="U169" s="209" t="str">
        <f>IFERROR(VLOOKUP(TableHandbook[[#This Row],[UDC]],TableSTRULITNU[],7,FALSE),"")</f>
        <v/>
      </c>
      <c r="V169" s="209" t="str">
        <f>IFERROR(VLOOKUP(TableHandbook[[#This Row],[UDC]],TableSTRUTECHS[],7,FALSE),"")</f>
        <v/>
      </c>
      <c r="W169" s="211" t="str">
        <f>IFERROR(VLOOKUP(TableHandbook[[#This Row],[UDC]],TableBEDSC[],7,FALSE),"")</f>
        <v/>
      </c>
      <c r="X169" s="211" t="str">
        <f>IFERROR(VLOOKUP(TableHandbook[[#This Row],[UDC]],TableMJRUARDR1[],7,FALSE),"")</f>
        <v/>
      </c>
      <c r="Y169" s="209" t="str">
        <f>IFERROR(VLOOKUP(TableHandbook[[#This Row],[UDC]],TableMJRUARME1[],7,FALSE),"")</f>
        <v/>
      </c>
      <c r="Z169" s="209" t="str">
        <f>IFERROR(VLOOKUP(TableHandbook[[#This Row],[UDC]],TableMJRUARVA1[],7,FALSE),"")</f>
        <v/>
      </c>
      <c r="AA169" s="209" t="str">
        <f>IFERROR(VLOOKUP(TableHandbook[[#This Row],[UDC]],TableMJRUENGL1[],7,FALSE),"")</f>
        <v/>
      </c>
      <c r="AB169" s="209" t="str">
        <f>IFERROR(VLOOKUP(TableHandbook[[#This Row],[UDC]],TableMJRUHSEC1[],7,FALSE),"")</f>
        <v/>
      </c>
      <c r="AC169" s="209" t="str">
        <f>IFERROR(VLOOKUP(TableHandbook[[#This Row],[UDC]],TableMJRUHSGE1[],7,FALSE),"")</f>
        <v/>
      </c>
      <c r="AD169" s="209" t="str">
        <f>IFERROR(VLOOKUP(TableHandbook[[#This Row],[UDC]],TableMJRUHSHI1[],7,FALSE),"")</f>
        <v/>
      </c>
      <c r="AE169" s="209" t="str">
        <f>IFERROR(VLOOKUP(TableHandbook[[#This Row],[UDC]],TableMJRUHSPL1[],7,FALSE),"")</f>
        <v/>
      </c>
      <c r="AF169" s="209" t="str">
        <f>IFERROR(VLOOKUP(TableHandbook[[#This Row],[UDC]],TableMJRUMATH1[],7,FALSE),"")</f>
        <v/>
      </c>
      <c r="AG169" s="209" t="str">
        <f>IFERROR(VLOOKUP(TableHandbook[[#This Row],[UDC]],TableMJRUPHYSE[],7,FALSE),"")</f>
        <v/>
      </c>
      <c r="AH169" s="209" t="str">
        <f>IFERROR(VLOOKUP(TableHandbook[[#This Row],[UDC]],TableMJRUSCBI1[],7,FALSE),"")</f>
        <v/>
      </c>
      <c r="AI169" s="209" t="str">
        <f>IFERROR(VLOOKUP(TableHandbook[[#This Row],[UDC]],TableMJRUSCCH1[],7,FALSE),"")</f>
        <v/>
      </c>
      <c r="AJ169" s="209" t="str">
        <f>IFERROR(VLOOKUP(TableHandbook[[#This Row],[UDC]],TableMJRUSCHB1[],7,FALSE),"")</f>
        <v/>
      </c>
      <c r="AK169" s="209" t="str">
        <f>IFERROR(VLOOKUP(TableHandbook[[#This Row],[UDC]],TableMJRUSCPH1[],7,FALSE),"")</f>
        <v/>
      </c>
      <c r="AL169" s="209" t="str">
        <f>IFERROR(VLOOKUP(TableHandbook[[#This Row],[UDC]],TableMJRUSCPS1[],7,FALSE),"")</f>
        <v/>
      </c>
      <c r="AM169" s="211" t="str">
        <f>IFERROR(VLOOKUP(TableHandbook[[#This Row],[UDC]],TableSTRUBIOLB[],7,FALSE),"")</f>
        <v>Option</v>
      </c>
      <c r="AN169" s="209" t="str">
        <f>IFERROR(VLOOKUP(TableHandbook[[#This Row],[UDC]],TableSTRUBSCIM[],7,FALSE),"")</f>
        <v/>
      </c>
      <c r="AO169" s="209" t="str">
        <f>IFERROR(VLOOKUP(TableHandbook[[#This Row],[UDC]],TableSTRUCHEMB[],7,FALSE),"")</f>
        <v>Option</v>
      </c>
      <c r="AP169" s="209" t="str">
        <f>IFERROR(VLOOKUP(TableHandbook[[#This Row],[UDC]],TableSTRUECOB1[],7,FALSE),"")</f>
        <v/>
      </c>
      <c r="AQ169" s="209" t="str">
        <f>IFERROR(VLOOKUP(TableHandbook[[#This Row],[UDC]],TableSTRUENGLB[],7,FALSE),"")</f>
        <v/>
      </c>
      <c r="AR169" s="209" t="str">
        <f>IFERROR(VLOOKUP(TableHandbook[[#This Row],[UDC]],TableSTRUENGLM[],7,FALSE),"")</f>
        <v/>
      </c>
      <c r="AS169" s="209" t="str">
        <f>IFERROR(VLOOKUP(TableHandbook[[#This Row],[UDC]],TableSTRUGEOB1[],7,FALSE),"")</f>
        <v/>
      </c>
      <c r="AT169" s="209" t="str">
        <f>IFERROR(VLOOKUP(TableHandbook[[#This Row],[UDC]],TableSTRUGEOGM[],7,FALSE),"")</f>
        <v/>
      </c>
      <c r="AU169" s="209" t="str">
        <f>IFERROR(VLOOKUP(TableHandbook[[#This Row],[UDC]],TableSTRUHISB1[],7,FALSE),"")</f>
        <v/>
      </c>
      <c r="AV169" s="209" t="str">
        <f>IFERROR(VLOOKUP(TableHandbook[[#This Row],[UDC]],TableSTRUHISTM[],7,FALSE),"")</f>
        <v/>
      </c>
      <c r="AW169" s="209" t="str">
        <f>IFERROR(VLOOKUP(TableHandbook[[#This Row],[UDC]],TableSTRUHPEB1[],7,FALSE),"")</f>
        <v>Option</v>
      </c>
      <c r="AX169" s="209" t="str">
        <f>IFERROR(VLOOKUP(TableHandbook[[#This Row],[UDC]],TableSTRUHUMBB[],7,FALSE),"")</f>
        <v>Option</v>
      </c>
      <c r="AY169" s="209" t="str">
        <f>IFERROR(VLOOKUP(TableHandbook[[#This Row],[UDC]],TableSTRUMARTM[],7,FALSE),"")</f>
        <v/>
      </c>
      <c r="AZ169" s="209" t="str">
        <f>IFERROR(VLOOKUP(TableHandbook[[#This Row],[UDC]],TableSTRUMATHB[],7,FALSE),"")</f>
        <v>Option</v>
      </c>
      <c r="BA169" s="209" t="str">
        <f>IFERROR(VLOOKUP(TableHandbook[[#This Row],[UDC]],TableSTRUMATHM[],7,FALSE),"")</f>
        <v/>
      </c>
      <c r="BB169" s="209" t="str">
        <f>IFERROR(VLOOKUP(TableHandbook[[#This Row],[UDC]],TableSTRUPARTB[],7,FALSE),"")</f>
        <v/>
      </c>
      <c r="BC169" s="209" t="str">
        <f>IFERROR(VLOOKUP(TableHandbook[[#This Row],[UDC]],TableSTRUPARTM[],7,FALSE),"")</f>
        <v/>
      </c>
      <c r="BD169" s="209" t="str">
        <f>IFERROR(VLOOKUP(TableHandbook[[#This Row],[UDC]],TableSTRUPOLB1[],7,FALSE),"")</f>
        <v/>
      </c>
      <c r="BE169" s="209" t="str">
        <f>IFERROR(VLOOKUP(TableHandbook[[#This Row],[UDC]],TableSTRUPSYCB[],7,FALSE),"")</f>
        <v>Option</v>
      </c>
      <c r="BF169" s="209" t="str">
        <f>IFERROR(VLOOKUP(TableHandbook[[#This Row],[UDC]],TableSTRUPSYCM[],7,FALSE),"")</f>
        <v/>
      </c>
      <c r="BG169" s="209" t="str">
        <f>IFERROR(VLOOKUP(TableHandbook[[#This Row],[UDC]],TableSTRUVARTB[],7,FALSE),"")</f>
        <v/>
      </c>
      <c r="BH169" s="209" t="str">
        <f>IFERROR(VLOOKUP(TableHandbook[[#This Row],[UDC]],TableSTRUVARTM[],7,FALSE),"")</f>
        <v/>
      </c>
    </row>
    <row r="170" spans="1:60" x14ac:dyDescent="0.25">
      <c r="A170" s="6" t="s">
        <v>175</v>
      </c>
      <c r="B170" s="7">
        <v>1</v>
      </c>
      <c r="C170" s="7"/>
      <c r="D170" s="207" t="s">
        <v>979</v>
      </c>
      <c r="E170" s="7">
        <v>25</v>
      </c>
      <c r="F170" s="84" t="s">
        <v>783</v>
      </c>
      <c r="G170" s="75" t="str">
        <f>IFERROR(IF(VLOOKUP(TableHandbook[[#This Row],[UDC]],TableAvailabilities[],2,FALSE)&gt;0,"Y",""),"")</f>
        <v>Y</v>
      </c>
      <c r="H170" s="75" t="str">
        <f>IFERROR(IF(VLOOKUP(TableHandbook[[#This Row],[UDC]],TableAvailabilities[],3,FALSE)&gt;0,"Y",""),"")</f>
        <v>Y</v>
      </c>
      <c r="I170" s="75" t="str">
        <f>IFERROR(IF(VLOOKUP(TableHandbook[[#This Row],[UDC]],TableAvailabilities[],4,FALSE)&gt;0,"Y",""),"")</f>
        <v/>
      </c>
      <c r="J170" s="75" t="str">
        <f>IFERROR(IF(VLOOKUP(TableHandbook[[#This Row],[UDC]],TableAvailabilities[],5,FALSE)&gt;0,"Y",""),"")</f>
        <v/>
      </c>
      <c r="K170" s="75" t="str">
        <f>IFERROR(IF(VLOOKUP(TableHandbook[[#This Row],[UDC]],TableAvailabilities[],6,FALSE)&gt;0,"Y",""),"")</f>
        <v/>
      </c>
      <c r="L170" s="75" t="str">
        <f>IFERROR(IF(VLOOKUP(TableHandbook[[#This Row],[UDC]],TableAvailabilities[],7,FALSE)&gt;0,"Y",""),"")</f>
        <v/>
      </c>
      <c r="M170" s="207"/>
      <c r="N170" s="209" t="str">
        <f>IFERROR(VLOOKUP(TableHandbook[[#This Row],[UDC]],TableBEDUC[],7,FALSE),"")</f>
        <v/>
      </c>
      <c r="O170" s="209" t="str">
        <f>IFERROR(VLOOKUP(TableHandbook[[#This Row],[UDC]],TableBEDEC[],7,FALSE),"")</f>
        <v>Option</v>
      </c>
      <c r="P170" s="211" t="str">
        <f>IFERROR(VLOOKUP(TableHandbook[[#This Row],[UDC]],TableBEDPR[],7,FALSE),"")</f>
        <v/>
      </c>
      <c r="Q170" s="209" t="str">
        <f>IFERROR(VLOOKUP(TableHandbook[[#This Row],[UDC]],TableSTRUCATHL[],7,FALSE),"")</f>
        <v/>
      </c>
      <c r="R170" s="209" t="str">
        <f>IFERROR(VLOOKUP(TableHandbook[[#This Row],[UDC]],TableSTRUENGLL[],7,FALSE),"")</f>
        <v>Core</v>
      </c>
      <c r="S170" s="209" t="str">
        <f>IFERROR(VLOOKUP(TableHandbook[[#This Row],[UDC]],TableSTRUHLTPE[],7,FALSE),"")</f>
        <v/>
      </c>
      <c r="T170" s="209" t="str">
        <f>IFERROR(VLOOKUP(TableHandbook[[#This Row],[UDC]],TableSTRUISTEM[],7,FALSE),"")</f>
        <v/>
      </c>
      <c r="U170" s="209" t="str">
        <f>IFERROR(VLOOKUP(TableHandbook[[#This Row],[UDC]],TableSTRULITNU[],7,FALSE),"")</f>
        <v/>
      </c>
      <c r="V170" s="209" t="str">
        <f>IFERROR(VLOOKUP(TableHandbook[[#This Row],[UDC]],TableSTRUTECHS[],7,FALSE),"")</f>
        <v/>
      </c>
      <c r="W170" s="211" t="str">
        <f>IFERROR(VLOOKUP(TableHandbook[[#This Row],[UDC]],TableBEDSC[],7,FALSE),"")</f>
        <v/>
      </c>
      <c r="X170" s="211" t="str">
        <f>IFERROR(VLOOKUP(TableHandbook[[#This Row],[UDC]],TableMJRUARDR1[],7,FALSE),"")</f>
        <v/>
      </c>
      <c r="Y170" s="209" t="str">
        <f>IFERROR(VLOOKUP(TableHandbook[[#This Row],[UDC]],TableMJRUARME1[],7,FALSE),"")</f>
        <v/>
      </c>
      <c r="Z170" s="209" t="str">
        <f>IFERROR(VLOOKUP(TableHandbook[[#This Row],[UDC]],TableMJRUARVA1[],7,FALSE),"")</f>
        <v/>
      </c>
      <c r="AA170" s="209" t="str">
        <f>IFERROR(VLOOKUP(TableHandbook[[#This Row],[UDC]],TableMJRUENGL1[],7,FALSE),"")</f>
        <v/>
      </c>
      <c r="AB170" s="209" t="str">
        <f>IFERROR(VLOOKUP(TableHandbook[[#This Row],[UDC]],TableMJRUHSEC1[],7,FALSE),"")</f>
        <v/>
      </c>
      <c r="AC170" s="209" t="str">
        <f>IFERROR(VLOOKUP(TableHandbook[[#This Row],[UDC]],TableMJRUHSGE1[],7,FALSE),"")</f>
        <v/>
      </c>
      <c r="AD170" s="209" t="str">
        <f>IFERROR(VLOOKUP(TableHandbook[[#This Row],[UDC]],TableMJRUHSHI1[],7,FALSE),"")</f>
        <v/>
      </c>
      <c r="AE170" s="209" t="str">
        <f>IFERROR(VLOOKUP(TableHandbook[[#This Row],[UDC]],TableMJRUHSPL1[],7,FALSE),"")</f>
        <v/>
      </c>
      <c r="AF170" s="209" t="str">
        <f>IFERROR(VLOOKUP(TableHandbook[[#This Row],[UDC]],TableMJRUMATH1[],7,FALSE),"")</f>
        <v/>
      </c>
      <c r="AG170" s="209" t="str">
        <f>IFERROR(VLOOKUP(TableHandbook[[#This Row],[UDC]],TableMJRUPHYSE[],7,FALSE),"")</f>
        <v/>
      </c>
      <c r="AH170" s="209" t="str">
        <f>IFERROR(VLOOKUP(TableHandbook[[#This Row],[UDC]],TableMJRUSCBI1[],7,FALSE),"")</f>
        <v/>
      </c>
      <c r="AI170" s="209" t="str">
        <f>IFERROR(VLOOKUP(TableHandbook[[#This Row],[UDC]],TableMJRUSCCH1[],7,FALSE),"")</f>
        <v/>
      </c>
      <c r="AJ170" s="209" t="str">
        <f>IFERROR(VLOOKUP(TableHandbook[[#This Row],[UDC]],TableMJRUSCHB1[],7,FALSE),"")</f>
        <v/>
      </c>
      <c r="AK170" s="209" t="str">
        <f>IFERROR(VLOOKUP(TableHandbook[[#This Row],[UDC]],TableMJRUSCPH1[],7,FALSE),"")</f>
        <v/>
      </c>
      <c r="AL170" s="209" t="str">
        <f>IFERROR(VLOOKUP(TableHandbook[[#This Row],[UDC]],TableMJRUSCPS1[],7,FALSE),"")</f>
        <v/>
      </c>
      <c r="AM170" s="211" t="str">
        <f>IFERROR(VLOOKUP(TableHandbook[[#This Row],[UDC]],TableSTRUBIOLB[],7,FALSE),"")</f>
        <v/>
      </c>
      <c r="AN170" s="209" t="str">
        <f>IFERROR(VLOOKUP(TableHandbook[[#This Row],[UDC]],TableSTRUBSCIM[],7,FALSE),"")</f>
        <v/>
      </c>
      <c r="AO170" s="209" t="str">
        <f>IFERROR(VLOOKUP(TableHandbook[[#This Row],[UDC]],TableSTRUCHEMB[],7,FALSE),"")</f>
        <v/>
      </c>
      <c r="AP170" s="209" t="str">
        <f>IFERROR(VLOOKUP(TableHandbook[[#This Row],[UDC]],TableSTRUECOB1[],7,FALSE),"")</f>
        <v/>
      </c>
      <c r="AQ170" s="209" t="str">
        <f>IFERROR(VLOOKUP(TableHandbook[[#This Row],[UDC]],TableSTRUENGLB[],7,FALSE),"")</f>
        <v>Option</v>
      </c>
      <c r="AR170" s="209" t="str">
        <f>IFERROR(VLOOKUP(TableHandbook[[#This Row],[UDC]],TableSTRUENGLM[],7,FALSE),"")</f>
        <v/>
      </c>
      <c r="AS170" s="209" t="str">
        <f>IFERROR(VLOOKUP(TableHandbook[[#This Row],[UDC]],TableSTRUGEOB1[],7,FALSE),"")</f>
        <v/>
      </c>
      <c r="AT170" s="209" t="str">
        <f>IFERROR(VLOOKUP(TableHandbook[[#This Row],[UDC]],TableSTRUGEOGM[],7,FALSE),"")</f>
        <v/>
      </c>
      <c r="AU170" s="209" t="str">
        <f>IFERROR(VLOOKUP(TableHandbook[[#This Row],[UDC]],TableSTRUHISB1[],7,FALSE),"")</f>
        <v/>
      </c>
      <c r="AV170" s="209" t="str">
        <f>IFERROR(VLOOKUP(TableHandbook[[#This Row],[UDC]],TableSTRUHISTM[],7,FALSE),"")</f>
        <v/>
      </c>
      <c r="AW170" s="209" t="str">
        <f>IFERROR(VLOOKUP(TableHandbook[[#This Row],[UDC]],TableSTRUHPEB1[],7,FALSE),"")</f>
        <v>Option</v>
      </c>
      <c r="AX170" s="209" t="str">
        <f>IFERROR(VLOOKUP(TableHandbook[[#This Row],[UDC]],TableSTRUHUMBB[],7,FALSE),"")</f>
        <v/>
      </c>
      <c r="AY170" s="209" t="str">
        <f>IFERROR(VLOOKUP(TableHandbook[[#This Row],[UDC]],TableSTRUMARTM[],7,FALSE),"")</f>
        <v/>
      </c>
      <c r="AZ170" s="209" t="str">
        <f>IFERROR(VLOOKUP(TableHandbook[[#This Row],[UDC]],TableSTRUMATHB[],7,FALSE),"")</f>
        <v/>
      </c>
      <c r="BA170" s="209" t="str">
        <f>IFERROR(VLOOKUP(TableHandbook[[#This Row],[UDC]],TableSTRUMATHM[],7,FALSE),"")</f>
        <v/>
      </c>
      <c r="BB170" s="209" t="str">
        <f>IFERROR(VLOOKUP(TableHandbook[[#This Row],[UDC]],TableSTRUPARTB[],7,FALSE),"")</f>
        <v>Option</v>
      </c>
      <c r="BC170" s="209" t="str">
        <f>IFERROR(VLOOKUP(TableHandbook[[#This Row],[UDC]],TableSTRUPARTM[],7,FALSE),"")</f>
        <v/>
      </c>
      <c r="BD170" s="209" t="str">
        <f>IFERROR(VLOOKUP(TableHandbook[[#This Row],[UDC]],TableSTRUPOLB1[],7,FALSE),"")</f>
        <v/>
      </c>
      <c r="BE170" s="209" t="str">
        <f>IFERROR(VLOOKUP(TableHandbook[[#This Row],[UDC]],TableSTRUPSYCB[],7,FALSE),"")</f>
        <v/>
      </c>
      <c r="BF170" s="209" t="str">
        <f>IFERROR(VLOOKUP(TableHandbook[[#This Row],[UDC]],TableSTRUPSYCM[],7,FALSE),"")</f>
        <v/>
      </c>
      <c r="BG170" s="209" t="str">
        <f>IFERROR(VLOOKUP(TableHandbook[[#This Row],[UDC]],TableSTRUVARTB[],7,FALSE),"")</f>
        <v>Option</v>
      </c>
      <c r="BH170" s="209" t="str">
        <f>IFERROR(VLOOKUP(TableHandbook[[#This Row],[UDC]],TableSTRUVARTM[],7,FALSE),"")</f>
        <v/>
      </c>
    </row>
    <row r="171" spans="1:60" x14ac:dyDescent="0.25">
      <c r="A171" s="6" t="s">
        <v>168</v>
      </c>
      <c r="B171" s="7">
        <v>1</v>
      </c>
      <c r="C171" s="7"/>
      <c r="D171" s="207" t="s">
        <v>980</v>
      </c>
      <c r="E171" s="7">
        <v>25</v>
      </c>
      <c r="F171" s="84" t="s">
        <v>783</v>
      </c>
      <c r="G171" s="75" t="str">
        <f>IFERROR(IF(VLOOKUP(TableHandbook[[#This Row],[UDC]],TableAvailabilities[],2,FALSE)&gt;0,"Y",""),"")</f>
        <v/>
      </c>
      <c r="H171" s="75" t="str">
        <f>IFERROR(IF(VLOOKUP(TableHandbook[[#This Row],[UDC]],TableAvailabilities[],3,FALSE)&gt;0,"Y",""),"")</f>
        <v/>
      </c>
      <c r="I171" s="75" t="str">
        <f>IFERROR(IF(VLOOKUP(TableHandbook[[#This Row],[UDC]],TableAvailabilities[],4,FALSE)&gt;0,"Y",""),"")</f>
        <v/>
      </c>
      <c r="J171" s="75" t="str">
        <f>IFERROR(IF(VLOOKUP(TableHandbook[[#This Row],[UDC]],TableAvailabilities[],5,FALSE)&gt;0,"Y",""),"")</f>
        <v>Y</v>
      </c>
      <c r="K171" s="75" t="str">
        <f>IFERROR(IF(VLOOKUP(TableHandbook[[#This Row],[UDC]],TableAvailabilities[],6,FALSE)&gt;0,"Y",""),"")</f>
        <v>Y</v>
      </c>
      <c r="L171" s="75" t="str">
        <f>IFERROR(IF(VLOOKUP(TableHandbook[[#This Row],[UDC]],TableAvailabilities[],7,FALSE)&gt;0,"Y",""),"")</f>
        <v/>
      </c>
      <c r="M171" s="207"/>
      <c r="N171" s="209" t="str">
        <f>IFERROR(VLOOKUP(TableHandbook[[#This Row],[UDC]],TableBEDUC[],7,FALSE),"")</f>
        <v/>
      </c>
      <c r="O171" s="209" t="str">
        <f>IFERROR(VLOOKUP(TableHandbook[[#This Row],[UDC]],TableBEDEC[],7,FALSE),"")</f>
        <v>Option</v>
      </c>
      <c r="P171" s="211" t="str">
        <f>IFERROR(VLOOKUP(TableHandbook[[#This Row],[UDC]],TableBEDPR[],7,FALSE),"")</f>
        <v/>
      </c>
      <c r="Q171" s="209" t="str">
        <f>IFERROR(VLOOKUP(TableHandbook[[#This Row],[UDC]],TableSTRUCATHL[],7,FALSE),"")</f>
        <v/>
      </c>
      <c r="R171" s="209" t="str">
        <f>IFERROR(VLOOKUP(TableHandbook[[#This Row],[UDC]],TableSTRUENGLL[],7,FALSE),"")</f>
        <v>Core</v>
      </c>
      <c r="S171" s="209" t="str">
        <f>IFERROR(VLOOKUP(TableHandbook[[#This Row],[UDC]],TableSTRUHLTPE[],7,FALSE),"")</f>
        <v/>
      </c>
      <c r="T171" s="209" t="str">
        <f>IFERROR(VLOOKUP(TableHandbook[[#This Row],[UDC]],TableSTRUISTEM[],7,FALSE),"")</f>
        <v/>
      </c>
      <c r="U171" s="209" t="str">
        <f>IFERROR(VLOOKUP(TableHandbook[[#This Row],[UDC]],TableSTRULITNU[],7,FALSE),"")</f>
        <v/>
      </c>
      <c r="V171" s="209" t="str">
        <f>IFERROR(VLOOKUP(TableHandbook[[#This Row],[UDC]],TableSTRUTECHS[],7,FALSE),"")</f>
        <v/>
      </c>
      <c r="W171" s="211" t="str">
        <f>IFERROR(VLOOKUP(TableHandbook[[#This Row],[UDC]],TableBEDSC[],7,FALSE),"")</f>
        <v/>
      </c>
      <c r="X171" s="211" t="str">
        <f>IFERROR(VLOOKUP(TableHandbook[[#This Row],[UDC]],TableMJRUARDR1[],7,FALSE),"")</f>
        <v/>
      </c>
      <c r="Y171" s="209" t="str">
        <f>IFERROR(VLOOKUP(TableHandbook[[#This Row],[UDC]],TableMJRUARME1[],7,FALSE),"")</f>
        <v/>
      </c>
      <c r="Z171" s="209" t="str">
        <f>IFERROR(VLOOKUP(TableHandbook[[#This Row],[UDC]],TableMJRUARVA1[],7,FALSE),"")</f>
        <v/>
      </c>
      <c r="AA171" s="209" t="str">
        <f>IFERROR(VLOOKUP(TableHandbook[[#This Row],[UDC]],TableMJRUENGL1[],7,FALSE),"")</f>
        <v/>
      </c>
      <c r="AB171" s="209" t="str">
        <f>IFERROR(VLOOKUP(TableHandbook[[#This Row],[UDC]],TableMJRUHSEC1[],7,FALSE),"")</f>
        <v/>
      </c>
      <c r="AC171" s="209" t="str">
        <f>IFERROR(VLOOKUP(TableHandbook[[#This Row],[UDC]],TableMJRUHSGE1[],7,FALSE),"")</f>
        <v/>
      </c>
      <c r="AD171" s="209" t="str">
        <f>IFERROR(VLOOKUP(TableHandbook[[#This Row],[UDC]],TableMJRUHSHI1[],7,FALSE),"")</f>
        <v/>
      </c>
      <c r="AE171" s="209" t="str">
        <f>IFERROR(VLOOKUP(TableHandbook[[#This Row],[UDC]],TableMJRUHSPL1[],7,FALSE),"")</f>
        <v/>
      </c>
      <c r="AF171" s="209" t="str">
        <f>IFERROR(VLOOKUP(TableHandbook[[#This Row],[UDC]],TableMJRUMATH1[],7,FALSE),"")</f>
        <v/>
      </c>
      <c r="AG171" s="209" t="str">
        <f>IFERROR(VLOOKUP(TableHandbook[[#This Row],[UDC]],TableMJRUPHYSE[],7,FALSE),"")</f>
        <v/>
      </c>
      <c r="AH171" s="209" t="str">
        <f>IFERROR(VLOOKUP(TableHandbook[[#This Row],[UDC]],TableMJRUSCBI1[],7,FALSE),"")</f>
        <v/>
      </c>
      <c r="AI171" s="209" t="str">
        <f>IFERROR(VLOOKUP(TableHandbook[[#This Row],[UDC]],TableMJRUSCCH1[],7,FALSE),"")</f>
        <v/>
      </c>
      <c r="AJ171" s="209" t="str">
        <f>IFERROR(VLOOKUP(TableHandbook[[#This Row],[UDC]],TableMJRUSCHB1[],7,FALSE),"")</f>
        <v/>
      </c>
      <c r="AK171" s="209" t="str">
        <f>IFERROR(VLOOKUP(TableHandbook[[#This Row],[UDC]],TableMJRUSCPH1[],7,FALSE),"")</f>
        <v/>
      </c>
      <c r="AL171" s="209" t="str">
        <f>IFERROR(VLOOKUP(TableHandbook[[#This Row],[UDC]],TableMJRUSCPS1[],7,FALSE),"")</f>
        <v/>
      </c>
      <c r="AM171" s="211" t="str">
        <f>IFERROR(VLOOKUP(TableHandbook[[#This Row],[UDC]],TableSTRUBIOLB[],7,FALSE),"")</f>
        <v/>
      </c>
      <c r="AN171" s="209" t="str">
        <f>IFERROR(VLOOKUP(TableHandbook[[#This Row],[UDC]],TableSTRUBSCIM[],7,FALSE),"")</f>
        <v/>
      </c>
      <c r="AO171" s="209" t="str">
        <f>IFERROR(VLOOKUP(TableHandbook[[#This Row],[UDC]],TableSTRUCHEMB[],7,FALSE),"")</f>
        <v/>
      </c>
      <c r="AP171" s="209" t="str">
        <f>IFERROR(VLOOKUP(TableHandbook[[#This Row],[UDC]],TableSTRUECOB1[],7,FALSE),"")</f>
        <v/>
      </c>
      <c r="AQ171" s="209" t="str">
        <f>IFERROR(VLOOKUP(TableHandbook[[#This Row],[UDC]],TableSTRUENGLB[],7,FALSE),"")</f>
        <v>Option</v>
      </c>
      <c r="AR171" s="209" t="str">
        <f>IFERROR(VLOOKUP(TableHandbook[[#This Row],[UDC]],TableSTRUENGLM[],7,FALSE),"")</f>
        <v/>
      </c>
      <c r="AS171" s="209" t="str">
        <f>IFERROR(VLOOKUP(TableHandbook[[#This Row],[UDC]],TableSTRUGEOB1[],7,FALSE),"")</f>
        <v/>
      </c>
      <c r="AT171" s="209" t="str">
        <f>IFERROR(VLOOKUP(TableHandbook[[#This Row],[UDC]],TableSTRUGEOGM[],7,FALSE),"")</f>
        <v/>
      </c>
      <c r="AU171" s="209" t="str">
        <f>IFERROR(VLOOKUP(TableHandbook[[#This Row],[UDC]],TableSTRUHISB1[],7,FALSE),"")</f>
        <v/>
      </c>
      <c r="AV171" s="209" t="str">
        <f>IFERROR(VLOOKUP(TableHandbook[[#This Row],[UDC]],TableSTRUHISTM[],7,FALSE),"")</f>
        <v/>
      </c>
      <c r="AW171" s="209" t="str">
        <f>IFERROR(VLOOKUP(TableHandbook[[#This Row],[UDC]],TableSTRUHPEB1[],7,FALSE),"")</f>
        <v>Option</v>
      </c>
      <c r="AX171" s="209" t="str">
        <f>IFERROR(VLOOKUP(TableHandbook[[#This Row],[UDC]],TableSTRUHUMBB[],7,FALSE),"")</f>
        <v/>
      </c>
      <c r="AY171" s="209" t="str">
        <f>IFERROR(VLOOKUP(TableHandbook[[#This Row],[UDC]],TableSTRUMARTM[],7,FALSE),"")</f>
        <v/>
      </c>
      <c r="AZ171" s="209" t="str">
        <f>IFERROR(VLOOKUP(TableHandbook[[#This Row],[UDC]],TableSTRUMATHB[],7,FALSE),"")</f>
        <v/>
      </c>
      <c r="BA171" s="209" t="str">
        <f>IFERROR(VLOOKUP(TableHandbook[[#This Row],[UDC]],TableSTRUMATHM[],7,FALSE),"")</f>
        <v/>
      </c>
      <c r="BB171" s="209" t="str">
        <f>IFERROR(VLOOKUP(TableHandbook[[#This Row],[UDC]],TableSTRUPARTB[],7,FALSE),"")</f>
        <v>Option</v>
      </c>
      <c r="BC171" s="209" t="str">
        <f>IFERROR(VLOOKUP(TableHandbook[[#This Row],[UDC]],TableSTRUPARTM[],7,FALSE),"")</f>
        <v/>
      </c>
      <c r="BD171" s="209" t="str">
        <f>IFERROR(VLOOKUP(TableHandbook[[#This Row],[UDC]],TableSTRUPOLB1[],7,FALSE),"")</f>
        <v/>
      </c>
      <c r="BE171" s="209" t="str">
        <f>IFERROR(VLOOKUP(TableHandbook[[#This Row],[UDC]],TableSTRUPSYCB[],7,FALSE),"")</f>
        <v/>
      </c>
      <c r="BF171" s="209" t="str">
        <f>IFERROR(VLOOKUP(TableHandbook[[#This Row],[UDC]],TableSTRUPSYCM[],7,FALSE),"")</f>
        <v/>
      </c>
      <c r="BG171" s="209" t="str">
        <f>IFERROR(VLOOKUP(TableHandbook[[#This Row],[UDC]],TableSTRUVARTB[],7,FALSE),"")</f>
        <v>Option</v>
      </c>
      <c r="BH171" s="209" t="str">
        <f>IFERROR(VLOOKUP(TableHandbook[[#This Row],[UDC]],TableSTRUVARTM[],7,FALSE),"")</f>
        <v/>
      </c>
    </row>
    <row r="172" spans="1:60" x14ac:dyDescent="0.25">
      <c r="A172" s="6" t="s">
        <v>172</v>
      </c>
      <c r="B172" s="7">
        <v>1</v>
      </c>
      <c r="C172" s="7"/>
      <c r="D172" s="207" t="s">
        <v>981</v>
      </c>
      <c r="E172" s="7">
        <v>25</v>
      </c>
      <c r="F172" s="84" t="s">
        <v>783</v>
      </c>
      <c r="G172" s="75" t="str">
        <f>IFERROR(IF(VLOOKUP(TableHandbook[[#This Row],[UDC]],TableAvailabilities[],2,FALSE)&gt;0,"Y",""),"")</f>
        <v/>
      </c>
      <c r="H172" s="75" t="str">
        <f>IFERROR(IF(VLOOKUP(TableHandbook[[#This Row],[UDC]],TableAvailabilities[],3,FALSE)&gt;0,"Y",""),"")</f>
        <v/>
      </c>
      <c r="I172" s="75" t="str">
        <f>IFERROR(IF(VLOOKUP(TableHandbook[[#This Row],[UDC]],TableAvailabilities[],4,FALSE)&gt;0,"Y",""),"")</f>
        <v/>
      </c>
      <c r="J172" s="75" t="str">
        <f>IFERROR(IF(VLOOKUP(TableHandbook[[#This Row],[UDC]],TableAvailabilities[],5,FALSE)&gt;0,"Y",""),"")</f>
        <v>Y</v>
      </c>
      <c r="K172" s="75" t="str">
        <f>IFERROR(IF(VLOOKUP(TableHandbook[[#This Row],[UDC]],TableAvailabilities[],6,FALSE)&gt;0,"Y",""),"")</f>
        <v>Y</v>
      </c>
      <c r="L172" s="75" t="str">
        <f>IFERROR(IF(VLOOKUP(TableHandbook[[#This Row],[UDC]],TableAvailabilities[],7,FALSE)&gt;0,"Y",""),"")</f>
        <v/>
      </c>
      <c r="M172" s="207"/>
      <c r="N172" s="209" t="str">
        <f>IFERROR(VLOOKUP(TableHandbook[[#This Row],[UDC]],TableBEDUC[],7,FALSE),"")</f>
        <v/>
      </c>
      <c r="O172" s="209" t="str">
        <f>IFERROR(VLOOKUP(TableHandbook[[#This Row],[UDC]],TableBEDEC[],7,FALSE),"")</f>
        <v>Option</v>
      </c>
      <c r="P172" s="211" t="str">
        <f>IFERROR(VLOOKUP(TableHandbook[[#This Row],[UDC]],TableBEDPR[],7,FALSE),"")</f>
        <v/>
      </c>
      <c r="Q172" s="209" t="str">
        <f>IFERROR(VLOOKUP(TableHandbook[[#This Row],[UDC]],TableSTRUCATHL[],7,FALSE),"")</f>
        <v/>
      </c>
      <c r="R172" s="209" t="str">
        <f>IFERROR(VLOOKUP(TableHandbook[[#This Row],[UDC]],TableSTRUENGLL[],7,FALSE),"")</f>
        <v/>
      </c>
      <c r="S172" s="209" t="str">
        <f>IFERROR(VLOOKUP(TableHandbook[[#This Row],[UDC]],TableSTRUHLTPE[],7,FALSE),"")</f>
        <v/>
      </c>
      <c r="T172" s="209" t="str">
        <f>IFERROR(VLOOKUP(TableHandbook[[#This Row],[UDC]],TableSTRUISTEM[],7,FALSE),"")</f>
        <v/>
      </c>
      <c r="U172" s="209" t="str">
        <f>IFERROR(VLOOKUP(TableHandbook[[#This Row],[UDC]],TableSTRULITNU[],7,FALSE),"")</f>
        <v/>
      </c>
      <c r="V172" s="209" t="str">
        <f>IFERROR(VLOOKUP(TableHandbook[[#This Row],[UDC]],TableSTRUTECHS[],7,FALSE),"")</f>
        <v>Core</v>
      </c>
      <c r="W172" s="211" t="str">
        <f>IFERROR(VLOOKUP(TableHandbook[[#This Row],[UDC]],TableBEDSC[],7,FALSE),"")</f>
        <v/>
      </c>
      <c r="X172" s="211" t="str">
        <f>IFERROR(VLOOKUP(TableHandbook[[#This Row],[UDC]],TableMJRUARDR1[],7,FALSE),"")</f>
        <v/>
      </c>
      <c r="Y172" s="209" t="str">
        <f>IFERROR(VLOOKUP(TableHandbook[[#This Row],[UDC]],TableMJRUARME1[],7,FALSE),"")</f>
        <v/>
      </c>
      <c r="Z172" s="209" t="str">
        <f>IFERROR(VLOOKUP(TableHandbook[[#This Row],[UDC]],TableMJRUARVA1[],7,FALSE),"")</f>
        <v/>
      </c>
      <c r="AA172" s="209" t="str">
        <f>IFERROR(VLOOKUP(TableHandbook[[#This Row],[UDC]],TableMJRUENGL1[],7,FALSE),"")</f>
        <v/>
      </c>
      <c r="AB172" s="209" t="str">
        <f>IFERROR(VLOOKUP(TableHandbook[[#This Row],[UDC]],TableMJRUHSEC1[],7,FALSE),"")</f>
        <v/>
      </c>
      <c r="AC172" s="209" t="str">
        <f>IFERROR(VLOOKUP(TableHandbook[[#This Row],[UDC]],TableMJRUHSGE1[],7,FALSE),"")</f>
        <v/>
      </c>
      <c r="AD172" s="209" t="str">
        <f>IFERROR(VLOOKUP(TableHandbook[[#This Row],[UDC]],TableMJRUHSHI1[],7,FALSE),"")</f>
        <v/>
      </c>
      <c r="AE172" s="209" t="str">
        <f>IFERROR(VLOOKUP(TableHandbook[[#This Row],[UDC]],TableMJRUHSPL1[],7,FALSE),"")</f>
        <v/>
      </c>
      <c r="AF172" s="209" t="str">
        <f>IFERROR(VLOOKUP(TableHandbook[[#This Row],[UDC]],TableMJRUMATH1[],7,FALSE),"")</f>
        <v/>
      </c>
      <c r="AG172" s="209" t="str">
        <f>IFERROR(VLOOKUP(TableHandbook[[#This Row],[UDC]],TableMJRUPHYSE[],7,FALSE),"")</f>
        <v/>
      </c>
      <c r="AH172" s="209" t="str">
        <f>IFERROR(VLOOKUP(TableHandbook[[#This Row],[UDC]],TableMJRUSCBI1[],7,FALSE),"")</f>
        <v/>
      </c>
      <c r="AI172" s="209" t="str">
        <f>IFERROR(VLOOKUP(TableHandbook[[#This Row],[UDC]],TableMJRUSCCH1[],7,FALSE),"")</f>
        <v/>
      </c>
      <c r="AJ172" s="209" t="str">
        <f>IFERROR(VLOOKUP(TableHandbook[[#This Row],[UDC]],TableMJRUSCHB1[],7,FALSE),"")</f>
        <v/>
      </c>
      <c r="AK172" s="209" t="str">
        <f>IFERROR(VLOOKUP(TableHandbook[[#This Row],[UDC]],TableMJRUSCPH1[],7,FALSE),"")</f>
        <v/>
      </c>
      <c r="AL172" s="209" t="str">
        <f>IFERROR(VLOOKUP(TableHandbook[[#This Row],[UDC]],TableMJRUSCPS1[],7,FALSE),"")</f>
        <v/>
      </c>
      <c r="AM172" s="211" t="str">
        <f>IFERROR(VLOOKUP(TableHandbook[[#This Row],[UDC]],TableSTRUBIOLB[],7,FALSE),"")</f>
        <v/>
      </c>
      <c r="AN172" s="209" t="str">
        <f>IFERROR(VLOOKUP(TableHandbook[[#This Row],[UDC]],TableSTRUBSCIM[],7,FALSE),"")</f>
        <v/>
      </c>
      <c r="AO172" s="209" t="str">
        <f>IFERROR(VLOOKUP(TableHandbook[[#This Row],[UDC]],TableSTRUCHEMB[],7,FALSE),"")</f>
        <v/>
      </c>
      <c r="AP172" s="209" t="str">
        <f>IFERROR(VLOOKUP(TableHandbook[[#This Row],[UDC]],TableSTRUECOB1[],7,FALSE),"")</f>
        <v/>
      </c>
      <c r="AQ172" s="209" t="str">
        <f>IFERROR(VLOOKUP(TableHandbook[[#This Row],[UDC]],TableSTRUENGLB[],7,FALSE),"")</f>
        <v/>
      </c>
      <c r="AR172" s="209" t="str">
        <f>IFERROR(VLOOKUP(TableHandbook[[#This Row],[UDC]],TableSTRUENGLM[],7,FALSE),"")</f>
        <v/>
      </c>
      <c r="AS172" s="209" t="str">
        <f>IFERROR(VLOOKUP(TableHandbook[[#This Row],[UDC]],TableSTRUGEOB1[],7,FALSE),"")</f>
        <v/>
      </c>
      <c r="AT172" s="209" t="str">
        <f>IFERROR(VLOOKUP(TableHandbook[[#This Row],[UDC]],TableSTRUGEOGM[],7,FALSE),"")</f>
        <v/>
      </c>
      <c r="AU172" s="209" t="str">
        <f>IFERROR(VLOOKUP(TableHandbook[[#This Row],[UDC]],TableSTRUHISB1[],7,FALSE),"")</f>
        <v/>
      </c>
      <c r="AV172" s="209" t="str">
        <f>IFERROR(VLOOKUP(TableHandbook[[#This Row],[UDC]],TableSTRUHISTM[],7,FALSE),"")</f>
        <v/>
      </c>
      <c r="AW172" s="209" t="str">
        <f>IFERROR(VLOOKUP(TableHandbook[[#This Row],[UDC]],TableSTRUHPEB1[],7,FALSE),"")</f>
        <v>Option</v>
      </c>
      <c r="AX172" s="209" t="str">
        <f>IFERROR(VLOOKUP(TableHandbook[[#This Row],[UDC]],TableSTRUHUMBB[],7,FALSE),"")</f>
        <v/>
      </c>
      <c r="AY172" s="209" t="str">
        <f>IFERROR(VLOOKUP(TableHandbook[[#This Row],[UDC]],TableSTRUMARTM[],7,FALSE),"")</f>
        <v/>
      </c>
      <c r="AZ172" s="209" t="str">
        <f>IFERROR(VLOOKUP(TableHandbook[[#This Row],[UDC]],TableSTRUMATHB[],7,FALSE),"")</f>
        <v>Option</v>
      </c>
      <c r="BA172" s="209" t="str">
        <f>IFERROR(VLOOKUP(TableHandbook[[#This Row],[UDC]],TableSTRUMATHM[],7,FALSE),"")</f>
        <v/>
      </c>
      <c r="BB172" s="209" t="str">
        <f>IFERROR(VLOOKUP(TableHandbook[[#This Row],[UDC]],TableSTRUPARTB[],7,FALSE),"")</f>
        <v>Option</v>
      </c>
      <c r="BC172" s="209" t="str">
        <f>IFERROR(VLOOKUP(TableHandbook[[#This Row],[UDC]],TableSTRUPARTM[],7,FALSE),"")</f>
        <v/>
      </c>
      <c r="BD172" s="209" t="str">
        <f>IFERROR(VLOOKUP(TableHandbook[[#This Row],[UDC]],TableSTRUPOLB1[],7,FALSE),"")</f>
        <v/>
      </c>
      <c r="BE172" s="209" t="str">
        <f>IFERROR(VLOOKUP(TableHandbook[[#This Row],[UDC]],TableSTRUPSYCB[],7,FALSE),"")</f>
        <v/>
      </c>
      <c r="BF172" s="209" t="str">
        <f>IFERROR(VLOOKUP(TableHandbook[[#This Row],[UDC]],TableSTRUPSYCM[],7,FALSE),"")</f>
        <v/>
      </c>
      <c r="BG172" s="209" t="str">
        <f>IFERROR(VLOOKUP(TableHandbook[[#This Row],[UDC]],TableSTRUVARTB[],7,FALSE),"")</f>
        <v>Option</v>
      </c>
      <c r="BH172" s="209" t="str">
        <f>IFERROR(VLOOKUP(TableHandbook[[#This Row],[UDC]],TableSTRUVARTM[],7,FALSE),"")</f>
        <v/>
      </c>
    </row>
    <row r="173" spans="1:60" x14ac:dyDescent="0.25">
      <c r="A173" s="6" t="s">
        <v>177</v>
      </c>
      <c r="B173" s="7">
        <v>1</v>
      </c>
      <c r="C173" s="7"/>
      <c r="D173" s="207" t="s">
        <v>982</v>
      </c>
      <c r="E173" s="7">
        <v>25</v>
      </c>
      <c r="F173" s="84" t="s">
        <v>783</v>
      </c>
      <c r="G173" s="75" t="str">
        <f>IFERROR(IF(VLOOKUP(TableHandbook[[#This Row],[UDC]],TableAvailabilities[],2,FALSE)&gt;0,"Y",""),"")</f>
        <v/>
      </c>
      <c r="H173" s="75" t="str">
        <f>IFERROR(IF(VLOOKUP(TableHandbook[[#This Row],[UDC]],TableAvailabilities[],3,FALSE)&gt;0,"Y",""),"")</f>
        <v>Y</v>
      </c>
      <c r="I173" s="75" t="str">
        <f>IFERROR(IF(VLOOKUP(TableHandbook[[#This Row],[UDC]],TableAvailabilities[],4,FALSE)&gt;0,"Y",""),"")</f>
        <v/>
      </c>
      <c r="J173" s="75" t="str">
        <f>IFERROR(IF(VLOOKUP(TableHandbook[[#This Row],[UDC]],TableAvailabilities[],5,FALSE)&gt;0,"Y",""),"")</f>
        <v/>
      </c>
      <c r="K173" s="75" t="str">
        <f>IFERROR(IF(VLOOKUP(TableHandbook[[#This Row],[UDC]],TableAvailabilities[],6,FALSE)&gt;0,"Y",""),"")</f>
        <v/>
      </c>
      <c r="L173" s="75" t="str">
        <f>IFERROR(IF(VLOOKUP(TableHandbook[[#This Row],[UDC]],TableAvailabilities[],7,FALSE)&gt;0,"Y",""),"")</f>
        <v/>
      </c>
      <c r="M173" s="207"/>
      <c r="N173" s="209" t="str">
        <f>IFERROR(VLOOKUP(TableHandbook[[#This Row],[UDC]],TableBEDUC[],7,FALSE),"")</f>
        <v/>
      </c>
      <c r="O173" s="209" t="str">
        <f>IFERROR(VLOOKUP(TableHandbook[[#This Row],[UDC]],TableBEDEC[],7,FALSE),"")</f>
        <v>Option</v>
      </c>
      <c r="P173" s="211" t="str">
        <f>IFERROR(VLOOKUP(TableHandbook[[#This Row],[UDC]],TableBEDPR[],7,FALSE),"")</f>
        <v/>
      </c>
      <c r="Q173" s="209" t="str">
        <f>IFERROR(VLOOKUP(TableHandbook[[#This Row],[UDC]],TableSTRUCATHL[],7,FALSE),"")</f>
        <v/>
      </c>
      <c r="R173" s="209" t="str">
        <f>IFERROR(VLOOKUP(TableHandbook[[#This Row],[UDC]],TableSTRUENGLL[],7,FALSE),"")</f>
        <v/>
      </c>
      <c r="S173" s="209" t="str">
        <f>IFERROR(VLOOKUP(TableHandbook[[#This Row],[UDC]],TableSTRUHLTPE[],7,FALSE),"")</f>
        <v/>
      </c>
      <c r="T173" s="209" t="str">
        <f>IFERROR(VLOOKUP(TableHandbook[[#This Row],[UDC]],TableSTRUISTEM[],7,FALSE),"")</f>
        <v>Core</v>
      </c>
      <c r="U173" s="209" t="str">
        <f>IFERROR(VLOOKUP(TableHandbook[[#This Row],[UDC]],TableSTRULITNU[],7,FALSE),"")</f>
        <v/>
      </c>
      <c r="V173" s="209" t="str">
        <f>IFERROR(VLOOKUP(TableHandbook[[#This Row],[UDC]],TableSTRUTECHS[],7,FALSE),"")</f>
        <v/>
      </c>
      <c r="W173" s="211" t="str">
        <f>IFERROR(VLOOKUP(TableHandbook[[#This Row],[UDC]],TableBEDSC[],7,FALSE),"")</f>
        <v/>
      </c>
      <c r="X173" s="211" t="str">
        <f>IFERROR(VLOOKUP(TableHandbook[[#This Row],[UDC]],TableMJRUARDR1[],7,FALSE),"")</f>
        <v/>
      </c>
      <c r="Y173" s="209" t="str">
        <f>IFERROR(VLOOKUP(TableHandbook[[#This Row],[UDC]],TableMJRUARME1[],7,FALSE),"")</f>
        <v/>
      </c>
      <c r="Z173" s="209" t="str">
        <f>IFERROR(VLOOKUP(TableHandbook[[#This Row],[UDC]],TableMJRUARVA1[],7,FALSE),"")</f>
        <v/>
      </c>
      <c r="AA173" s="209" t="str">
        <f>IFERROR(VLOOKUP(TableHandbook[[#This Row],[UDC]],TableMJRUENGL1[],7,FALSE),"")</f>
        <v/>
      </c>
      <c r="AB173" s="209" t="str">
        <f>IFERROR(VLOOKUP(TableHandbook[[#This Row],[UDC]],TableMJRUHSEC1[],7,FALSE),"")</f>
        <v/>
      </c>
      <c r="AC173" s="209" t="str">
        <f>IFERROR(VLOOKUP(TableHandbook[[#This Row],[UDC]],TableMJRUHSGE1[],7,FALSE),"")</f>
        <v/>
      </c>
      <c r="AD173" s="209" t="str">
        <f>IFERROR(VLOOKUP(TableHandbook[[#This Row],[UDC]],TableMJRUHSHI1[],7,FALSE),"")</f>
        <v/>
      </c>
      <c r="AE173" s="209" t="str">
        <f>IFERROR(VLOOKUP(TableHandbook[[#This Row],[UDC]],TableMJRUHSPL1[],7,FALSE),"")</f>
        <v/>
      </c>
      <c r="AF173" s="209" t="str">
        <f>IFERROR(VLOOKUP(TableHandbook[[#This Row],[UDC]],TableMJRUMATH1[],7,FALSE),"")</f>
        <v/>
      </c>
      <c r="AG173" s="209" t="str">
        <f>IFERROR(VLOOKUP(TableHandbook[[#This Row],[UDC]],TableMJRUPHYSE[],7,FALSE),"")</f>
        <v/>
      </c>
      <c r="AH173" s="209" t="str">
        <f>IFERROR(VLOOKUP(TableHandbook[[#This Row],[UDC]],TableMJRUSCBI1[],7,FALSE),"")</f>
        <v/>
      </c>
      <c r="AI173" s="209" t="str">
        <f>IFERROR(VLOOKUP(TableHandbook[[#This Row],[UDC]],TableMJRUSCCH1[],7,FALSE),"")</f>
        <v/>
      </c>
      <c r="AJ173" s="209" t="str">
        <f>IFERROR(VLOOKUP(TableHandbook[[#This Row],[UDC]],TableMJRUSCHB1[],7,FALSE),"")</f>
        <v/>
      </c>
      <c r="AK173" s="209" t="str">
        <f>IFERROR(VLOOKUP(TableHandbook[[#This Row],[UDC]],TableMJRUSCPH1[],7,FALSE),"")</f>
        <v/>
      </c>
      <c r="AL173" s="209" t="str">
        <f>IFERROR(VLOOKUP(TableHandbook[[#This Row],[UDC]],TableMJRUSCPS1[],7,FALSE),"")</f>
        <v/>
      </c>
      <c r="AM173" s="211" t="str">
        <f>IFERROR(VLOOKUP(TableHandbook[[#This Row],[UDC]],TableSTRUBIOLB[],7,FALSE),"")</f>
        <v>Option</v>
      </c>
      <c r="AN173" s="209" t="str">
        <f>IFERROR(VLOOKUP(TableHandbook[[#This Row],[UDC]],TableSTRUBSCIM[],7,FALSE),"")</f>
        <v/>
      </c>
      <c r="AO173" s="209" t="str">
        <f>IFERROR(VLOOKUP(TableHandbook[[#This Row],[UDC]],TableSTRUCHEMB[],7,FALSE),"")</f>
        <v>Option</v>
      </c>
      <c r="AP173" s="209" t="str">
        <f>IFERROR(VLOOKUP(TableHandbook[[#This Row],[UDC]],TableSTRUECOB1[],7,FALSE),"")</f>
        <v/>
      </c>
      <c r="AQ173" s="209" t="str">
        <f>IFERROR(VLOOKUP(TableHandbook[[#This Row],[UDC]],TableSTRUENGLB[],7,FALSE),"")</f>
        <v/>
      </c>
      <c r="AR173" s="209" t="str">
        <f>IFERROR(VLOOKUP(TableHandbook[[#This Row],[UDC]],TableSTRUENGLM[],7,FALSE),"")</f>
        <v/>
      </c>
      <c r="AS173" s="209" t="str">
        <f>IFERROR(VLOOKUP(TableHandbook[[#This Row],[UDC]],TableSTRUGEOB1[],7,FALSE),"")</f>
        <v/>
      </c>
      <c r="AT173" s="209" t="str">
        <f>IFERROR(VLOOKUP(TableHandbook[[#This Row],[UDC]],TableSTRUGEOGM[],7,FALSE),"")</f>
        <v/>
      </c>
      <c r="AU173" s="209" t="str">
        <f>IFERROR(VLOOKUP(TableHandbook[[#This Row],[UDC]],TableSTRUHISB1[],7,FALSE),"")</f>
        <v/>
      </c>
      <c r="AV173" s="209" t="str">
        <f>IFERROR(VLOOKUP(TableHandbook[[#This Row],[UDC]],TableSTRUHISTM[],7,FALSE),"")</f>
        <v/>
      </c>
      <c r="AW173" s="209" t="str">
        <f>IFERROR(VLOOKUP(TableHandbook[[#This Row],[UDC]],TableSTRUHPEB1[],7,FALSE),"")</f>
        <v>Option</v>
      </c>
      <c r="AX173" s="209" t="str">
        <f>IFERROR(VLOOKUP(TableHandbook[[#This Row],[UDC]],TableSTRUHUMBB[],7,FALSE),"")</f>
        <v>Option</v>
      </c>
      <c r="AY173" s="209" t="str">
        <f>IFERROR(VLOOKUP(TableHandbook[[#This Row],[UDC]],TableSTRUMARTM[],7,FALSE),"")</f>
        <v/>
      </c>
      <c r="AZ173" s="209" t="str">
        <f>IFERROR(VLOOKUP(TableHandbook[[#This Row],[UDC]],TableSTRUMATHB[],7,FALSE),"")</f>
        <v>Option</v>
      </c>
      <c r="BA173" s="209" t="str">
        <f>IFERROR(VLOOKUP(TableHandbook[[#This Row],[UDC]],TableSTRUMATHM[],7,FALSE),"")</f>
        <v/>
      </c>
      <c r="BB173" s="209" t="str">
        <f>IFERROR(VLOOKUP(TableHandbook[[#This Row],[UDC]],TableSTRUPARTB[],7,FALSE),"")</f>
        <v/>
      </c>
      <c r="BC173" s="209" t="str">
        <f>IFERROR(VLOOKUP(TableHandbook[[#This Row],[UDC]],TableSTRUPARTM[],7,FALSE),"")</f>
        <v/>
      </c>
      <c r="BD173" s="209" t="str">
        <f>IFERROR(VLOOKUP(TableHandbook[[#This Row],[UDC]],TableSTRUPOLB1[],7,FALSE),"")</f>
        <v/>
      </c>
      <c r="BE173" s="209" t="str">
        <f>IFERROR(VLOOKUP(TableHandbook[[#This Row],[UDC]],TableSTRUPSYCB[],7,FALSE),"")</f>
        <v>Option</v>
      </c>
      <c r="BF173" s="209" t="str">
        <f>IFERROR(VLOOKUP(TableHandbook[[#This Row],[UDC]],TableSTRUPSYCM[],7,FALSE),"")</f>
        <v/>
      </c>
      <c r="BG173" s="209" t="str">
        <f>IFERROR(VLOOKUP(TableHandbook[[#This Row],[UDC]],TableSTRUVARTB[],7,FALSE),"")</f>
        <v/>
      </c>
      <c r="BH173" s="209" t="str">
        <f>IFERROR(VLOOKUP(TableHandbook[[#This Row],[UDC]],TableSTRUVARTM[],7,FALSE),"")</f>
        <v/>
      </c>
    </row>
    <row r="174" spans="1:60" x14ac:dyDescent="0.25">
      <c r="A174" s="6" t="s">
        <v>183</v>
      </c>
      <c r="B174" s="7">
        <v>1</v>
      </c>
      <c r="C174" s="7"/>
      <c r="D174" s="207" t="s">
        <v>983</v>
      </c>
      <c r="E174" s="7">
        <v>25</v>
      </c>
      <c r="F174" s="84" t="s">
        <v>783</v>
      </c>
      <c r="G174" s="75" t="str">
        <f>IFERROR(IF(VLOOKUP(TableHandbook[[#This Row],[UDC]],TableAvailabilities[],2,FALSE)&gt;0,"Y",""),"")</f>
        <v>Y</v>
      </c>
      <c r="H174" s="75" t="str">
        <f>IFERROR(IF(VLOOKUP(TableHandbook[[#This Row],[UDC]],TableAvailabilities[],3,FALSE)&gt;0,"Y",""),"")</f>
        <v>Y</v>
      </c>
      <c r="I174" s="75" t="str">
        <f>IFERROR(IF(VLOOKUP(TableHandbook[[#This Row],[UDC]],TableAvailabilities[],4,FALSE)&gt;0,"Y",""),"")</f>
        <v/>
      </c>
      <c r="J174" s="75" t="str">
        <f>IFERROR(IF(VLOOKUP(TableHandbook[[#This Row],[UDC]],TableAvailabilities[],5,FALSE)&gt;0,"Y",""),"")</f>
        <v/>
      </c>
      <c r="K174" s="75" t="str">
        <f>IFERROR(IF(VLOOKUP(TableHandbook[[#This Row],[UDC]],TableAvailabilities[],6,FALSE)&gt;0,"Y",""),"")</f>
        <v/>
      </c>
      <c r="L174" s="75" t="str">
        <f>IFERROR(IF(VLOOKUP(TableHandbook[[#This Row],[UDC]],TableAvailabilities[],7,FALSE)&gt;0,"Y",""),"")</f>
        <v/>
      </c>
      <c r="M174" s="207"/>
      <c r="N174" s="209" t="str">
        <f>IFERROR(VLOOKUP(TableHandbook[[#This Row],[UDC]],TableBEDUC[],7,FALSE),"")</f>
        <v/>
      </c>
      <c r="O174" s="209" t="str">
        <f>IFERROR(VLOOKUP(TableHandbook[[#This Row],[UDC]],TableBEDEC[],7,FALSE),"")</f>
        <v>Option</v>
      </c>
      <c r="P174" s="211" t="str">
        <f>IFERROR(VLOOKUP(TableHandbook[[#This Row],[UDC]],TableBEDPR[],7,FALSE),"")</f>
        <v/>
      </c>
      <c r="Q174" s="209" t="str">
        <f>IFERROR(VLOOKUP(TableHandbook[[#This Row],[UDC]],TableSTRUCATHL[],7,FALSE),"")</f>
        <v/>
      </c>
      <c r="R174" s="209" t="str">
        <f>IFERROR(VLOOKUP(TableHandbook[[#This Row],[UDC]],TableSTRUENGLL[],7,FALSE),"")</f>
        <v/>
      </c>
      <c r="S174" s="209" t="str">
        <f>IFERROR(VLOOKUP(TableHandbook[[#This Row],[UDC]],TableSTRUHLTPE[],7,FALSE),"")</f>
        <v/>
      </c>
      <c r="T174" s="209" t="str">
        <f>IFERROR(VLOOKUP(TableHandbook[[#This Row],[UDC]],TableSTRUISTEM[],7,FALSE),"")</f>
        <v>Core</v>
      </c>
      <c r="U174" s="209" t="str">
        <f>IFERROR(VLOOKUP(TableHandbook[[#This Row],[UDC]],TableSTRULITNU[],7,FALSE),"")</f>
        <v/>
      </c>
      <c r="V174" s="209" t="str">
        <f>IFERROR(VLOOKUP(TableHandbook[[#This Row],[UDC]],TableSTRUTECHS[],7,FALSE),"")</f>
        <v/>
      </c>
      <c r="W174" s="211" t="str">
        <f>IFERROR(VLOOKUP(TableHandbook[[#This Row],[UDC]],TableBEDSC[],7,FALSE),"")</f>
        <v/>
      </c>
      <c r="X174" s="211" t="str">
        <f>IFERROR(VLOOKUP(TableHandbook[[#This Row],[UDC]],TableMJRUARDR1[],7,FALSE),"")</f>
        <v/>
      </c>
      <c r="Y174" s="209" t="str">
        <f>IFERROR(VLOOKUP(TableHandbook[[#This Row],[UDC]],TableMJRUARME1[],7,FALSE),"")</f>
        <v/>
      </c>
      <c r="Z174" s="209" t="str">
        <f>IFERROR(VLOOKUP(TableHandbook[[#This Row],[UDC]],TableMJRUARVA1[],7,FALSE),"")</f>
        <v/>
      </c>
      <c r="AA174" s="209" t="str">
        <f>IFERROR(VLOOKUP(TableHandbook[[#This Row],[UDC]],TableMJRUENGL1[],7,FALSE),"")</f>
        <v/>
      </c>
      <c r="AB174" s="209" t="str">
        <f>IFERROR(VLOOKUP(TableHandbook[[#This Row],[UDC]],TableMJRUHSEC1[],7,FALSE),"")</f>
        <v/>
      </c>
      <c r="AC174" s="209" t="str">
        <f>IFERROR(VLOOKUP(TableHandbook[[#This Row],[UDC]],TableMJRUHSGE1[],7,FALSE),"")</f>
        <v/>
      </c>
      <c r="AD174" s="209" t="str">
        <f>IFERROR(VLOOKUP(TableHandbook[[#This Row],[UDC]],TableMJRUHSHI1[],7,FALSE),"")</f>
        <v/>
      </c>
      <c r="AE174" s="209" t="str">
        <f>IFERROR(VLOOKUP(TableHandbook[[#This Row],[UDC]],TableMJRUHSPL1[],7,FALSE),"")</f>
        <v/>
      </c>
      <c r="AF174" s="209" t="str">
        <f>IFERROR(VLOOKUP(TableHandbook[[#This Row],[UDC]],TableMJRUMATH1[],7,FALSE),"")</f>
        <v/>
      </c>
      <c r="AG174" s="209" t="str">
        <f>IFERROR(VLOOKUP(TableHandbook[[#This Row],[UDC]],TableMJRUPHYSE[],7,FALSE),"")</f>
        <v/>
      </c>
      <c r="AH174" s="209" t="str">
        <f>IFERROR(VLOOKUP(TableHandbook[[#This Row],[UDC]],TableMJRUSCBI1[],7,FALSE),"")</f>
        <v/>
      </c>
      <c r="AI174" s="209" t="str">
        <f>IFERROR(VLOOKUP(TableHandbook[[#This Row],[UDC]],TableMJRUSCCH1[],7,FALSE),"")</f>
        <v/>
      </c>
      <c r="AJ174" s="209" t="str">
        <f>IFERROR(VLOOKUP(TableHandbook[[#This Row],[UDC]],TableMJRUSCHB1[],7,FALSE),"")</f>
        <v/>
      </c>
      <c r="AK174" s="209" t="str">
        <f>IFERROR(VLOOKUP(TableHandbook[[#This Row],[UDC]],TableMJRUSCPH1[],7,FALSE),"")</f>
        <v/>
      </c>
      <c r="AL174" s="209" t="str">
        <f>IFERROR(VLOOKUP(TableHandbook[[#This Row],[UDC]],TableMJRUSCPS1[],7,FALSE),"")</f>
        <v/>
      </c>
      <c r="AM174" s="211" t="str">
        <f>IFERROR(VLOOKUP(TableHandbook[[#This Row],[UDC]],TableSTRUBIOLB[],7,FALSE),"")</f>
        <v>Option</v>
      </c>
      <c r="AN174" s="209" t="str">
        <f>IFERROR(VLOOKUP(TableHandbook[[#This Row],[UDC]],TableSTRUBSCIM[],7,FALSE),"")</f>
        <v/>
      </c>
      <c r="AO174" s="209" t="str">
        <f>IFERROR(VLOOKUP(TableHandbook[[#This Row],[UDC]],TableSTRUCHEMB[],7,FALSE),"")</f>
        <v>Option</v>
      </c>
      <c r="AP174" s="209" t="str">
        <f>IFERROR(VLOOKUP(TableHandbook[[#This Row],[UDC]],TableSTRUECOB1[],7,FALSE),"")</f>
        <v/>
      </c>
      <c r="AQ174" s="209" t="str">
        <f>IFERROR(VLOOKUP(TableHandbook[[#This Row],[UDC]],TableSTRUENGLB[],7,FALSE),"")</f>
        <v/>
      </c>
      <c r="AR174" s="209" t="str">
        <f>IFERROR(VLOOKUP(TableHandbook[[#This Row],[UDC]],TableSTRUENGLM[],7,FALSE),"")</f>
        <v/>
      </c>
      <c r="AS174" s="209" t="str">
        <f>IFERROR(VLOOKUP(TableHandbook[[#This Row],[UDC]],TableSTRUGEOB1[],7,FALSE),"")</f>
        <v/>
      </c>
      <c r="AT174" s="209" t="str">
        <f>IFERROR(VLOOKUP(TableHandbook[[#This Row],[UDC]],TableSTRUGEOGM[],7,FALSE),"")</f>
        <v/>
      </c>
      <c r="AU174" s="209" t="str">
        <f>IFERROR(VLOOKUP(TableHandbook[[#This Row],[UDC]],TableSTRUHISB1[],7,FALSE),"")</f>
        <v/>
      </c>
      <c r="AV174" s="209" t="str">
        <f>IFERROR(VLOOKUP(TableHandbook[[#This Row],[UDC]],TableSTRUHISTM[],7,FALSE),"")</f>
        <v/>
      </c>
      <c r="AW174" s="209" t="str">
        <f>IFERROR(VLOOKUP(TableHandbook[[#This Row],[UDC]],TableSTRUHPEB1[],7,FALSE),"")</f>
        <v>Option</v>
      </c>
      <c r="AX174" s="209" t="str">
        <f>IFERROR(VLOOKUP(TableHandbook[[#This Row],[UDC]],TableSTRUHUMBB[],7,FALSE),"")</f>
        <v>Option</v>
      </c>
      <c r="AY174" s="209" t="str">
        <f>IFERROR(VLOOKUP(TableHandbook[[#This Row],[UDC]],TableSTRUMARTM[],7,FALSE),"")</f>
        <v/>
      </c>
      <c r="AZ174" s="209" t="str">
        <f>IFERROR(VLOOKUP(TableHandbook[[#This Row],[UDC]],TableSTRUMATHB[],7,FALSE),"")</f>
        <v>Option</v>
      </c>
      <c r="BA174" s="209" t="str">
        <f>IFERROR(VLOOKUP(TableHandbook[[#This Row],[UDC]],TableSTRUMATHM[],7,FALSE),"")</f>
        <v/>
      </c>
      <c r="BB174" s="209" t="str">
        <f>IFERROR(VLOOKUP(TableHandbook[[#This Row],[UDC]],TableSTRUPARTB[],7,FALSE),"")</f>
        <v/>
      </c>
      <c r="BC174" s="209" t="str">
        <f>IFERROR(VLOOKUP(TableHandbook[[#This Row],[UDC]],TableSTRUPARTM[],7,FALSE),"")</f>
        <v/>
      </c>
      <c r="BD174" s="209" t="str">
        <f>IFERROR(VLOOKUP(TableHandbook[[#This Row],[UDC]],TableSTRUPOLB1[],7,FALSE),"")</f>
        <v/>
      </c>
      <c r="BE174" s="209" t="str">
        <f>IFERROR(VLOOKUP(TableHandbook[[#This Row],[UDC]],TableSTRUPSYCB[],7,FALSE),"")</f>
        <v>Option</v>
      </c>
      <c r="BF174" s="209" t="str">
        <f>IFERROR(VLOOKUP(TableHandbook[[#This Row],[UDC]],TableSTRUPSYCM[],7,FALSE),"")</f>
        <v/>
      </c>
      <c r="BG174" s="209" t="str">
        <f>IFERROR(VLOOKUP(TableHandbook[[#This Row],[UDC]],TableSTRUVARTB[],7,FALSE),"")</f>
        <v/>
      </c>
      <c r="BH174" s="209" t="str">
        <f>IFERROR(VLOOKUP(TableHandbook[[#This Row],[UDC]],TableSTRUVARTM[],7,FALSE),"")</f>
        <v/>
      </c>
    </row>
    <row r="175" spans="1:60" x14ac:dyDescent="0.25">
      <c r="A175" s="6" t="s">
        <v>181</v>
      </c>
      <c r="B175" s="7">
        <v>1</v>
      </c>
      <c r="C175" s="7"/>
      <c r="D175" s="207" t="s">
        <v>984</v>
      </c>
      <c r="E175" s="7">
        <v>25</v>
      </c>
      <c r="F175" s="84" t="s">
        <v>783</v>
      </c>
      <c r="G175" s="75" t="str">
        <f>IFERROR(IF(VLOOKUP(TableHandbook[[#This Row],[UDC]],TableAvailabilities[],2,FALSE)&gt;0,"Y",""),"")</f>
        <v/>
      </c>
      <c r="H175" s="75" t="str">
        <f>IFERROR(IF(VLOOKUP(TableHandbook[[#This Row],[UDC]],TableAvailabilities[],3,FALSE)&gt;0,"Y",""),"")</f>
        <v>Y</v>
      </c>
      <c r="I175" s="75" t="str">
        <f>IFERROR(IF(VLOOKUP(TableHandbook[[#This Row],[UDC]],TableAvailabilities[],4,FALSE)&gt;0,"Y",""),"")</f>
        <v/>
      </c>
      <c r="J175" s="75" t="str">
        <f>IFERROR(IF(VLOOKUP(TableHandbook[[#This Row],[UDC]],TableAvailabilities[],5,FALSE)&gt;0,"Y",""),"")</f>
        <v/>
      </c>
      <c r="K175" s="75" t="str">
        <f>IFERROR(IF(VLOOKUP(TableHandbook[[#This Row],[UDC]],TableAvailabilities[],6,FALSE)&gt;0,"Y",""),"")</f>
        <v/>
      </c>
      <c r="L175" s="75" t="str">
        <f>IFERROR(IF(VLOOKUP(TableHandbook[[#This Row],[UDC]],TableAvailabilities[],7,FALSE)&gt;0,"Y",""),"")</f>
        <v/>
      </c>
      <c r="M175" s="207"/>
      <c r="N175" s="209" t="str">
        <f>IFERROR(VLOOKUP(TableHandbook[[#This Row],[UDC]],TableBEDUC[],7,FALSE),"")</f>
        <v/>
      </c>
      <c r="O175" s="209" t="str">
        <f>IFERROR(VLOOKUP(TableHandbook[[#This Row],[UDC]],TableBEDEC[],7,FALSE),"")</f>
        <v>Option</v>
      </c>
      <c r="P175" s="211" t="str">
        <f>IFERROR(VLOOKUP(TableHandbook[[#This Row],[UDC]],TableBEDPR[],7,FALSE),"")</f>
        <v/>
      </c>
      <c r="Q175" s="209" t="str">
        <f>IFERROR(VLOOKUP(TableHandbook[[#This Row],[UDC]],TableSTRUCATHL[],7,FALSE),"")</f>
        <v/>
      </c>
      <c r="R175" s="209" t="str">
        <f>IFERROR(VLOOKUP(TableHandbook[[#This Row],[UDC]],TableSTRUENGLL[],7,FALSE),"")</f>
        <v>Core</v>
      </c>
      <c r="S175" s="209" t="str">
        <f>IFERROR(VLOOKUP(TableHandbook[[#This Row],[UDC]],TableSTRUHLTPE[],7,FALSE),"")</f>
        <v/>
      </c>
      <c r="T175" s="209" t="str">
        <f>IFERROR(VLOOKUP(TableHandbook[[#This Row],[UDC]],TableSTRUISTEM[],7,FALSE),"")</f>
        <v/>
      </c>
      <c r="U175" s="209" t="str">
        <f>IFERROR(VLOOKUP(TableHandbook[[#This Row],[UDC]],TableSTRULITNU[],7,FALSE),"")</f>
        <v/>
      </c>
      <c r="V175" s="209" t="str">
        <f>IFERROR(VLOOKUP(TableHandbook[[#This Row],[UDC]],TableSTRUTECHS[],7,FALSE),"")</f>
        <v/>
      </c>
      <c r="W175" s="211" t="str">
        <f>IFERROR(VLOOKUP(TableHandbook[[#This Row],[UDC]],TableBEDSC[],7,FALSE),"")</f>
        <v/>
      </c>
      <c r="X175" s="211" t="str">
        <f>IFERROR(VLOOKUP(TableHandbook[[#This Row],[UDC]],TableMJRUARDR1[],7,FALSE),"")</f>
        <v/>
      </c>
      <c r="Y175" s="209" t="str">
        <f>IFERROR(VLOOKUP(TableHandbook[[#This Row],[UDC]],TableMJRUARME1[],7,FALSE),"")</f>
        <v/>
      </c>
      <c r="Z175" s="209" t="str">
        <f>IFERROR(VLOOKUP(TableHandbook[[#This Row],[UDC]],TableMJRUARVA1[],7,FALSE),"")</f>
        <v/>
      </c>
      <c r="AA175" s="209" t="str">
        <f>IFERROR(VLOOKUP(TableHandbook[[#This Row],[UDC]],TableMJRUENGL1[],7,FALSE),"")</f>
        <v/>
      </c>
      <c r="AB175" s="209" t="str">
        <f>IFERROR(VLOOKUP(TableHandbook[[#This Row],[UDC]],TableMJRUHSEC1[],7,FALSE),"")</f>
        <v/>
      </c>
      <c r="AC175" s="209" t="str">
        <f>IFERROR(VLOOKUP(TableHandbook[[#This Row],[UDC]],TableMJRUHSGE1[],7,FALSE),"")</f>
        <v/>
      </c>
      <c r="AD175" s="209" t="str">
        <f>IFERROR(VLOOKUP(TableHandbook[[#This Row],[UDC]],TableMJRUHSHI1[],7,FALSE),"")</f>
        <v/>
      </c>
      <c r="AE175" s="209" t="str">
        <f>IFERROR(VLOOKUP(TableHandbook[[#This Row],[UDC]],TableMJRUHSPL1[],7,FALSE),"")</f>
        <v/>
      </c>
      <c r="AF175" s="209" t="str">
        <f>IFERROR(VLOOKUP(TableHandbook[[#This Row],[UDC]],TableMJRUMATH1[],7,FALSE),"")</f>
        <v/>
      </c>
      <c r="AG175" s="209" t="str">
        <f>IFERROR(VLOOKUP(TableHandbook[[#This Row],[UDC]],TableMJRUPHYSE[],7,FALSE),"")</f>
        <v/>
      </c>
      <c r="AH175" s="209" t="str">
        <f>IFERROR(VLOOKUP(TableHandbook[[#This Row],[UDC]],TableMJRUSCBI1[],7,FALSE),"")</f>
        <v/>
      </c>
      <c r="AI175" s="209" t="str">
        <f>IFERROR(VLOOKUP(TableHandbook[[#This Row],[UDC]],TableMJRUSCCH1[],7,FALSE),"")</f>
        <v/>
      </c>
      <c r="AJ175" s="209" t="str">
        <f>IFERROR(VLOOKUP(TableHandbook[[#This Row],[UDC]],TableMJRUSCHB1[],7,FALSE),"")</f>
        <v/>
      </c>
      <c r="AK175" s="209" t="str">
        <f>IFERROR(VLOOKUP(TableHandbook[[#This Row],[UDC]],TableMJRUSCPH1[],7,FALSE),"")</f>
        <v/>
      </c>
      <c r="AL175" s="209" t="str">
        <f>IFERROR(VLOOKUP(TableHandbook[[#This Row],[UDC]],TableMJRUSCPS1[],7,FALSE),"")</f>
        <v/>
      </c>
      <c r="AM175" s="211" t="str">
        <f>IFERROR(VLOOKUP(TableHandbook[[#This Row],[UDC]],TableSTRUBIOLB[],7,FALSE),"")</f>
        <v/>
      </c>
      <c r="AN175" s="209" t="str">
        <f>IFERROR(VLOOKUP(TableHandbook[[#This Row],[UDC]],TableSTRUBSCIM[],7,FALSE),"")</f>
        <v/>
      </c>
      <c r="AO175" s="209" t="str">
        <f>IFERROR(VLOOKUP(TableHandbook[[#This Row],[UDC]],TableSTRUCHEMB[],7,FALSE),"")</f>
        <v/>
      </c>
      <c r="AP175" s="209" t="str">
        <f>IFERROR(VLOOKUP(TableHandbook[[#This Row],[UDC]],TableSTRUECOB1[],7,FALSE),"")</f>
        <v/>
      </c>
      <c r="AQ175" s="209" t="str">
        <f>IFERROR(VLOOKUP(TableHandbook[[#This Row],[UDC]],TableSTRUENGLB[],7,FALSE),"")</f>
        <v>Option</v>
      </c>
      <c r="AR175" s="209" t="str">
        <f>IFERROR(VLOOKUP(TableHandbook[[#This Row],[UDC]],TableSTRUENGLM[],7,FALSE),"")</f>
        <v/>
      </c>
      <c r="AS175" s="209" t="str">
        <f>IFERROR(VLOOKUP(TableHandbook[[#This Row],[UDC]],TableSTRUGEOB1[],7,FALSE),"")</f>
        <v/>
      </c>
      <c r="AT175" s="209" t="str">
        <f>IFERROR(VLOOKUP(TableHandbook[[#This Row],[UDC]],TableSTRUGEOGM[],7,FALSE),"")</f>
        <v/>
      </c>
      <c r="AU175" s="209" t="str">
        <f>IFERROR(VLOOKUP(TableHandbook[[#This Row],[UDC]],TableSTRUHISB1[],7,FALSE),"")</f>
        <v/>
      </c>
      <c r="AV175" s="209" t="str">
        <f>IFERROR(VLOOKUP(TableHandbook[[#This Row],[UDC]],TableSTRUHISTM[],7,FALSE),"")</f>
        <v/>
      </c>
      <c r="AW175" s="209" t="str">
        <f>IFERROR(VLOOKUP(TableHandbook[[#This Row],[UDC]],TableSTRUHPEB1[],7,FALSE),"")</f>
        <v>Option</v>
      </c>
      <c r="AX175" s="209" t="str">
        <f>IFERROR(VLOOKUP(TableHandbook[[#This Row],[UDC]],TableSTRUHUMBB[],7,FALSE),"")</f>
        <v/>
      </c>
      <c r="AY175" s="209" t="str">
        <f>IFERROR(VLOOKUP(TableHandbook[[#This Row],[UDC]],TableSTRUMARTM[],7,FALSE),"")</f>
        <v/>
      </c>
      <c r="AZ175" s="209" t="str">
        <f>IFERROR(VLOOKUP(TableHandbook[[#This Row],[UDC]],TableSTRUMATHB[],7,FALSE),"")</f>
        <v/>
      </c>
      <c r="BA175" s="209" t="str">
        <f>IFERROR(VLOOKUP(TableHandbook[[#This Row],[UDC]],TableSTRUMATHM[],7,FALSE),"")</f>
        <v/>
      </c>
      <c r="BB175" s="209" t="str">
        <f>IFERROR(VLOOKUP(TableHandbook[[#This Row],[UDC]],TableSTRUPARTB[],7,FALSE),"")</f>
        <v>Option</v>
      </c>
      <c r="BC175" s="209" t="str">
        <f>IFERROR(VLOOKUP(TableHandbook[[#This Row],[UDC]],TableSTRUPARTM[],7,FALSE),"")</f>
        <v/>
      </c>
      <c r="BD175" s="209" t="str">
        <f>IFERROR(VLOOKUP(TableHandbook[[#This Row],[UDC]],TableSTRUPOLB1[],7,FALSE),"")</f>
        <v/>
      </c>
      <c r="BE175" s="209" t="str">
        <f>IFERROR(VLOOKUP(TableHandbook[[#This Row],[UDC]],TableSTRUPSYCB[],7,FALSE),"")</f>
        <v/>
      </c>
      <c r="BF175" s="209" t="str">
        <f>IFERROR(VLOOKUP(TableHandbook[[#This Row],[UDC]],TableSTRUPSYCM[],7,FALSE),"")</f>
        <v/>
      </c>
      <c r="BG175" s="209" t="str">
        <f>IFERROR(VLOOKUP(TableHandbook[[#This Row],[UDC]],TableSTRUVARTB[],7,FALSE),"")</f>
        <v>Option</v>
      </c>
      <c r="BH175" s="209" t="str">
        <f>IFERROR(VLOOKUP(TableHandbook[[#This Row],[UDC]],TableSTRUVARTM[],7,FALSE),"")</f>
        <v/>
      </c>
    </row>
    <row r="176" spans="1:60" x14ac:dyDescent="0.25">
      <c r="A176" s="6" t="s">
        <v>179</v>
      </c>
      <c r="B176" s="7">
        <v>1</v>
      </c>
      <c r="C176" s="7"/>
      <c r="D176" s="207" t="s">
        <v>985</v>
      </c>
      <c r="E176" s="7">
        <v>25</v>
      </c>
      <c r="F176" s="84" t="s">
        <v>783</v>
      </c>
      <c r="G176" s="75" t="str">
        <f>IFERROR(IF(VLOOKUP(TableHandbook[[#This Row],[UDC]],TableAvailabilities[],2,FALSE)&gt;0,"Y",""),"")</f>
        <v>Y</v>
      </c>
      <c r="H176" s="75" t="str">
        <f>IFERROR(IF(VLOOKUP(TableHandbook[[#This Row],[UDC]],TableAvailabilities[],3,FALSE)&gt;0,"Y",""),"")</f>
        <v>Y</v>
      </c>
      <c r="I176" s="75" t="str">
        <f>IFERROR(IF(VLOOKUP(TableHandbook[[#This Row],[UDC]],TableAvailabilities[],4,FALSE)&gt;0,"Y",""),"")</f>
        <v/>
      </c>
      <c r="J176" s="75" t="str">
        <f>IFERROR(IF(VLOOKUP(TableHandbook[[#This Row],[UDC]],TableAvailabilities[],5,FALSE)&gt;0,"Y",""),"")</f>
        <v/>
      </c>
      <c r="K176" s="75" t="str">
        <f>IFERROR(IF(VLOOKUP(TableHandbook[[#This Row],[UDC]],TableAvailabilities[],6,FALSE)&gt;0,"Y",""),"")</f>
        <v/>
      </c>
      <c r="L176" s="75" t="str">
        <f>IFERROR(IF(VLOOKUP(TableHandbook[[#This Row],[UDC]],TableAvailabilities[],7,FALSE)&gt;0,"Y",""),"")</f>
        <v/>
      </c>
      <c r="M176" s="207"/>
      <c r="N176" s="209" t="str">
        <f>IFERROR(VLOOKUP(TableHandbook[[#This Row],[UDC]],TableBEDUC[],7,FALSE),"")</f>
        <v/>
      </c>
      <c r="O176" s="209" t="str">
        <f>IFERROR(VLOOKUP(TableHandbook[[#This Row],[UDC]],TableBEDEC[],7,FALSE),"")</f>
        <v>Option</v>
      </c>
      <c r="P176" s="211" t="str">
        <f>IFERROR(VLOOKUP(TableHandbook[[#This Row],[UDC]],TableBEDPR[],7,FALSE),"")</f>
        <v/>
      </c>
      <c r="Q176" s="209" t="str">
        <f>IFERROR(VLOOKUP(TableHandbook[[#This Row],[UDC]],TableSTRUCATHL[],7,FALSE),"")</f>
        <v/>
      </c>
      <c r="R176" s="209" t="str">
        <f>IFERROR(VLOOKUP(TableHandbook[[#This Row],[UDC]],TableSTRUENGLL[],7,FALSE),"")</f>
        <v/>
      </c>
      <c r="S176" s="209" t="str">
        <f>IFERROR(VLOOKUP(TableHandbook[[#This Row],[UDC]],TableSTRUHLTPE[],7,FALSE),"")</f>
        <v/>
      </c>
      <c r="T176" s="209" t="str">
        <f>IFERROR(VLOOKUP(TableHandbook[[#This Row],[UDC]],TableSTRUISTEM[],7,FALSE),"")</f>
        <v/>
      </c>
      <c r="U176" s="209" t="str">
        <f>IFERROR(VLOOKUP(TableHandbook[[#This Row],[UDC]],TableSTRULITNU[],7,FALSE),"")</f>
        <v/>
      </c>
      <c r="V176" s="209" t="str">
        <f>IFERROR(VLOOKUP(TableHandbook[[#This Row],[UDC]],TableSTRUTECHS[],7,FALSE),"")</f>
        <v>Core</v>
      </c>
      <c r="W176" s="211" t="str">
        <f>IFERROR(VLOOKUP(TableHandbook[[#This Row],[UDC]],TableBEDSC[],7,FALSE),"")</f>
        <v/>
      </c>
      <c r="X176" s="211" t="str">
        <f>IFERROR(VLOOKUP(TableHandbook[[#This Row],[UDC]],TableMJRUARDR1[],7,FALSE),"")</f>
        <v/>
      </c>
      <c r="Y176" s="209" t="str">
        <f>IFERROR(VLOOKUP(TableHandbook[[#This Row],[UDC]],TableMJRUARME1[],7,FALSE),"")</f>
        <v/>
      </c>
      <c r="Z176" s="209" t="str">
        <f>IFERROR(VLOOKUP(TableHandbook[[#This Row],[UDC]],TableMJRUARVA1[],7,FALSE),"")</f>
        <v/>
      </c>
      <c r="AA176" s="209" t="str">
        <f>IFERROR(VLOOKUP(TableHandbook[[#This Row],[UDC]],TableMJRUENGL1[],7,FALSE),"")</f>
        <v/>
      </c>
      <c r="AB176" s="209" t="str">
        <f>IFERROR(VLOOKUP(TableHandbook[[#This Row],[UDC]],TableMJRUHSEC1[],7,FALSE),"")</f>
        <v/>
      </c>
      <c r="AC176" s="209" t="str">
        <f>IFERROR(VLOOKUP(TableHandbook[[#This Row],[UDC]],TableMJRUHSGE1[],7,FALSE),"")</f>
        <v/>
      </c>
      <c r="AD176" s="209" t="str">
        <f>IFERROR(VLOOKUP(TableHandbook[[#This Row],[UDC]],TableMJRUHSHI1[],7,FALSE),"")</f>
        <v/>
      </c>
      <c r="AE176" s="209" t="str">
        <f>IFERROR(VLOOKUP(TableHandbook[[#This Row],[UDC]],TableMJRUHSPL1[],7,FALSE),"")</f>
        <v/>
      </c>
      <c r="AF176" s="209" t="str">
        <f>IFERROR(VLOOKUP(TableHandbook[[#This Row],[UDC]],TableMJRUMATH1[],7,FALSE),"")</f>
        <v/>
      </c>
      <c r="AG176" s="209" t="str">
        <f>IFERROR(VLOOKUP(TableHandbook[[#This Row],[UDC]],TableMJRUPHYSE[],7,FALSE),"")</f>
        <v/>
      </c>
      <c r="AH176" s="209" t="str">
        <f>IFERROR(VLOOKUP(TableHandbook[[#This Row],[UDC]],TableMJRUSCBI1[],7,FALSE),"")</f>
        <v/>
      </c>
      <c r="AI176" s="209" t="str">
        <f>IFERROR(VLOOKUP(TableHandbook[[#This Row],[UDC]],TableMJRUSCCH1[],7,FALSE),"")</f>
        <v/>
      </c>
      <c r="AJ176" s="209" t="str">
        <f>IFERROR(VLOOKUP(TableHandbook[[#This Row],[UDC]],TableMJRUSCHB1[],7,FALSE),"")</f>
        <v/>
      </c>
      <c r="AK176" s="209" t="str">
        <f>IFERROR(VLOOKUP(TableHandbook[[#This Row],[UDC]],TableMJRUSCPH1[],7,FALSE),"")</f>
        <v/>
      </c>
      <c r="AL176" s="209" t="str">
        <f>IFERROR(VLOOKUP(TableHandbook[[#This Row],[UDC]],TableMJRUSCPS1[],7,FALSE),"")</f>
        <v/>
      </c>
      <c r="AM176" s="211" t="str">
        <f>IFERROR(VLOOKUP(TableHandbook[[#This Row],[UDC]],TableSTRUBIOLB[],7,FALSE),"")</f>
        <v/>
      </c>
      <c r="AN176" s="209" t="str">
        <f>IFERROR(VLOOKUP(TableHandbook[[#This Row],[UDC]],TableSTRUBSCIM[],7,FALSE),"")</f>
        <v/>
      </c>
      <c r="AO176" s="209" t="str">
        <f>IFERROR(VLOOKUP(TableHandbook[[#This Row],[UDC]],TableSTRUCHEMB[],7,FALSE),"")</f>
        <v/>
      </c>
      <c r="AP176" s="209" t="str">
        <f>IFERROR(VLOOKUP(TableHandbook[[#This Row],[UDC]],TableSTRUECOB1[],7,FALSE),"")</f>
        <v/>
      </c>
      <c r="AQ176" s="209" t="str">
        <f>IFERROR(VLOOKUP(TableHandbook[[#This Row],[UDC]],TableSTRUENGLB[],7,FALSE),"")</f>
        <v/>
      </c>
      <c r="AR176" s="209" t="str">
        <f>IFERROR(VLOOKUP(TableHandbook[[#This Row],[UDC]],TableSTRUENGLM[],7,FALSE),"")</f>
        <v/>
      </c>
      <c r="AS176" s="209" t="str">
        <f>IFERROR(VLOOKUP(TableHandbook[[#This Row],[UDC]],TableSTRUGEOB1[],7,FALSE),"")</f>
        <v/>
      </c>
      <c r="AT176" s="209" t="str">
        <f>IFERROR(VLOOKUP(TableHandbook[[#This Row],[UDC]],TableSTRUGEOGM[],7,FALSE),"")</f>
        <v/>
      </c>
      <c r="AU176" s="209" t="str">
        <f>IFERROR(VLOOKUP(TableHandbook[[#This Row],[UDC]],TableSTRUHISB1[],7,FALSE),"")</f>
        <v/>
      </c>
      <c r="AV176" s="209" t="str">
        <f>IFERROR(VLOOKUP(TableHandbook[[#This Row],[UDC]],TableSTRUHISTM[],7,FALSE),"")</f>
        <v/>
      </c>
      <c r="AW176" s="209" t="str">
        <f>IFERROR(VLOOKUP(TableHandbook[[#This Row],[UDC]],TableSTRUHPEB1[],7,FALSE),"")</f>
        <v>Option</v>
      </c>
      <c r="AX176" s="209" t="str">
        <f>IFERROR(VLOOKUP(TableHandbook[[#This Row],[UDC]],TableSTRUHUMBB[],7,FALSE),"")</f>
        <v/>
      </c>
      <c r="AY176" s="209" t="str">
        <f>IFERROR(VLOOKUP(TableHandbook[[#This Row],[UDC]],TableSTRUMARTM[],7,FALSE),"")</f>
        <v/>
      </c>
      <c r="AZ176" s="209" t="str">
        <f>IFERROR(VLOOKUP(TableHandbook[[#This Row],[UDC]],TableSTRUMATHB[],7,FALSE),"")</f>
        <v>Option</v>
      </c>
      <c r="BA176" s="209" t="str">
        <f>IFERROR(VLOOKUP(TableHandbook[[#This Row],[UDC]],TableSTRUMATHM[],7,FALSE),"")</f>
        <v/>
      </c>
      <c r="BB176" s="209" t="str">
        <f>IFERROR(VLOOKUP(TableHandbook[[#This Row],[UDC]],TableSTRUPARTB[],7,FALSE),"")</f>
        <v>Option</v>
      </c>
      <c r="BC176" s="209" t="str">
        <f>IFERROR(VLOOKUP(TableHandbook[[#This Row],[UDC]],TableSTRUPARTM[],7,FALSE),"")</f>
        <v/>
      </c>
      <c r="BD176" s="209" t="str">
        <f>IFERROR(VLOOKUP(TableHandbook[[#This Row],[UDC]],TableSTRUPOLB1[],7,FALSE),"")</f>
        <v/>
      </c>
      <c r="BE176" s="209" t="str">
        <f>IFERROR(VLOOKUP(TableHandbook[[#This Row],[UDC]],TableSTRUPSYCB[],7,FALSE),"")</f>
        <v/>
      </c>
      <c r="BF176" s="209" t="str">
        <f>IFERROR(VLOOKUP(TableHandbook[[#This Row],[UDC]],TableSTRUPSYCM[],7,FALSE),"")</f>
        <v/>
      </c>
      <c r="BG176" s="209" t="str">
        <f>IFERROR(VLOOKUP(TableHandbook[[#This Row],[UDC]],TableSTRUVARTB[],7,FALSE),"")</f>
        <v>Option</v>
      </c>
      <c r="BH176" s="209" t="str">
        <f>IFERROR(VLOOKUP(TableHandbook[[#This Row],[UDC]],TableSTRUVARTM[],7,FALSE),"")</f>
        <v/>
      </c>
    </row>
    <row r="177" spans="1:60" x14ac:dyDescent="0.25">
      <c r="A177" s="6" t="s">
        <v>155</v>
      </c>
      <c r="B177" s="7">
        <v>1</v>
      </c>
      <c r="C177" s="7"/>
      <c r="D177" s="207" t="s">
        <v>986</v>
      </c>
      <c r="E177" s="7">
        <v>100</v>
      </c>
      <c r="F177" s="311" t="s">
        <v>987</v>
      </c>
      <c r="G177" s="75" t="str">
        <f>IFERROR(IF(VLOOKUP(TableHandbook[[#This Row],[UDC]],TableAvailabilities[],2,FALSE)&gt;0,"Y",""),"")</f>
        <v/>
      </c>
      <c r="H177" s="75" t="str">
        <f>IFERROR(IF(VLOOKUP(TableHandbook[[#This Row],[UDC]],TableAvailabilities[],3,FALSE)&gt;0,"Y",""),"")</f>
        <v/>
      </c>
      <c r="I177" s="75" t="str">
        <f>IFERROR(IF(VLOOKUP(TableHandbook[[#This Row],[UDC]],TableAvailabilities[],4,FALSE)&gt;0,"Y",""),"")</f>
        <v/>
      </c>
      <c r="J177" s="75" t="str">
        <f>IFERROR(IF(VLOOKUP(TableHandbook[[#This Row],[UDC]],TableAvailabilities[],5,FALSE)&gt;0,"Y",""),"")</f>
        <v/>
      </c>
      <c r="K177" s="75" t="str">
        <f>IFERROR(IF(VLOOKUP(TableHandbook[[#This Row],[UDC]],TableAvailabilities[],6,FALSE)&gt;0,"Y",""),"")</f>
        <v/>
      </c>
      <c r="L177" s="75" t="str">
        <f>IFERROR(IF(VLOOKUP(TableHandbook[[#This Row],[UDC]],TableAvailabilities[],7,FALSE)&gt;0,"Y",""),"")</f>
        <v/>
      </c>
      <c r="M177" s="207"/>
      <c r="N177" s="209" t="str">
        <f>IFERROR(VLOOKUP(TableHandbook[[#This Row],[UDC]],TableBEDUC[],7,FALSE),"")</f>
        <v/>
      </c>
      <c r="O177" s="209" t="str">
        <f>IFERROR(VLOOKUP(TableHandbook[[#This Row],[UDC]],TableBEDEC[],7,FALSE),"")</f>
        <v>Core</v>
      </c>
      <c r="P177" s="211" t="str">
        <f>IFERROR(VLOOKUP(TableHandbook[[#This Row],[UDC]],TableBEDPR[],7,FALSE),"")</f>
        <v>Core</v>
      </c>
      <c r="Q177" s="209" t="str">
        <f>IFERROR(VLOOKUP(TableHandbook[[#This Row],[UDC]],TableSTRUCATHL[],7,FALSE),"")</f>
        <v/>
      </c>
      <c r="R177" s="209" t="str">
        <f>IFERROR(VLOOKUP(TableHandbook[[#This Row],[UDC]],TableSTRUENGLL[],7,FALSE),"")</f>
        <v/>
      </c>
      <c r="S177" s="209" t="str">
        <f>IFERROR(VLOOKUP(TableHandbook[[#This Row],[UDC]],TableSTRUHLTPE[],7,FALSE),"")</f>
        <v/>
      </c>
      <c r="T177" s="209" t="str">
        <f>IFERROR(VLOOKUP(TableHandbook[[#This Row],[UDC]],TableSTRUISTEM[],7,FALSE),"")</f>
        <v/>
      </c>
      <c r="U177" s="209" t="str">
        <f>IFERROR(VLOOKUP(TableHandbook[[#This Row],[UDC]],TableSTRULITNU[],7,FALSE),"")</f>
        <v/>
      </c>
      <c r="V177" s="209" t="str">
        <f>IFERROR(VLOOKUP(TableHandbook[[#This Row],[UDC]],TableSTRUTECHS[],7,FALSE),"")</f>
        <v/>
      </c>
      <c r="W177" s="211" t="str">
        <f>IFERROR(VLOOKUP(TableHandbook[[#This Row],[UDC]],TableBEDSC[],7,FALSE),"")</f>
        <v>Core</v>
      </c>
      <c r="X177" s="211" t="str">
        <f>IFERROR(VLOOKUP(TableHandbook[[#This Row],[UDC]],TableMJRUARDR1[],7,FALSE),"")</f>
        <v/>
      </c>
      <c r="Y177" s="209" t="str">
        <f>IFERROR(VLOOKUP(TableHandbook[[#This Row],[UDC]],TableMJRUARME1[],7,FALSE),"")</f>
        <v/>
      </c>
      <c r="Z177" s="209" t="str">
        <f>IFERROR(VLOOKUP(TableHandbook[[#This Row],[UDC]],TableMJRUARVA1[],7,FALSE),"")</f>
        <v/>
      </c>
      <c r="AA177" s="209" t="str">
        <f>IFERROR(VLOOKUP(TableHandbook[[#This Row],[UDC]],TableMJRUENGL1[],7,FALSE),"")</f>
        <v/>
      </c>
      <c r="AB177" s="209" t="str">
        <f>IFERROR(VLOOKUP(TableHandbook[[#This Row],[UDC]],TableMJRUHSEC1[],7,FALSE),"")</f>
        <v/>
      </c>
      <c r="AC177" s="209" t="str">
        <f>IFERROR(VLOOKUP(TableHandbook[[#This Row],[UDC]],TableMJRUHSGE1[],7,FALSE),"")</f>
        <v/>
      </c>
      <c r="AD177" s="209" t="str">
        <f>IFERROR(VLOOKUP(TableHandbook[[#This Row],[UDC]],TableMJRUHSHI1[],7,FALSE),"")</f>
        <v/>
      </c>
      <c r="AE177" s="209" t="str">
        <f>IFERROR(VLOOKUP(TableHandbook[[#This Row],[UDC]],TableMJRUHSPL1[],7,FALSE),"")</f>
        <v/>
      </c>
      <c r="AF177" s="209" t="str">
        <f>IFERROR(VLOOKUP(TableHandbook[[#This Row],[UDC]],TableMJRUMATH1[],7,FALSE),"")</f>
        <v/>
      </c>
      <c r="AG177" s="209" t="str">
        <f>IFERROR(VLOOKUP(TableHandbook[[#This Row],[UDC]],TableMJRUPHYSE[],7,FALSE),"")</f>
        <v/>
      </c>
      <c r="AH177" s="209" t="str">
        <f>IFERROR(VLOOKUP(TableHandbook[[#This Row],[UDC]],TableMJRUSCBI1[],7,FALSE),"")</f>
        <v/>
      </c>
      <c r="AI177" s="209" t="str">
        <f>IFERROR(VLOOKUP(TableHandbook[[#This Row],[UDC]],TableMJRUSCCH1[],7,FALSE),"")</f>
        <v/>
      </c>
      <c r="AJ177" s="209" t="str">
        <f>IFERROR(VLOOKUP(TableHandbook[[#This Row],[UDC]],TableMJRUSCHB1[],7,FALSE),"")</f>
        <v/>
      </c>
      <c r="AK177" s="209" t="str">
        <f>IFERROR(VLOOKUP(TableHandbook[[#This Row],[UDC]],TableMJRUSCPH1[],7,FALSE),"")</f>
        <v/>
      </c>
      <c r="AL177" s="209" t="str">
        <f>IFERROR(VLOOKUP(TableHandbook[[#This Row],[UDC]],TableMJRUSCPS1[],7,FALSE),"")</f>
        <v/>
      </c>
      <c r="AM177" s="211" t="str">
        <f>IFERROR(VLOOKUP(TableHandbook[[#This Row],[UDC]],TableSTRUBIOLB[],7,FALSE),"")</f>
        <v/>
      </c>
      <c r="AN177" s="209" t="str">
        <f>IFERROR(VLOOKUP(TableHandbook[[#This Row],[UDC]],TableSTRUBSCIM[],7,FALSE),"")</f>
        <v/>
      </c>
      <c r="AO177" s="209" t="str">
        <f>IFERROR(VLOOKUP(TableHandbook[[#This Row],[UDC]],TableSTRUCHEMB[],7,FALSE),"")</f>
        <v/>
      </c>
      <c r="AP177" s="209" t="str">
        <f>IFERROR(VLOOKUP(TableHandbook[[#This Row],[UDC]],TableSTRUECOB1[],7,FALSE),"")</f>
        <v/>
      </c>
      <c r="AQ177" s="209" t="str">
        <f>IFERROR(VLOOKUP(TableHandbook[[#This Row],[UDC]],TableSTRUENGLB[],7,FALSE),"")</f>
        <v/>
      </c>
      <c r="AR177" s="209" t="str">
        <f>IFERROR(VLOOKUP(TableHandbook[[#This Row],[UDC]],TableSTRUENGLM[],7,FALSE),"")</f>
        <v/>
      </c>
      <c r="AS177" s="209" t="str">
        <f>IFERROR(VLOOKUP(TableHandbook[[#This Row],[UDC]],TableSTRUGEOB1[],7,FALSE),"")</f>
        <v/>
      </c>
      <c r="AT177" s="209" t="str">
        <f>IFERROR(VLOOKUP(TableHandbook[[#This Row],[UDC]],TableSTRUGEOGM[],7,FALSE),"")</f>
        <v/>
      </c>
      <c r="AU177" s="209" t="str">
        <f>IFERROR(VLOOKUP(TableHandbook[[#This Row],[UDC]],TableSTRUHISB1[],7,FALSE),"")</f>
        <v/>
      </c>
      <c r="AV177" s="209" t="str">
        <f>IFERROR(VLOOKUP(TableHandbook[[#This Row],[UDC]],TableSTRUHISTM[],7,FALSE),"")</f>
        <v/>
      </c>
      <c r="AW177" s="209" t="str">
        <f>IFERROR(VLOOKUP(TableHandbook[[#This Row],[UDC]],TableSTRUHPEB1[],7,FALSE),"")</f>
        <v/>
      </c>
      <c r="AX177" s="209" t="str">
        <f>IFERROR(VLOOKUP(TableHandbook[[#This Row],[UDC]],TableSTRUHUMBB[],7,FALSE),"")</f>
        <v/>
      </c>
      <c r="AY177" s="209" t="str">
        <f>IFERROR(VLOOKUP(TableHandbook[[#This Row],[UDC]],TableSTRUMARTM[],7,FALSE),"")</f>
        <v/>
      </c>
      <c r="AZ177" s="209" t="str">
        <f>IFERROR(VLOOKUP(TableHandbook[[#This Row],[UDC]],TableSTRUMATHB[],7,FALSE),"")</f>
        <v/>
      </c>
      <c r="BA177" s="209" t="str">
        <f>IFERROR(VLOOKUP(TableHandbook[[#This Row],[UDC]],TableSTRUMATHM[],7,FALSE),"")</f>
        <v/>
      </c>
      <c r="BB177" s="209" t="str">
        <f>IFERROR(VLOOKUP(TableHandbook[[#This Row],[UDC]],TableSTRUPARTB[],7,FALSE),"")</f>
        <v/>
      </c>
      <c r="BC177" s="209" t="str">
        <f>IFERROR(VLOOKUP(TableHandbook[[#This Row],[UDC]],TableSTRUPARTM[],7,FALSE),"")</f>
        <v/>
      </c>
      <c r="BD177" s="209" t="str">
        <f>IFERROR(VLOOKUP(TableHandbook[[#This Row],[UDC]],TableSTRUPOLB1[],7,FALSE),"")</f>
        <v/>
      </c>
      <c r="BE177" s="209" t="str">
        <f>IFERROR(VLOOKUP(TableHandbook[[#This Row],[UDC]],TableSTRUPSYCB[],7,FALSE),"")</f>
        <v/>
      </c>
      <c r="BF177" s="209" t="str">
        <f>IFERROR(VLOOKUP(TableHandbook[[#This Row],[UDC]],TableSTRUPSYCM[],7,FALSE),"")</f>
        <v/>
      </c>
      <c r="BG177" s="209" t="str">
        <f>IFERROR(VLOOKUP(TableHandbook[[#This Row],[UDC]],TableSTRUVARTB[],7,FALSE),"")</f>
        <v/>
      </c>
      <c r="BH177" s="209" t="str">
        <f>IFERROR(VLOOKUP(TableHandbook[[#This Row],[UDC]],TableSTRUVARTM[],7,FALSE),"")</f>
        <v/>
      </c>
    </row>
    <row r="178" spans="1:60" x14ac:dyDescent="0.25">
      <c r="A178" s="6" t="s">
        <v>171</v>
      </c>
      <c r="B178" s="7">
        <v>1</v>
      </c>
      <c r="C178" s="7"/>
      <c r="D178" s="207" t="s">
        <v>988</v>
      </c>
      <c r="E178" s="7">
        <v>25</v>
      </c>
      <c r="F178" s="84" t="s">
        <v>783</v>
      </c>
      <c r="G178" s="75" t="str">
        <f>IFERROR(IF(VLOOKUP(TableHandbook[[#This Row],[UDC]],TableAvailabilities[],2,FALSE)&gt;0,"Y",""),"")</f>
        <v/>
      </c>
      <c r="H178" s="75" t="str">
        <f>IFERROR(IF(VLOOKUP(TableHandbook[[#This Row],[UDC]],TableAvailabilities[],3,FALSE)&gt;0,"Y",""),"")</f>
        <v>Y</v>
      </c>
      <c r="I178" s="75" t="str">
        <f>IFERROR(IF(VLOOKUP(TableHandbook[[#This Row],[UDC]],TableAvailabilities[],4,FALSE)&gt;0,"Y",""),"")</f>
        <v/>
      </c>
      <c r="J178" s="75" t="str">
        <f>IFERROR(IF(VLOOKUP(TableHandbook[[#This Row],[UDC]],TableAvailabilities[],5,FALSE)&gt;0,"Y",""),"")</f>
        <v/>
      </c>
      <c r="K178" s="75" t="str">
        <f>IFERROR(IF(VLOOKUP(TableHandbook[[#This Row],[UDC]],TableAvailabilities[],6,FALSE)&gt;0,"Y",""),"")</f>
        <v/>
      </c>
      <c r="L178" s="75" t="str">
        <f>IFERROR(IF(VLOOKUP(TableHandbook[[#This Row],[UDC]],TableAvailabilities[],7,FALSE)&gt;0,"Y",""),"")</f>
        <v/>
      </c>
      <c r="M178" s="207"/>
      <c r="N178" s="209" t="str">
        <f>IFERROR(VLOOKUP(TableHandbook[[#This Row],[UDC]],TableBEDUC[],7,FALSE),"")</f>
        <v/>
      </c>
      <c r="O178" s="209" t="str">
        <f>IFERROR(VLOOKUP(TableHandbook[[#This Row],[UDC]],TableBEDEC[],7,FALSE),"")</f>
        <v>Option</v>
      </c>
      <c r="P178" s="211" t="str">
        <f>IFERROR(VLOOKUP(TableHandbook[[#This Row],[UDC]],TableBEDPR[],7,FALSE),"")</f>
        <v/>
      </c>
      <c r="Q178" s="209" t="str">
        <f>IFERROR(VLOOKUP(TableHandbook[[#This Row],[UDC]],TableSTRUCATHL[],7,FALSE),"")</f>
        <v/>
      </c>
      <c r="R178" s="209" t="str">
        <f>IFERROR(VLOOKUP(TableHandbook[[#This Row],[UDC]],TableSTRUENGLL[],7,FALSE),"")</f>
        <v/>
      </c>
      <c r="S178" s="209" t="str">
        <f>IFERROR(VLOOKUP(TableHandbook[[#This Row],[UDC]],TableSTRUHLTPE[],7,FALSE),"")</f>
        <v/>
      </c>
      <c r="T178" s="209" t="str">
        <f>IFERROR(VLOOKUP(TableHandbook[[#This Row],[UDC]],TableSTRUISTEM[],7,FALSE),"")</f>
        <v/>
      </c>
      <c r="U178" s="209" t="str">
        <f>IFERROR(VLOOKUP(TableHandbook[[#This Row],[UDC]],TableSTRULITNU[],7,FALSE),"")</f>
        <v>Core</v>
      </c>
      <c r="V178" s="209" t="str">
        <f>IFERROR(VLOOKUP(TableHandbook[[#This Row],[UDC]],TableSTRUTECHS[],7,FALSE),"")</f>
        <v/>
      </c>
      <c r="W178" s="211" t="str">
        <f>IFERROR(VLOOKUP(TableHandbook[[#This Row],[UDC]],TableBEDSC[],7,FALSE),"")</f>
        <v/>
      </c>
      <c r="X178" s="211" t="str">
        <f>IFERROR(VLOOKUP(TableHandbook[[#This Row],[UDC]],TableMJRUARDR1[],7,FALSE),"")</f>
        <v/>
      </c>
      <c r="Y178" s="209" t="str">
        <f>IFERROR(VLOOKUP(TableHandbook[[#This Row],[UDC]],TableMJRUARME1[],7,FALSE),"")</f>
        <v/>
      </c>
      <c r="Z178" s="209" t="str">
        <f>IFERROR(VLOOKUP(TableHandbook[[#This Row],[UDC]],TableMJRUARVA1[],7,FALSE),"")</f>
        <v/>
      </c>
      <c r="AA178" s="209" t="str">
        <f>IFERROR(VLOOKUP(TableHandbook[[#This Row],[UDC]],TableMJRUENGL1[],7,FALSE),"")</f>
        <v/>
      </c>
      <c r="AB178" s="209" t="str">
        <f>IFERROR(VLOOKUP(TableHandbook[[#This Row],[UDC]],TableMJRUHSEC1[],7,FALSE),"")</f>
        <v/>
      </c>
      <c r="AC178" s="209" t="str">
        <f>IFERROR(VLOOKUP(TableHandbook[[#This Row],[UDC]],TableMJRUHSGE1[],7,FALSE),"")</f>
        <v/>
      </c>
      <c r="AD178" s="209" t="str">
        <f>IFERROR(VLOOKUP(TableHandbook[[#This Row],[UDC]],TableMJRUHSHI1[],7,FALSE),"")</f>
        <v/>
      </c>
      <c r="AE178" s="209" t="str">
        <f>IFERROR(VLOOKUP(TableHandbook[[#This Row],[UDC]],TableMJRUHSPL1[],7,FALSE),"")</f>
        <v/>
      </c>
      <c r="AF178" s="209" t="str">
        <f>IFERROR(VLOOKUP(TableHandbook[[#This Row],[UDC]],TableMJRUMATH1[],7,FALSE),"")</f>
        <v/>
      </c>
      <c r="AG178" s="209" t="str">
        <f>IFERROR(VLOOKUP(TableHandbook[[#This Row],[UDC]],TableMJRUPHYSE[],7,FALSE),"")</f>
        <v/>
      </c>
      <c r="AH178" s="209" t="str">
        <f>IFERROR(VLOOKUP(TableHandbook[[#This Row],[UDC]],TableMJRUSCBI1[],7,FALSE),"")</f>
        <v/>
      </c>
      <c r="AI178" s="209" t="str">
        <f>IFERROR(VLOOKUP(TableHandbook[[#This Row],[UDC]],TableMJRUSCCH1[],7,FALSE),"")</f>
        <v/>
      </c>
      <c r="AJ178" s="209" t="str">
        <f>IFERROR(VLOOKUP(TableHandbook[[#This Row],[UDC]],TableMJRUSCHB1[],7,FALSE),"")</f>
        <v/>
      </c>
      <c r="AK178" s="209" t="str">
        <f>IFERROR(VLOOKUP(TableHandbook[[#This Row],[UDC]],TableMJRUSCPH1[],7,FALSE),"")</f>
        <v/>
      </c>
      <c r="AL178" s="209" t="str">
        <f>IFERROR(VLOOKUP(TableHandbook[[#This Row],[UDC]],TableMJRUSCPS1[],7,FALSE),"")</f>
        <v/>
      </c>
      <c r="AM178" s="211" t="str">
        <f>IFERROR(VLOOKUP(TableHandbook[[#This Row],[UDC]],TableSTRUBIOLB[],7,FALSE),"")</f>
        <v/>
      </c>
      <c r="AN178" s="209" t="str">
        <f>IFERROR(VLOOKUP(TableHandbook[[#This Row],[UDC]],TableSTRUBSCIM[],7,FALSE),"")</f>
        <v/>
      </c>
      <c r="AO178" s="209" t="str">
        <f>IFERROR(VLOOKUP(TableHandbook[[#This Row],[UDC]],TableSTRUCHEMB[],7,FALSE),"")</f>
        <v/>
      </c>
      <c r="AP178" s="209" t="str">
        <f>IFERROR(VLOOKUP(TableHandbook[[#This Row],[UDC]],TableSTRUECOB1[],7,FALSE),"")</f>
        <v>Option</v>
      </c>
      <c r="AQ178" s="209" t="str">
        <f>IFERROR(VLOOKUP(TableHandbook[[#This Row],[UDC]],TableSTRUENGLB[],7,FALSE),"")</f>
        <v>Option</v>
      </c>
      <c r="AR178" s="209" t="str">
        <f>IFERROR(VLOOKUP(TableHandbook[[#This Row],[UDC]],TableSTRUENGLM[],7,FALSE),"")</f>
        <v/>
      </c>
      <c r="AS178" s="209" t="str">
        <f>IFERROR(VLOOKUP(TableHandbook[[#This Row],[UDC]],TableSTRUGEOB1[],7,FALSE),"")</f>
        <v>Option</v>
      </c>
      <c r="AT178" s="209" t="str">
        <f>IFERROR(VLOOKUP(TableHandbook[[#This Row],[UDC]],TableSTRUGEOGM[],7,FALSE),"")</f>
        <v/>
      </c>
      <c r="AU178" s="209" t="str">
        <f>IFERROR(VLOOKUP(TableHandbook[[#This Row],[UDC]],TableSTRUHISB1[],7,FALSE),"")</f>
        <v>Option</v>
      </c>
      <c r="AV178" s="209" t="str">
        <f>IFERROR(VLOOKUP(TableHandbook[[#This Row],[UDC]],TableSTRUHISTM[],7,FALSE),"")</f>
        <v/>
      </c>
      <c r="AW178" s="209" t="str">
        <f>IFERROR(VLOOKUP(TableHandbook[[#This Row],[UDC]],TableSTRUHPEB1[],7,FALSE),"")</f>
        <v>Option</v>
      </c>
      <c r="AX178" s="209" t="str">
        <f>IFERROR(VLOOKUP(TableHandbook[[#This Row],[UDC]],TableSTRUHUMBB[],7,FALSE),"")</f>
        <v/>
      </c>
      <c r="AY178" s="209" t="str">
        <f>IFERROR(VLOOKUP(TableHandbook[[#This Row],[UDC]],TableSTRUMARTM[],7,FALSE),"")</f>
        <v/>
      </c>
      <c r="AZ178" s="209" t="str">
        <f>IFERROR(VLOOKUP(TableHandbook[[#This Row],[UDC]],TableSTRUMATHB[],7,FALSE),"")</f>
        <v>Option</v>
      </c>
      <c r="BA178" s="209" t="str">
        <f>IFERROR(VLOOKUP(TableHandbook[[#This Row],[UDC]],TableSTRUMATHM[],7,FALSE),"")</f>
        <v/>
      </c>
      <c r="BB178" s="209" t="str">
        <f>IFERROR(VLOOKUP(TableHandbook[[#This Row],[UDC]],TableSTRUPARTB[],7,FALSE),"")</f>
        <v>Option</v>
      </c>
      <c r="BC178" s="209" t="str">
        <f>IFERROR(VLOOKUP(TableHandbook[[#This Row],[UDC]],TableSTRUPARTM[],7,FALSE),"")</f>
        <v/>
      </c>
      <c r="BD178" s="209" t="str">
        <f>IFERROR(VLOOKUP(TableHandbook[[#This Row],[UDC]],TableSTRUPOLB1[],7,FALSE),"")</f>
        <v>Option</v>
      </c>
      <c r="BE178" s="209" t="str">
        <f>IFERROR(VLOOKUP(TableHandbook[[#This Row],[UDC]],TableSTRUPSYCB[],7,FALSE),"")</f>
        <v/>
      </c>
      <c r="BF178" s="209" t="str">
        <f>IFERROR(VLOOKUP(TableHandbook[[#This Row],[UDC]],TableSTRUPSYCM[],7,FALSE),"")</f>
        <v/>
      </c>
      <c r="BG178" s="209" t="str">
        <f>IFERROR(VLOOKUP(TableHandbook[[#This Row],[UDC]],TableSTRUVARTB[],7,FALSE),"")</f>
        <v/>
      </c>
      <c r="BH178" s="209" t="str">
        <f>IFERROR(VLOOKUP(TableHandbook[[#This Row],[UDC]],TableSTRUVARTM[],7,FALSE),"")</f>
        <v/>
      </c>
    </row>
    <row r="179" spans="1:60" x14ac:dyDescent="0.25">
      <c r="A179" s="6" t="s">
        <v>178</v>
      </c>
      <c r="B179" s="7">
        <v>2</v>
      </c>
      <c r="C179" s="7"/>
      <c r="D179" s="207" t="s">
        <v>989</v>
      </c>
      <c r="E179" s="7">
        <v>25</v>
      </c>
      <c r="F179" s="84" t="s">
        <v>783</v>
      </c>
      <c r="G179" s="75" t="str">
        <f>IFERROR(IF(VLOOKUP(TableHandbook[[#This Row],[UDC]],TableAvailabilities[],2,FALSE)&gt;0,"Y",""),"")</f>
        <v/>
      </c>
      <c r="H179" s="75" t="str">
        <f>IFERROR(IF(VLOOKUP(TableHandbook[[#This Row],[UDC]],TableAvailabilities[],3,FALSE)&gt;0,"Y",""),"")</f>
        <v/>
      </c>
      <c r="I179" s="75" t="str">
        <f>IFERROR(IF(VLOOKUP(TableHandbook[[#This Row],[UDC]],TableAvailabilities[],4,FALSE)&gt;0,"Y",""),"")</f>
        <v/>
      </c>
      <c r="J179" s="75" t="str">
        <f>IFERROR(IF(VLOOKUP(TableHandbook[[#This Row],[UDC]],TableAvailabilities[],5,FALSE)&gt;0,"Y",""),"")</f>
        <v>Y</v>
      </c>
      <c r="K179" s="75" t="str">
        <f>IFERROR(IF(VLOOKUP(TableHandbook[[#This Row],[UDC]],TableAvailabilities[],6,FALSE)&gt;0,"Y",""),"")</f>
        <v>Y</v>
      </c>
      <c r="L179" s="75" t="str">
        <f>IFERROR(IF(VLOOKUP(TableHandbook[[#This Row],[UDC]],TableAvailabilities[],7,FALSE)&gt;0,"Y",""),"")</f>
        <v/>
      </c>
      <c r="M179" s="207"/>
      <c r="N179" s="209" t="str">
        <f>IFERROR(VLOOKUP(TableHandbook[[#This Row],[UDC]],TableBEDUC[],7,FALSE),"")</f>
        <v/>
      </c>
      <c r="O179" s="209" t="str">
        <f>IFERROR(VLOOKUP(TableHandbook[[#This Row],[UDC]],TableBEDEC[],7,FALSE),"")</f>
        <v>Option</v>
      </c>
      <c r="P179" s="211" t="str">
        <f>IFERROR(VLOOKUP(TableHandbook[[#This Row],[UDC]],TableBEDPR[],7,FALSE),"")</f>
        <v/>
      </c>
      <c r="Q179" s="209" t="str">
        <f>IFERROR(VLOOKUP(TableHandbook[[#This Row],[UDC]],TableSTRUCATHL[],7,FALSE),"")</f>
        <v/>
      </c>
      <c r="R179" s="209" t="str">
        <f>IFERROR(VLOOKUP(TableHandbook[[#This Row],[UDC]],TableSTRUENGLL[],7,FALSE),"")</f>
        <v/>
      </c>
      <c r="S179" s="209" t="str">
        <f>IFERROR(VLOOKUP(TableHandbook[[#This Row],[UDC]],TableSTRUHLTPE[],7,FALSE),"")</f>
        <v/>
      </c>
      <c r="T179" s="209" t="str">
        <f>IFERROR(VLOOKUP(TableHandbook[[#This Row],[UDC]],TableSTRUISTEM[],7,FALSE),"")</f>
        <v/>
      </c>
      <c r="U179" s="209" t="str">
        <f>IFERROR(VLOOKUP(TableHandbook[[#This Row],[UDC]],TableSTRULITNU[],7,FALSE),"")</f>
        <v>Core</v>
      </c>
      <c r="V179" s="209" t="str">
        <f>IFERROR(VLOOKUP(TableHandbook[[#This Row],[UDC]],TableSTRUTECHS[],7,FALSE),"")</f>
        <v/>
      </c>
      <c r="W179" s="211" t="str">
        <f>IFERROR(VLOOKUP(TableHandbook[[#This Row],[UDC]],TableBEDSC[],7,FALSE),"")</f>
        <v/>
      </c>
      <c r="X179" s="211" t="str">
        <f>IFERROR(VLOOKUP(TableHandbook[[#This Row],[UDC]],TableMJRUARDR1[],7,FALSE),"")</f>
        <v/>
      </c>
      <c r="Y179" s="209" t="str">
        <f>IFERROR(VLOOKUP(TableHandbook[[#This Row],[UDC]],TableMJRUARME1[],7,FALSE),"")</f>
        <v/>
      </c>
      <c r="Z179" s="209" t="str">
        <f>IFERROR(VLOOKUP(TableHandbook[[#This Row],[UDC]],TableMJRUARVA1[],7,FALSE),"")</f>
        <v/>
      </c>
      <c r="AA179" s="209" t="str">
        <f>IFERROR(VLOOKUP(TableHandbook[[#This Row],[UDC]],TableMJRUENGL1[],7,FALSE),"")</f>
        <v/>
      </c>
      <c r="AB179" s="209" t="str">
        <f>IFERROR(VLOOKUP(TableHandbook[[#This Row],[UDC]],TableMJRUHSEC1[],7,FALSE),"")</f>
        <v/>
      </c>
      <c r="AC179" s="209" t="str">
        <f>IFERROR(VLOOKUP(TableHandbook[[#This Row],[UDC]],TableMJRUHSGE1[],7,FALSE),"")</f>
        <v/>
      </c>
      <c r="AD179" s="209" t="str">
        <f>IFERROR(VLOOKUP(TableHandbook[[#This Row],[UDC]],TableMJRUHSHI1[],7,FALSE),"")</f>
        <v/>
      </c>
      <c r="AE179" s="209" t="str">
        <f>IFERROR(VLOOKUP(TableHandbook[[#This Row],[UDC]],TableMJRUHSPL1[],7,FALSE),"")</f>
        <v/>
      </c>
      <c r="AF179" s="209" t="str">
        <f>IFERROR(VLOOKUP(TableHandbook[[#This Row],[UDC]],TableMJRUMATH1[],7,FALSE),"")</f>
        <v/>
      </c>
      <c r="AG179" s="209" t="str">
        <f>IFERROR(VLOOKUP(TableHandbook[[#This Row],[UDC]],TableMJRUPHYSE[],7,FALSE),"")</f>
        <v/>
      </c>
      <c r="AH179" s="209" t="str">
        <f>IFERROR(VLOOKUP(TableHandbook[[#This Row],[UDC]],TableMJRUSCBI1[],7,FALSE),"")</f>
        <v/>
      </c>
      <c r="AI179" s="209" t="str">
        <f>IFERROR(VLOOKUP(TableHandbook[[#This Row],[UDC]],TableMJRUSCCH1[],7,FALSE),"")</f>
        <v/>
      </c>
      <c r="AJ179" s="209" t="str">
        <f>IFERROR(VLOOKUP(TableHandbook[[#This Row],[UDC]],TableMJRUSCHB1[],7,FALSE),"")</f>
        <v/>
      </c>
      <c r="AK179" s="209" t="str">
        <f>IFERROR(VLOOKUP(TableHandbook[[#This Row],[UDC]],TableMJRUSCPH1[],7,FALSE),"")</f>
        <v/>
      </c>
      <c r="AL179" s="209" t="str">
        <f>IFERROR(VLOOKUP(TableHandbook[[#This Row],[UDC]],TableMJRUSCPS1[],7,FALSE),"")</f>
        <v/>
      </c>
      <c r="AM179" s="211" t="str">
        <f>IFERROR(VLOOKUP(TableHandbook[[#This Row],[UDC]],TableSTRUBIOLB[],7,FALSE),"")</f>
        <v/>
      </c>
      <c r="AN179" s="209" t="str">
        <f>IFERROR(VLOOKUP(TableHandbook[[#This Row],[UDC]],TableSTRUBSCIM[],7,FALSE),"")</f>
        <v/>
      </c>
      <c r="AO179" s="209" t="str">
        <f>IFERROR(VLOOKUP(TableHandbook[[#This Row],[UDC]],TableSTRUCHEMB[],7,FALSE),"")</f>
        <v/>
      </c>
      <c r="AP179" s="209" t="str">
        <f>IFERROR(VLOOKUP(TableHandbook[[#This Row],[UDC]],TableSTRUECOB1[],7,FALSE),"")</f>
        <v>Option</v>
      </c>
      <c r="AQ179" s="209" t="str">
        <f>IFERROR(VLOOKUP(TableHandbook[[#This Row],[UDC]],TableSTRUENGLB[],7,FALSE),"")</f>
        <v>Option</v>
      </c>
      <c r="AR179" s="209" t="str">
        <f>IFERROR(VLOOKUP(TableHandbook[[#This Row],[UDC]],TableSTRUENGLM[],7,FALSE),"")</f>
        <v/>
      </c>
      <c r="AS179" s="209" t="str">
        <f>IFERROR(VLOOKUP(TableHandbook[[#This Row],[UDC]],TableSTRUGEOB1[],7,FALSE),"")</f>
        <v>Option</v>
      </c>
      <c r="AT179" s="209" t="str">
        <f>IFERROR(VLOOKUP(TableHandbook[[#This Row],[UDC]],TableSTRUGEOGM[],7,FALSE),"")</f>
        <v/>
      </c>
      <c r="AU179" s="209" t="str">
        <f>IFERROR(VLOOKUP(TableHandbook[[#This Row],[UDC]],TableSTRUHISB1[],7,FALSE),"")</f>
        <v>Option</v>
      </c>
      <c r="AV179" s="209" t="str">
        <f>IFERROR(VLOOKUP(TableHandbook[[#This Row],[UDC]],TableSTRUHISTM[],7,FALSE),"")</f>
        <v/>
      </c>
      <c r="AW179" s="209" t="str">
        <f>IFERROR(VLOOKUP(TableHandbook[[#This Row],[UDC]],TableSTRUHPEB1[],7,FALSE),"")</f>
        <v>Option</v>
      </c>
      <c r="AX179" s="209" t="str">
        <f>IFERROR(VLOOKUP(TableHandbook[[#This Row],[UDC]],TableSTRUHUMBB[],7,FALSE),"")</f>
        <v/>
      </c>
      <c r="AY179" s="209" t="str">
        <f>IFERROR(VLOOKUP(TableHandbook[[#This Row],[UDC]],TableSTRUMARTM[],7,FALSE),"")</f>
        <v/>
      </c>
      <c r="AZ179" s="209" t="str">
        <f>IFERROR(VLOOKUP(TableHandbook[[#This Row],[UDC]],TableSTRUMATHB[],7,FALSE),"")</f>
        <v>Option</v>
      </c>
      <c r="BA179" s="209" t="str">
        <f>IFERROR(VLOOKUP(TableHandbook[[#This Row],[UDC]],TableSTRUMATHM[],7,FALSE),"")</f>
        <v/>
      </c>
      <c r="BB179" s="209" t="str">
        <f>IFERROR(VLOOKUP(TableHandbook[[#This Row],[UDC]],TableSTRUPARTB[],7,FALSE),"")</f>
        <v>Option</v>
      </c>
      <c r="BC179" s="209" t="str">
        <f>IFERROR(VLOOKUP(TableHandbook[[#This Row],[UDC]],TableSTRUPARTM[],7,FALSE),"")</f>
        <v/>
      </c>
      <c r="BD179" s="209" t="str">
        <f>IFERROR(VLOOKUP(TableHandbook[[#This Row],[UDC]],TableSTRUPOLB1[],7,FALSE),"")</f>
        <v>Option</v>
      </c>
      <c r="BE179" s="209" t="str">
        <f>IFERROR(VLOOKUP(TableHandbook[[#This Row],[UDC]],TableSTRUPSYCB[],7,FALSE),"")</f>
        <v/>
      </c>
      <c r="BF179" s="209" t="str">
        <f>IFERROR(VLOOKUP(TableHandbook[[#This Row],[UDC]],TableSTRUPSYCM[],7,FALSE),"")</f>
        <v/>
      </c>
      <c r="BG179" s="209" t="str">
        <f>IFERROR(VLOOKUP(TableHandbook[[#This Row],[UDC]],TableSTRUVARTB[],7,FALSE),"")</f>
        <v/>
      </c>
      <c r="BH179" s="209" t="str">
        <f>IFERROR(VLOOKUP(TableHandbook[[#This Row],[UDC]],TableSTRUVARTM[],7,FALSE),"")</f>
        <v/>
      </c>
    </row>
    <row r="180" spans="1:60" x14ac:dyDescent="0.25">
      <c r="A180" s="6" t="s">
        <v>185</v>
      </c>
      <c r="B180" s="7">
        <v>1</v>
      </c>
      <c r="C180" s="7"/>
      <c r="D180" s="207" t="s">
        <v>990</v>
      </c>
      <c r="E180" s="7">
        <v>25</v>
      </c>
      <c r="F180" s="84" t="s">
        <v>783</v>
      </c>
      <c r="G180" s="75" t="str">
        <f>IFERROR(IF(VLOOKUP(TableHandbook[[#This Row],[UDC]],TableAvailabilities[],2,FALSE)&gt;0,"Y",""),"")</f>
        <v/>
      </c>
      <c r="H180" s="75" t="str">
        <f>IFERROR(IF(VLOOKUP(TableHandbook[[#This Row],[UDC]],TableAvailabilities[],3,FALSE)&gt;0,"Y",""),"")</f>
        <v>Y</v>
      </c>
      <c r="I180" s="75" t="str">
        <f>IFERROR(IF(VLOOKUP(TableHandbook[[#This Row],[UDC]],TableAvailabilities[],4,FALSE)&gt;0,"Y",""),"")</f>
        <v/>
      </c>
      <c r="J180" s="75" t="str">
        <f>IFERROR(IF(VLOOKUP(TableHandbook[[#This Row],[UDC]],TableAvailabilities[],5,FALSE)&gt;0,"Y",""),"")</f>
        <v/>
      </c>
      <c r="K180" s="75" t="str">
        <f>IFERROR(IF(VLOOKUP(TableHandbook[[#This Row],[UDC]],TableAvailabilities[],6,FALSE)&gt;0,"Y",""),"")</f>
        <v/>
      </c>
      <c r="L180" s="75" t="str">
        <f>IFERROR(IF(VLOOKUP(TableHandbook[[#This Row],[UDC]],TableAvailabilities[],7,FALSE)&gt;0,"Y",""),"")</f>
        <v/>
      </c>
      <c r="M180" s="207"/>
      <c r="N180" s="209" t="str">
        <f>IFERROR(VLOOKUP(TableHandbook[[#This Row],[UDC]],TableBEDUC[],7,FALSE),"")</f>
        <v/>
      </c>
      <c r="O180" s="209" t="str">
        <f>IFERROR(VLOOKUP(TableHandbook[[#This Row],[UDC]],TableBEDEC[],7,FALSE),"")</f>
        <v>Option</v>
      </c>
      <c r="P180" s="211" t="str">
        <f>IFERROR(VLOOKUP(TableHandbook[[#This Row],[UDC]],TableBEDPR[],7,FALSE),"")</f>
        <v/>
      </c>
      <c r="Q180" s="209" t="str">
        <f>IFERROR(VLOOKUP(TableHandbook[[#This Row],[UDC]],TableSTRUCATHL[],7,FALSE),"")</f>
        <v/>
      </c>
      <c r="R180" s="209" t="str">
        <f>IFERROR(VLOOKUP(TableHandbook[[#This Row],[UDC]],TableSTRUENGLL[],7,FALSE),"")</f>
        <v/>
      </c>
      <c r="S180" s="209" t="str">
        <f>IFERROR(VLOOKUP(TableHandbook[[#This Row],[UDC]],TableSTRUHLTPE[],7,FALSE),"")</f>
        <v/>
      </c>
      <c r="T180" s="209" t="str">
        <f>IFERROR(VLOOKUP(TableHandbook[[#This Row],[UDC]],TableSTRUISTEM[],7,FALSE),"")</f>
        <v/>
      </c>
      <c r="U180" s="209" t="str">
        <f>IFERROR(VLOOKUP(TableHandbook[[#This Row],[UDC]],TableSTRULITNU[],7,FALSE),"")</f>
        <v/>
      </c>
      <c r="V180" s="209" t="str">
        <f>IFERROR(VLOOKUP(TableHandbook[[#This Row],[UDC]],TableSTRUTECHS[],7,FALSE),"")</f>
        <v>Core</v>
      </c>
      <c r="W180" s="211" t="str">
        <f>IFERROR(VLOOKUP(TableHandbook[[#This Row],[UDC]],TableBEDSC[],7,FALSE),"")</f>
        <v/>
      </c>
      <c r="X180" s="211" t="str">
        <f>IFERROR(VLOOKUP(TableHandbook[[#This Row],[UDC]],TableMJRUARDR1[],7,FALSE),"")</f>
        <v/>
      </c>
      <c r="Y180" s="209" t="str">
        <f>IFERROR(VLOOKUP(TableHandbook[[#This Row],[UDC]],TableMJRUARME1[],7,FALSE),"")</f>
        <v/>
      </c>
      <c r="Z180" s="209" t="str">
        <f>IFERROR(VLOOKUP(TableHandbook[[#This Row],[UDC]],TableMJRUARVA1[],7,FALSE),"")</f>
        <v/>
      </c>
      <c r="AA180" s="209" t="str">
        <f>IFERROR(VLOOKUP(TableHandbook[[#This Row],[UDC]],TableMJRUENGL1[],7,FALSE),"")</f>
        <v/>
      </c>
      <c r="AB180" s="209" t="str">
        <f>IFERROR(VLOOKUP(TableHandbook[[#This Row],[UDC]],TableMJRUHSEC1[],7,FALSE),"")</f>
        <v/>
      </c>
      <c r="AC180" s="209" t="str">
        <f>IFERROR(VLOOKUP(TableHandbook[[#This Row],[UDC]],TableMJRUHSGE1[],7,FALSE),"")</f>
        <v/>
      </c>
      <c r="AD180" s="209" t="str">
        <f>IFERROR(VLOOKUP(TableHandbook[[#This Row],[UDC]],TableMJRUHSHI1[],7,FALSE),"")</f>
        <v/>
      </c>
      <c r="AE180" s="209" t="str">
        <f>IFERROR(VLOOKUP(TableHandbook[[#This Row],[UDC]],TableMJRUHSPL1[],7,FALSE),"")</f>
        <v/>
      </c>
      <c r="AF180" s="209" t="str">
        <f>IFERROR(VLOOKUP(TableHandbook[[#This Row],[UDC]],TableMJRUMATH1[],7,FALSE),"")</f>
        <v/>
      </c>
      <c r="AG180" s="209" t="str">
        <f>IFERROR(VLOOKUP(TableHandbook[[#This Row],[UDC]],TableMJRUPHYSE[],7,FALSE),"")</f>
        <v/>
      </c>
      <c r="AH180" s="209" t="str">
        <f>IFERROR(VLOOKUP(TableHandbook[[#This Row],[UDC]],TableMJRUSCBI1[],7,FALSE),"")</f>
        <v/>
      </c>
      <c r="AI180" s="209" t="str">
        <f>IFERROR(VLOOKUP(TableHandbook[[#This Row],[UDC]],TableMJRUSCCH1[],7,FALSE),"")</f>
        <v/>
      </c>
      <c r="AJ180" s="209" t="str">
        <f>IFERROR(VLOOKUP(TableHandbook[[#This Row],[UDC]],TableMJRUSCHB1[],7,FALSE),"")</f>
        <v/>
      </c>
      <c r="AK180" s="209" t="str">
        <f>IFERROR(VLOOKUP(TableHandbook[[#This Row],[UDC]],TableMJRUSCPH1[],7,FALSE),"")</f>
        <v/>
      </c>
      <c r="AL180" s="209" t="str">
        <f>IFERROR(VLOOKUP(TableHandbook[[#This Row],[UDC]],TableMJRUSCPS1[],7,FALSE),"")</f>
        <v/>
      </c>
      <c r="AM180" s="211" t="str">
        <f>IFERROR(VLOOKUP(TableHandbook[[#This Row],[UDC]],TableSTRUBIOLB[],7,FALSE),"")</f>
        <v/>
      </c>
      <c r="AN180" s="209" t="str">
        <f>IFERROR(VLOOKUP(TableHandbook[[#This Row],[UDC]],TableSTRUBSCIM[],7,FALSE),"")</f>
        <v/>
      </c>
      <c r="AO180" s="209" t="str">
        <f>IFERROR(VLOOKUP(TableHandbook[[#This Row],[UDC]],TableSTRUCHEMB[],7,FALSE),"")</f>
        <v/>
      </c>
      <c r="AP180" s="209" t="str">
        <f>IFERROR(VLOOKUP(TableHandbook[[#This Row],[UDC]],TableSTRUECOB1[],7,FALSE),"")</f>
        <v/>
      </c>
      <c r="AQ180" s="209" t="str">
        <f>IFERROR(VLOOKUP(TableHandbook[[#This Row],[UDC]],TableSTRUENGLB[],7,FALSE),"")</f>
        <v/>
      </c>
      <c r="AR180" s="209" t="str">
        <f>IFERROR(VLOOKUP(TableHandbook[[#This Row],[UDC]],TableSTRUENGLM[],7,FALSE),"")</f>
        <v/>
      </c>
      <c r="AS180" s="209" t="str">
        <f>IFERROR(VLOOKUP(TableHandbook[[#This Row],[UDC]],TableSTRUGEOB1[],7,FALSE),"")</f>
        <v/>
      </c>
      <c r="AT180" s="209" t="str">
        <f>IFERROR(VLOOKUP(TableHandbook[[#This Row],[UDC]],TableSTRUGEOGM[],7,FALSE),"")</f>
        <v/>
      </c>
      <c r="AU180" s="209" t="str">
        <f>IFERROR(VLOOKUP(TableHandbook[[#This Row],[UDC]],TableSTRUHISB1[],7,FALSE),"")</f>
        <v/>
      </c>
      <c r="AV180" s="209" t="str">
        <f>IFERROR(VLOOKUP(TableHandbook[[#This Row],[UDC]],TableSTRUHISTM[],7,FALSE),"")</f>
        <v/>
      </c>
      <c r="AW180" s="209" t="str">
        <f>IFERROR(VLOOKUP(TableHandbook[[#This Row],[UDC]],TableSTRUHPEB1[],7,FALSE),"")</f>
        <v>Option</v>
      </c>
      <c r="AX180" s="209" t="str">
        <f>IFERROR(VLOOKUP(TableHandbook[[#This Row],[UDC]],TableSTRUHUMBB[],7,FALSE),"")</f>
        <v/>
      </c>
      <c r="AY180" s="209" t="str">
        <f>IFERROR(VLOOKUP(TableHandbook[[#This Row],[UDC]],TableSTRUMARTM[],7,FALSE),"")</f>
        <v/>
      </c>
      <c r="AZ180" s="209" t="str">
        <f>IFERROR(VLOOKUP(TableHandbook[[#This Row],[UDC]],TableSTRUMATHB[],7,FALSE),"")</f>
        <v>Option</v>
      </c>
      <c r="BA180" s="209" t="str">
        <f>IFERROR(VLOOKUP(TableHandbook[[#This Row],[UDC]],TableSTRUMATHM[],7,FALSE),"")</f>
        <v/>
      </c>
      <c r="BB180" s="209" t="str">
        <f>IFERROR(VLOOKUP(TableHandbook[[#This Row],[UDC]],TableSTRUPARTB[],7,FALSE),"")</f>
        <v>Option</v>
      </c>
      <c r="BC180" s="209" t="str">
        <f>IFERROR(VLOOKUP(TableHandbook[[#This Row],[UDC]],TableSTRUPARTM[],7,FALSE),"")</f>
        <v/>
      </c>
      <c r="BD180" s="209" t="str">
        <f>IFERROR(VLOOKUP(TableHandbook[[#This Row],[UDC]],TableSTRUPOLB1[],7,FALSE),"")</f>
        <v/>
      </c>
      <c r="BE180" s="209" t="str">
        <f>IFERROR(VLOOKUP(TableHandbook[[#This Row],[UDC]],TableSTRUPSYCB[],7,FALSE),"")</f>
        <v/>
      </c>
      <c r="BF180" s="209" t="str">
        <f>IFERROR(VLOOKUP(TableHandbook[[#This Row],[UDC]],TableSTRUPSYCM[],7,FALSE),"")</f>
        <v/>
      </c>
      <c r="BG180" s="209" t="str">
        <f>IFERROR(VLOOKUP(TableHandbook[[#This Row],[UDC]],TableSTRUVARTB[],7,FALSE),"")</f>
        <v>Option</v>
      </c>
      <c r="BH180" s="209" t="str">
        <f>IFERROR(VLOOKUP(TableHandbook[[#This Row],[UDC]],TableSTRUVARTM[],7,FALSE),"")</f>
        <v/>
      </c>
    </row>
    <row r="181" spans="1:60" x14ac:dyDescent="0.25">
      <c r="A181" s="6" t="s">
        <v>129</v>
      </c>
      <c r="B181" s="7">
        <v>1</v>
      </c>
      <c r="C181" s="7"/>
      <c r="D181" s="207" t="s">
        <v>991</v>
      </c>
      <c r="E181" s="7">
        <v>25</v>
      </c>
      <c r="F181" s="84" t="s">
        <v>783</v>
      </c>
      <c r="G181" s="75" t="str">
        <f>IFERROR(IF(VLOOKUP(TableHandbook[[#This Row],[UDC]],TableAvailabilities[],2,FALSE)&gt;0,"Y",""),"")</f>
        <v/>
      </c>
      <c r="H181" s="75" t="str">
        <f>IFERROR(IF(VLOOKUP(TableHandbook[[#This Row],[UDC]],TableAvailabilities[],3,FALSE)&gt;0,"Y",""),"")</f>
        <v>Y</v>
      </c>
      <c r="I181" s="75" t="str">
        <f>IFERROR(IF(VLOOKUP(TableHandbook[[#This Row],[UDC]],TableAvailabilities[],4,FALSE)&gt;0,"Y",""),"")</f>
        <v/>
      </c>
      <c r="J181" s="75" t="str">
        <f>IFERROR(IF(VLOOKUP(TableHandbook[[#This Row],[UDC]],TableAvailabilities[],5,FALSE)&gt;0,"Y",""),"")</f>
        <v/>
      </c>
      <c r="K181" s="75" t="str">
        <f>IFERROR(IF(VLOOKUP(TableHandbook[[#This Row],[UDC]],TableAvailabilities[],6,FALSE)&gt;0,"Y",""),"")</f>
        <v>Y</v>
      </c>
      <c r="L181" s="75" t="str">
        <f>IFERROR(IF(VLOOKUP(TableHandbook[[#This Row],[UDC]],TableAvailabilities[],7,FALSE)&gt;0,"Y",""),"")</f>
        <v/>
      </c>
      <c r="M181" s="207"/>
      <c r="N181" s="209" t="str">
        <f>IFERROR(VLOOKUP(TableHandbook[[#This Row],[UDC]],TableBEDUC[],7,FALSE),"")</f>
        <v>Core</v>
      </c>
      <c r="O181" s="209" t="str">
        <f>IFERROR(VLOOKUP(TableHandbook[[#This Row],[UDC]],TableBEDEC[],7,FALSE),"")</f>
        <v>Option</v>
      </c>
      <c r="P181" s="211" t="str">
        <f>IFERROR(VLOOKUP(TableHandbook[[#This Row],[UDC]],TableBEDPR[],7,FALSE),"")</f>
        <v/>
      </c>
      <c r="Q181" s="209" t="str">
        <f>IFERROR(VLOOKUP(TableHandbook[[#This Row],[UDC]],TableSTRUCATHL[],7,FALSE),"")</f>
        <v/>
      </c>
      <c r="R181" s="209" t="str">
        <f>IFERROR(VLOOKUP(TableHandbook[[#This Row],[UDC]],TableSTRUENGLL[],7,FALSE),"")</f>
        <v/>
      </c>
      <c r="S181" s="209" t="str">
        <f>IFERROR(VLOOKUP(TableHandbook[[#This Row],[UDC]],TableSTRUHLTPE[],7,FALSE),"")</f>
        <v/>
      </c>
      <c r="T181" s="209" t="str">
        <f>IFERROR(VLOOKUP(TableHandbook[[#This Row],[UDC]],TableSTRUISTEM[],7,FALSE),"")</f>
        <v/>
      </c>
      <c r="U181" s="209" t="str">
        <f>IFERROR(VLOOKUP(TableHandbook[[#This Row],[UDC]],TableSTRULITNU[],7,FALSE),"")</f>
        <v/>
      </c>
      <c r="V181" s="209" t="str">
        <f>IFERROR(VLOOKUP(TableHandbook[[#This Row],[UDC]],TableSTRUTECHS[],7,FALSE),"")</f>
        <v/>
      </c>
      <c r="W181" s="211" t="str">
        <f>IFERROR(VLOOKUP(TableHandbook[[#This Row],[UDC]],TableBEDSC[],7,FALSE),"")</f>
        <v/>
      </c>
      <c r="X181" s="211" t="str">
        <f>IFERROR(VLOOKUP(TableHandbook[[#This Row],[UDC]],TableMJRUARDR1[],7,FALSE),"")</f>
        <v/>
      </c>
      <c r="Y181" s="209" t="str">
        <f>IFERROR(VLOOKUP(TableHandbook[[#This Row],[UDC]],TableMJRUARME1[],7,FALSE),"")</f>
        <v/>
      </c>
      <c r="Z181" s="209" t="str">
        <f>IFERROR(VLOOKUP(TableHandbook[[#This Row],[UDC]],TableMJRUARVA1[],7,FALSE),"")</f>
        <v/>
      </c>
      <c r="AA181" s="209" t="str">
        <f>IFERROR(VLOOKUP(TableHandbook[[#This Row],[UDC]],TableMJRUENGL1[],7,FALSE),"")</f>
        <v/>
      </c>
      <c r="AB181" s="209" t="str">
        <f>IFERROR(VLOOKUP(TableHandbook[[#This Row],[UDC]],TableMJRUHSEC1[],7,FALSE),"")</f>
        <v/>
      </c>
      <c r="AC181" s="209" t="str">
        <f>IFERROR(VLOOKUP(TableHandbook[[#This Row],[UDC]],TableMJRUHSGE1[],7,FALSE),"")</f>
        <v/>
      </c>
      <c r="AD181" s="209" t="str">
        <f>IFERROR(VLOOKUP(TableHandbook[[#This Row],[UDC]],TableMJRUHSHI1[],7,FALSE),"")</f>
        <v/>
      </c>
      <c r="AE181" s="209" t="str">
        <f>IFERROR(VLOOKUP(TableHandbook[[#This Row],[UDC]],TableMJRUHSPL1[],7,FALSE),"")</f>
        <v/>
      </c>
      <c r="AF181" s="209" t="str">
        <f>IFERROR(VLOOKUP(TableHandbook[[#This Row],[UDC]],TableMJRUMATH1[],7,FALSE),"")</f>
        <v/>
      </c>
      <c r="AG181" s="209" t="str">
        <f>IFERROR(VLOOKUP(TableHandbook[[#This Row],[UDC]],TableMJRUPHYSE[],7,FALSE),"")</f>
        <v/>
      </c>
      <c r="AH181" s="209" t="str">
        <f>IFERROR(VLOOKUP(TableHandbook[[#This Row],[UDC]],TableMJRUSCBI1[],7,FALSE),"")</f>
        <v/>
      </c>
      <c r="AI181" s="209" t="str">
        <f>IFERROR(VLOOKUP(TableHandbook[[#This Row],[UDC]],TableMJRUSCCH1[],7,FALSE),"")</f>
        <v/>
      </c>
      <c r="AJ181" s="209" t="str">
        <f>IFERROR(VLOOKUP(TableHandbook[[#This Row],[UDC]],TableMJRUSCHB1[],7,FALSE),"")</f>
        <v/>
      </c>
      <c r="AK181" s="209" t="str">
        <f>IFERROR(VLOOKUP(TableHandbook[[#This Row],[UDC]],TableMJRUSCPH1[],7,FALSE),"")</f>
        <v/>
      </c>
      <c r="AL181" s="209" t="str">
        <f>IFERROR(VLOOKUP(TableHandbook[[#This Row],[UDC]],TableMJRUSCPS1[],7,FALSE),"")</f>
        <v/>
      </c>
      <c r="AM181" s="211" t="str">
        <f>IFERROR(VLOOKUP(TableHandbook[[#This Row],[UDC]],TableSTRUBIOLB[],7,FALSE),"")</f>
        <v>Option</v>
      </c>
      <c r="AN181" s="209" t="str">
        <f>IFERROR(VLOOKUP(TableHandbook[[#This Row],[UDC]],TableSTRUBSCIM[],7,FALSE),"")</f>
        <v/>
      </c>
      <c r="AO181" s="209" t="str">
        <f>IFERROR(VLOOKUP(TableHandbook[[#This Row],[UDC]],TableSTRUCHEMB[],7,FALSE),"")</f>
        <v>Option</v>
      </c>
      <c r="AP181" s="209" t="str">
        <f>IFERROR(VLOOKUP(TableHandbook[[#This Row],[UDC]],TableSTRUECOB1[],7,FALSE),"")</f>
        <v>Option</v>
      </c>
      <c r="AQ181" s="209" t="str">
        <f>IFERROR(VLOOKUP(TableHandbook[[#This Row],[UDC]],TableSTRUENGLB[],7,FALSE),"")</f>
        <v>Option</v>
      </c>
      <c r="AR181" s="209" t="str">
        <f>IFERROR(VLOOKUP(TableHandbook[[#This Row],[UDC]],TableSTRUENGLM[],7,FALSE),"")</f>
        <v/>
      </c>
      <c r="AS181" s="209" t="str">
        <f>IFERROR(VLOOKUP(TableHandbook[[#This Row],[UDC]],TableSTRUGEOB1[],7,FALSE),"")</f>
        <v>Option</v>
      </c>
      <c r="AT181" s="209" t="str">
        <f>IFERROR(VLOOKUP(TableHandbook[[#This Row],[UDC]],TableSTRUGEOGM[],7,FALSE),"")</f>
        <v/>
      </c>
      <c r="AU181" s="209" t="str">
        <f>IFERROR(VLOOKUP(TableHandbook[[#This Row],[UDC]],TableSTRUHISB1[],7,FALSE),"")</f>
        <v>Option</v>
      </c>
      <c r="AV181" s="209" t="str">
        <f>IFERROR(VLOOKUP(TableHandbook[[#This Row],[UDC]],TableSTRUHISTM[],7,FALSE),"")</f>
        <v/>
      </c>
      <c r="AW181" s="209" t="str">
        <f>IFERROR(VLOOKUP(TableHandbook[[#This Row],[UDC]],TableSTRUHPEB1[],7,FALSE),"")</f>
        <v>Option</v>
      </c>
      <c r="AX181" s="209" t="str">
        <f>IFERROR(VLOOKUP(TableHandbook[[#This Row],[UDC]],TableSTRUHUMBB[],7,FALSE),"")</f>
        <v>Option</v>
      </c>
      <c r="AY181" s="209" t="str">
        <f>IFERROR(VLOOKUP(TableHandbook[[#This Row],[UDC]],TableSTRUMARTM[],7,FALSE),"")</f>
        <v/>
      </c>
      <c r="AZ181" s="209" t="str">
        <f>IFERROR(VLOOKUP(TableHandbook[[#This Row],[UDC]],TableSTRUMATHB[],7,FALSE),"")</f>
        <v>Option</v>
      </c>
      <c r="BA181" s="209" t="str">
        <f>IFERROR(VLOOKUP(TableHandbook[[#This Row],[UDC]],TableSTRUMATHM[],7,FALSE),"")</f>
        <v/>
      </c>
      <c r="BB181" s="209" t="str">
        <f>IFERROR(VLOOKUP(TableHandbook[[#This Row],[UDC]],TableSTRUPARTB[],7,FALSE),"")</f>
        <v>Option</v>
      </c>
      <c r="BC181" s="209" t="str">
        <f>IFERROR(VLOOKUP(TableHandbook[[#This Row],[UDC]],TableSTRUPARTM[],7,FALSE),"")</f>
        <v/>
      </c>
      <c r="BD181" s="209" t="str">
        <f>IFERROR(VLOOKUP(TableHandbook[[#This Row],[UDC]],TableSTRUPOLB1[],7,FALSE),"")</f>
        <v>Option</v>
      </c>
      <c r="BE181" s="209" t="str">
        <f>IFERROR(VLOOKUP(TableHandbook[[#This Row],[UDC]],TableSTRUPSYCB[],7,FALSE),"")</f>
        <v>Option</v>
      </c>
      <c r="BF181" s="209" t="str">
        <f>IFERROR(VLOOKUP(TableHandbook[[#This Row],[UDC]],TableSTRUPSYCM[],7,FALSE),"")</f>
        <v/>
      </c>
      <c r="BG181" s="209" t="str">
        <f>IFERROR(VLOOKUP(TableHandbook[[#This Row],[UDC]],TableSTRUVARTB[],7,FALSE),"")</f>
        <v>Option</v>
      </c>
      <c r="BH181" s="209" t="str">
        <f>IFERROR(VLOOKUP(TableHandbook[[#This Row],[UDC]],TableSTRUVARTM[],7,FALSE),"")</f>
        <v/>
      </c>
    </row>
    <row r="182" spans="1:60" x14ac:dyDescent="0.25">
      <c r="A182" s="6" t="s">
        <v>153</v>
      </c>
      <c r="B182" s="7">
        <v>1</v>
      </c>
      <c r="C182" s="7"/>
      <c r="D182" s="207" t="s">
        <v>992</v>
      </c>
      <c r="E182" s="7">
        <v>25</v>
      </c>
      <c r="F182" s="309" t="s">
        <v>993</v>
      </c>
      <c r="G182" s="75" t="str">
        <f>IFERROR(IF(VLOOKUP(TableHandbook[[#This Row],[UDC]],TableAvailabilities[],2,FALSE)&gt;0,"Y",""),"")</f>
        <v>Y</v>
      </c>
      <c r="H182" s="75" t="str">
        <f>IFERROR(IF(VLOOKUP(TableHandbook[[#This Row],[UDC]],TableAvailabilities[],3,FALSE)&gt;0,"Y",""),"")</f>
        <v>Y</v>
      </c>
      <c r="I182" s="75" t="str">
        <f>IFERROR(IF(VLOOKUP(TableHandbook[[#This Row],[UDC]],TableAvailabilities[],4,FALSE)&gt;0,"Y",""),"")</f>
        <v>Y</v>
      </c>
      <c r="J182" s="75" t="str">
        <f>IFERROR(IF(VLOOKUP(TableHandbook[[#This Row],[UDC]],TableAvailabilities[],5,FALSE)&gt;0,"Y",""),"")</f>
        <v>Y</v>
      </c>
      <c r="K182" s="75" t="str">
        <f>IFERROR(IF(VLOOKUP(TableHandbook[[#This Row],[UDC]],TableAvailabilities[],6,FALSE)&gt;0,"Y",""),"")</f>
        <v>Y</v>
      </c>
      <c r="L182" s="75" t="str">
        <f>IFERROR(IF(VLOOKUP(TableHandbook[[#This Row],[UDC]],TableAvailabilities[],7,FALSE)&gt;0,"Y",""),"")</f>
        <v>Y</v>
      </c>
      <c r="M182" s="309" t="s">
        <v>994</v>
      </c>
      <c r="N182" s="209" t="str">
        <f>IFERROR(VLOOKUP(TableHandbook[[#This Row],[UDC]],TableBEDUC[],7,FALSE),"")</f>
        <v/>
      </c>
      <c r="O182" s="209" t="str">
        <f>IFERROR(VLOOKUP(TableHandbook[[#This Row],[UDC]],TableBEDEC[],7,FALSE),"")</f>
        <v>Core</v>
      </c>
      <c r="P182" s="211" t="str">
        <f>IFERROR(VLOOKUP(TableHandbook[[#This Row],[UDC]],TableBEDPR[],7,FALSE),"")</f>
        <v>Core</v>
      </c>
      <c r="Q182" s="209" t="str">
        <f>IFERROR(VLOOKUP(TableHandbook[[#This Row],[UDC]],TableSTRUCATHL[],7,FALSE),"")</f>
        <v/>
      </c>
      <c r="R182" s="209" t="str">
        <f>IFERROR(VLOOKUP(TableHandbook[[#This Row],[UDC]],TableSTRUENGLL[],7,FALSE),"")</f>
        <v/>
      </c>
      <c r="S182" s="209" t="str">
        <f>IFERROR(VLOOKUP(TableHandbook[[#This Row],[UDC]],TableSTRUHLTPE[],7,FALSE),"")</f>
        <v/>
      </c>
      <c r="T182" s="209" t="str">
        <f>IFERROR(VLOOKUP(TableHandbook[[#This Row],[UDC]],TableSTRUISTEM[],7,FALSE),"")</f>
        <v/>
      </c>
      <c r="U182" s="209" t="str">
        <f>IFERROR(VLOOKUP(TableHandbook[[#This Row],[UDC]],TableSTRULITNU[],7,FALSE),"")</f>
        <v/>
      </c>
      <c r="V182" s="209" t="str">
        <f>IFERROR(VLOOKUP(TableHandbook[[#This Row],[UDC]],TableSTRUTECHS[],7,FALSE),"")</f>
        <v/>
      </c>
      <c r="W182" s="211" t="str">
        <f>IFERROR(VLOOKUP(TableHandbook[[#This Row],[UDC]],TableBEDSC[],7,FALSE),"")</f>
        <v>Core</v>
      </c>
      <c r="X182" s="211" t="str">
        <f>IFERROR(VLOOKUP(TableHandbook[[#This Row],[UDC]],TableMJRUARDR1[],7,FALSE),"")</f>
        <v/>
      </c>
      <c r="Y182" s="209" t="str">
        <f>IFERROR(VLOOKUP(TableHandbook[[#This Row],[UDC]],TableMJRUARME1[],7,FALSE),"")</f>
        <v/>
      </c>
      <c r="Z182" s="209" t="str">
        <f>IFERROR(VLOOKUP(TableHandbook[[#This Row],[UDC]],TableMJRUARVA1[],7,FALSE),"")</f>
        <v/>
      </c>
      <c r="AA182" s="209" t="str">
        <f>IFERROR(VLOOKUP(TableHandbook[[#This Row],[UDC]],TableMJRUENGL1[],7,FALSE),"")</f>
        <v/>
      </c>
      <c r="AB182" s="209" t="str">
        <f>IFERROR(VLOOKUP(TableHandbook[[#This Row],[UDC]],TableMJRUHSEC1[],7,FALSE),"")</f>
        <v/>
      </c>
      <c r="AC182" s="209" t="str">
        <f>IFERROR(VLOOKUP(TableHandbook[[#This Row],[UDC]],TableMJRUHSGE1[],7,FALSE),"")</f>
        <v/>
      </c>
      <c r="AD182" s="209" t="str">
        <f>IFERROR(VLOOKUP(TableHandbook[[#This Row],[UDC]],TableMJRUHSHI1[],7,FALSE),"")</f>
        <v/>
      </c>
      <c r="AE182" s="209" t="str">
        <f>IFERROR(VLOOKUP(TableHandbook[[#This Row],[UDC]],TableMJRUHSPL1[],7,FALSE),"")</f>
        <v/>
      </c>
      <c r="AF182" s="209" t="str">
        <f>IFERROR(VLOOKUP(TableHandbook[[#This Row],[UDC]],TableMJRUMATH1[],7,FALSE),"")</f>
        <v/>
      </c>
      <c r="AG182" s="209" t="str">
        <f>IFERROR(VLOOKUP(TableHandbook[[#This Row],[UDC]],TableMJRUPHYSE[],7,FALSE),"")</f>
        <v/>
      </c>
      <c r="AH182" s="209" t="str">
        <f>IFERROR(VLOOKUP(TableHandbook[[#This Row],[UDC]],TableMJRUSCBI1[],7,FALSE),"")</f>
        <v/>
      </c>
      <c r="AI182" s="209" t="str">
        <f>IFERROR(VLOOKUP(TableHandbook[[#This Row],[UDC]],TableMJRUSCCH1[],7,FALSE),"")</f>
        <v/>
      </c>
      <c r="AJ182" s="209" t="str">
        <f>IFERROR(VLOOKUP(TableHandbook[[#This Row],[UDC]],TableMJRUSCHB1[],7,FALSE),"")</f>
        <v/>
      </c>
      <c r="AK182" s="209" t="str">
        <f>IFERROR(VLOOKUP(TableHandbook[[#This Row],[UDC]],TableMJRUSCPH1[],7,FALSE),"")</f>
        <v/>
      </c>
      <c r="AL182" s="209" t="str">
        <f>IFERROR(VLOOKUP(TableHandbook[[#This Row],[UDC]],TableMJRUSCPS1[],7,FALSE),"")</f>
        <v/>
      </c>
      <c r="AM182" s="211" t="str">
        <f>IFERROR(VLOOKUP(TableHandbook[[#This Row],[UDC]],TableSTRUBIOLB[],7,FALSE),"")</f>
        <v/>
      </c>
      <c r="AN182" s="209" t="str">
        <f>IFERROR(VLOOKUP(TableHandbook[[#This Row],[UDC]],TableSTRUBSCIM[],7,FALSE),"")</f>
        <v/>
      </c>
      <c r="AO182" s="209" t="str">
        <f>IFERROR(VLOOKUP(TableHandbook[[#This Row],[UDC]],TableSTRUCHEMB[],7,FALSE),"")</f>
        <v/>
      </c>
      <c r="AP182" s="209" t="str">
        <f>IFERROR(VLOOKUP(TableHandbook[[#This Row],[UDC]],TableSTRUECOB1[],7,FALSE),"")</f>
        <v/>
      </c>
      <c r="AQ182" s="209" t="str">
        <f>IFERROR(VLOOKUP(TableHandbook[[#This Row],[UDC]],TableSTRUENGLB[],7,FALSE),"")</f>
        <v/>
      </c>
      <c r="AR182" s="209" t="str">
        <f>IFERROR(VLOOKUP(TableHandbook[[#This Row],[UDC]],TableSTRUENGLM[],7,FALSE),"")</f>
        <v/>
      </c>
      <c r="AS182" s="209" t="str">
        <f>IFERROR(VLOOKUP(TableHandbook[[#This Row],[UDC]],TableSTRUGEOB1[],7,FALSE),"")</f>
        <v/>
      </c>
      <c r="AT182" s="209" t="str">
        <f>IFERROR(VLOOKUP(TableHandbook[[#This Row],[UDC]],TableSTRUGEOGM[],7,FALSE),"")</f>
        <v/>
      </c>
      <c r="AU182" s="209" t="str">
        <f>IFERROR(VLOOKUP(TableHandbook[[#This Row],[UDC]],TableSTRUHISB1[],7,FALSE),"")</f>
        <v/>
      </c>
      <c r="AV182" s="209" t="str">
        <f>IFERROR(VLOOKUP(TableHandbook[[#This Row],[UDC]],TableSTRUHISTM[],7,FALSE),"")</f>
        <v/>
      </c>
      <c r="AW182" s="209" t="str">
        <f>IFERROR(VLOOKUP(TableHandbook[[#This Row],[UDC]],TableSTRUHPEB1[],7,FALSE),"")</f>
        <v/>
      </c>
      <c r="AX182" s="209" t="str">
        <f>IFERROR(VLOOKUP(TableHandbook[[#This Row],[UDC]],TableSTRUHUMBB[],7,FALSE),"")</f>
        <v/>
      </c>
      <c r="AY182" s="209" t="str">
        <f>IFERROR(VLOOKUP(TableHandbook[[#This Row],[UDC]],TableSTRUMARTM[],7,FALSE),"")</f>
        <v/>
      </c>
      <c r="AZ182" s="209" t="str">
        <f>IFERROR(VLOOKUP(TableHandbook[[#This Row],[UDC]],TableSTRUMATHB[],7,FALSE),"")</f>
        <v/>
      </c>
      <c r="BA182" s="209" t="str">
        <f>IFERROR(VLOOKUP(TableHandbook[[#This Row],[UDC]],TableSTRUMATHM[],7,FALSE),"")</f>
        <v/>
      </c>
      <c r="BB182" s="209" t="str">
        <f>IFERROR(VLOOKUP(TableHandbook[[#This Row],[UDC]],TableSTRUPARTB[],7,FALSE),"")</f>
        <v/>
      </c>
      <c r="BC182" s="209" t="str">
        <f>IFERROR(VLOOKUP(TableHandbook[[#This Row],[UDC]],TableSTRUPARTM[],7,FALSE),"")</f>
        <v/>
      </c>
      <c r="BD182" s="209" t="str">
        <f>IFERROR(VLOOKUP(TableHandbook[[#This Row],[UDC]],TableSTRUPOLB1[],7,FALSE),"")</f>
        <v/>
      </c>
      <c r="BE182" s="209" t="str">
        <f>IFERROR(VLOOKUP(TableHandbook[[#This Row],[UDC]],TableSTRUPSYCB[],7,FALSE),"")</f>
        <v/>
      </c>
      <c r="BF182" s="209" t="str">
        <f>IFERROR(VLOOKUP(TableHandbook[[#This Row],[UDC]],TableSTRUPSYCM[],7,FALSE),"")</f>
        <v/>
      </c>
      <c r="BG182" s="209" t="str">
        <f>IFERROR(VLOOKUP(TableHandbook[[#This Row],[UDC]],TableSTRUVARTB[],7,FALSE),"")</f>
        <v/>
      </c>
      <c r="BH182" s="209" t="str">
        <f>IFERROR(VLOOKUP(TableHandbook[[#This Row],[UDC]],TableSTRUVARTM[],7,FALSE),"")</f>
        <v/>
      </c>
    </row>
    <row r="183" spans="1:60" x14ac:dyDescent="0.25">
      <c r="A183" s="6" t="s">
        <v>169</v>
      </c>
      <c r="B183" s="7">
        <v>1</v>
      </c>
      <c r="C183" s="7"/>
      <c r="D183" s="207" t="s">
        <v>1358</v>
      </c>
      <c r="E183" s="7">
        <v>25</v>
      </c>
      <c r="F183" s="311" t="s">
        <v>830</v>
      </c>
      <c r="G183" s="75" t="str">
        <f>IFERROR(IF(VLOOKUP(TableHandbook[[#This Row],[UDC]],TableAvailabilities[],2,FALSE)&gt;0,"Y",""),"")</f>
        <v/>
      </c>
      <c r="H183" s="75" t="str">
        <f>IFERROR(IF(VLOOKUP(TableHandbook[[#This Row],[UDC]],TableAvailabilities[],3,FALSE)&gt;0,"Y",""),"")</f>
        <v/>
      </c>
      <c r="I183" s="75" t="str">
        <f>IFERROR(IF(VLOOKUP(TableHandbook[[#This Row],[UDC]],TableAvailabilities[],4,FALSE)&gt;0,"Y",""),"")</f>
        <v/>
      </c>
      <c r="J183" s="75" t="str">
        <f>IFERROR(IF(VLOOKUP(TableHandbook[[#This Row],[UDC]],TableAvailabilities[],5,FALSE)&gt;0,"Y",""),"")</f>
        <v/>
      </c>
      <c r="K183" s="75" t="str">
        <f>IFERROR(IF(VLOOKUP(TableHandbook[[#This Row],[UDC]],TableAvailabilities[],6,FALSE)&gt;0,"Y",""),"")</f>
        <v/>
      </c>
      <c r="L183" s="75" t="str">
        <f>IFERROR(IF(VLOOKUP(TableHandbook[[#This Row],[UDC]],TableAvailabilities[],7,FALSE)&gt;0,"Y",""),"")</f>
        <v/>
      </c>
      <c r="M183" s="207"/>
      <c r="N183" s="209" t="str">
        <f>IFERROR(VLOOKUP(TableHandbook[[#This Row],[UDC]],TableBEDUC[],7,FALSE),"")</f>
        <v/>
      </c>
      <c r="O183" s="209" t="str">
        <f>IFERROR(VLOOKUP(TableHandbook[[#This Row],[UDC]],TableBEDEC[],7,FALSE),"")</f>
        <v/>
      </c>
      <c r="P183" s="211" t="str">
        <f>IFERROR(VLOOKUP(TableHandbook[[#This Row],[UDC]],TableBEDPR[],7,FALSE),"")</f>
        <v/>
      </c>
      <c r="Q183" s="209" t="str">
        <f>IFERROR(VLOOKUP(TableHandbook[[#This Row],[UDC]],TableSTRUCATHL[],7,FALSE),"")</f>
        <v/>
      </c>
      <c r="R183" s="209" t="str">
        <f>IFERROR(VLOOKUP(TableHandbook[[#This Row],[UDC]],TableSTRUENGLL[],7,FALSE),"")</f>
        <v/>
      </c>
      <c r="S183" s="209" t="str">
        <f>IFERROR(VLOOKUP(TableHandbook[[#This Row],[UDC]],TableSTRUHLTPE[],7,FALSE),"")</f>
        <v>Core</v>
      </c>
      <c r="T183" s="209" t="str">
        <f>IFERROR(VLOOKUP(TableHandbook[[#This Row],[UDC]],TableSTRUISTEM[],7,FALSE),"")</f>
        <v/>
      </c>
      <c r="U183" s="209" t="str">
        <f>IFERROR(VLOOKUP(TableHandbook[[#This Row],[UDC]],TableSTRULITNU[],7,FALSE),"")</f>
        <v/>
      </c>
      <c r="V183" s="209" t="str">
        <f>IFERROR(VLOOKUP(TableHandbook[[#This Row],[UDC]],TableSTRUTECHS[],7,FALSE),"")</f>
        <v/>
      </c>
      <c r="W183" s="211" t="str">
        <f>IFERROR(VLOOKUP(TableHandbook[[#This Row],[UDC]],TableBEDSC[],7,FALSE),"")</f>
        <v/>
      </c>
      <c r="X183" s="211" t="str">
        <f>IFERROR(VLOOKUP(TableHandbook[[#This Row],[UDC]],TableMJRUARDR1[],7,FALSE),"")</f>
        <v/>
      </c>
      <c r="Y183" s="209" t="str">
        <f>IFERROR(VLOOKUP(TableHandbook[[#This Row],[UDC]],TableMJRUARME1[],7,FALSE),"")</f>
        <v/>
      </c>
      <c r="Z183" s="209" t="str">
        <f>IFERROR(VLOOKUP(TableHandbook[[#This Row],[UDC]],TableMJRUARVA1[],7,FALSE),"")</f>
        <v/>
      </c>
      <c r="AA183" s="209" t="str">
        <f>IFERROR(VLOOKUP(TableHandbook[[#This Row],[UDC]],TableMJRUENGL1[],7,FALSE),"")</f>
        <v/>
      </c>
      <c r="AB183" s="209" t="str">
        <f>IFERROR(VLOOKUP(TableHandbook[[#This Row],[UDC]],TableMJRUHSEC1[],7,FALSE),"")</f>
        <v/>
      </c>
      <c r="AC183" s="209" t="str">
        <f>IFERROR(VLOOKUP(TableHandbook[[#This Row],[UDC]],TableMJRUHSGE1[],7,FALSE),"")</f>
        <v/>
      </c>
      <c r="AD183" s="209" t="str">
        <f>IFERROR(VLOOKUP(TableHandbook[[#This Row],[UDC]],TableMJRUHSHI1[],7,FALSE),"")</f>
        <v/>
      </c>
      <c r="AE183" s="209" t="str">
        <f>IFERROR(VLOOKUP(TableHandbook[[#This Row],[UDC]],TableMJRUHSPL1[],7,FALSE),"")</f>
        <v/>
      </c>
      <c r="AF183" s="209" t="str">
        <f>IFERROR(VLOOKUP(TableHandbook[[#This Row],[UDC]],TableMJRUMATH1[],7,FALSE),"")</f>
        <v/>
      </c>
      <c r="AG183" s="209" t="str">
        <f>IFERROR(VLOOKUP(TableHandbook[[#This Row],[UDC]],TableMJRUPHYSE[],7,FALSE),"")</f>
        <v/>
      </c>
      <c r="AH183" s="209" t="str">
        <f>IFERROR(VLOOKUP(TableHandbook[[#This Row],[UDC]],TableMJRUSCBI1[],7,FALSE),"")</f>
        <v/>
      </c>
      <c r="AI183" s="209" t="str">
        <f>IFERROR(VLOOKUP(TableHandbook[[#This Row],[UDC]],TableMJRUSCCH1[],7,FALSE),"")</f>
        <v/>
      </c>
      <c r="AJ183" s="209" t="str">
        <f>IFERROR(VLOOKUP(TableHandbook[[#This Row],[UDC]],TableMJRUSCHB1[],7,FALSE),"")</f>
        <v/>
      </c>
      <c r="AK183" s="209" t="str">
        <f>IFERROR(VLOOKUP(TableHandbook[[#This Row],[UDC]],TableMJRUSCPH1[],7,FALSE),"")</f>
        <v/>
      </c>
      <c r="AL183" s="209" t="str">
        <f>IFERROR(VLOOKUP(TableHandbook[[#This Row],[UDC]],TableMJRUSCPS1[],7,FALSE),"")</f>
        <v/>
      </c>
      <c r="AM183" s="211" t="str">
        <f>IFERROR(VLOOKUP(TableHandbook[[#This Row],[UDC]],TableSTRUBIOLB[],7,FALSE),"")</f>
        <v/>
      </c>
      <c r="AN183" s="209" t="str">
        <f>IFERROR(VLOOKUP(TableHandbook[[#This Row],[UDC]],TableSTRUBSCIM[],7,FALSE),"")</f>
        <v/>
      </c>
      <c r="AO183" s="209" t="str">
        <f>IFERROR(VLOOKUP(TableHandbook[[#This Row],[UDC]],TableSTRUCHEMB[],7,FALSE),"")</f>
        <v/>
      </c>
      <c r="AP183" s="209" t="str">
        <f>IFERROR(VLOOKUP(TableHandbook[[#This Row],[UDC]],TableSTRUECOB1[],7,FALSE),"")</f>
        <v/>
      </c>
      <c r="AQ183" s="209" t="str">
        <f>IFERROR(VLOOKUP(TableHandbook[[#This Row],[UDC]],TableSTRUENGLB[],7,FALSE),"")</f>
        <v/>
      </c>
      <c r="AR183" s="209" t="str">
        <f>IFERROR(VLOOKUP(TableHandbook[[#This Row],[UDC]],TableSTRUENGLM[],7,FALSE),"")</f>
        <v/>
      </c>
      <c r="AS183" s="209" t="str">
        <f>IFERROR(VLOOKUP(TableHandbook[[#This Row],[UDC]],TableSTRUGEOB1[],7,FALSE),"")</f>
        <v/>
      </c>
      <c r="AT183" s="209" t="str">
        <f>IFERROR(VLOOKUP(TableHandbook[[#This Row],[UDC]],TableSTRUGEOGM[],7,FALSE),"")</f>
        <v/>
      </c>
      <c r="AU183" s="209" t="str">
        <f>IFERROR(VLOOKUP(TableHandbook[[#This Row],[UDC]],TableSTRUHISB1[],7,FALSE),"")</f>
        <v/>
      </c>
      <c r="AV183" s="209" t="str">
        <f>IFERROR(VLOOKUP(TableHandbook[[#This Row],[UDC]],TableSTRUHISTM[],7,FALSE),"")</f>
        <v/>
      </c>
      <c r="AW183" s="209" t="str">
        <f>IFERROR(VLOOKUP(TableHandbook[[#This Row],[UDC]],TableSTRUHPEB1[],7,FALSE),"")</f>
        <v/>
      </c>
      <c r="AX183" s="209" t="str">
        <f>IFERROR(VLOOKUP(TableHandbook[[#This Row],[UDC]],TableSTRUHUMBB[],7,FALSE),"")</f>
        <v/>
      </c>
      <c r="AY183" s="209" t="str">
        <f>IFERROR(VLOOKUP(TableHandbook[[#This Row],[UDC]],TableSTRUMARTM[],7,FALSE),"")</f>
        <v/>
      </c>
      <c r="AZ183" s="209" t="str">
        <f>IFERROR(VLOOKUP(TableHandbook[[#This Row],[UDC]],TableSTRUMATHB[],7,FALSE),"")</f>
        <v/>
      </c>
      <c r="BA183" s="209" t="str">
        <f>IFERROR(VLOOKUP(TableHandbook[[#This Row],[UDC]],TableSTRUMATHM[],7,FALSE),"")</f>
        <v/>
      </c>
      <c r="BB183" s="209" t="str">
        <f>IFERROR(VLOOKUP(TableHandbook[[#This Row],[UDC]],TableSTRUPARTB[],7,FALSE),"")</f>
        <v/>
      </c>
      <c r="BC183" s="209" t="str">
        <f>IFERROR(VLOOKUP(TableHandbook[[#This Row],[UDC]],TableSTRUPARTM[],7,FALSE),"")</f>
        <v/>
      </c>
      <c r="BD183" s="209" t="str">
        <f>IFERROR(VLOOKUP(TableHandbook[[#This Row],[UDC]],TableSTRUPOLB1[],7,FALSE),"")</f>
        <v/>
      </c>
      <c r="BE183" s="209" t="str">
        <f>IFERROR(VLOOKUP(TableHandbook[[#This Row],[UDC]],TableSTRUPSYCB[],7,FALSE),"")</f>
        <v/>
      </c>
      <c r="BF183" s="209" t="str">
        <f>IFERROR(VLOOKUP(TableHandbook[[#This Row],[UDC]],TableSTRUPSYCM[],7,FALSE),"")</f>
        <v/>
      </c>
      <c r="BG183" s="209" t="str">
        <f>IFERROR(VLOOKUP(TableHandbook[[#This Row],[UDC]],TableSTRUVARTB[],7,FALSE),"")</f>
        <v/>
      </c>
      <c r="BH183" s="209" t="str">
        <f>IFERROR(VLOOKUP(TableHandbook[[#This Row],[UDC]],TableSTRUVARTM[],7,FALSE),"")</f>
        <v/>
      </c>
    </row>
    <row r="184" spans="1:60" x14ac:dyDescent="0.25">
      <c r="A184" s="6" t="s">
        <v>176</v>
      </c>
      <c r="B184" s="7">
        <v>1</v>
      </c>
      <c r="C184" s="7"/>
      <c r="D184" s="207" t="s">
        <v>1359</v>
      </c>
      <c r="E184" s="7">
        <v>25</v>
      </c>
      <c r="F184" s="311" t="s">
        <v>830</v>
      </c>
      <c r="G184" s="75" t="str">
        <f>IFERROR(IF(VLOOKUP(TableHandbook[[#This Row],[UDC]],TableAvailabilities[],2,FALSE)&gt;0,"Y",""),"")</f>
        <v/>
      </c>
      <c r="H184" s="75" t="str">
        <f>IFERROR(IF(VLOOKUP(TableHandbook[[#This Row],[UDC]],TableAvailabilities[],3,FALSE)&gt;0,"Y",""),"")</f>
        <v/>
      </c>
      <c r="I184" s="75" t="str">
        <f>IFERROR(IF(VLOOKUP(TableHandbook[[#This Row],[UDC]],TableAvailabilities[],4,FALSE)&gt;0,"Y",""),"")</f>
        <v/>
      </c>
      <c r="J184" s="75" t="str">
        <f>IFERROR(IF(VLOOKUP(TableHandbook[[#This Row],[UDC]],TableAvailabilities[],5,FALSE)&gt;0,"Y",""),"")</f>
        <v/>
      </c>
      <c r="K184" s="75" t="str">
        <f>IFERROR(IF(VLOOKUP(TableHandbook[[#This Row],[UDC]],TableAvailabilities[],6,FALSE)&gt;0,"Y",""),"")</f>
        <v/>
      </c>
      <c r="L184" s="75" t="str">
        <f>IFERROR(IF(VLOOKUP(TableHandbook[[#This Row],[UDC]],TableAvailabilities[],7,FALSE)&gt;0,"Y",""),"")</f>
        <v/>
      </c>
      <c r="M184" s="207"/>
      <c r="N184" s="209" t="str">
        <f>IFERROR(VLOOKUP(TableHandbook[[#This Row],[UDC]],TableBEDUC[],7,FALSE),"")</f>
        <v/>
      </c>
      <c r="O184" s="209" t="str">
        <f>IFERROR(VLOOKUP(TableHandbook[[#This Row],[UDC]],TableBEDEC[],7,FALSE),"")</f>
        <v/>
      </c>
      <c r="P184" s="211" t="str">
        <f>IFERROR(VLOOKUP(TableHandbook[[#This Row],[UDC]],TableBEDPR[],7,FALSE),"")</f>
        <v/>
      </c>
      <c r="Q184" s="209" t="str">
        <f>IFERROR(VLOOKUP(TableHandbook[[#This Row],[UDC]],TableSTRUCATHL[],7,FALSE),"")</f>
        <v/>
      </c>
      <c r="R184" s="209" t="str">
        <f>IFERROR(VLOOKUP(TableHandbook[[#This Row],[UDC]],TableSTRUENGLL[],7,FALSE),"")</f>
        <v/>
      </c>
      <c r="S184" s="209" t="str">
        <f>IFERROR(VLOOKUP(TableHandbook[[#This Row],[UDC]],TableSTRUHLTPE[],7,FALSE),"")</f>
        <v>Core</v>
      </c>
      <c r="T184" s="209" t="str">
        <f>IFERROR(VLOOKUP(TableHandbook[[#This Row],[UDC]],TableSTRUISTEM[],7,FALSE),"")</f>
        <v/>
      </c>
      <c r="U184" s="209" t="str">
        <f>IFERROR(VLOOKUP(TableHandbook[[#This Row],[UDC]],TableSTRULITNU[],7,FALSE),"")</f>
        <v/>
      </c>
      <c r="V184" s="209" t="str">
        <f>IFERROR(VLOOKUP(TableHandbook[[#This Row],[UDC]],TableSTRUTECHS[],7,FALSE),"")</f>
        <v/>
      </c>
      <c r="W184" s="211" t="str">
        <f>IFERROR(VLOOKUP(TableHandbook[[#This Row],[UDC]],TableBEDSC[],7,FALSE),"")</f>
        <v/>
      </c>
      <c r="X184" s="211" t="str">
        <f>IFERROR(VLOOKUP(TableHandbook[[#This Row],[UDC]],TableMJRUARDR1[],7,FALSE),"")</f>
        <v/>
      </c>
      <c r="Y184" s="209" t="str">
        <f>IFERROR(VLOOKUP(TableHandbook[[#This Row],[UDC]],TableMJRUARME1[],7,FALSE),"")</f>
        <v/>
      </c>
      <c r="Z184" s="209" t="str">
        <f>IFERROR(VLOOKUP(TableHandbook[[#This Row],[UDC]],TableMJRUARVA1[],7,FALSE),"")</f>
        <v/>
      </c>
      <c r="AA184" s="209" t="str">
        <f>IFERROR(VLOOKUP(TableHandbook[[#This Row],[UDC]],TableMJRUENGL1[],7,FALSE),"")</f>
        <v/>
      </c>
      <c r="AB184" s="209" t="str">
        <f>IFERROR(VLOOKUP(TableHandbook[[#This Row],[UDC]],TableMJRUHSEC1[],7,FALSE),"")</f>
        <v/>
      </c>
      <c r="AC184" s="209" t="str">
        <f>IFERROR(VLOOKUP(TableHandbook[[#This Row],[UDC]],TableMJRUHSGE1[],7,FALSE),"")</f>
        <v/>
      </c>
      <c r="AD184" s="209" t="str">
        <f>IFERROR(VLOOKUP(TableHandbook[[#This Row],[UDC]],TableMJRUHSHI1[],7,FALSE),"")</f>
        <v/>
      </c>
      <c r="AE184" s="209" t="str">
        <f>IFERROR(VLOOKUP(TableHandbook[[#This Row],[UDC]],TableMJRUHSPL1[],7,FALSE),"")</f>
        <v/>
      </c>
      <c r="AF184" s="209" t="str">
        <f>IFERROR(VLOOKUP(TableHandbook[[#This Row],[UDC]],TableMJRUMATH1[],7,FALSE),"")</f>
        <v/>
      </c>
      <c r="AG184" s="209" t="str">
        <f>IFERROR(VLOOKUP(TableHandbook[[#This Row],[UDC]],TableMJRUPHYSE[],7,FALSE),"")</f>
        <v/>
      </c>
      <c r="AH184" s="209" t="str">
        <f>IFERROR(VLOOKUP(TableHandbook[[#This Row],[UDC]],TableMJRUSCBI1[],7,FALSE),"")</f>
        <v/>
      </c>
      <c r="AI184" s="209" t="str">
        <f>IFERROR(VLOOKUP(TableHandbook[[#This Row],[UDC]],TableMJRUSCCH1[],7,FALSE),"")</f>
        <v/>
      </c>
      <c r="AJ184" s="209" t="str">
        <f>IFERROR(VLOOKUP(TableHandbook[[#This Row],[UDC]],TableMJRUSCHB1[],7,FALSE),"")</f>
        <v/>
      </c>
      <c r="AK184" s="209" t="str">
        <f>IFERROR(VLOOKUP(TableHandbook[[#This Row],[UDC]],TableMJRUSCPH1[],7,FALSE),"")</f>
        <v/>
      </c>
      <c r="AL184" s="209" t="str">
        <f>IFERROR(VLOOKUP(TableHandbook[[#This Row],[UDC]],TableMJRUSCPS1[],7,FALSE),"")</f>
        <v/>
      </c>
      <c r="AM184" s="211" t="str">
        <f>IFERROR(VLOOKUP(TableHandbook[[#This Row],[UDC]],TableSTRUBIOLB[],7,FALSE),"")</f>
        <v/>
      </c>
      <c r="AN184" s="209" t="str">
        <f>IFERROR(VLOOKUP(TableHandbook[[#This Row],[UDC]],TableSTRUBSCIM[],7,FALSE),"")</f>
        <v/>
      </c>
      <c r="AO184" s="209" t="str">
        <f>IFERROR(VLOOKUP(TableHandbook[[#This Row],[UDC]],TableSTRUCHEMB[],7,FALSE),"")</f>
        <v/>
      </c>
      <c r="AP184" s="209" t="str">
        <f>IFERROR(VLOOKUP(TableHandbook[[#This Row],[UDC]],TableSTRUECOB1[],7,FALSE),"")</f>
        <v/>
      </c>
      <c r="AQ184" s="209" t="str">
        <f>IFERROR(VLOOKUP(TableHandbook[[#This Row],[UDC]],TableSTRUENGLB[],7,FALSE),"")</f>
        <v/>
      </c>
      <c r="AR184" s="209" t="str">
        <f>IFERROR(VLOOKUP(TableHandbook[[#This Row],[UDC]],TableSTRUENGLM[],7,FALSE),"")</f>
        <v/>
      </c>
      <c r="AS184" s="209" t="str">
        <f>IFERROR(VLOOKUP(TableHandbook[[#This Row],[UDC]],TableSTRUGEOB1[],7,FALSE),"")</f>
        <v/>
      </c>
      <c r="AT184" s="209" t="str">
        <f>IFERROR(VLOOKUP(TableHandbook[[#This Row],[UDC]],TableSTRUGEOGM[],7,FALSE),"")</f>
        <v/>
      </c>
      <c r="AU184" s="209" t="str">
        <f>IFERROR(VLOOKUP(TableHandbook[[#This Row],[UDC]],TableSTRUHISB1[],7,FALSE),"")</f>
        <v/>
      </c>
      <c r="AV184" s="209" t="str">
        <f>IFERROR(VLOOKUP(TableHandbook[[#This Row],[UDC]],TableSTRUHISTM[],7,FALSE),"")</f>
        <v/>
      </c>
      <c r="AW184" s="209" t="str">
        <f>IFERROR(VLOOKUP(TableHandbook[[#This Row],[UDC]],TableSTRUHPEB1[],7,FALSE),"")</f>
        <v/>
      </c>
      <c r="AX184" s="209" t="str">
        <f>IFERROR(VLOOKUP(TableHandbook[[#This Row],[UDC]],TableSTRUHUMBB[],7,FALSE),"")</f>
        <v/>
      </c>
      <c r="AY184" s="209" t="str">
        <f>IFERROR(VLOOKUP(TableHandbook[[#This Row],[UDC]],TableSTRUMARTM[],7,FALSE),"")</f>
        <v/>
      </c>
      <c r="AZ184" s="209" t="str">
        <f>IFERROR(VLOOKUP(TableHandbook[[#This Row],[UDC]],TableSTRUMATHB[],7,FALSE),"")</f>
        <v/>
      </c>
      <c r="BA184" s="209" t="str">
        <f>IFERROR(VLOOKUP(TableHandbook[[#This Row],[UDC]],TableSTRUMATHM[],7,FALSE),"")</f>
        <v/>
      </c>
      <c r="BB184" s="209" t="str">
        <f>IFERROR(VLOOKUP(TableHandbook[[#This Row],[UDC]],TableSTRUPARTB[],7,FALSE),"")</f>
        <v/>
      </c>
      <c r="BC184" s="209" t="str">
        <f>IFERROR(VLOOKUP(TableHandbook[[#This Row],[UDC]],TableSTRUPARTM[],7,FALSE),"")</f>
        <v/>
      </c>
      <c r="BD184" s="209" t="str">
        <f>IFERROR(VLOOKUP(TableHandbook[[#This Row],[UDC]],TableSTRUPOLB1[],7,FALSE),"")</f>
        <v/>
      </c>
      <c r="BE184" s="209" t="str">
        <f>IFERROR(VLOOKUP(TableHandbook[[#This Row],[UDC]],TableSTRUPSYCB[],7,FALSE),"")</f>
        <v/>
      </c>
      <c r="BF184" s="209" t="str">
        <f>IFERROR(VLOOKUP(TableHandbook[[#This Row],[UDC]],TableSTRUPSYCM[],7,FALSE),"")</f>
        <v/>
      </c>
      <c r="BG184" s="209" t="str">
        <f>IFERROR(VLOOKUP(TableHandbook[[#This Row],[UDC]],TableSTRUVARTB[],7,FALSE),"")</f>
        <v/>
      </c>
      <c r="BH184" s="209" t="str">
        <f>IFERROR(VLOOKUP(TableHandbook[[#This Row],[UDC]],TableSTRUVARTM[],7,FALSE),"")</f>
        <v/>
      </c>
    </row>
    <row r="185" spans="1:60" x14ac:dyDescent="0.25">
      <c r="A185" s="6" t="s">
        <v>182</v>
      </c>
      <c r="B185" s="7">
        <v>1</v>
      </c>
      <c r="C185" s="7"/>
      <c r="D185" s="207" t="s">
        <v>1360</v>
      </c>
      <c r="E185" s="7">
        <v>25</v>
      </c>
      <c r="F185" s="311" t="s">
        <v>830</v>
      </c>
      <c r="G185" s="75" t="str">
        <f>IFERROR(IF(VLOOKUP(TableHandbook[[#This Row],[UDC]],TableAvailabilities[],2,FALSE)&gt;0,"Y",""),"")</f>
        <v/>
      </c>
      <c r="H185" s="75" t="str">
        <f>IFERROR(IF(VLOOKUP(TableHandbook[[#This Row],[UDC]],TableAvailabilities[],3,FALSE)&gt;0,"Y",""),"")</f>
        <v/>
      </c>
      <c r="I185" s="75" t="str">
        <f>IFERROR(IF(VLOOKUP(TableHandbook[[#This Row],[UDC]],TableAvailabilities[],4,FALSE)&gt;0,"Y",""),"")</f>
        <v/>
      </c>
      <c r="J185" s="75" t="str">
        <f>IFERROR(IF(VLOOKUP(TableHandbook[[#This Row],[UDC]],TableAvailabilities[],5,FALSE)&gt;0,"Y",""),"")</f>
        <v/>
      </c>
      <c r="K185" s="75" t="str">
        <f>IFERROR(IF(VLOOKUP(TableHandbook[[#This Row],[UDC]],TableAvailabilities[],6,FALSE)&gt;0,"Y",""),"")</f>
        <v/>
      </c>
      <c r="L185" s="75" t="str">
        <f>IFERROR(IF(VLOOKUP(TableHandbook[[#This Row],[UDC]],TableAvailabilities[],7,FALSE)&gt;0,"Y",""),"")</f>
        <v/>
      </c>
      <c r="M185" s="207"/>
      <c r="N185" s="209" t="str">
        <f>IFERROR(VLOOKUP(TableHandbook[[#This Row],[UDC]],TableBEDUC[],7,FALSE),"")</f>
        <v/>
      </c>
      <c r="O185" s="209" t="str">
        <f>IFERROR(VLOOKUP(TableHandbook[[#This Row],[UDC]],TableBEDEC[],7,FALSE),"")</f>
        <v/>
      </c>
      <c r="P185" s="211" t="str">
        <f>IFERROR(VLOOKUP(TableHandbook[[#This Row],[UDC]],TableBEDPR[],7,FALSE),"")</f>
        <v/>
      </c>
      <c r="Q185" s="209" t="str">
        <f>IFERROR(VLOOKUP(TableHandbook[[#This Row],[UDC]],TableSTRUCATHL[],7,FALSE),"")</f>
        <v/>
      </c>
      <c r="R185" s="209" t="str">
        <f>IFERROR(VLOOKUP(TableHandbook[[#This Row],[UDC]],TableSTRUENGLL[],7,FALSE),"")</f>
        <v/>
      </c>
      <c r="S185" s="209" t="str">
        <f>IFERROR(VLOOKUP(TableHandbook[[#This Row],[UDC]],TableSTRUHLTPE[],7,FALSE),"")</f>
        <v>Core</v>
      </c>
      <c r="T185" s="209" t="str">
        <f>IFERROR(VLOOKUP(TableHandbook[[#This Row],[UDC]],TableSTRUISTEM[],7,FALSE),"")</f>
        <v/>
      </c>
      <c r="U185" s="209" t="str">
        <f>IFERROR(VLOOKUP(TableHandbook[[#This Row],[UDC]],TableSTRULITNU[],7,FALSE),"")</f>
        <v/>
      </c>
      <c r="V185" s="209" t="str">
        <f>IFERROR(VLOOKUP(TableHandbook[[#This Row],[UDC]],TableSTRUTECHS[],7,FALSE),"")</f>
        <v/>
      </c>
      <c r="W185" s="211" t="str">
        <f>IFERROR(VLOOKUP(TableHandbook[[#This Row],[UDC]],TableBEDSC[],7,FALSE),"")</f>
        <v/>
      </c>
      <c r="X185" s="211" t="str">
        <f>IFERROR(VLOOKUP(TableHandbook[[#This Row],[UDC]],TableMJRUARDR1[],7,FALSE),"")</f>
        <v/>
      </c>
      <c r="Y185" s="209" t="str">
        <f>IFERROR(VLOOKUP(TableHandbook[[#This Row],[UDC]],TableMJRUARME1[],7,FALSE),"")</f>
        <v/>
      </c>
      <c r="Z185" s="209" t="str">
        <f>IFERROR(VLOOKUP(TableHandbook[[#This Row],[UDC]],TableMJRUARVA1[],7,FALSE),"")</f>
        <v/>
      </c>
      <c r="AA185" s="209" t="str">
        <f>IFERROR(VLOOKUP(TableHandbook[[#This Row],[UDC]],TableMJRUENGL1[],7,FALSE),"")</f>
        <v/>
      </c>
      <c r="AB185" s="209" t="str">
        <f>IFERROR(VLOOKUP(TableHandbook[[#This Row],[UDC]],TableMJRUHSEC1[],7,FALSE),"")</f>
        <v/>
      </c>
      <c r="AC185" s="209" t="str">
        <f>IFERROR(VLOOKUP(TableHandbook[[#This Row],[UDC]],TableMJRUHSGE1[],7,FALSE),"")</f>
        <v/>
      </c>
      <c r="AD185" s="209" t="str">
        <f>IFERROR(VLOOKUP(TableHandbook[[#This Row],[UDC]],TableMJRUHSHI1[],7,FALSE),"")</f>
        <v/>
      </c>
      <c r="AE185" s="209" t="str">
        <f>IFERROR(VLOOKUP(TableHandbook[[#This Row],[UDC]],TableMJRUHSPL1[],7,FALSE),"")</f>
        <v/>
      </c>
      <c r="AF185" s="209" t="str">
        <f>IFERROR(VLOOKUP(TableHandbook[[#This Row],[UDC]],TableMJRUMATH1[],7,FALSE),"")</f>
        <v/>
      </c>
      <c r="AG185" s="209" t="str">
        <f>IFERROR(VLOOKUP(TableHandbook[[#This Row],[UDC]],TableMJRUPHYSE[],7,FALSE),"")</f>
        <v/>
      </c>
      <c r="AH185" s="209" t="str">
        <f>IFERROR(VLOOKUP(TableHandbook[[#This Row],[UDC]],TableMJRUSCBI1[],7,FALSE),"")</f>
        <v/>
      </c>
      <c r="AI185" s="209" t="str">
        <f>IFERROR(VLOOKUP(TableHandbook[[#This Row],[UDC]],TableMJRUSCCH1[],7,FALSE),"")</f>
        <v/>
      </c>
      <c r="AJ185" s="209" t="str">
        <f>IFERROR(VLOOKUP(TableHandbook[[#This Row],[UDC]],TableMJRUSCHB1[],7,FALSE),"")</f>
        <v/>
      </c>
      <c r="AK185" s="209" t="str">
        <f>IFERROR(VLOOKUP(TableHandbook[[#This Row],[UDC]],TableMJRUSCPH1[],7,FALSE),"")</f>
        <v/>
      </c>
      <c r="AL185" s="209" t="str">
        <f>IFERROR(VLOOKUP(TableHandbook[[#This Row],[UDC]],TableMJRUSCPS1[],7,FALSE),"")</f>
        <v/>
      </c>
      <c r="AM185" s="211" t="str">
        <f>IFERROR(VLOOKUP(TableHandbook[[#This Row],[UDC]],TableSTRUBIOLB[],7,FALSE),"")</f>
        <v/>
      </c>
      <c r="AN185" s="209" t="str">
        <f>IFERROR(VLOOKUP(TableHandbook[[#This Row],[UDC]],TableSTRUBSCIM[],7,FALSE),"")</f>
        <v/>
      </c>
      <c r="AO185" s="209" t="str">
        <f>IFERROR(VLOOKUP(TableHandbook[[#This Row],[UDC]],TableSTRUCHEMB[],7,FALSE),"")</f>
        <v/>
      </c>
      <c r="AP185" s="209" t="str">
        <f>IFERROR(VLOOKUP(TableHandbook[[#This Row],[UDC]],TableSTRUECOB1[],7,FALSE),"")</f>
        <v/>
      </c>
      <c r="AQ185" s="209" t="str">
        <f>IFERROR(VLOOKUP(TableHandbook[[#This Row],[UDC]],TableSTRUENGLB[],7,FALSE),"")</f>
        <v/>
      </c>
      <c r="AR185" s="209" t="str">
        <f>IFERROR(VLOOKUP(TableHandbook[[#This Row],[UDC]],TableSTRUENGLM[],7,FALSE),"")</f>
        <v/>
      </c>
      <c r="AS185" s="209" t="str">
        <f>IFERROR(VLOOKUP(TableHandbook[[#This Row],[UDC]],TableSTRUGEOB1[],7,FALSE),"")</f>
        <v/>
      </c>
      <c r="AT185" s="209" t="str">
        <f>IFERROR(VLOOKUP(TableHandbook[[#This Row],[UDC]],TableSTRUGEOGM[],7,FALSE),"")</f>
        <v/>
      </c>
      <c r="AU185" s="209" t="str">
        <f>IFERROR(VLOOKUP(TableHandbook[[#This Row],[UDC]],TableSTRUHISB1[],7,FALSE),"")</f>
        <v/>
      </c>
      <c r="AV185" s="209" t="str">
        <f>IFERROR(VLOOKUP(TableHandbook[[#This Row],[UDC]],TableSTRUHISTM[],7,FALSE),"")</f>
        <v/>
      </c>
      <c r="AW185" s="209" t="str">
        <f>IFERROR(VLOOKUP(TableHandbook[[#This Row],[UDC]],TableSTRUHPEB1[],7,FALSE),"")</f>
        <v/>
      </c>
      <c r="AX185" s="209" t="str">
        <f>IFERROR(VLOOKUP(TableHandbook[[#This Row],[UDC]],TableSTRUHUMBB[],7,FALSE),"")</f>
        <v/>
      </c>
      <c r="AY185" s="209" t="str">
        <f>IFERROR(VLOOKUP(TableHandbook[[#This Row],[UDC]],TableSTRUMARTM[],7,FALSE),"")</f>
        <v/>
      </c>
      <c r="AZ185" s="209" t="str">
        <f>IFERROR(VLOOKUP(TableHandbook[[#This Row],[UDC]],TableSTRUMATHB[],7,FALSE),"")</f>
        <v/>
      </c>
      <c r="BA185" s="209" t="str">
        <f>IFERROR(VLOOKUP(TableHandbook[[#This Row],[UDC]],TableSTRUMATHM[],7,FALSE),"")</f>
        <v/>
      </c>
      <c r="BB185" s="209" t="str">
        <f>IFERROR(VLOOKUP(TableHandbook[[#This Row],[UDC]],TableSTRUPARTB[],7,FALSE),"")</f>
        <v/>
      </c>
      <c r="BC185" s="209" t="str">
        <f>IFERROR(VLOOKUP(TableHandbook[[#This Row],[UDC]],TableSTRUPARTM[],7,FALSE),"")</f>
        <v/>
      </c>
      <c r="BD185" s="209" t="str">
        <f>IFERROR(VLOOKUP(TableHandbook[[#This Row],[UDC]],TableSTRUPOLB1[],7,FALSE),"")</f>
        <v/>
      </c>
      <c r="BE185" s="209" t="str">
        <f>IFERROR(VLOOKUP(TableHandbook[[#This Row],[UDC]],TableSTRUPSYCB[],7,FALSE),"")</f>
        <v/>
      </c>
      <c r="BF185" s="209" t="str">
        <f>IFERROR(VLOOKUP(TableHandbook[[#This Row],[UDC]],TableSTRUPSYCM[],7,FALSE),"")</f>
        <v/>
      </c>
      <c r="BG185" s="209" t="str">
        <f>IFERROR(VLOOKUP(TableHandbook[[#This Row],[UDC]],TableSTRUVARTB[],7,FALSE),"")</f>
        <v/>
      </c>
      <c r="BH185" s="209" t="str">
        <f>IFERROR(VLOOKUP(TableHandbook[[#This Row],[UDC]],TableSTRUVARTM[],7,FALSE),"")</f>
        <v/>
      </c>
    </row>
    <row r="186" spans="1:60" x14ac:dyDescent="0.25">
      <c r="A186" s="6" t="s">
        <v>102</v>
      </c>
      <c r="B186" s="7">
        <v>0</v>
      </c>
      <c r="C186" s="7"/>
      <c r="D186" s="207" t="s">
        <v>998</v>
      </c>
      <c r="E186" s="7">
        <v>25</v>
      </c>
      <c r="F186" s="84" t="s">
        <v>999</v>
      </c>
      <c r="G186" s="75" t="str">
        <f>IFERROR(IF(VLOOKUP(TableHandbook[[#This Row],[UDC]],TableAvailabilities[],2,FALSE)&gt;0,"Y",""),"")</f>
        <v/>
      </c>
      <c r="H186" s="75" t="str">
        <f>IFERROR(IF(VLOOKUP(TableHandbook[[#This Row],[UDC]],TableAvailabilities[],3,FALSE)&gt;0,"Y",""),"")</f>
        <v/>
      </c>
      <c r="I186" s="75" t="str">
        <f>IFERROR(IF(VLOOKUP(TableHandbook[[#This Row],[UDC]],TableAvailabilities[],4,FALSE)&gt;0,"Y",""),"")</f>
        <v/>
      </c>
      <c r="J186" s="75" t="str">
        <f>IFERROR(IF(VLOOKUP(TableHandbook[[#This Row],[UDC]],TableAvailabilities[],5,FALSE)&gt;0,"Y",""),"")</f>
        <v/>
      </c>
      <c r="K186" s="75" t="str">
        <f>IFERROR(IF(VLOOKUP(TableHandbook[[#This Row],[UDC]],TableAvailabilities[],6,FALSE)&gt;0,"Y",""),"")</f>
        <v/>
      </c>
      <c r="L186" s="75" t="str">
        <f>IFERROR(IF(VLOOKUP(TableHandbook[[#This Row],[UDC]],TableAvailabilities[],7,FALSE)&gt;0,"Y",""),"")</f>
        <v/>
      </c>
      <c r="M186" s="207"/>
      <c r="N186" s="209" t="str">
        <f>IFERROR(VLOOKUP(TableHandbook[[#This Row],[UDC]],TableBEDUC[],7,FALSE),"")</f>
        <v>Elective</v>
      </c>
      <c r="O186" s="209" t="str">
        <f>IFERROR(VLOOKUP(TableHandbook[[#This Row],[UDC]],TableBEDEC[],7,FALSE),"")</f>
        <v/>
      </c>
      <c r="P186" s="211" t="str">
        <f>IFERROR(VLOOKUP(TableHandbook[[#This Row],[UDC]],TableBEDPR[],7,FALSE),"")</f>
        <v/>
      </c>
      <c r="Q186" s="209" t="str">
        <f>IFERROR(VLOOKUP(TableHandbook[[#This Row],[UDC]],TableSTRUCATHL[],7,FALSE),"")</f>
        <v/>
      </c>
      <c r="R186" s="209" t="str">
        <f>IFERROR(VLOOKUP(TableHandbook[[#This Row],[UDC]],TableSTRUENGLL[],7,FALSE),"")</f>
        <v/>
      </c>
      <c r="S186" s="209" t="str">
        <f>IFERROR(VLOOKUP(TableHandbook[[#This Row],[UDC]],TableSTRUHLTPE[],7,FALSE),"")</f>
        <v/>
      </c>
      <c r="T186" s="209" t="str">
        <f>IFERROR(VLOOKUP(TableHandbook[[#This Row],[UDC]],TableSTRUISTEM[],7,FALSE),"")</f>
        <v/>
      </c>
      <c r="U186" s="209" t="str">
        <f>IFERROR(VLOOKUP(TableHandbook[[#This Row],[UDC]],TableSTRULITNU[],7,FALSE),"")</f>
        <v/>
      </c>
      <c r="V186" s="209" t="str">
        <f>IFERROR(VLOOKUP(TableHandbook[[#This Row],[UDC]],TableSTRUTECHS[],7,FALSE),"")</f>
        <v/>
      </c>
      <c r="W186" s="211" t="str">
        <f>IFERROR(VLOOKUP(TableHandbook[[#This Row],[UDC]],TableBEDSC[],7,FALSE),"")</f>
        <v/>
      </c>
      <c r="X186" s="211" t="str">
        <f>IFERROR(VLOOKUP(TableHandbook[[#This Row],[UDC]],TableMJRUARDR1[],7,FALSE),"")</f>
        <v/>
      </c>
      <c r="Y186" s="209" t="str">
        <f>IFERROR(VLOOKUP(TableHandbook[[#This Row],[UDC]],TableMJRUARME1[],7,FALSE),"")</f>
        <v/>
      </c>
      <c r="Z186" s="209" t="str">
        <f>IFERROR(VLOOKUP(TableHandbook[[#This Row],[UDC]],TableMJRUARVA1[],7,FALSE),"")</f>
        <v/>
      </c>
      <c r="AA186" s="209" t="str">
        <f>IFERROR(VLOOKUP(TableHandbook[[#This Row],[UDC]],TableMJRUENGL1[],7,FALSE),"")</f>
        <v/>
      </c>
      <c r="AB186" s="209" t="str">
        <f>IFERROR(VLOOKUP(TableHandbook[[#This Row],[UDC]],TableMJRUHSEC1[],7,FALSE),"")</f>
        <v/>
      </c>
      <c r="AC186" s="209" t="str">
        <f>IFERROR(VLOOKUP(TableHandbook[[#This Row],[UDC]],TableMJRUHSGE1[],7,FALSE),"")</f>
        <v/>
      </c>
      <c r="AD186" s="209" t="str">
        <f>IFERROR(VLOOKUP(TableHandbook[[#This Row],[UDC]],TableMJRUHSHI1[],7,FALSE),"")</f>
        <v/>
      </c>
      <c r="AE186" s="209" t="str">
        <f>IFERROR(VLOOKUP(TableHandbook[[#This Row],[UDC]],TableMJRUHSPL1[],7,FALSE),"")</f>
        <v/>
      </c>
      <c r="AF186" s="209" t="str">
        <f>IFERROR(VLOOKUP(TableHandbook[[#This Row],[UDC]],TableMJRUMATH1[],7,FALSE),"")</f>
        <v/>
      </c>
      <c r="AG186" s="209" t="str">
        <f>IFERROR(VLOOKUP(TableHandbook[[#This Row],[UDC]],TableMJRUPHYSE[],7,FALSE),"")</f>
        <v/>
      </c>
      <c r="AH186" s="209" t="str">
        <f>IFERROR(VLOOKUP(TableHandbook[[#This Row],[UDC]],TableMJRUSCBI1[],7,FALSE),"")</f>
        <v/>
      </c>
      <c r="AI186" s="209" t="str">
        <f>IFERROR(VLOOKUP(TableHandbook[[#This Row],[UDC]],TableMJRUSCCH1[],7,FALSE),"")</f>
        <v/>
      </c>
      <c r="AJ186" s="209" t="str">
        <f>IFERROR(VLOOKUP(TableHandbook[[#This Row],[UDC]],TableMJRUSCHB1[],7,FALSE),"")</f>
        <v/>
      </c>
      <c r="AK186" s="209" t="str">
        <f>IFERROR(VLOOKUP(TableHandbook[[#This Row],[UDC]],TableMJRUSCPH1[],7,FALSE),"")</f>
        <v/>
      </c>
      <c r="AL186" s="209" t="str">
        <f>IFERROR(VLOOKUP(TableHandbook[[#This Row],[UDC]],TableMJRUSCPS1[],7,FALSE),"")</f>
        <v/>
      </c>
      <c r="AM186" s="211" t="str">
        <f>IFERROR(VLOOKUP(TableHandbook[[#This Row],[UDC]],TableSTRUBIOLB[],7,FALSE),"")</f>
        <v/>
      </c>
      <c r="AN186" s="209" t="str">
        <f>IFERROR(VLOOKUP(TableHandbook[[#This Row],[UDC]],TableSTRUBSCIM[],7,FALSE),"")</f>
        <v/>
      </c>
      <c r="AO186" s="209" t="str">
        <f>IFERROR(VLOOKUP(TableHandbook[[#This Row],[UDC]],TableSTRUCHEMB[],7,FALSE),"")</f>
        <v/>
      </c>
      <c r="AP186" s="209" t="str">
        <f>IFERROR(VLOOKUP(TableHandbook[[#This Row],[UDC]],TableSTRUECOB1[],7,FALSE),"")</f>
        <v/>
      </c>
      <c r="AQ186" s="209" t="str">
        <f>IFERROR(VLOOKUP(TableHandbook[[#This Row],[UDC]],TableSTRUENGLB[],7,FALSE),"")</f>
        <v/>
      </c>
      <c r="AR186" s="209" t="str">
        <f>IFERROR(VLOOKUP(TableHandbook[[#This Row],[UDC]],TableSTRUENGLM[],7,FALSE),"")</f>
        <v/>
      </c>
      <c r="AS186" s="209" t="str">
        <f>IFERROR(VLOOKUP(TableHandbook[[#This Row],[UDC]],TableSTRUGEOB1[],7,FALSE),"")</f>
        <v/>
      </c>
      <c r="AT186" s="209" t="str">
        <f>IFERROR(VLOOKUP(TableHandbook[[#This Row],[UDC]],TableSTRUGEOGM[],7,FALSE),"")</f>
        <v/>
      </c>
      <c r="AU186" s="209" t="str">
        <f>IFERROR(VLOOKUP(TableHandbook[[#This Row],[UDC]],TableSTRUHISB1[],7,FALSE),"")</f>
        <v/>
      </c>
      <c r="AV186" s="209" t="str">
        <f>IFERROR(VLOOKUP(TableHandbook[[#This Row],[UDC]],TableSTRUHISTM[],7,FALSE),"")</f>
        <v/>
      </c>
      <c r="AW186" s="209" t="str">
        <f>IFERROR(VLOOKUP(TableHandbook[[#This Row],[UDC]],TableSTRUHPEB1[],7,FALSE),"")</f>
        <v/>
      </c>
      <c r="AX186" s="209" t="str">
        <f>IFERROR(VLOOKUP(TableHandbook[[#This Row],[UDC]],TableSTRUHUMBB[],7,FALSE),"")</f>
        <v/>
      </c>
      <c r="AY186" s="209" t="str">
        <f>IFERROR(VLOOKUP(TableHandbook[[#This Row],[UDC]],TableSTRUMARTM[],7,FALSE),"")</f>
        <v/>
      </c>
      <c r="AZ186" s="209" t="str">
        <f>IFERROR(VLOOKUP(TableHandbook[[#This Row],[UDC]],TableSTRUMATHB[],7,FALSE),"")</f>
        <v/>
      </c>
      <c r="BA186" s="209" t="str">
        <f>IFERROR(VLOOKUP(TableHandbook[[#This Row],[UDC]],TableSTRUMATHM[],7,FALSE),"")</f>
        <v/>
      </c>
      <c r="BB186" s="209" t="str">
        <f>IFERROR(VLOOKUP(TableHandbook[[#This Row],[UDC]],TableSTRUPARTB[],7,FALSE),"")</f>
        <v/>
      </c>
      <c r="BC186" s="209" t="str">
        <f>IFERROR(VLOOKUP(TableHandbook[[#This Row],[UDC]],TableSTRUPARTM[],7,FALSE),"")</f>
        <v/>
      </c>
      <c r="BD186" s="209" t="str">
        <f>IFERROR(VLOOKUP(TableHandbook[[#This Row],[UDC]],TableSTRUPOLB1[],7,FALSE),"")</f>
        <v/>
      </c>
      <c r="BE186" s="209" t="str">
        <f>IFERROR(VLOOKUP(TableHandbook[[#This Row],[UDC]],TableSTRUPSYCB[],7,FALSE),"")</f>
        <v/>
      </c>
      <c r="BF186" s="209" t="str">
        <f>IFERROR(VLOOKUP(TableHandbook[[#This Row],[UDC]],TableSTRUPSYCM[],7,FALSE),"")</f>
        <v/>
      </c>
      <c r="BG186" s="209" t="str">
        <f>IFERROR(VLOOKUP(TableHandbook[[#This Row],[UDC]],TableSTRUVARTB[],7,FALSE),"")</f>
        <v/>
      </c>
      <c r="BH186" s="209" t="str">
        <f>IFERROR(VLOOKUP(TableHandbook[[#This Row],[UDC]],TableSTRUVARTM[],7,FALSE),"")</f>
        <v/>
      </c>
    </row>
    <row r="187" spans="1:60" x14ac:dyDescent="0.25">
      <c r="A187" s="6" t="s">
        <v>739</v>
      </c>
      <c r="B187" s="7">
        <v>2</v>
      </c>
      <c r="C187" s="7"/>
      <c r="D187" s="207" t="s">
        <v>1000</v>
      </c>
      <c r="E187" s="7">
        <v>25</v>
      </c>
      <c r="F187" s="311" t="s">
        <v>867</v>
      </c>
      <c r="G187" s="75" t="str">
        <f>IFERROR(IF(VLOOKUP(TableHandbook[[#This Row],[UDC]],TableAvailabilities[],2,FALSE)&gt;0,"Y",""),"")</f>
        <v/>
      </c>
      <c r="H187" s="75" t="str">
        <f>IFERROR(IF(VLOOKUP(TableHandbook[[#This Row],[UDC]],TableAvailabilities[],3,FALSE)&gt;0,"Y",""),"")</f>
        <v/>
      </c>
      <c r="I187" s="75" t="str">
        <f>IFERROR(IF(VLOOKUP(TableHandbook[[#This Row],[UDC]],TableAvailabilities[],4,FALSE)&gt;0,"Y",""),"")</f>
        <v/>
      </c>
      <c r="J187" s="75" t="str">
        <f>IFERROR(IF(VLOOKUP(TableHandbook[[#This Row],[UDC]],TableAvailabilities[],5,FALSE)&gt;0,"Y",""),"")</f>
        <v>Y</v>
      </c>
      <c r="K187" s="75" t="str">
        <f>IFERROR(IF(VLOOKUP(TableHandbook[[#This Row],[UDC]],TableAvailabilities[],6,FALSE)&gt;0,"Y",""),"")</f>
        <v/>
      </c>
      <c r="L187" s="75" t="str">
        <f>IFERROR(IF(VLOOKUP(TableHandbook[[#This Row],[UDC]],TableAvailabilities[],7,FALSE)&gt;0,"Y",""),"")</f>
        <v/>
      </c>
      <c r="M187" s="207"/>
      <c r="N187" s="209" t="str">
        <f>IFERROR(VLOOKUP(TableHandbook[[#This Row],[UDC]],TableBEDUC[],7,FALSE),"")</f>
        <v/>
      </c>
      <c r="O187" s="209" t="str">
        <f>IFERROR(VLOOKUP(TableHandbook[[#This Row],[UDC]],TableBEDEC[],7,FALSE),"")</f>
        <v/>
      </c>
      <c r="P187" s="211" t="str">
        <f>IFERROR(VLOOKUP(TableHandbook[[#This Row],[UDC]],TableBEDPR[],7,FALSE),"")</f>
        <v/>
      </c>
      <c r="Q187" s="209" t="str">
        <f>IFERROR(VLOOKUP(TableHandbook[[#This Row],[UDC]],TableSTRUCATHL[],7,FALSE),"")</f>
        <v/>
      </c>
      <c r="R187" s="209" t="str">
        <f>IFERROR(VLOOKUP(TableHandbook[[#This Row],[UDC]],TableSTRUENGLL[],7,FALSE),"")</f>
        <v/>
      </c>
      <c r="S187" s="209" t="str">
        <f>IFERROR(VLOOKUP(TableHandbook[[#This Row],[UDC]],TableSTRUHLTPE[],7,FALSE),"")</f>
        <v/>
      </c>
      <c r="T187" s="209" t="str">
        <f>IFERROR(VLOOKUP(TableHandbook[[#This Row],[UDC]],TableSTRUISTEM[],7,FALSE),"")</f>
        <v/>
      </c>
      <c r="U187" s="209" t="str">
        <f>IFERROR(VLOOKUP(TableHandbook[[#This Row],[UDC]],TableSTRULITNU[],7,FALSE),"")</f>
        <v/>
      </c>
      <c r="V187" s="209" t="str">
        <f>IFERROR(VLOOKUP(TableHandbook[[#This Row],[UDC]],TableSTRUTECHS[],7,FALSE),"")</f>
        <v/>
      </c>
      <c r="W187" s="211" t="str">
        <f>IFERROR(VLOOKUP(TableHandbook[[#This Row],[UDC]],TableBEDSC[],7,FALSE),"")</f>
        <v/>
      </c>
      <c r="X187" s="211" t="str">
        <f>IFERROR(VLOOKUP(TableHandbook[[#This Row],[UDC]],TableMJRUARDR1[],7,FALSE),"")</f>
        <v/>
      </c>
      <c r="Y187" s="209" t="str">
        <f>IFERROR(VLOOKUP(TableHandbook[[#This Row],[UDC]],TableMJRUARME1[],7,FALSE),"")</f>
        <v/>
      </c>
      <c r="Z187" s="209" t="str">
        <f>IFERROR(VLOOKUP(TableHandbook[[#This Row],[UDC]],TableMJRUARVA1[],7,FALSE),"")</f>
        <v/>
      </c>
      <c r="AA187" s="209" t="str">
        <f>IFERROR(VLOOKUP(TableHandbook[[#This Row],[UDC]],TableMJRUENGL1[],7,FALSE),"")</f>
        <v/>
      </c>
      <c r="AB187" s="209" t="str">
        <f>IFERROR(VLOOKUP(TableHandbook[[#This Row],[UDC]],TableMJRUHSEC1[],7,FALSE),"")</f>
        <v/>
      </c>
      <c r="AC187" s="209" t="str">
        <f>IFERROR(VLOOKUP(TableHandbook[[#This Row],[UDC]],TableMJRUHSGE1[],7,FALSE),"")</f>
        <v/>
      </c>
      <c r="AD187" s="209" t="str">
        <f>IFERROR(VLOOKUP(TableHandbook[[#This Row],[UDC]],TableMJRUHSHI1[],7,FALSE),"")</f>
        <v/>
      </c>
      <c r="AE187" s="209" t="str">
        <f>IFERROR(VLOOKUP(TableHandbook[[#This Row],[UDC]],TableMJRUHSPL1[],7,FALSE),"")</f>
        <v/>
      </c>
      <c r="AF187" s="209" t="str">
        <f>IFERROR(VLOOKUP(TableHandbook[[#This Row],[UDC]],TableMJRUMATH1[],7,FALSE),"")</f>
        <v/>
      </c>
      <c r="AG187" s="209" t="str">
        <f>IFERROR(VLOOKUP(TableHandbook[[#This Row],[UDC]],TableMJRUPHYSE[],7,FALSE),"")</f>
        <v/>
      </c>
      <c r="AH187" s="209" t="str">
        <f>IFERROR(VLOOKUP(TableHandbook[[#This Row],[UDC]],TableMJRUSCBI1[],7,FALSE),"")</f>
        <v/>
      </c>
      <c r="AI187" s="209" t="str">
        <f>IFERROR(VLOOKUP(TableHandbook[[#This Row],[UDC]],TableMJRUSCCH1[],7,FALSE),"")</f>
        <v/>
      </c>
      <c r="AJ187" s="209" t="str">
        <f>IFERROR(VLOOKUP(TableHandbook[[#This Row],[UDC]],TableMJRUSCHB1[],7,FALSE),"")</f>
        <v/>
      </c>
      <c r="AK187" s="209" t="str">
        <f>IFERROR(VLOOKUP(TableHandbook[[#This Row],[UDC]],TableMJRUSCPH1[],7,FALSE),"")</f>
        <v/>
      </c>
      <c r="AL187" s="209" t="str">
        <f>IFERROR(VLOOKUP(TableHandbook[[#This Row],[UDC]],TableMJRUSCPS1[],7,FALSE),"")</f>
        <v/>
      </c>
      <c r="AM187" s="211" t="str">
        <f>IFERROR(VLOOKUP(TableHandbook[[#This Row],[UDC]],TableSTRUBIOLB[],7,FALSE),"")</f>
        <v>Core</v>
      </c>
      <c r="AN187" s="209" t="str">
        <f>IFERROR(VLOOKUP(TableHandbook[[#This Row],[UDC]],TableSTRUBSCIM[],7,FALSE),"")</f>
        <v/>
      </c>
      <c r="AO187" s="209" t="str">
        <f>IFERROR(VLOOKUP(TableHandbook[[#This Row],[UDC]],TableSTRUCHEMB[],7,FALSE),"")</f>
        <v/>
      </c>
      <c r="AP187" s="209" t="str">
        <f>IFERROR(VLOOKUP(TableHandbook[[#This Row],[UDC]],TableSTRUECOB1[],7,FALSE),"")</f>
        <v/>
      </c>
      <c r="AQ187" s="209" t="str">
        <f>IFERROR(VLOOKUP(TableHandbook[[#This Row],[UDC]],TableSTRUENGLB[],7,FALSE),"")</f>
        <v/>
      </c>
      <c r="AR187" s="209" t="str">
        <f>IFERROR(VLOOKUP(TableHandbook[[#This Row],[UDC]],TableSTRUENGLM[],7,FALSE),"")</f>
        <v/>
      </c>
      <c r="AS187" s="209" t="str">
        <f>IFERROR(VLOOKUP(TableHandbook[[#This Row],[UDC]],TableSTRUGEOB1[],7,FALSE),"")</f>
        <v/>
      </c>
      <c r="AT187" s="209" t="str">
        <f>IFERROR(VLOOKUP(TableHandbook[[#This Row],[UDC]],TableSTRUGEOGM[],7,FALSE),"")</f>
        <v/>
      </c>
      <c r="AU187" s="209" t="str">
        <f>IFERROR(VLOOKUP(TableHandbook[[#This Row],[UDC]],TableSTRUHISB1[],7,FALSE),"")</f>
        <v/>
      </c>
      <c r="AV187" s="209" t="str">
        <f>IFERROR(VLOOKUP(TableHandbook[[#This Row],[UDC]],TableSTRUHISTM[],7,FALSE),"")</f>
        <v/>
      </c>
      <c r="AW187" s="209" t="str">
        <f>IFERROR(VLOOKUP(TableHandbook[[#This Row],[UDC]],TableSTRUHPEB1[],7,FALSE),"")</f>
        <v/>
      </c>
      <c r="AX187" s="209" t="str">
        <f>IFERROR(VLOOKUP(TableHandbook[[#This Row],[UDC]],TableSTRUHUMBB[],7,FALSE),"")</f>
        <v>AltCore</v>
      </c>
      <c r="AY187" s="209" t="str">
        <f>IFERROR(VLOOKUP(TableHandbook[[#This Row],[UDC]],TableSTRUMARTM[],7,FALSE),"")</f>
        <v/>
      </c>
      <c r="AZ187" s="209" t="str">
        <f>IFERROR(VLOOKUP(TableHandbook[[#This Row],[UDC]],TableSTRUMATHB[],7,FALSE),"")</f>
        <v/>
      </c>
      <c r="BA187" s="209" t="str">
        <f>IFERROR(VLOOKUP(TableHandbook[[#This Row],[UDC]],TableSTRUMATHM[],7,FALSE),"")</f>
        <v/>
      </c>
      <c r="BB187" s="209" t="str">
        <f>IFERROR(VLOOKUP(TableHandbook[[#This Row],[UDC]],TableSTRUPARTB[],7,FALSE),"")</f>
        <v/>
      </c>
      <c r="BC187" s="209" t="str">
        <f>IFERROR(VLOOKUP(TableHandbook[[#This Row],[UDC]],TableSTRUPARTM[],7,FALSE),"")</f>
        <v/>
      </c>
      <c r="BD187" s="209" t="str">
        <f>IFERROR(VLOOKUP(TableHandbook[[#This Row],[UDC]],TableSTRUPOLB1[],7,FALSE),"")</f>
        <v/>
      </c>
      <c r="BE187" s="209" t="str">
        <f>IFERROR(VLOOKUP(TableHandbook[[#This Row],[UDC]],TableSTRUPSYCB[],7,FALSE),"")</f>
        <v>AltCore</v>
      </c>
      <c r="BF187" s="209" t="str">
        <f>IFERROR(VLOOKUP(TableHandbook[[#This Row],[UDC]],TableSTRUPSYCM[],7,FALSE),"")</f>
        <v/>
      </c>
      <c r="BG187" s="209" t="str">
        <f>IFERROR(VLOOKUP(TableHandbook[[#This Row],[UDC]],TableSTRUVARTB[],7,FALSE),"")</f>
        <v/>
      </c>
      <c r="BH187" s="209" t="str">
        <f>IFERROR(VLOOKUP(TableHandbook[[#This Row],[UDC]],TableSTRUVARTM[],7,FALSE),"")</f>
        <v/>
      </c>
    </row>
    <row r="188" spans="1:60" x14ac:dyDescent="0.25">
      <c r="A188" s="6" t="s">
        <v>531</v>
      </c>
      <c r="B188" s="7">
        <v>1</v>
      </c>
      <c r="C188" s="7"/>
      <c r="D188" s="207" t="s">
        <v>1001</v>
      </c>
      <c r="E188" s="7">
        <v>25</v>
      </c>
      <c r="F188" s="84" t="s">
        <v>783</v>
      </c>
      <c r="G188" s="75" t="str">
        <f>IFERROR(IF(VLOOKUP(TableHandbook[[#This Row],[UDC]],TableAvailabilities[],2,FALSE)&gt;0,"Y",""),"")</f>
        <v/>
      </c>
      <c r="H188" s="75" t="str">
        <f>IFERROR(IF(VLOOKUP(TableHandbook[[#This Row],[UDC]],TableAvailabilities[],3,FALSE)&gt;0,"Y",""),"")</f>
        <v/>
      </c>
      <c r="I188" s="75" t="str">
        <f>IFERROR(IF(VLOOKUP(TableHandbook[[#This Row],[UDC]],TableAvailabilities[],4,FALSE)&gt;0,"Y",""),"")</f>
        <v/>
      </c>
      <c r="J188" s="75" t="str">
        <f>IFERROR(IF(VLOOKUP(TableHandbook[[#This Row],[UDC]],TableAvailabilities[],5,FALSE)&gt;0,"Y",""),"")</f>
        <v>Y</v>
      </c>
      <c r="K188" s="75" t="str">
        <f>IFERROR(IF(VLOOKUP(TableHandbook[[#This Row],[UDC]],TableAvailabilities[],6,FALSE)&gt;0,"Y",""),"")</f>
        <v/>
      </c>
      <c r="L188" s="75" t="str">
        <f>IFERROR(IF(VLOOKUP(TableHandbook[[#This Row],[UDC]],TableAvailabilities[],7,FALSE)&gt;0,"Y",""),"")</f>
        <v/>
      </c>
      <c r="M188" s="207"/>
      <c r="N188" s="209" t="str">
        <f>IFERROR(VLOOKUP(TableHandbook[[#This Row],[UDC]],TableBEDUC[],7,FALSE),"")</f>
        <v/>
      </c>
      <c r="O188" s="209" t="str">
        <f>IFERROR(VLOOKUP(TableHandbook[[#This Row],[UDC]],TableBEDEC[],7,FALSE),"")</f>
        <v/>
      </c>
      <c r="P188" s="211" t="str">
        <f>IFERROR(VLOOKUP(TableHandbook[[#This Row],[UDC]],TableBEDPR[],7,FALSE),"")</f>
        <v/>
      </c>
      <c r="Q188" s="209" t="str">
        <f>IFERROR(VLOOKUP(TableHandbook[[#This Row],[UDC]],TableSTRUCATHL[],7,FALSE),"")</f>
        <v/>
      </c>
      <c r="R188" s="209" t="str">
        <f>IFERROR(VLOOKUP(TableHandbook[[#This Row],[UDC]],TableSTRUENGLL[],7,FALSE),"")</f>
        <v/>
      </c>
      <c r="S188" s="209" t="str">
        <f>IFERROR(VLOOKUP(TableHandbook[[#This Row],[UDC]],TableSTRUHLTPE[],7,FALSE),"")</f>
        <v/>
      </c>
      <c r="T188" s="209" t="str">
        <f>IFERROR(VLOOKUP(TableHandbook[[#This Row],[UDC]],TableSTRUISTEM[],7,FALSE),"")</f>
        <v/>
      </c>
      <c r="U188" s="209" t="str">
        <f>IFERROR(VLOOKUP(TableHandbook[[#This Row],[UDC]],TableSTRULITNU[],7,FALSE),"")</f>
        <v/>
      </c>
      <c r="V188" s="209" t="str">
        <f>IFERROR(VLOOKUP(TableHandbook[[#This Row],[UDC]],TableSTRUTECHS[],7,FALSE),"")</f>
        <v/>
      </c>
      <c r="W188" s="211" t="str">
        <f>IFERROR(VLOOKUP(TableHandbook[[#This Row],[UDC]],TableBEDSC[],7,FALSE),"")</f>
        <v/>
      </c>
      <c r="X188" s="211" t="str">
        <f>IFERROR(VLOOKUP(TableHandbook[[#This Row],[UDC]],TableMJRUARDR1[],7,FALSE),"")</f>
        <v/>
      </c>
      <c r="Y188" s="209" t="str">
        <f>IFERROR(VLOOKUP(TableHandbook[[#This Row],[UDC]],TableMJRUARME1[],7,FALSE),"")</f>
        <v/>
      </c>
      <c r="Z188" s="209" t="str">
        <f>IFERROR(VLOOKUP(TableHandbook[[#This Row],[UDC]],TableMJRUARVA1[],7,FALSE),"")</f>
        <v/>
      </c>
      <c r="AA188" s="209" t="str">
        <f>IFERROR(VLOOKUP(TableHandbook[[#This Row],[UDC]],TableMJRUENGL1[],7,FALSE),"")</f>
        <v/>
      </c>
      <c r="AB188" s="209" t="str">
        <f>IFERROR(VLOOKUP(TableHandbook[[#This Row],[UDC]],TableMJRUHSEC1[],7,FALSE),"")</f>
        <v/>
      </c>
      <c r="AC188" s="209" t="str">
        <f>IFERROR(VLOOKUP(TableHandbook[[#This Row],[UDC]],TableMJRUHSGE1[],7,FALSE),"")</f>
        <v/>
      </c>
      <c r="AD188" s="209" t="str">
        <f>IFERROR(VLOOKUP(TableHandbook[[#This Row],[UDC]],TableMJRUHSHI1[],7,FALSE),"")</f>
        <v/>
      </c>
      <c r="AE188" s="209" t="str">
        <f>IFERROR(VLOOKUP(TableHandbook[[#This Row],[UDC]],TableMJRUHSPL1[],7,FALSE),"")</f>
        <v/>
      </c>
      <c r="AF188" s="209" t="str">
        <f>IFERROR(VLOOKUP(TableHandbook[[#This Row],[UDC]],TableMJRUMATH1[],7,FALSE),"")</f>
        <v/>
      </c>
      <c r="AG188" s="209" t="str">
        <f>IFERROR(VLOOKUP(TableHandbook[[#This Row],[UDC]],TableMJRUPHYSE[],7,FALSE),"")</f>
        <v/>
      </c>
      <c r="AH188" s="209" t="str">
        <f>IFERROR(VLOOKUP(TableHandbook[[#This Row],[UDC]],TableMJRUSCBI1[],7,FALSE),"")</f>
        <v>Core</v>
      </c>
      <c r="AI188" s="209" t="str">
        <f>IFERROR(VLOOKUP(TableHandbook[[#This Row],[UDC]],TableMJRUSCCH1[],7,FALSE),"")</f>
        <v/>
      </c>
      <c r="AJ188" s="209" t="str">
        <f>IFERROR(VLOOKUP(TableHandbook[[#This Row],[UDC]],TableMJRUSCHB1[],7,FALSE),"")</f>
        <v/>
      </c>
      <c r="AK188" s="209" t="str">
        <f>IFERROR(VLOOKUP(TableHandbook[[#This Row],[UDC]],TableMJRUSCPH1[],7,FALSE),"")</f>
        <v/>
      </c>
      <c r="AL188" s="209" t="str">
        <f>IFERROR(VLOOKUP(TableHandbook[[#This Row],[UDC]],TableMJRUSCPS1[],7,FALSE),"")</f>
        <v/>
      </c>
      <c r="AM188" s="211" t="str">
        <f>IFERROR(VLOOKUP(TableHandbook[[#This Row],[UDC]],TableSTRUBIOLB[],7,FALSE),"")</f>
        <v/>
      </c>
      <c r="AN188" s="209" t="str">
        <f>IFERROR(VLOOKUP(TableHandbook[[#This Row],[UDC]],TableSTRUBSCIM[],7,FALSE),"")</f>
        <v/>
      </c>
      <c r="AO188" s="209" t="str">
        <f>IFERROR(VLOOKUP(TableHandbook[[#This Row],[UDC]],TableSTRUCHEMB[],7,FALSE),"")</f>
        <v/>
      </c>
      <c r="AP188" s="209" t="str">
        <f>IFERROR(VLOOKUP(TableHandbook[[#This Row],[UDC]],TableSTRUECOB1[],7,FALSE),"")</f>
        <v/>
      </c>
      <c r="AQ188" s="209" t="str">
        <f>IFERROR(VLOOKUP(TableHandbook[[#This Row],[UDC]],TableSTRUENGLB[],7,FALSE),"")</f>
        <v/>
      </c>
      <c r="AR188" s="209" t="str">
        <f>IFERROR(VLOOKUP(TableHandbook[[#This Row],[UDC]],TableSTRUENGLM[],7,FALSE),"")</f>
        <v/>
      </c>
      <c r="AS188" s="209" t="str">
        <f>IFERROR(VLOOKUP(TableHandbook[[#This Row],[UDC]],TableSTRUGEOB1[],7,FALSE),"")</f>
        <v/>
      </c>
      <c r="AT188" s="209" t="str">
        <f>IFERROR(VLOOKUP(TableHandbook[[#This Row],[UDC]],TableSTRUGEOGM[],7,FALSE),"")</f>
        <v/>
      </c>
      <c r="AU188" s="209" t="str">
        <f>IFERROR(VLOOKUP(TableHandbook[[#This Row],[UDC]],TableSTRUHISB1[],7,FALSE),"")</f>
        <v/>
      </c>
      <c r="AV188" s="209" t="str">
        <f>IFERROR(VLOOKUP(TableHandbook[[#This Row],[UDC]],TableSTRUHISTM[],7,FALSE),"")</f>
        <v/>
      </c>
      <c r="AW188" s="209" t="str">
        <f>IFERROR(VLOOKUP(TableHandbook[[#This Row],[UDC]],TableSTRUHPEB1[],7,FALSE),"")</f>
        <v/>
      </c>
      <c r="AX188" s="209" t="str">
        <f>IFERROR(VLOOKUP(TableHandbook[[#This Row],[UDC]],TableSTRUHUMBB[],7,FALSE),"")</f>
        <v/>
      </c>
      <c r="AY188" s="209" t="str">
        <f>IFERROR(VLOOKUP(TableHandbook[[#This Row],[UDC]],TableSTRUMARTM[],7,FALSE),"")</f>
        <v/>
      </c>
      <c r="AZ188" s="209" t="str">
        <f>IFERROR(VLOOKUP(TableHandbook[[#This Row],[UDC]],TableSTRUMATHB[],7,FALSE),"")</f>
        <v/>
      </c>
      <c r="BA188" s="209" t="str">
        <f>IFERROR(VLOOKUP(TableHandbook[[#This Row],[UDC]],TableSTRUMATHM[],7,FALSE),"")</f>
        <v/>
      </c>
      <c r="BB188" s="209" t="str">
        <f>IFERROR(VLOOKUP(TableHandbook[[#This Row],[UDC]],TableSTRUPARTB[],7,FALSE),"")</f>
        <v/>
      </c>
      <c r="BC188" s="209" t="str">
        <f>IFERROR(VLOOKUP(TableHandbook[[#This Row],[UDC]],TableSTRUPARTM[],7,FALSE),"")</f>
        <v/>
      </c>
      <c r="BD188" s="209" t="str">
        <f>IFERROR(VLOOKUP(TableHandbook[[#This Row],[UDC]],TableSTRUPOLB1[],7,FALSE),"")</f>
        <v/>
      </c>
      <c r="BE188" s="209" t="str">
        <f>IFERROR(VLOOKUP(TableHandbook[[#This Row],[UDC]],TableSTRUPSYCB[],7,FALSE),"")</f>
        <v/>
      </c>
      <c r="BF188" s="209" t="str">
        <f>IFERROR(VLOOKUP(TableHandbook[[#This Row],[UDC]],TableSTRUPSYCM[],7,FALSE),"")</f>
        <v/>
      </c>
      <c r="BG188" s="209" t="str">
        <f>IFERROR(VLOOKUP(TableHandbook[[#This Row],[UDC]],TableSTRUVARTB[],7,FALSE),"")</f>
        <v/>
      </c>
      <c r="BH188" s="209" t="str">
        <f>IFERROR(VLOOKUP(TableHandbook[[#This Row],[UDC]],TableSTRUVARTM[],7,FALSE),"")</f>
        <v/>
      </c>
    </row>
    <row r="189" spans="1:60" x14ac:dyDescent="0.25">
      <c r="A189" s="6" t="s">
        <v>615</v>
      </c>
      <c r="B189" s="7">
        <v>1</v>
      </c>
      <c r="C189" s="7"/>
      <c r="D189" s="207" t="s">
        <v>1002</v>
      </c>
      <c r="E189" s="7">
        <v>25</v>
      </c>
      <c r="F189" s="84" t="s">
        <v>783</v>
      </c>
      <c r="G189" s="75" t="str">
        <f>IFERROR(IF(VLOOKUP(TableHandbook[[#This Row],[UDC]],TableAvailabilities[],2,FALSE)&gt;0,"Y",""),"")</f>
        <v>Y</v>
      </c>
      <c r="H189" s="75" t="str">
        <f>IFERROR(IF(VLOOKUP(TableHandbook[[#This Row],[UDC]],TableAvailabilities[],3,FALSE)&gt;0,"Y",""),"")</f>
        <v/>
      </c>
      <c r="I189" s="75" t="str">
        <f>IFERROR(IF(VLOOKUP(TableHandbook[[#This Row],[UDC]],TableAvailabilities[],4,FALSE)&gt;0,"Y",""),"")</f>
        <v/>
      </c>
      <c r="J189" s="75" t="str">
        <f>IFERROR(IF(VLOOKUP(TableHandbook[[#This Row],[UDC]],TableAvailabilities[],5,FALSE)&gt;0,"Y",""),"")</f>
        <v/>
      </c>
      <c r="K189" s="75" t="str">
        <f>IFERROR(IF(VLOOKUP(TableHandbook[[#This Row],[UDC]],TableAvailabilities[],6,FALSE)&gt;0,"Y",""),"")</f>
        <v/>
      </c>
      <c r="L189" s="75" t="str">
        <f>IFERROR(IF(VLOOKUP(TableHandbook[[#This Row],[UDC]],TableAvailabilities[],7,FALSE)&gt;0,"Y",""),"")</f>
        <v/>
      </c>
      <c r="M189" s="207"/>
      <c r="N189" s="209" t="str">
        <f>IFERROR(VLOOKUP(TableHandbook[[#This Row],[UDC]],TableBEDUC[],7,FALSE),"")</f>
        <v/>
      </c>
      <c r="O189" s="209" t="str">
        <f>IFERROR(VLOOKUP(TableHandbook[[#This Row],[UDC]],TableBEDEC[],7,FALSE),"")</f>
        <v/>
      </c>
      <c r="P189" s="211" t="str">
        <f>IFERROR(VLOOKUP(TableHandbook[[#This Row],[UDC]],TableBEDPR[],7,FALSE),"")</f>
        <v/>
      </c>
      <c r="Q189" s="209" t="str">
        <f>IFERROR(VLOOKUP(TableHandbook[[#This Row],[UDC]],TableSTRUCATHL[],7,FALSE),"")</f>
        <v/>
      </c>
      <c r="R189" s="209" t="str">
        <f>IFERROR(VLOOKUP(TableHandbook[[#This Row],[UDC]],TableSTRUENGLL[],7,FALSE),"")</f>
        <v/>
      </c>
      <c r="S189" s="209" t="str">
        <f>IFERROR(VLOOKUP(TableHandbook[[#This Row],[UDC]],TableSTRUHLTPE[],7,FALSE),"")</f>
        <v/>
      </c>
      <c r="T189" s="209" t="str">
        <f>IFERROR(VLOOKUP(TableHandbook[[#This Row],[UDC]],TableSTRUISTEM[],7,FALSE),"")</f>
        <v/>
      </c>
      <c r="U189" s="209" t="str">
        <f>IFERROR(VLOOKUP(TableHandbook[[#This Row],[UDC]],TableSTRULITNU[],7,FALSE),"")</f>
        <v/>
      </c>
      <c r="V189" s="209" t="str">
        <f>IFERROR(VLOOKUP(TableHandbook[[#This Row],[UDC]],TableSTRUTECHS[],7,FALSE),"")</f>
        <v/>
      </c>
      <c r="W189" s="211" t="str">
        <f>IFERROR(VLOOKUP(TableHandbook[[#This Row],[UDC]],TableBEDSC[],7,FALSE),"")</f>
        <v/>
      </c>
      <c r="X189" s="211" t="str">
        <f>IFERROR(VLOOKUP(TableHandbook[[#This Row],[UDC]],TableMJRUARDR1[],7,FALSE),"")</f>
        <v/>
      </c>
      <c r="Y189" s="209" t="str">
        <f>IFERROR(VLOOKUP(TableHandbook[[#This Row],[UDC]],TableMJRUARME1[],7,FALSE),"")</f>
        <v/>
      </c>
      <c r="Z189" s="209" t="str">
        <f>IFERROR(VLOOKUP(TableHandbook[[#This Row],[UDC]],TableMJRUARVA1[],7,FALSE),"")</f>
        <v/>
      </c>
      <c r="AA189" s="209" t="str">
        <f>IFERROR(VLOOKUP(TableHandbook[[#This Row],[UDC]],TableMJRUENGL1[],7,FALSE),"")</f>
        <v/>
      </c>
      <c r="AB189" s="209" t="str">
        <f>IFERROR(VLOOKUP(TableHandbook[[#This Row],[UDC]],TableMJRUHSEC1[],7,FALSE),"")</f>
        <v/>
      </c>
      <c r="AC189" s="209" t="str">
        <f>IFERROR(VLOOKUP(TableHandbook[[#This Row],[UDC]],TableMJRUHSGE1[],7,FALSE),"")</f>
        <v/>
      </c>
      <c r="AD189" s="209" t="str">
        <f>IFERROR(VLOOKUP(TableHandbook[[#This Row],[UDC]],TableMJRUHSHI1[],7,FALSE),"")</f>
        <v/>
      </c>
      <c r="AE189" s="209" t="str">
        <f>IFERROR(VLOOKUP(TableHandbook[[#This Row],[UDC]],TableMJRUHSPL1[],7,FALSE),"")</f>
        <v/>
      </c>
      <c r="AF189" s="209" t="str">
        <f>IFERROR(VLOOKUP(TableHandbook[[#This Row],[UDC]],TableMJRUMATH1[],7,FALSE),"")</f>
        <v/>
      </c>
      <c r="AG189" s="209" t="str">
        <f>IFERROR(VLOOKUP(TableHandbook[[#This Row],[UDC]],TableMJRUPHYSE[],7,FALSE),"")</f>
        <v/>
      </c>
      <c r="AH189" s="209" t="str">
        <f>IFERROR(VLOOKUP(TableHandbook[[#This Row],[UDC]],TableMJRUSCBI1[],7,FALSE),"")</f>
        <v>Option</v>
      </c>
      <c r="AI189" s="209" t="str">
        <f>IFERROR(VLOOKUP(TableHandbook[[#This Row],[UDC]],TableMJRUSCCH1[],7,FALSE),"")</f>
        <v/>
      </c>
      <c r="AJ189" s="209" t="str">
        <f>IFERROR(VLOOKUP(TableHandbook[[#This Row],[UDC]],TableMJRUSCHB1[],7,FALSE),"")</f>
        <v/>
      </c>
      <c r="AK189" s="209" t="str">
        <f>IFERROR(VLOOKUP(TableHandbook[[#This Row],[UDC]],TableMJRUSCPH1[],7,FALSE),"")</f>
        <v/>
      </c>
      <c r="AL189" s="209" t="str">
        <f>IFERROR(VLOOKUP(TableHandbook[[#This Row],[UDC]],TableMJRUSCPS1[],7,FALSE),"")</f>
        <v/>
      </c>
      <c r="AM189" s="211" t="str">
        <f>IFERROR(VLOOKUP(TableHandbook[[#This Row],[UDC]],TableSTRUBIOLB[],7,FALSE),"")</f>
        <v/>
      </c>
      <c r="AN189" s="209" t="str">
        <f>IFERROR(VLOOKUP(TableHandbook[[#This Row],[UDC]],TableSTRUBSCIM[],7,FALSE),"")</f>
        <v/>
      </c>
      <c r="AO189" s="209" t="str">
        <f>IFERROR(VLOOKUP(TableHandbook[[#This Row],[UDC]],TableSTRUCHEMB[],7,FALSE),"")</f>
        <v/>
      </c>
      <c r="AP189" s="209" t="str">
        <f>IFERROR(VLOOKUP(TableHandbook[[#This Row],[UDC]],TableSTRUECOB1[],7,FALSE),"")</f>
        <v/>
      </c>
      <c r="AQ189" s="209" t="str">
        <f>IFERROR(VLOOKUP(TableHandbook[[#This Row],[UDC]],TableSTRUENGLB[],7,FALSE),"")</f>
        <v/>
      </c>
      <c r="AR189" s="209" t="str">
        <f>IFERROR(VLOOKUP(TableHandbook[[#This Row],[UDC]],TableSTRUENGLM[],7,FALSE),"")</f>
        <v/>
      </c>
      <c r="AS189" s="209" t="str">
        <f>IFERROR(VLOOKUP(TableHandbook[[#This Row],[UDC]],TableSTRUGEOB1[],7,FALSE),"")</f>
        <v/>
      </c>
      <c r="AT189" s="209" t="str">
        <f>IFERROR(VLOOKUP(TableHandbook[[#This Row],[UDC]],TableSTRUGEOGM[],7,FALSE),"")</f>
        <v/>
      </c>
      <c r="AU189" s="209" t="str">
        <f>IFERROR(VLOOKUP(TableHandbook[[#This Row],[UDC]],TableSTRUHISB1[],7,FALSE),"")</f>
        <v/>
      </c>
      <c r="AV189" s="209" t="str">
        <f>IFERROR(VLOOKUP(TableHandbook[[#This Row],[UDC]],TableSTRUHISTM[],7,FALSE),"")</f>
        <v/>
      </c>
      <c r="AW189" s="209" t="str">
        <f>IFERROR(VLOOKUP(TableHandbook[[#This Row],[UDC]],TableSTRUHPEB1[],7,FALSE),"")</f>
        <v/>
      </c>
      <c r="AX189" s="209" t="str">
        <f>IFERROR(VLOOKUP(TableHandbook[[#This Row],[UDC]],TableSTRUHUMBB[],7,FALSE),"")</f>
        <v/>
      </c>
      <c r="AY189" s="209" t="str">
        <f>IFERROR(VLOOKUP(TableHandbook[[#This Row],[UDC]],TableSTRUMARTM[],7,FALSE),"")</f>
        <v/>
      </c>
      <c r="AZ189" s="209" t="str">
        <f>IFERROR(VLOOKUP(TableHandbook[[#This Row],[UDC]],TableSTRUMATHB[],7,FALSE),"")</f>
        <v/>
      </c>
      <c r="BA189" s="209" t="str">
        <f>IFERROR(VLOOKUP(TableHandbook[[#This Row],[UDC]],TableSTRUMATHM[],7,FALSE),"")</f>
        <v/>
      </c>
      <c r="BB189" s="209" t="str">
        <f>IFERROR(VLOOKUP(TableHandbook[[#This Row],[UDC]],TableSTRUPARTB[],7,FALSE),"")</f>
        <v/>
      </c>
      <c r="BC189" s="209" t="str">
        <f>IFERROR(VLOOKUP(TableHandbook[[#This Row],[UDC]],TableSTRUPARTM[],7,FALSE),"")</f>
        <v/>
      </c>
      <c r="BD189" s="209" t="str">
        <f>IFERROR(VLOOKUP(TableHandbook[[#This Row],[UDC]],TableSTRUPOLB1[],7,FALSE),"")</f>
        <v/>
      </c>
      <c r="BE189" s="209" t="str">
        <f>IFERROR(VLOOKUP(TableHandbook[[#This Row],[UDC]],TableSTRUPSYCB[],7,FALSE),"")</f>
        <v/>
      </c>
      <c r="BF189" s="209" t="str">
        <f>IFERROR(VLOOKUP(TableHandbook[[#This Row],[UDC]],TableSTRUPSYCM[],7,FALSE),"")</f>
        <v/>
      </c>
      <c r="BG189" s="209" t="str">
        <f>IFERROR(VLOOKUP(TableHandbook[[#This Row],[UDC]],TableSTRUVARTB[],7,FALSE),"")</f>
        <v/>
      </c>
      <c r="BH189" s="209" t="str">
        <f>IFERROR(VLOOKUP(TableHandbook[[#This Row],[UDC]],TableSTRUVARTM[],7,FALSE),"")</f>
        <v/>
      </c>
    </row>
    <row r="190" spans="1:60" x14ac:dyDescent="0.25">
      <c r="A190" s="6" t="s">
        <v>622</v>
      </c>
      <c r="B190" s="7">
        <v>1</v>
      </c>
      <c r="C190" s="7"/>
      <c r="D190" s="207" t="s">
        <v>1003</v>
      </c>
      <c r="E190" s="7">
        <v>25</v>
      </c>
      <c r="F190" s="84" t="s">
        <v>783</v>
      </c>
      <c r="G190" s="75" t="str">
        <f>IFERROR(IF(VLOOKUP(TableHandbook[[#This Row],[UDC]],TableAvailabilities[],2,FALSE)&gt;0,"Y",""),"")</f>
        <v>Y</v>
      </c>
      <c r="H190" s="75" t="str">
        <f>IFERROR(IF(VLOOKUP(TableHandbook[[#This Row],[UDC]],TableAvailabilities[],3,FALSE)&gt;0,"Y",""),"")</f>
        <v/>
      </c>
      <c r="I190" s="75" t="str">
        <f>IFERROR(IF(VLOOKUP(TableHandbook[[#This Row],[UDC]],TableAvailabilities[],4,FALSE)&gt;0,"Y",""),"")</f>
        <v/>
      </c>
      <c r="J190" s="75" t="str">
        <f>IFERROR(IF(VLOOKUP(TableHandbook[[#This Row],[UDC]],TableAvailabilities[],5,FALSE)&gt;0,"Y",""),"")</f>
        <v/>
      </c>
      <c r="K190" s="75" t="str">
        <f>IFERROR(IF(VLOOKUP(TableHandbook[[#This Row],[UDC]],TableAvailabilities[],6,FALSE)&gt;0,"Y",""),"")</f>
        <v/>
      </c>
      <c r="L190" s="75" t="str">
        <f>IFERROR(IF(VLOOKUP(TableHandbook[[#This Row],[UDC]],TableAvailabilities[],7,FALSE)&gt;0,"Y",""),"")</f>
        <v/>
      </c>
      <c r="M190" s="207"/>
      <c r="N190" s="209" t="str">
        <f>IFERROR(VLOOKUP(TableHandbook[[#This Row],[UDC]],TableBEDUC[],7,FALSE),"")</f>
        <v/>
      </c>
      <c r="O190" s="209" t="str">
        <f>IFERROR(VLOOKUP(TableHandbook[[#This Row],[UDC]],TableBEDEC[],7,FALSE),"")</f>
        <v/>
      </c>
      <c r="P190" s="211" t="str">
        <f>IFERROR(VLOOKUP(TableHandbook[[#This Row],[UDC]],TableBEDPR[],7,FALSE),"")</f>
        <v/>
      </c>
      <c r="Q190" s="209" t="str">
        <f>IFERROR(VLOOKUP(TableHandbook[[#This Row],[UDC]],TableSTRUCATHL[],7,FALSE),"")</f>
        <v/>
      </c>
      <c r="R190" s="209" t="str">
        <f>IFERROR(VLOOKUP(TableHandbook[[#This Row],[UDC]],TableSTRUENGLL[],7,FALSE),"")</f>
        <v/>
      </c>
      <c r="S190" s="209" t="str">
        <f>IFERROR(VLOOKUP(TableHandbook[[#This Row],[UDC]],TableSTRUHLTPE[],7,FALSE),"")</f>
        <v/>
      </c>
      <c r="T190" s="209" t="str">
        <f>IFERROR(VLOOKUP(TableHandbook[[#This Row],[UDC]],TableSTRUISTEM[],7,FALSE),"")</f>
        <v/>
      </c>
      <c r="U190" s="209" t="str">
        <f>IFERROR(VLOOKUP(TableHandbook[[#This Row],[UDC]],TableSTRULITNU[],7,FALSE),"")</f>
        <v/>
      </c>
      <c r="V190" s="209" t="str">
        <f>IFERROR(VLOOKUP(TableHandbook[[#This Row],[UDC]],TableSTRUTECHS[],7,FALSE),"")</f>
        <v/>
      </c>
      <c r="W190" s="211" t="str">
        <f>IFERROR(VLOOKUP(TableHandbook[[#This Row],[UDC]],TableBEDSC[],7,FALSE),"")</f>
        <v/>
      </c>
      <c r="X190" s="211" t="str">
        <f>IFERROR(VLOOKUP(TableHandbook[[#This Row],[UDC]],TableMJRUARDR1[],7,FALSE),"")</f>
        <v/>
      </c>
      <c r="Y190" s="209" t="str">
        <f>IFERROR(VLOOKUP(TableHandbook[[#This Row],[UDC]],TableMJRUARME1[],7,FALSE),"")</f>
        <v/>
      </c>
      <c r="Z190" s="209" t="str">
        <f>IFERROR(VLOOKUP(TableHandbook[[#This Row],[UDC]],TableMJRUARVA1[],7,FALSE),"")</f>
        <v/>
      </c>
      <c r="AA190" s="209" t="str">
        <f>IFERROR(VLOOKUP(TableHandbook[[#This Row],[UDC]],TableMJRUENGL1[],7,FALSE),"")</f>
        <v/>
      </c>
      <c r="AB190" s="209" t="str">
        <f>IFERROR(VLOOKUP(TableHandbook[[#This Row],[UDC]],TableMJRUHSEC1[],7,FALSE),"")</f>
        <v/>
      </c>
      <c r="AC190" s="209" t="str">
        <f>IFERROR(VLOOKUP(TableHandbook[[#This Row],[UDC]],TableMJRUHSGE1[],7,FALSE),"")</f>
        <v/>
      </c>
      <c r="AD190" s="209" t="str">
        <f>IFERROR(VLOOKUP(TableHandbook[[#This Row],[UDC]],TableMJRUHSHI1[],7,FALSE),"")</f>
        <v/>
      </c>
      <c r="AE190" s="209" t="str">
        <f>IFERROR(VLOOKUP(TableHandbook[[#This Row],[UDC]],TableMJRUHSPL1[],7,FALSE),"")</f>
        <v/>
      </c>
      <c r="AF190" s="209" t="str">
        <f>IFERROR(VLOOKUP(TableHandbook[[#This Row],[UDC]],TableMJRUMATH1[],7,FALSE),"")</f>
        <v/>
      </c>
      <c r="AG190" s="209" t="str">
        <f>IFERROR(VLOOKUP(TableHandbook[[#This Row],[UDC]],TableMJRUPHYSE[],7,FALSE),"")</f>
        <v/>
      </c>
      <c r="AH190" s="209" t="str">
        <f>IFERROR(VLOOKUP(TableHandbook[[#This Row],[UDC]],TableMJRUSCBI1[],7,FALSE),"")</f>
        <v>Option</v>
      </c>
      <c r="AI190" s="209" t="str">
        <f>IFERROR(VLOOKUP(TableHandbook[[#This Row],[UDC]],TableMJRUSCCH1[],7,FALSE),"")</f>
        <v/>
      </c>
      <c r="AJ190" s="209" t="str">
        <f>IFERROR(VLOOKUP(TableHandbook[[#This Row],[UDC]],TableMJRUSCHB1[],7,FALSE),"")</f>
        <v/>
      </c>
      <c r="AK190" s="209" t="str">
        <f>IFERROR(VLOOKUP(TableHandbook[[#This Row],[UDC]],TableMJRUSCPH1[],7,FALSE),"")</f>
        <v/>
      </c>
      <c r="AL190" s="209" t="str">
        <f>IFERROR(VLOOKUP(TableHandbook[[#This Row],[UDC]],TableMJRUSCPS1[],7,FALSE),"")</f>
        <v/>
      </c>
      <c r="AM190" s="211" t="str">
        <f>IFERROR(VLOOKUP(TableHandbook[[#This Row],[UDC]],TableSTRUBIOLB[],7,FALSE),"")</f>
        <v/>
      </c>
      <c r="AN190" s="209" t="str">
        <f>IFERROR(VLOOKUP(TableHandbook[[#This Row],[UDC]],TableSTRUBSCIM[],7,FALSE),"")</f>
        <v/>
      </c>
      <c r="AO190" s="209" t="str">
        <f>IFERROR(VLOOKUP(TableHandbook[[#This Row],[UDC]],TableSTRUCHEMB[],7,FALSE),"")</f>
        <v/>
      </c>
      <c r="AP190" s="209" t="str">
        <f>IFERROR(VLOOKUP(TableHandbook[[#This Row],[UDC]],TableSTRUECOB1[],7,FALSE),"")</f>
        <v/>
      </c>
      <c r="AQ190" s="209" t="str">
        <f>IFERROR(VLOOKUP(TableHandbook[[#This Row],[UDC]],TableSTRUENGLB[],7,FALSE),"")</f>
        <v/>
      </c>
      <c r="AR190" s="209" t="str">
        <f>IFERROR(VLOOKUP(TableHandbook[[#This Row],[UDC]],TableSTRUENGLM[],7,FALSE),"")</f>
        <v/>
      </c>
      <c r="AS190" s="209" t="str">
        <f>IFERROR(VLOOKUP(TableHandbook[[#This Row],[UDC]],TableSTRUGEOB1[],7,FALSE),"")</f>
        <v/>
      </c>
      <c r="AT190" s="209" t="str">
        <f>IFERROR(VLOOKUP(TableHandbook[[#This Row],[UDC]],TableSTRUGEOGM[],7,FALSE),"")</f>
        <v/>
      </c>
      <c r="AU190" s="209" t="str">
        <f>IFERROR(VLOOKUP(TableHandbook[[#This Row],[UDC]],TableSTRUHISB1[],7,FALSE),"")</f>
        <v/>
      </c>
      <c r="AV190" s="209" t="str">
        <f>IFERROR(VLOOKUP(TableHandbook[[#This Row],[UDC]],TableSTRUHISTM[],7,FALSE),"")</f>
        <v/>
      </c>
      <c r="AW190" s="209" t="str">
        <f>IFERROR(VLOOKUP(TableHandbook[[#This Row],[UDC]],TableSTRUHPEB1[],7,FALSE),"")</f>
        <v/>
      </c>
      <c r="AX190" s="209" t="str">
        <f>IFERROR(VLOOKUP(TableHandbook[[#This Row],[UDC]],TableSTRUHUMBB[],7,FALSE),"")</f>
        <v/>
      </c>
      <c r="AY190" s="209" t="str">
        <f>IFERROR(VLOOKUP(TableHandbook[[#This Row],[UDC]],TableSTRUMARTM[],7,FALSE),"")</f>
        <v/>
      </c>
      <c r="AZ190" s="209" t="str">
        <f>IFERROR(VLOOKUP(TableHandbook[[#This Row],[UDC]],TableSTRUMATHB[],7,FALSE),"")</f>
        <v/>
      </c>
      <c r="BA190" s="209" t="str">
        <f>IFERROR(VLOOKUP(TableHandbook[[#This Row],[UDC]],TableSTRUMATHM[],7,FALSE),"")</f>
        <v/>
      </c>
      <c r="BB190" s="209" t="str">
        <f>IFERROR(VLOOKUP(TableHandbook[[#This Row],[UDC]],TableSTRUPARTB[],7,FALSE),"")</f>
        <v/>
      </c>
      <c r="BC190" s="209" t="str">
        <f>IFERROR(VLOOKUP(TableHandbook[[#This Row],[UDC]],TableSTRUPARTM[],7,FALSE),"")</f>
        <v/>
      </c>
      <c r="BD190" s="209" t="str">
        <f>IFERROR(VLOOKUP(TableHandbook[[#This Row],[UDC]],TableSTRUPOLB1[],7,FALSE),"")</f>
        <v/>
      </c>
      <c r="BE190" s="209" t="str">
        <f>IFERROR(VLOOKUP(TableHandbook[[#This Row],[UDC]],TableSTRUPSYCB[],7,FALSE),"")</f>
        <v/>
      </c>
      <c r="BF190" s="209" t="str">
        <f>IFERROR(VLOOKUP(TableHandbook[[#This Row],[UDC]],TableSTRUPSYCM[],7,FALSE),"")</f>
        <v/>
      </c>
      <c r="BG190" s="209" t="str">
        <f>IFERROR(VLOOKUP(TableHandbook[[#This Row],[UDC]],TableSTRUVARTB[],7,FALSE),"")</f>
        <v/>
      </c>
      <c r="BH190" s="209" t="str">
        <f>IFERROR(VLOOKUP(TableHandbook[[#This Row],[UDC]],TableSTRUVARTM[],7,FALSE),"")</f>
        <v/>
      </c>
    </row>
    <row r="191" spans="1:60" x14ac:dyDescent="0.25">
      <c r="A191" s="296" t="s">
        <v>628</v>
      </c>
      <c r="B191" s="7">
        <v>1</v>
      </c>
      <c r="C191" s="7"/>
      <c r="D191" s="207" t="s">
        <v>1004</v>
      </c>
      <c r="E191" s="7">
        <v>25</v>
      </c>
      <c r="F191" s="311" t="s">
        <v>1005</v>
      </c>
      <c r="G191" s="75" t="str">
        <f>IFERROR(IF(VLOOKUP(TableHandbook[[#This Row],[UDC]],TableAvailabilities[],2,FALSE)&gt;0,"Y",""),"")</f>
        <v>Y</v>
      </c>
      <c r="H191" s="75" t="str">
        <f>IFERROR(IF(VLOOKUP(TableHandbook[[#This Row],[UDC]],TableAvailabilities[],3,FALSE)&gt;0,"Y",""),"")</f>
        <v/>
      </c>
      <c r="I191" s="75" t="str">
        <f>IFERROR(IF(VLOOKUP(TableHandbook[[#This Row],[UDC]],TableAvailabilities[],4,FALSE)&gt;0,"Y",""),"")</f>
        <v/>
      </c>
      <c r="J191" s="75" t="str">
        <f>IFERROR(IF(VLOOKUP(TableHandbook[[#This Row],[UDC]],TableAvailabilities[],5,FALSE)&gt;0,"Y",""),"")</f>
        <v/>
      </c>
      <c r="K191" s="75" t="str">
        <f>IFERROR(IF(VLOOKUP(TableHandbook[[#This Row],[UDC]],TableAvailabilities[],6,FALSE)&gt;0,"Y",""),"")</f>
        <v/>
      </c>
      <c r="L191" s="75" t="str">
        <f>IFERROR(IF(VLOOKUP(TableHandbook[[#This Row],[UDC]],TableAvailabilities[],7,FALSE)&gt;0,"Y",""),"")</f>
        <v/>
      </c>
      <c r="M191" s="207"/>
      <c r="N191" s="209" t="str">
        <f>IFERROR(VLOOKUP(TableHandbook[[#This Row],[UDC]],TableBEDUC[],7,FALSE),"")</f>
        <v/>
      </c>
      <c r="O191" s="209" t="str">
        <f>IFERROR(VLOOKUP(TableHandbook[[#This Row],[UDC]],TableBEDEC[],7,FALSE),"")</f>
        <v/>
      </c>
      <c r="P191" s="211" t="str">
        <f>IFERROR(VLOOKUP(TableHandbook[[#This Row],[UDC]],TableBEDPR[],7,FALSE),"")</f>
        <v/>
      </c>
      <c r="Q191" s="209" t="str">
        <f>IFERROR(VLOOKUP(TableHandbook[[#This Row],[UDC]],TableSTRUCATHL[],7,FALSE),"")</f>
        <v/>
      </c>
      <c r="R191" s="209" t="str">
        <f>IFERROR(VLOOKUP(TableHandbook[[#This Row],[UDC]],TableSTRUENGLL[],7,FALSE),"")</f>
        <v/>
      </c>
      <c r="S191" s="209" t="str">
        <f>IFERROR(VLOOKUP(TableHandbook[[#This Row],[UDC]],TableSTRUHLTPE[],7,FALSE),"")</f>
        <v/>
      </c>
      <c r="T191" s="209" t="str">
        <f>IFERROR(VLOOKUP(TableHandbook[[#This Row],[UDC]],TableSTRUISTEM[],7,FALSE),"")</f>
        <v/>
      </c>
      <c r="U191" s="209" t="str">
        <f>IFERROR(VLOOKUP(TableHandbook[[#This Row],[UDC]],TableSTRULITNU[],7,FALSE),"")</f>
        <v/>
      </c>
      <c r="V191" s="209" t="str">
        <f>IFERROR(VLOOKUP(TableHandbook[[#This Row],[UDC]],TableSTRUTECHS[],7,FALSE),"")</f>
        <v/>
      </c>
      <c r="W191" s="211" t="str">
        <f>IFERROR(VLOOKUP(TableHandbook[[#This Row],[UDC]],TableBEDSC[],7,FALSE),"")</f>
        <v/>
      </c>
      <c r="X191" s="211" t="str">
        <f>IFERROR(VLOOKUP(TableHandbook[[#This Row],[UDC]],TableMJRUARDR1[],7,FALSE),"")</f>
        <v/>
      </c>
      <c r="Y191" s="209" t="str">
        <f>IFERROR(VLOOKUP(TableHandbook[[#This Row],[UDC]],TableMJRUARME1[],7,FALSE),"")</f>
        <v/>
      </c>
      <c r="Z191" s="209" t="str">
        <f>IFERROR(VLOOKUP(TableHandbook[[#This Row],[UDC]],TableMJRUARVA1[],7,FALSE),"")</f>
        <v/>
      </c>
      <c r="AA191" s="209" t="str">
        <f>IFERROR(VLOOKUP(TableHandbook[[#This Row],[UDC]],TableMJRUENGL1[],7,FALSE),"")</f>
        <v/>
      </c>
      <c r="AB191" s="209" t="str">
        <f>IFERROR(VLOOKUP(TableHandbook[[#This Row],[UDC]],TableMJRUHSEC1[],7,FALSE),"")</f>
        <v/>
      </c>
      <c r="AC191" s="209" t="str">
        <f>IFERROR(VLOOKUP(TableHandbook[[#This Row],[UDC]],TableMJRUHSGE1[],7,FALSE),"")</f>
        <v/>
      </c>
      <c r="AD191" s="209" t="str">
        <f>IFERROR(VLOOKUP(TableHandbook[[#This Row],[UDC]],TableMJRUHSHI1[],7,FALSE),"")</f>
        <v/>
      </c>
      <c r="AE191" s="209" t="str">
        <f>IFERROR(VLOOKUP(TableHandbook[[#This Row],[UDC]],TableMJRUHSPL1[],7,FALSE),"")</f>
        <v/>
      </c>
      <c r="AF191" s="209" t="str">
        <f>IFERROR(VLOOKUP(TableHandbook[[#This Row],[UDC]],TableMJRUMATH1[],7,FALSE),"")</f>
        <v/>
      </c>
      <c r="AG191" s="209" t="str">
        <f>IFERROR(VLOOKUP(TableHandbook[[#This Row],[UDC]],TableMJRUPHYSE[],7,FALSE),"")</f>
        <v/>
      </c>
      <c r="AH191" s="209" t="str">
        <f>IFERROR(VLOOKUP(TableHandbook[[#This Row],[UDC]],TableMJRUSCBI1[],7,FALSE),"")</f>
        <v/>
      </c>
      <c r="AI191" s="209" t="str">
        <f>IFERROR(VLOOKUP(TableHandbook[[#This Row],[UDC]],TableMJRUSCCH1[],7,FALSE),"")</f>
        <v>Option</v>
      </c>
      <c r="AJ191" s="209" t="str">
        <f>IFERROR(VLOOKUP(TableHandbook[[#This Row],[UDC]],TableMJRUSCHB1[],7,FALSE),"")</f>
        <v/>
      </c>
      <c r="AK191" s="209" t="str">
        <f>IFERROR(VLOOKUP(TableHandbook[[#This Row],[UDC]],TableMJRUSCPH1[],7,FALSE),"")</f>
        <v/>
      </c>
      <c r="AL191" s="209" t="str">
        <f>IFERROR(VLOOKUP(TableHandbook[[#This Row],[UDC]],TableMJRUSCPS1[],7,FALSE),"")</f>
        <v/>
      </c>
      <c r="AM191" s="211" t="str">
        <f>IFERROR(VLOOKUP(TableHandbook[[#This Row],[UDC]],TableSTRUBIOLB[],7,FALSE),"")</f>
        <v/>
      </c>
      <c r="AN191" s="209" t="str">
        <f>IFERROR(VLOOKUP(TableHandbook[[#This Row],[UDC]],TableSTRUBSCIM[],7,FALSE),"")</f>
        <v/>
      </c>
      <c r="AO191" s="209" t="str">
        <f>IFERROR(VLOOKUP(TableHandbook[[#This Row],[UDC]],TableSTRUCHEMB[],7,FALSE),"")</f>
        <v/>
      </c>
      <c r="AP191" s="209" t="str">
        <f>IFERROR(VLOOKUP(TableHandbook[[#This Row],[UDC]],TableSTRUECOB1[],7,FALSE),"")</f>
        <v/>
      </c>
      <c r="AQ191" s="209" t="str">
        <f>IFERROR(VLOOKUP(TableHandbook[[#This Row],[UDC]],TableSTRUENGLB[],7,FALSE),"")</f>
        <v/>
      </c>
      <c r="AR191" s="209" t="str">
        <f>IFERROR(VLOOKUP(TableHandbook[[#This Row],[UDC]],TableSTRUENGLM[],7,FALSE),"")</f>
        <v/>
      </c>
      <c r="AS191" s="209" t="str">
        <f>IFERROR(VLOOKUP(TableHandbook[[#This Row],[UDC]],TableSTRUGEOB1[],7,FALSE),"")</f>
        <v/>
      </c>
      <c r="AT191" s="209" t="str">
        <f>IFERROR(VLOOKUP(TableHandbook[[#This Row],[UDC]],TableSTRUGEOGM[],7,FALSE),"")</f>
        <v/>
      </c>
      <c r="AU191" s="209" t="str">
        <f>IFERROR(VLOOKUP(TableHandbook[[#This Row],[UDC]],TableSTRUHISB1[],7,FALSE),"")</f>
        <v/>
      </c>
      <c r="AV191" s="209" t="str">
        <f>IFERROR(VLOOKUP(TableHandbook[[#This Row],[UDC]],TableSTRUHISTM[],7,FALSE),"")</f>
        <v/>
      </c>
      <c r="AW191" s="209" t="str">
        <f>IFERROR(VLOOKUP(TableHandbook[[#This Row],[UDC]],TableSTRUHPEB1[],7,FALSE),"")</f>
        <v/>
      </c>
      <c r="AX191" s="209" t="str">
        <f>IFERROR(VLOOKUP(TableHandbook[[#This Row],[UDC]],TableSTRUHUMBB[],7,FALSE),"")</f>
        <v/>
      </c>
      <c r="AY191" s="209" t="str">
        <f>IFERROR(VLOOKUP(TableHandbook[[#This Row],[UDC]],TableSTRUMARTM[],7,FALSE),"")</f>
        <v/>
      </c>
      <c r="AZ191" s="209" t="str">
        <f>IFERROR(VLOOKUP(TableHandbook[[#This Row],[UDC]],TableSTRUMATHB[],7,FALSE),"")</f>
        <v/>
      </c>
      <c r="BA191" s="209" t="str">
        <f>IFERROR(VLOOKUP(TableHandbook[[#This Row],[UDC]],TableSTRUMATHM[],7,FALSE),"")</f>
        <v/>
      </c>
      <c r="BB191" s="209" t="str">
        <f>IFERROR(VLOOKUP(TableHandbook[[#This Row],[UDC]],TableSTRUPARTB[],7,FALSE),"")</f>
        <v/>
      </c>
      <c r="BC191" s="209" t="str">
        <f>IFERROR(VLOOKUP(TableHandbook[[#This Row],[UDC]],TableSTRUPARTM[],7,FALSE),"")</f>
        <v/>
      </c>
      <c r="BD191" s="209" t="str">
        <f>IFERROR(VLOOKUP(TableHandbook[[#This Row],[UDC]],TableSTRUPOLB1[],7,FALSE),"")</f>
        <v/>
      </c>
      <c r="BE191" s="209" t="str">
        <f>IFERROR(VLOOKUP(TableHandbook[[#This Row],[UDC]],TableSTRUPSYCB[],7,FALSE),"")</f>
        <v/>
      </c>
      <c r="BF191" s="209" t="str">
        <f>IFERROR(VLOOKUP(TableHandbook[[#This Row],[UDC]],TableSTRUPSYCM[],7,FALSE),"")</f>
        <v/>
      </c>
      <c r="BG191" s="209" t="str">
        <f>IFERROR(VLOOKUP(TableHandbook[[#This Row],[UDC]],TableSTRUVARTB[],7,FALSE),"")</f>
        <v/>
      </c>
      <c r="BH191" s="209" t="str">
        <f>IFERROR(VLOOKUP(TableHandbook[[#This Row],[UDC]],TableSTRUVARTM[],7,FALSE),"")</f>
        <v/>
      </c>
    </row>
    <row r="192" spans="1:60" x14ac:dyDescent="0.25">
      <c r="A192" s="296" t="s">
        <v>633</v>
      </c>
      <c r="B192" s="7">
        <v>1</v>
      </c>
      <c r="C192" s="7"/>
      <c r="D192" s="207" t="s">
        <v>1006</v>
      </c>
      <c r="E192" s="7">
        <v>25</v>
      </c>
      <c r="F192" s="311" t="s">
        <v>783</v>
      </c>
      <c r="G192" s="75" t="str">
        <f>IFERROR(IF(VLOOKUP(TableHandbook[[#This Row],[UDC]],TableAvailabilities[],2,FALSE)&gt;0,"Y",""),"")</f>
        <v>Y</v>
      </c>
      <c r="H192" s="75" t="str">
        <f>IFERROR(IF(VLOOKUP(TableHandbook[[#This Row],[UDC]],TableAvailabilities[],3,FALSE)&gt;0,"Y",""),"")</f>
        <v/>
      </c>
      <c r="I192" s="75" t="str">
        <f>IFERROR(IF(VLOOKUP(TableHandbook[[#This Row],[UDC]],TableAvailabilities[],4,FALSE)&gt;0,"Y",""),"")</f>
        <v/>
      </c>
      <c r="J192" s="75" t="str">
        <f>IFERROR(IF(VLOOKUP(TableHandbook[[#This Row],[UDC]],TableAvailabilities[],5,FALSE)&gt;0,"Y",""),"")</f>
        <v/>
      </c>
      <c r="K192" s="75" t="str">
        <f>IFERROR(IF(VLOOKUP(TableHandbook[[#This Row],[UDC]],TableAvailabilities[],6,FALSE)&gt;0,"Y",""),"")</f>
        <v/>
      </c>
      <c r="L192" s="75" t="str">
        <f>IFERROR(IF(VLOOKUP(TableHandbook[[#This Row],[UDC]],TableAvailabilities[],7,FALSE)&gt;0,"Y",""),"")</f>
        <v/>
      </c>
      <c r="M192" s="207"/>
      <c r="N192" s="209" t="str">
        <f>IFERROR(VLOOKUP(TableHandbook[[#This Row],[UDC]],TableBEDUC[],7,FALSE),"")</f>
        <v/>
      </c>
      <c r="O192" s="209" t="str">
        <f>IFERROR(VLOOKUP(TableHandbook[[#This Row],[UDC]],TableBEDEC[],7,FALSE),"")</f>
        <v/>
      </c>
      <c r="P192" s="211" t="str">
        <f>IFERROR(VLOOKUP(TableHandbook[[#This Row],[UDC]],TableBEDPR[],7,FALSE),"")</f>
        <v/>
      </c>
      <c r="Q192" s="209" t="str">
        <f>IFERROR(VLOOKUP(TableHandbook[[#This Row],[UDC]],TableSTRUCATHL[],7,FALSE),"")</f>
        <v/>
      </c>
      <c r="R192" s="209" t="str">
        <f>IFERROR(VLOOKUP(TableHandbook[[#This Row],[UDC]],TableSTRUENGLL[],7,FALSE),"")</f>
        <v/>
      </c>
      <c r="S192" s="209" t="str">
        <f>IFERROR(VLOOKUP(TableHandbook[[#This Row],[UDC]],TableSTRUHLTPE[],7,FALSE),"")</f>
        <v/>
      </c>
      <c r="T192" s="209" t="str">
        <f>IFERROR(VLOOKUP(TableHandbook[[#This Row],[UDC]],TableSTRUISTEM[],7,FALSE),"")</f>
        <v/>
      </c>
      <c r="U192" s="209" t="str">
        <f>IFERROR(VLOOKUP(TableHandbook[[#This Row],[UDC]],TableSTRULITNU[],7,FALSE),"")</f>
        <v/>
      </c>
      <c r="V192" s="209" t="str">
        <f>IFERROR(VLOOKUP(TableHandbook[[#This Row],[UDC]],TableSTRUTECHS[],7,FALSE),"")</f>
        <v/>
      </c>
      <c r="W192" s="211" t="str">
        <f>IFERROR(VLOOKUP(TableHandbook[[#This Row],[UDC]],TableBEDSC[],7,FALSE),"")</f>
        <v/>
      </c>
      <c r="X192" s="211" t="str">
        <f>IFERROR(VLOOKUP(TableHandbook[[#This Row],[UDC]],TableMJRUARDR1[],7,FALSE),"")</f>
        <v/>
      </c>
      <c r="Y192" s="209" t="str">
        <f>IFERROR(VLOOKUP(TableHandbook[[#This Row],[UDC]],TableMJRUARME1[],7,FALSE),"")</f>
        <v/>
      </c>
      <c r="Z192" s="209" t="str">
        <f>IFERROR(VLOOKUP(TableHandbook[[#This Row],[UDC]],TableMJRUARVA1[],7,FALSE),"")</f>
        <v/>
      </c>
      <c r="AA192" s="209" t="str">
        <f>IFERROR(VLOOKUP(TableHandbook[[#This Row],[UDC]],TableMJRUENGL1[],7,FALSE),"")</f>
        <v/>
      </c>
      <c r="AB192" s="209" t="str">
        <f>IFERROR(VLOOKUP(TableHandbook[[#This Row],[UDC]],TableMJRUHSEC1[],7,FALSE),"")</f>
        <v/>
      </c>
      <c r="AC192" s="209" t="str">
        <f>IFERROR(VLOOKUP(TableHandbook[[#This Row],[UDC]],TableMJRUHSGE1[],7,FALSE),"")</f>
        <v/>
      </c>
      <c r="AD192" s="209" t="str">
        <f>IFERROR(VLOOKUP(TableHandbook[[#This Row],[UDC]],TableMJRUHSHI1[],7,FALSE),"")</f>
        <v/>
      </c>
      <c r="AE192" s="209" t="str">
        <f>IFERROR(VLOOKUP(TableHandbook[[#This Row],[UDC]],TableMJRUHSPL1[],7,FALSE),"")</f>
        <v/>
      </c>
      <c r="AF192" s="209" t="str">
        <f>IFERROR(VLOOKUP(TableHandbook[[#This Row],[UDC]],TableMJRUMATH1[],7,FALSE),"")</f>
        <v/>
      </c>
      <c r="AG192" s="209" t="str">
        <f>IFERROR(VLOOKUP(TableHandbook[[#This Row],[UDC]],TableMJRUPHYSE[],7,FALSE),"")</f>
        <v/>
      </c>
      <c r="AH192" s="209" t="str">
        <f>IFERROR(VLOOKUP(TableHandbook[[#This Row],[UDC]],TableMJRUSCBI1[],7,FALSE),"")</f>
        <v/>
      </c>
      <c r="AI192" s="209" t="str">
        <f>IFERROR(VLOOKUP(TableHandbook[[#This Row],[UDC]],TableMJRUSCCH1[],7,FALSE),"")</f>
        <v>Option</v>
      </c>
      <c r="AJ192" s="209" t="str">
        <f>IFERROR(VLOOKUP(TableHandbook[[#This Row],[UDC]],TableMJRUSCHB1[],7,FALSE),"")</f>
        <v/>
      </c>
      <c r="AK192" s="209" t="str">
        <f>IFERROR(VLOOKUP(TableHandbook[[#This Row],[UDC]],TableMJRUSCPH1[],7,FALSE),"")</f>
        <v/>
      </c>
      <c r="AL192" s="209" t="str">
        <f>IFERROR(VLOOKUP(TableHandbook[[#This Row],[UDC]],TableMJRUSCPS1[],7,FALSE),"")</f>
        <v/>
      </c>
      <c r="AM192" s="211" t="str">
        <f>IFERROR(VLOOKUP(TableHandbook[[#This Row],[UDC]],TableSTRUBIOLB[],7,FALSE),"")</f>
        <v/>
      </c>
      <c r="AN192" s="209" t="str">
        <f>IFERROR(VLOOKUP(TableHandbook[[#This Row],[UDC]],TableSTRUBSCIM[],7,FALSE),"")</f>
        <v/>
      </c>
      <c r="AO192" s="209" t="str">
        <f>IFERROR(VLOOKUP(TableHandbook[[#This Row],[UDC]],TableSTRUCHEMB[],7,FALSE),"")</f>
        <v/>
      </c>
      <c r="AP192" s="209" t="str">
        <f>IFERROR(VLOOKUP(TableHandbook[[#This Row],[UDC]],TableSTRUECOB1[],7,FALSE),"")</f>
        <v/>
      </c>
      <c r="AQ192" s="209" t="str">
        <f>IFERROR(VLOOKUP(TableHandbook[[#This Row],[UDC]],TableSTRUENGLB[],7,FALSE),"")</f>
        <v/>
      </c>
      <c r="AR192" s="209" t="str">
        <f>IFERROR(VLOOKUP(TableHandbook[[#This Row],[UDC]],TableSTRUENGLM[],7,FALSE),"")</f>
        <v/>
      </c>
      <c r="AS192" s="209" t="str">
        <f>IFERROR(VLOOKUP(TableHandbook[[#This Row],[UDC]],TableSTRUGEOB1[],7,FALSE),"")</f>
        <v/>
      </c>
      <c r="AT192" s="209" t="str">
        <f>IFERROR(VLOOKUP(TableHandbook[[#This Row],[UDC]],TableSTRUGEOGM[],7,FALSE),"")</f>
        <v/>
      </c>
      <c r="AU192" s="209" t="str">
        <f>IFERROR(VLOOKUP(TableHandbook[[#This Row],[UDC]],TableSTRUHISB1[],7,FALSE),"")</f>
        <v/>
      </c>
      <c r="AV192" s="209" t="str">
        <f>IFERROR(VLOOKUP(TableHandbook[[#This Row],[UDC]],TableSTRUHISTM[],7,FALSE),"")</f>
        <v/>
      </c>
      <c r="AW192" s="209" t="str">
        <f>IFERROR(VLOOKUP(TableHandbook[[#This Row],[UDC]],TableSTRUHPEB1[],7,FALSE),"")</f>
        <v/>
      </c>
      <c r="AX192" s="209" t="str">
        <f>IFERROR(VLOOKUP(TableHandbook[[#This Row],[UDC]],TableSTRUHUMBB[],7,FALSE),"")</f>
        <v/>
      </c>
      <c r="AY192" s="209" t="str">
        <f>IFERROR(VLOOKUP(TableHandbook[[#This Row],[UDC]],TableSTRUMARTM[],7,FALSE),"")</f>
        <v/>
      </c>
      <c r="AZ192" s="209" t="str">
        <f>IFERROR(VLOOKUP(TableHandbook[[#This Row],[UDC]],TableSTRUMATHB[],7,FALSE),"")</f>
        <v/>
      </c>
      <c r="BA192" s="209" t="str">
        <f>IFERROR(VLOOKUP(TableHandbook[[#This Row],[UDC]],TableSTRUMATHM[],7,FALSE),"")</f>
        <v/>
      </c>
      <c r="BB192" s="209" t="str">
        <f>IFERROR(VLOOKUP(TableHandbook[[#This Row],[UDC]],TableSTRUPARTB[],7,FALSE),"")</f>
        <v/>
      </c>
      <c r="BC192" s="209" t="str">
        <f>IFERROR(VLOOKUP(TableHandbook[[#This Row],[UDC]],TableSTRUPARTM[],7,FALSE),"")</f>
        <v/>
      </c>
      <c r="BD192" s="209" t="str">
        <f>IFERROR(VLOOKUP(TableHandbook[[#This Row],[UDC]],TableSTRUPOLB1[],7,FALSE),"")</f>
        <v/>
      </c>
      <c r="BE192" s="209" t="str">
        <f>IFERROR(VLOOKUP(TableHandbook[[#This Row],[UDC]],TableSTRUPSYCB[],7,FALSE),"")</f>
        <v/>
      </c>
      <c r="BF192" s="209" t="str">
        <f>IFERROR(VLOOKUP(TableHandbook[[#This Row],[UDC]],TableSTRUPSYCM[],7,FALSE),"")</f>
        <v/>
      </c>
      <c r="BG192" s="209" t="str">
        <f>IFERROR(VLOOKUP(TableHandbook[[#This Row],[UDC]],TableSTRUVARTB[],7,FALSE),"")</f>
        <v/>
      </c>
      <c r="BH192" s="209" t="str">
        <f>IFERROR(VLOOKUP(TableHandbook[[#This Row],[UDC]],TableSTRUVARTM[],7,FALSE),"")</f>
        <v/>
      </c>
    </row>
    <row r="193" spans="1:60" x14ac:dyDescent="0.25">
      <c r="A193" s="6" t="s">
        <v>473</v>
      </c>
      <c r="B193" s="7">
        <v>1</v>
      </c>
      <c r="C193" s="7"/>
      <c r="D193" s="207" t="s">
        <v>1007</v>
      </c>
      <c r="E193" s="7">
        <v>25</v>
      </c>
      <c r="F193" s="84" t="s">
        <v>783</v>
      </c>
      <c r="G193" s="75" t="str">
        <f>IFERROR(IF(VLOOKUP(TableHandbook[[#This Row],[UDC]],TableAvailabilities[],2,FALSE)&gt;0,"Y",""),"")</f>
        <v>Y</v>
      </c>
      <c r="H193" s="75" t="str">
        <f>IFERROR(IF(VLOOKUP(TableHandbook[[#This Row],[UDC]],TableAvailabilities[],3,FALSE)&gt;0,"Y",""),"")</f>
        <v>Y</v>
      </c>
      <c r="I193" s="75" t="str">
        <f>IFERROR(IF(VLOOKUP(TableHandbook[[#This Row],[UDC]],TableAvailabilities[],4,FALSE)&gt;0,"Y",""),"")</f>
        <v/>
      </c>
      <c r="J193" s="75" t="str">
        <f>IFERROR(IF(VLOOKUP(TableHandbook[[#This Row],[UDC]],TableAvailabilities[],5,FALSE)&gt;0,"Y",""),"")</f>
        <v/>
      </c>
      <c r="K193" s="75" t="str">
        <f>IFERROR(IF(VLOOKUP(TableHandbook[[#This Row],[UDC]],TableAvailabilities[],6,FALSE)&gt;0,"Y",""),"")</f>
        <v/>
      </c>
      <c r="L193" s="75" t="str">
        <f>IFERROR(IF(VLOOKUP(TableHandbook[[#This Row],[UDC]],TableAvailabilities[],7,FALSE)&gt;0,"Y",""),"")</f>
        <v/>
      </c>
      <c r="M193" s="207"/>
      <c r="N193" s="209" t="str">
        <f>IFERROR(VLOOKUP(TableHandbook[[#This Row],[UDC]],TableBEDUC[],7,FALSE),"")</f>
        <v/>
      </c>
      <c r="O193" s="209" t="str">
        <f>IFERROR(VLOOKUP(TableHandbook[[#This Row],[UDC]],TableBEDEC[],7,FALSE),"")</f>
        <v/>
      </c>
      <c r="P193" s="211" t="str">
        <f>IFERROR(VLOOKUP(TableHandbook[[#This Row],[UDC]],TableBEDPR[],7,FALSE),"")</f>
        <v/>
      </c>
      <c r="Q193" s="209" t="str">
        <f>IFERROR(VLOOKUP(TableHandbook[[#This Row],[UDC]],TableSTRUCATHL[],7,FALSE),"")</f>
        <v/>
      </c>
      <c r="R193" s="209" t="str">
        <f>IFERROR(VLOOKUP(TableHandbook[[#This Row],[UDC]],TableSTRUENGLL[],7,FALSE),"")</f>
        <v/>
      </c>
      <c r="S193" s="209" t="str">
        <f>IFERROR(VLOOKUP(TableHandbook[[#This Row],[UDC]],TableSTRUHLTPE[],7,FALSE),"")</f>
        <v/>
      </c>
      <c r="T193" s="209" t="str">
        <f>IFERROR(VLOOKUP(TableHandbook[[#This Row],[UDC]],TableSTRUISTEM[],7,FALSE),"")</f>
        <v/>
      </c>
      <c r="U193" s="209" t="str">
        <f>IFERROR(VLOOKUP(TableHandbook[[#This Row],[UDC]],TableSTRULITNU[],7,FALSE),"")</f>
        <v/>
      </c>
      <c r="V193" s="209" t="str">
        <f>IFERROR(VLOOKUP(TableHandbook[[#This Row],[UDC]],TableSTRUTECHS[],7,FALSE),"")</f>
        <v/>
      </c>
      <c r="W193" s="211" t="str">
        <f>IFERROR(VLOOKUP(TableHandbook[[#This Row],[UDC]],TableBEDSC[],7,FALSE),"")</f>
        <v/>
      </c>
      <c r="X193" s="211" t="str">
        <f>IFERROR(VLOOKUP(TableHandbook[[#This Row],[UDC]],TableMJRUARDR1[],7,FALSE),"")</f>
        <v/>
      </c>
      <c r="Y193" s="209" t="str">
        <f>IFERROR(VLOOKUP(TableHandbook[[#This Row],[UDC]],TableMJRUARME1[],7,FALSE),"")</f>
        <v/>
      </c>
      <c r="Z193" s="209" t="str">
        <f>IFERROR(VLOOKUP(TableHandbook[[#This Row],[UDC]],TableMJRUARVA1[],7,FALSE),"")</f>
        <v/>
      </c>
      <c r="AA193" s="209" t="str">
        <f>IFERROR(VLOOKUP(TableHandbook[[#This Row],[UDC]],TableMJRUENGL1[],7,FALSE),"")</f>
        <v/>
      </c>
      <c r="AB193" s="209" t="str">
        <f>IFERROR(VLOOKUP(TableHandbook[[#This Row],[UDC]],TableMJRUHSEC1[],7,FALSE),"")</f>
        <v/>
      </c>
      <c r="AC193" s="209" t="str">
        <f>IFERROR(VLOOKUP(TableHandbook[[#This Row],[UDC]],TableMJRUHSGE1[],7,FALSE),"")</f>
        <v>Core</v>
      </c>
      <c r="AD193" s="209" t="str">
        <f>IFERROR(VLOOKUP(TableHandbook[[#This Row],[UDC]],TableMJRUHSHI1[],7,FALSE),"")</f>
        <v/>
      </c>
      <c r="AE193" s="209" t="str">
        <f>IFERROR(VLOOKUP(TableHandbook[[#This Row],[UDC]],TableMJRUHSPL1[],7,FALSE),"")</f>
        <v/>
      </c>
      <c r="AF193" s="209" t="str">
        <f>IFERROR(VLOOKUP(TableHandbook[[#This Row],[UDC]],TableMJRUMATH1[],7,FALSE),"")</f>
        <v/>
      </c>
      <c r="AG193" s="209" t="str">
        <f>IFERROR(VLOOKUP(TableHandbook[[#This Row],[UDC]],TableMJRUPHYSE[],7,FALSE),"")</f>
        <v/>
      </c>
      <c r="AH193" s="209" t="str">
        <f>IFERROR(VLOOKUP(TableHandbook[[#This Row],[UDC]],TableMJRUSCBI1[],7,FALSE),"")</f>
        <v/>
      </c>
      <c r="AI193" s="209" t="str">
        <f>IFERROR(VLOOKUP(TableHandbook[[#This Row],[UDC]],TableMJRUSCCH1[],7,FALSE),"")</f>
        <v/>
      </c>
      <c r="AJ193" s="209" t="str">
        <f>IFERROR(VLOOKUP(TableHandbook[[#This Row],[UDC]],TableMJRUSCHB1[],7,FALSE),"")</f>
        <v/>
      </c>
      <c r="AK193" s="209" t="str">
        <f>IFERROR(VLOOKUP(TableHandbook[[#This Row],[UDC]],TableMJRUSCPH1[],7,FALSE),"")</f>
        <v/>
      </c>
      <c r="AL193" s="209" t="str">
        <f>IFERROR(VLOOKUP(TableHandbook[[#This Row],[UDC]],TableMJRUSCPS1[],7,FALSE),"")</f>
        <v/>
      </c>
      <c r="AM193" s="211" t="str">
        <f>IFERROR(VLOOKUP(TableHandbook[[#This Row],[UDC]],TableSTRUBIOLB[],7,FALSE),"")</f>
        <v/>
      </c>
      <c r="AN193" s="209" t="str">
        <f>IFERROR(VLOOKUP(TableHandbook[[#This Row],[UDC]],TableSTRUBSCIM[],7,FALSE),"")</f>
        <v/>
      </c>
      <c r="AO193" s="209" t="str">
        <f>IFERROR(VLOOKUP(TableHandbook[[#This Row],[UDC]],TableSTRUCHEMB[],7,FALSE),"")</f>
        <v/>
      </c>
      <c r="AP193" s="209" t="str">
        <f>IFERROR(VLOOKUP(TableHandbook[[#This Row],[UDC]],TableSTRUECOB1[],7,FALSE),"")</f>
        <v/>
      </c>
      <c r="AQ193" s="209" t="str">
        <f>IFERROR(VLOOKUP(TableHandbook[[#This Row],[UDC]],TableSTRUENGLB[],7,FALSE),"")</f>
        <v/>
      </c>
      <c r="AR193" s="209" t="str">
        <f>IFERROR(VLOOKUP(TableHandbook[[#This Row],[UDC]],TableSTRUENGLM[],7,FALSE),"")</f>
        <v/>
      </c>
      <c r="AS193" s="209" t="str">
        <f>IFERROR(VLOOKUP(TableHandbook[[#This Row],[UDC]],TableSTRUGEOB1[],7,FALSE),"")</f>
        <v/>
      </c>
      <c r="AT193" s="209" t="str">
        <f>IFERROR(VLOOKUP(TableHandbook[[#This Row],[UDC]],TableSTRUGEOGM[],7,FALSE),"")</f>
        <v>Core</v>
      </c>
      <c r="AU193" s="209" t="str">
        <f>IFERROR(VLOOKUP(TableHandbook[[#This Row],[UDC]],TableSTRUHISB1[],7,FALSE),"")</f>
        <v/>
      </c>
      <c r="AV193" s="209" t="str">
        <f>IFERROR(VLOOKUP(TableHandbook[[#This Row],[UDC]],TableSTRUHISTM[],7,FALSE),"")</f>
        <v/>
      </c>
      <c r="AW193" s="209" t="str">
        <f>IFERROR(VLOOKUP(TableHandbook[[#This Row],[UDC]],TableSTRUHPEB1[],7,FALSE),"")</f>
        <v/>
      </c>
      <c r="AX193" s="209" t="str">
        <f>IFERROR(VLOOKUP(TableHandbook[[#This Row],[UDC]],TableSTRUHUMBB[],7,FALSE),"")</f>
        <v/>
      </c>
      <c r="AY193" s="209" t="str">
        <f>IFERROR(VLOOKUP(TableHandbook[[#This Row],[UDC]],TableSTRUMARTM[],7,FALSE),"")</f>
        <v/>
      </c>
      <c r="AZ193" s="209" t="str">
        <f>IFERROR(VLOOKUP(TableHandbook[[#This Row],[UDC]],TableSTRUMATHB[],7,FALSE),"")</f>
        <v/>
      </c>
      <c r="BA193" s="209" t="str">
        <f>IFERROR(VLOOKUP(TableHandbook[[#This Row],[UDC]],TableSTRUMATHM[],7,FALSE),"")</f>
        <v/>
      </c>
      <c r="BB193" s="209" t="str">
        <f>IFERROR(VLOOKUP(TableHandbook[[#This Row],[UDC]],TableSTRUPARTB[],7,FALSE),"")</f>
        <v/>
      </c>
      <c r="BC193" s="209" t="str">
        <f>IFERROR(VLOOKUP(TableHandbook[[#This Row],[UDC]],TableSTRUPARTM[],7,FALSE),"")</f>
        <v/>
      </c>
      <c r="BD193" s="209" t="str">
        <f>IFERROR(VLOOKUP(TableHandbook[[#This Row],[UDC]],TableSTRUPOLB1[],7,FALSE),"")</f>
        <v/>
      </c>
      <c r="BE193" s="209" t="str">
        <f>IFERROR(VLOOKUP(TableHandbook[[#This Row],[UDC]],TableSTRUPSYCB[],7,FALSE),"")</f>
        <v/>
      </c>
      <c r="BF193" s="209" t="str">
        <f>IFERROR(VLOOKUP(TableHandbook[[#This Row],[UDC]],TableSTRUPSYCM[],7,FALSE),"")</f>
        <v/>
      </c>
      <c r="BG193" s="209" t="str">
        <f>IFERROR(VLOOKUP(TableHandbook[[#This Row],[UDC]],TableSTRUVARTB[],7,FALSE),"")</f>
        <v/>
      </c>
      <c r="BH193" s="209" t="str">
        <f>IFERROR(VLOOKUP(TableHandbook[[#This Row],[UDC]],TableSTRUVARTM[],7,FALSE),"")</f>
        <v/>
      </c>
    </row>
    <row r="194" spans="1:60" x14ac:dyDescent="0.25">
      <c r="A194" s="296" t="s">
        <v>594</v>
      </c>
      <c r="B194" s="7">
        <v>1</v>
      </c>
      <c r="C194" s="7"/>
      <c r="D194" s="207" t="s">
        <v>1008</v>
      </c>
      <c r="E194" s="7">
        <v>25</v>
      </c>
      <c r="F194" s="311" t="s">
        <v>783</v>
      </c>
      <c r="G194" s="75" t="str">
        <f>IFERROR(IF(VLOOKUP(TableHandbook[[#This Row],[UDC]],TableAvailabilities[],2,FALSE)&gt;0,"Y",""),"")</f>
        <v/>
      </c>
      <c r="H194" s="75" t="str">
        <f>IFERROR(IF(VLOOKUP(TableHandbook[[#This Row],[UDC]],TableAvailabilities[],3,FALSE)&gt;0,"Y",""),"")</f>
        <v/>
      </c>
      <c r="I194" s="75" t="str">
        <f>IFERROR(IF(VLOOKUP(TableHandbook[[#This Row],[UDC]],TableAvailabilities[],4,FALSE)&gt;0,"Y",""),"")</f>
        <v/>
      </c>
      <c r="J194" s="75" t="str">
        <f>IFERROR(IF(VLOOKUP(TableHandbook[[#This Row],[UDC]],TableAvailabilities[],5,FALSE)&gt;0,"Y",""),"")</f>
        <v>Y</v>
      </c>
      <c r="K194" s="75" t="str">
        <f>IFERROR(IF(VLOOKUP(TableHandbook[[#This Row],[UDC]],TableAvailabilities[],6,FALSE)&gt;0,"Y",""),"")</f>
        <v>Y</v>
      </c>
      <c r="L194" s="75" t="str">
        <f>IFERROR(IF(VLOOKUP(TableHandbook[[#This Row],[UDC]],TableAvailabilities[],7,FALSE)&gt;0,"Y",""),"")</f>
        <v/>
      </c>
      <c r="M194" s="207"/>
      <c r="N194" s="209" t="str">
        <f>IFERROR(VLOOKUP(TableHandbook[[#This Row],[UDC]],TableBEDUC[],7,FALSE),"")</f>
        <v/>
      </c>
      <c r="O194" s="209" t="str">
        <f>IFERROR(VLOOKUP(TableHandbook[[#This Row],[UDC]],TableBEDEC[],7,FALSE),"")</f>
        <v/>
      </c>
      <c r="P194" s="211" t="str">
        <f>IFERROR(VLOOKUP(TableHandbook[[#This Row],[UDC]],TableBEDPR[],7,FALSE),"")</f>
        <v/>
      </c>
      <c r="Q194" s="209" t="str">
        <f>IFERROR(VLOOKUP(TableHandbook[[#This Row],[UDC]],TableSTRUCATHL[],7,FALSE),"")</f>
        <v/>
      </c>
      <c r="R194" s="209" t="str">
        <f>IFERROR(VLOOKUP(TableHandbook[[#This Row],[UDC]],TableSTRUENGLL[],7,FALSE),"")</f>
        <v/>
      </c>
      <c r="S194" s="209" t="str">
        <f>IFERROR(VLOOKUP(TableHandbook[[#This Row],[UDC]],TableSTRUHLTPE[],7,FALSE),"")</f>
        <v/>
      </c>
      <c r="T194" s="209" t="str">
        <f>IFERROR(VLOOKUP(TableHandbook[[#This Row],[UDC]],TableSTRUISTEM[],7,FALSE),"")</f>
        <v/>
      </c>
      <c r="U194" s="209" t="str">
        <f>IFERROR(VLOOKUP(TableHandbook[[#This Row],[UDC]],TableSTRULITNU[],7,FALSE),"")</f>
        <v/>
      </c>
      <c r="V194" s="209" t="str">
        <f>IFERROR(VLOOKUP(TableHandbook[[#This Row],[UDC]],TableSTRUTECHS[],7,FALSE),"")</f>
        <v/>
      </c>
      <c r="W194" s="211" t="str">
        <f>IFERROR(VLOOKUP(TableHandbook[[#This Row],[UDC]],TableBEDSC[],7,FALSE),"")</f>
        <v/>
      </c>
      <c r="X194" s="211" t="str">
        <f>IFERROR(VLOOKUP(TableHandbook[[#This Row],[UDC]],TableMJRUARDR1[],7,FALSE),"")</f>
        <v/>
      </c>
      <c r="Y194" s="209" t="str">
        <f>IFERROR(VLOOKUP(TableHandbook[[#This Row],[UDC]],TableMJRUARME1[],7,FALSE),"")</f>
        <v/>
      </c>
      <c r="Z194" s="209" t="str">
        <f>IFERROR(VLOOKUP(TableHandbook[[#This Row],[UDC]],TableMJRUARVA1[],7,FALSE),"")</f>
        <v/>
      </c>
      <c r="AA194" s="209" t="str">
        <f>IFERROR(VLOOKUP(TableHandbook[[#This Row],[UDC]],TableMJRUENGL1[],7,FALSE),"")</f>
        <v/>
      </c>
      <c r="AB194" s="209" t="str">
        <f>IFERROR(VLOOKUP(TableHandbook[[#This Row],[UDC]],TableMJRUHSEC1[],7,FALSE),"")</f>
        <v/>
      </c>
      <c r="AC194" s="209" t="str">
        <f>IFERROR(VLOOKUP(TableHandbook[[#This Row],[UDC]],TableMJRUHSGE1[],7,FALSE),"")</f>
        <v>AltCore</v>
      </c>
      <c r="AD194" s="209" t="str">
        <f>IFERROR(VLOOKUP(TableHandbook[[#This Row],[UDC]],TableMJRUHSHI1[],7,FALSE),"")</f>
        <v/>
      </c>
      <c r="AE194" s="209" t="str">
        <f>IFERROR(VLOOKUP(TableHandbook[[#This Row],[UDC]],TableMJRUHSPL1[],7,FALSE),"")</f>
        <v/>
      </c>
      <c r="AF194" s="209" t="str">
        <f>IFERROR(VLOOKUP(TableHandbook[[#This Row],[UDC]],TableMJRUMATH1[],7,FALSE),"")</f>
        <v/>
      </c>
      <c r="AG194" s="209" t="str">
        <f>IFERROR(VLOOKUP(TableHandbook[[#This Row],[UDC]],TableMJRUPHYSE[],7,FALSE),"")</f>
        <v/>
      </c>
      <c r="AH194" s="209" t="str">
        <f>IFERROR(VLOOKUP(TableHandbook[[#This Row],[UDC]],TableMJRUSCBI1[],7,FALSE),"")</f>
        <v/>
      </c>
      <c r="AI194" s="209" t="str">
        <f>IFERROR(VLOOKUP(TableHandbook[[#This Row],[UDC]],TableMJRUSCCH1[],7,FALSE),"")</f>
        <v/>
      </c>
      <c r="AJ194" s="209" t="str">
        <f>IFERROR(VLOOKUP(TableHandbook[[#This Row],[UDC]],TableMJRUSCHB1[],7,FALSE),"")</f>
        <v/>
      </c>
      <c r="AK194" s="209" t="str">
        <f>IFERROR(VLOOKUP(TableHandbook[[#This Row],[UDC]],TableMJRUSCPH1[],7,FALSE),"")</f>
        <v/>
      </c>
      <c r="AL194" s="209" t="str">
        <f>IFERROR(VLOOKUP(TableHandbook[[#This Row],[UDC]],TableMJRUSCPS1[],7,FALSE),"")</f>
        <v/>
      </c>
      <c r="AM194" s="211" t="str">
        <f>IFERROR(VLOOKUP(TableHandbook[[#This Row],[UDC]],TableSTRUBIOLB[],7,FALSE),"")</f>
        <v/>
      </c>
      <c r="AN194" s="209" t="str">
        <f>IFERROR(VLOOKUP(TableHandbook[[#This Row],[UDC]],TableSTRUBSCIM[],7,FALSE),"")</f>
        <v/>
      </c>
      <c r="AO194" s="209" t="str">
        <f>IFERROR(VLOOKUP(TableHandbook[[#This Row],[UDC]],TableSTRUCHEMB[],7,FALSE),"")</f>
        <v/>
      </c>
      <c r="AP194" s="209" t="str">
        <f>IFERROR(VLOOKUP(TableHandbook[[#This Row],[UDC]],TableSTRUECOB1[],7,FALSE),"")</f>
        <v/>
      </c>
      <c r="AQ194" s="209" t="str">
        <f>IFERROR(VLOOKUP(TableHandbook[[#This Row],[UDC]],TableSTRUENGLB[],7,FALSE),"")</f>
        <v/>
      </c>
      <c r="AR194" s="209" t="str">
        <f>IFERROR(VLOOKUP(TableHandbook[[#This Row],[UDC]],TableSTRUENGLM[],7,FALSE),"")</f>
        <v/>
      </c>
      <c r="AS194" s="209" t="str">
        <f>IFERROR(VLOOKUP(TableHandbook[[#This Row],[UDC]],TableSTRUGEOB1[],7,FALSE),"")</f>
        <v/>
      </c>
      <c r="AT194" s="209" t="str">
        <f>IFERROR(VLOOKUP(TableHandbook[[#This Row],[UDC]],TableSTRUGEOGM[],7,FALSE),"")</f>
        <v>Core</v>
      </c>
      <c r="AU194" s="209" t="str">
        <f>IFERROR(VLOOKUP(TableHandbook[[#This Row],[UDC]],TableSTRUHISB1[],7,FALSE),"")</f>
        <v/>
      </c>
      <c r="AV194" s="209" t="str">
        <f>IFERROR(VLOOKUP(TableHandbook[[#This Row],[UDC]],TableSTRUHISTM[],7,FALSE),"")</f>
        <v/>
      </c>
      <c r="AW194" s="209" t="str">
        <f>IFERROR(VLOOKUP(TableHandbook[[#This Row],[UDC]],TableSTRUHPEB1[],7,FALSE),"")</f>
        <v/>
      </c>
      <c r="AX194" s="209" t="str">
        <f>IFERROR(VLOOKUP(TableHandbook[[#This Row],[UDC]],TableSTRUHUMBB[],7,FALSE),"")</f>
        <v/>
      </c>
      <c r="AY194" s="209" t="str">
        <f>IFERROR(VLOOKUP(TableHandbook[[#This Row],[UDC]],TableSTRUMARTM[],7,FALSE),"")</f>
        <v/>
      </c>
      <c r="AZ194" s="209" t="str">
        <f>IFERROR(VLOOKUP(TableHandbook[[#This Row],[UDC]],TableSTRUMATHB[],7,FALSE),"")</f>
        <v/>
      </c>
      <c r="BA194" s="209" t="str">
        <f>IFERROR(VLOOKUP(TableHandbook[[#This Row],[UDC]],TableSTRUMATHM[],7,FALSE),"")</f>
        <v/>
      </c>
      <c r="BB194" s="209" t="str">
        <f>IFERROR(VLOOKUP(TableHandbook[[#This Row],[UDC]],TableSTRUPARTB[],7,FALSE),"")</f>
        <v/>
      </c>
      <c r="BC194" s="209" t="str">
        <f>IFERROR(VLOOKUP(TableHandbook[[#This Row],[UDC]],TableSTRUPARTM[],7,FALSE),"")</f>
        <v/>
      </c>
      <c r="BD194" s="209" t="str">
        <f>IFERROR(VLOOKUP(TableHandbook[[#This Row],[UDC]],TableSTRUPOLB1[],7,FALSE),"")</f>
        <v/>
      </c>
      <c r="BE194" s="209" t="str">
        <f>IFERROR(VLOOKUP(TableHandbook[[#This Row],[UDC]],TableSTRUPSYCB[],7,FALSE),"")</f>
        <v/>
      </c>
      <c r="BF194" s="209" t="str">
        <f>IFERROR(VLOOKUP(TableHandbook[[#This Row],[UDC]],TableSTRUPSYCM[],7,FALSE),"")</f>
        <v/>
      </c>
      <c r="BG194" s="209" t="str">
        <f>IFERROR(VLOOKUP(TableHandbook[[#This Row],[UDC]],TableSTRUVARTB[],7,FALSE),"")</f>
        <v/>
      </c>
      <c r="BH194" s="209" t="str">
        <f>IFERROR(VLOOKUP(TableHandbook[[#This Row],[UDC]],TableSTRUVARTM[],7,FALSE),"")</f>
        <v/>
      </c>
    </row>
    <row r="195" spans="1:60" x14ac:dyDescent="0.25">
      <c r="A195" s="6" t="s">
        <v>612</v>
      </c>
      <c r="B195" s="7">
        <v>1</v>
      </c>
      <c r="C195" s="7"/>
      <c r="D195" s="207" t="s">
        <v>1009</v>
      </c>
      <c r="E195" s="7">
        <v>25</v>
      </c>
      <c r="F195" s="84" t="s">
        <v>783</v>
      </c>
      <c r="G195" s="75" t="str">
        <f>IFERROR(IF(VLOOKUP(TableHandbook[[#This Row],[UDC]],TableAvailabilities[],2,FALSE)&gt;0,"Y",""),"")</f>
        <v>Y</v>
      </c>
      <c r="H195" s="75" t="str">
        <f>IFERROR(IF(VLOOKUP(TableHandbook[[#This Row],[UDC]],TableAvailabilities[],3,FALSE)&gt;0,"Y",""),"")</f>
        <v>Y</v>
      </c>
      <c r="I195" s="75" t="str">
        <f>IFERROR(IF(VLOOKUP(TableHandbook[[#This Row],[UDC]],TableAvailabilities[],4,FALSE)&gt;0,"Y",""),"")</f>
        <v/>
      </c>
      <c r="J195" s="75" t="str">
        <f>IFERROR(IF(VLOOKUP(TableHandbook[[#This Row],[UDC]],TableAvailabilities[],5,FALSE)&gt;0,"Y",""),"")</f>
        <v/>
      </c>
      <c r="K195" s="75" t="str">
        <f>IFERROR(IF(VLOOKUP(TableHandbook[[#This Row],[UDC]],TableAvailabilities[],6,FALSE)&gt;0,"Y",""),"")</f>
        <v/>
      </c>
      <c r="L195" s="75" t="str">
        <f>IFERROR(IF(VLOOKUP(TableHandbook[[#This Row],[UDC]],TableAvailabilities[],7,FALSE)&gt;0,"Y",""),"")</f>
        <v/>
      </c>
      <c r="M195" s="207"/>
      <c r="N195" s="209" t="str">
        <f>IFERROR(VLOOKUP(TableHandbook[[#This Row],[UDC]],TableBEDUC[],7,FALSE),"")</f>
        <v/>
      </c>
      <c r="O195" s="209" t="str">
        <f>IFERROR(VLOOKUP(TableHandbook[[#This Row],[UDC]],TableBEDEC[],7,FALSE),"")</f>
        <v/>
      </c>
      <c r="P195" s="211" t="str">
        <f>IFERROR(VLOOKUP(TableHandbook[[#This Row],[UDC]],TableBEDPR[],7,FALSE),"")</f>
        <v/>
      </c>
      <c r="Q195" s="209" t="str">
        <f>IFERROR(VLOOKUP(TableHandbook[[#This Row],[UDC]],TableSTRUCATHL[],7,FALSE),"")</f>
        <v/>
      </c>
      <c r="R195" s="209" t="str">
        <f>IFERROR(VLOOKUP(TableHandbook[[#This Row],[UDC]],TableSTRUENGLL[],7,FALSE),"")</f>
        <v/>
      </c>
      <c r="S195" s="209" t="str">
        <f>IFERROR(VLOOKUP(TableHandbook[[#This Row],[UDC]],TableSTRUHLTPE[],7,FALSE),"")</f>
        <v/>
      </c>
      <c r="T195" s="209" t="str">
        <f>IFERROR(VLOOKUP(TableHandbook[[#This Row],[UDC]],TableSTRUISTEM[],7,FALSE),"")</f>
        <v/>
      </c>
      <c r="U195" s="209" t="str">
        <f>IFERROR(VLOOKUP(TableHandbook[[#This Row],[UDC]],TableSTRULITNU[],7,FALSE),"")</f>
        <v/>
      </c>
      <c r="V195" s="209" t="str">
        <f>IFERROR(VLOOKUP(TableHandbook[[#This Row],[UDC]],TableSTRUTECHS[],7,FALSE),"")</f>
        <v/>
      </c>
      <c r="W195" s="211" t="str">
        <f>IFERROR(VLOOKUP(TableHandbook[[#This Row],[UDC]],TableBEDSC[],7,FALSE),"")</f>
        <v/>
      </c>
      <c r="X195" s="211" t="str">
        <f>IFERROR(VLOOKUP(TableHandbook[[#This Row],[UDC]],TableMJRUARDR1[],7,FALSE),"")</f>
        <v/>
      </c>
      <c r="Y195" s="209" t="str">
        <f>IFERROR(VLOOKUP(TableHandbook[[#This Row],[UDC]],TableMJRUARME1[],7,FALSE),"")</f>
        <v/>
      </c>
      <c r="Z195" s="209" t="str">
        <f>IFERROR(VLOOKUP(TableHandbook[[#This Row],[UDC]],TableMJRUARVA1[],7,FALSE),"")</f>
        <v/>
      </c>
      <c r="AA195" s="209" t="str">
        <f>IFERROR(VLOOKUP(TableHandbook[[#This Row],[UDC]],TableMJRUENGL1[],7,FALSE),"")</f>
        <v/>
      </c>
      <c r="AB195" s="209" t="str">
        <f>IFERROR(VLOOKUP(TableHandbook[[#This Row],[UDC]],TableMJRUHSEC1[],7,FALSE),"")</f>
        <v/>
      </c>
      <c r="AC195" s="209" t="str">
        <f>IFERROR(VLOOKUP(TableHandbook[[#This Row],[UDC]],TableMJRUHSGE1[],7,FALSE),"")</f>
        <v>AltCore</v>
      </c>
      <c r="AD195" s="209" t="str">
        <f>IFERROR(VLOOKUP(TableHandbook[[#This Row],[UDC]],TableMJRUHSHI1[],7,FALSE),"")</f>
        <v/>
      </c>
      <c r="AE195" s="209" t="str">
        <f>IFERROR(VLOOKUP(TableHandbook[[#This Row],[UDC]],TableMJRUHSPL1[],7,FALSE),"")</f>
        <v/>
      </c>
      <c r="AF195" s="209" t="str">
        <f>IFERROR(VLOOKUP(TableHandbook[[#This Row],[UDC]],TableMJRUMATH1[],7,FALSE),"")</f>
        <v/>
      </c>
      <c r="AG195" s="209" t="str">
        <f>IFERROR(VLOOKUP(TableHandbook[[#This Row],[UDC]],TableMJRUPHYSE[],7,FALSE),"")</f>
        <v/>
      </c>
      <c r="AH195" s="209" t="str">
        <f>IFERROR(VLOOKUP(TableHandbook[[#This Row],[UDC]],TableMJRUSCBI1[],7,FALSE),"")</f>
        <v/>
      </c>
      <c r="AI195" s="209" t="str">
        <f>IFERROR(VLOOKUP(TableHandbook[[#This Row],[UDC]],TableMJRUSCCH1[],7,FALSE),"")</f>
        <v/>
      </c>
      <c r="AJ195" s="209" t="str">
        <f>IFERROR(VLOOKUP(TableHandbook[[#This Row],[UDC]],TableMJRUSCHB1[],7,FALSE),"")</f>
        <v/>
      </c>
      <c r="AK195" s="209" t="str">
        <f>IFERROR(VLOOKUP(TableHandbook[[#This Row],[UDC]],TableMJRUSCPH1[],7,FALSE),"")</f>
        <v/>
      </c>
      <c r="AL195" s="209" t="str">
        <f>IFERROR(VLOOKUP(TableHandbook[[#This Row],[UDC]],TableMJRUSCPS1[],7,FALSE),"")</f>
        <v/>
      </c>
      <c r="AM195" s="211" t="str">
        <f>IFERROR(VLOOKUP(TableHandbook[[#This Row],[UDC]],TableSTRUBIOLB[],7,FALSE),"")</f>
        <v/>
      </c>
      <c r="AN195" s="209" t="str">
        <f>IFERROR(VLOOKUP(TableHandbook[[#This Row],[UDC]],TableSTRUBSCIM[],7,FALSE),"")</f>
        <v/>
      </c>
      <c r="AO195" s="209" t="str">
        <f>IFERROR(VLOOKUP(TableHandbook[[#This Row],[UDC]],TableSTRUCHEMB[],7,FALSE),"")</f>
        <v/>
      </c>
      <c r="AP195" s="209" t="str">
        <f>IFERROR(VLOOKUP(TableHandbook[[#This Row],[UDC]],TableSTRUECOB1[],7,FALSE),"")</f>
        <v/>
      </c>
      <c r="AQ195" s="209" t="str">
        <f>IFERROR(VLOOKUP(TableHandbook[[#This Row],[UDC]],TableSTRUENGLB[],7,FALSE),"")</f>
        <v/>
      </c>
      <c r="AR195" s="209" t="str">
        <f>IFERROR(VLOOKUP(TableHandbook[[#This Row],[UDC]],TableSTRUENGLM[],7,FALSE),"")</f>
        <v/>
      </c>
      <c r="AS195" s="209" t="str">
        <f>IFERROR(VLOOKUP(TableHandbook[[#This Row],[UDC]],TableSTRUGEOB1[],7,FALSE),"")</f>
        <v/>
      </c>
      <c r="AT195" s="209" t="str">
        <f>IFERROR(VLOOKUP(TableHandbook[[#This Row],[UDC]],TableSTRUGEOGM[],7,FALSE),"")</f>
        <v>Core</v>
      </c>
      <c r="AU195" s="209" t="str">
        <f>IFERROR(VLOOKUP(TableHandbook[[#This Row],[UDC]],TableSTRUHISB1[],7,FALSE),"")</f>
        <v/>
      </c>
      <c r="AV195" s="209" t="str">
        <f>IFERROR(VLOOKUP(TableHandbook[[#This Row],[UDC]],TableSTRUHISTM[],7,FALSE),"")</f>
        <v/>
      </c>
      <c r="AW195" s="209" t="str">
        <f>IFERROR(VLOOKUP(TableHandbook[[#This Row],[UDC]],TableSTRUHPEB1[],7,FALSE),"")</f>
        <v/>
      </c>
      <c r="AX195" s="209" t="str">
        <f>IFERROR(VLOOKUP(TableHandbook[[#This Row],[UDC]],TableSTRUHUMBB[],7,FALSE),"")</f>
        <v/>
      </c>
      <c r="AY195" s="209" t="str">
        <f>IFERROR(VLOOKUP(TableHandbook[[#This Row],[UDC]],TableSTRUMARTM[],7,FALSE),"")</f>
        <v/>
      </c>
      <c r="AZ195" s="209" t="str">
        <f>IFERROR(VLOOKUP(TableHandbook[[#This Row],[UDC]],TableSTRUMATHB[],7,FALSE),"")</f>
        <v/>
      </c>
      <c r="BA195" s="209" t="str">
        <f>IFERROR(VLOOKUP(TableHandbook[[#This Row],[UDC]],TableSTRUMATHM[],7,FALSE),"")</f>
        <v/>
      </c>
      <c r="BB195" s="209" t="str">
        <f>IFERROR(VLOOKUP(TableHandbook[[#This Row],[UDC]],TableSTRUPARTB[],7,FALSE),"")</f>
        <v/>
      </c>
      <c r="BC195" s="209" t="str">
        <f>IFERROR(VLOOKUP(TableHandbook[[#This Row],[UDC]],TableSTRUPARTM[],7,FALSE),"")</f>
        <v/>
      </c>
      <c r="BD195" s="209" t="str">
        <f>IFERROR(VLOOKUP(TableHandbook[[#This Row],[UDC]],TableSTRUPOLB1[],7,FALSE),"")</f>
        <v/>
      </c>
      <c r="BE195" s="209" t="str">
        <f>IFERROR(VLOOKUP(TableHandbook[[#This Row],[UDC]],TableSTRUPSYCB[],7,FALSE),"")</f>
        <v/>
      </c>
      <c r="BF195" s="209" t="str">
        <f>IFERROR(VLOOKUP(TableHandbook[[#This Row],[UDC]],TableSTRUPSYCM[],7,FALSE),"")</f>
        <v/>
      </c>
      <c r="BG195" s="209" t="str">
        <f>IFERROR(VLOOKUP(TableHandbook[[#This Row],[UDC]],TableSTRUVARTB[],7,FALSE),"")</f>
        <v/>
      </c>
      <c r="BH195" s="209" t="str">
        <f>IFERROR(VLOOKUP(TableHandbook[[#This Row],[UDC]],TableSTRUVARTM[],7,FALSE),"")</f>
        <v/>
      </c>
    </row>
    <row r="196" spans="1:60" x14ac:dyDescent="0.25">
      <c r="A196" s="296" t="s">
        <v>619</v>
      </c>
      <c r="B196" s="7">
        <v>1</v>
      </c>
      <c r="C196" s="7"/>
      <c r="D196" s="207" t="s">
        <v>1010</v>
      </c>
      <c r="E196" s="7">
        <v>25</v>
      </c>
      <c r="F196" s="311" t="s">
        <v>783</v>
      </c>
      <c r="G196" s="75" t="str">
        <f>IFERROR(IF(VLOOKUP(TableHandbook[[#This Row],[UDC]],TableAvailabilities[],2,FALSE)&gt;0,"Y",""),"")</f>
        <v>Y</v>
      </c>
      <c r="H196" s="75" t="str">
        <f>IFERROR(IF(VLOOKUP(TableHandbook[[#This Row],[UDC]],TableAvailabilities[],3,FALSE)&gt;0,"Y",""),"")</f>
        <v>Y</v>
      </c>
      <c r="I196" s="75" t="str">
        <f>IFERROR(IF(VLOOKUP(TableHandbook[[#This Row],[UDC]],TableAvailabilities[],4,FALSE)&gt;0,"Y",""),"")</f>
        <v/>
      </c>
      <c r="J196" s="75" t="str">
        <f>IFERROR(IF(VLOOKUP(TableHandbook[[#This Row],[UDC]],TableAvailabilities[],5,FALSE)&gt;0,"Y",""),"")</f>
        <v/>
      </c>
      <c r="K196" s="75" t="str">
        <f>IFERROR(IF(VLOOKUP(TableHandbook[[#This Row],[UDC]],TableAvailabilities[],6,FALSE)&gt;0,"Y",""),"")</f>
        <v/>
      </c>
      <c r="L196" s="75" t="str">
        <f>IFERROR(IF(VLOOKUP(TableHandbook[[#This Row],[UDC]],TableAvailabilities[],7,FALSE)&gt;0,"Y",""),"")</f>
        <v/>
      </c>
      <c r="M196" s="207"/>
      <c r="N196" s="209" t="str">
        <f>IFERROR(VLOOKUP(TableHandbook[[#This Row],[UDC]],TableBEDUC[],7,FALSE),"")</f>
        <v/>
      </c>
      <c r="O196" s="209" t="str">
        <f>IFERROR(VLOOKUP(TableHandbook[[#This Row],[UDC]],TableBEDEC[],7,FALSE),"")</f>
        <v/>
      </c>
      <c r="P196" s="211" t="str">
        <f>IFERROR(VLOOKUP(TableHandbook[[#This Row],[UDC]],TableBEDPR[],7,FALSE),"")</f>
        <v/>
      </c>
      <c r="Q196" s="209" t="str">
        <f>IFERROR(VLOOKUP(TableHandbook[[#This Row],[UDC]],TableSTRUCATHL[],7,FALSE),"")</f>
        <v/>
      </c>
      <c r="R196" s="209" t="str">
        <f>IFERROR(VLOOKUP(TableHandbook[[#This Row],[UDC]],TableSTRUENGLL[],7,FALSE),"")</f>
        <v/>
      </c>
      <c r="S196" s="209" t="str">
        <f>IFERROR(VLOOKUP(TableHandbook[[#This Row],[UDC]],TableSTRUHLTPE[],7,FALSE),"")</f>
        <v/>
      </c>
      <c r="T196" s="209" t="str">
        <f>IFERROR(VLOOKUP(TableHandbook[[#This Row],[UDC]],TableSTRUISTEM[],7,FALSE),"")</f>
        <v/>
      </c>
      <c r="U196" s="209" t="str">
        <f>IFERROR(VLOOKUP(TableHandbook[[#This Row],[UDC]],TableSTRULITNU[],7,FALSE),"")</f>
        <v/>
      </c>
      <c r="V196" s="209" t="str">
        <f>IFERROR(VLOOKUP(TableHandbook[[#This Row],[UDC]],TableSTRUTECHS[],7,FALSE),"")</f>
        <v/>
      </c>
      <c r="W196" s="211" t="str">
        <f>IFERROR(VLOOKUP(TableHandbook[[#This Row],[UDC]],TableBEDSC[],7,FALSE),"")</f>
        <v/>
      </c>
      <c r="X196" s="211" t="str">
        <f>IFERROR(VLOOKUP(TableHandbook[[#This Row],[UDC]],TableMJRUARDR1[],7,FALSE),"")</f>
        <v/>
      </c>
      <c r="Y196" s="209" t="str">
        <f>IFERROR(VLOOKUP(TableHandbook[[#This Row],[UDC]],TableMJRUARME1[],7,FALSE),"")</f>
        <v/>
      </c>
      <c r="Z196" s="209" t="str">
        <f>IFERROR(VLOOKUP(TableHandbook[[#This Row],[UDC]],TableMJRUARVA1[],7,FALSE),"")</f>
        <v/>
      </c>
      <c r="AA196" s="209" t="str">
        <f>IFERROR(VLOOKUP(TableHandbook[[#This Row],[UDC]],TableMJRUENGL1[],7,FALSE),"")</f>
        <v/>
      </c>
      <c r="AB196" s="209" t="str">
        <f>IFERROR(VLOOKUP(TableHandbook[[#This Row],[UDC]],TableMJRUHSEC1[],7,FALSE),"")</f>
        <v/>
      </c>
      <c r="AC196" s="209" t="str">
        <f>IFERROR(VLOOKUP(TableHandbook[[#This Row],[UDC]],TableMJRUHSGE1[],7,FALSE),"")</f>
        <v>AltCore</v>
      </c>
      <c r="AD196" s="209" t="str">
        <f>IFERROR(VLOOKUP(TableHandbook[[#This Row],[UDC]],TableMJRUHSHI1[],7,FALSE),"")</f>
        <v/>
      </c>
      <c r="AE196" s="209" t="str">
        <f>IFERROR(VLOOKUP(TableHandbook[[#This Row],[UDC]],TableMJRUHSPL1[],7,FALSE),"")</f>
        <v/>
      </c>
      <c r="AF196" s="209" t="str">
        <f>IFERROR(VLOOKUP(TableHandbook[[#This Row],[UDC]],TableMJRUMATH1[],7,FALSE),"")</f>
        <v/>
      </c>
      <c r="AG196" s="209" t="str">
        <f>IFERROR(VLOOKUP(TableHandbook[[#This Row],[UDC]],TableMJRUPHYSE[],7,FALSE),"")</f>
        <v/>
      </c>
      <c r="AH196" s="209" t="str">
        <f>IFERROR(VLOOKUP(TableHandbook[[#This Row],[UDC]],TableMJRUSCBI1[],7,FALSE),"")</f>
        <v/>
      </c>
      <c r="AI196" s="209" t="str">
        <f>IFERROR(VLOOKUP(TableHandbook[[#This Row],[UDC]],TableMJRUSCCH1[],7,FALSE),"")</f>
        <v/>
      </c>
      <c r="AJ196" s="209" t="str">
        <f>IFERROR(VLOOKUP(TableHandbook[[#This Row],[UDC]],TableMJRUSCHB1[],7,FALSE),"")</f>
        <v/>
      </c>
      <c r="AK196" s="209" t="str">
        <f>IFERROR(VLOOKUP(TableHandbook[[#This Row],[UDC]],TableMJRUSCPH1[],7,FALSE),"")</f>
        <v/>
      </c>
      <c r="AL196" s="209" t="str">
        <f>IFERROR(VLOOKUP(TableHandbook[[#This Row],[UDC]],TableMJRUSCPS1[],7,FALSE),"")</f>
        <v/>
      </c>
      <c r="AM196" s="211" t="str">
        <f>IFERROR(VLOOKUP(TableHandbook[[#This Row],[UDC]],TableSTRUBIOLB[],7,FALSE),"")</f>
        <v/>
      </c>
      <c r="AN196" s="209" t="str">
        <f>IFERROR(VLOOKUP(TableHandbook[[#This Row],[UDC]],TableSTRUBSCIM[],7,FALSE),"")</f>
        <v/>
      </c>
      <c r="AO196" s="209" t="str">
        <f>IFERROR(VLOOKUP(TableHandbook[[#This Row],[UDC]],TableSTRUCHEMB[],7,FALSE),"")</f>
        <v/>
      </c>
      <c r="AP196" s="209" t="str">
        <f>IFERROR(VLOOKUP(TableHandbook[[#This Row],[UDC]],TableSTRUECOB1[],7,FALSE),"")</f>
        <v/>
      </c>
      <c r="AQ196" s="209" t="str">
        <f>IFERROR(VLOOKUP(TableHandbook[[#This Row],[UDC]],TableSTRUENGLB[],7,FALSE),"")</f>
        <v/>
      </c>
      <c r="AR196" s="209" t="str">
        <f>IFERROR(VLOOKUP(TableHandbook[[#This Row],[UDC]],TableSTRUENGLM[],7,FALSE),"")</f>
        <v/>
      </c>
      <c r="AS196" s="209" t="str">
        <f>IFERROR(VLOOKUP(TableHandbook[[#This Row],[UDC]],TableSTRUGEOB1[],7,FALSE),"")</f>
        <v/>
      </c>
      <c r="AT196" s="209" t="str">
        <f>IFERROR(VLOOKUP(TableHandbook[[#This Row],[UDC]],TableSTRUGEOGM[],7,FALSE),"")</f>
        <v/>
      </c>
      <c r="AU196" s="209" t="str">
        <f>IFERROR(VLOOKUP(TableHandbook[[#This Row],[UDC]],TableSTRUHISB1[],7,FALSE),"")</f>
        <v/>
      </c>
      <c r="AV196" s="209" t="str">
        <f>IFERROR(VLOOKUP(TableHandbook[[#This Row],[UDC]],TableSTRUHISTM[],7,FALSE),"")</f>
        <v/>
      </c>
      <c r="AW196" s="209" t="str">
        <f>IFERROR(VLOOKUP(TableHandbook[[#This Row],[UDC]],TableSTRUHPEB1[],7,FALSE),"")</f>
        <v/>
      </c>
      <c r="AX196" s="209" t="str">
        <f>IFERROR(VLOOKUP(TableHandbook[[#This Row],[UDC]],TableSTRUHUMBB[],7,FALSE),"")</f>
        <v/>
      </c>
      <c r="AY196" s="209" t="str">
        <f>IFERROR(VLOOKUP(TableHandbook[[#This Row],[UDC]],TableSTRUMARTM[],7,FALSE),"")</f>
        <v/>
      </c>
      <c r="AZ196" s="209" t="str">
        <f>IFERROR(VLOOKUP(TableHandbook[[#This Row],[UDC]],TableSTRUMATHB[],7,FALSE),"")</f>
        <v/>
      </c>
      <c r="BA196" s="209" t="str">
        <f>IFERROR(VLOOKUP(TableHandbook[[#This Row],[UDC]],TableSTRUMATHM[],7,FALSE),"")</f>
        <v/>
      </c>
      <c r="BB196" s="209" t="str">
        <f>IFERROR(VLOOKUP(TableHandbook[[#This Row],[UDC]],TableSTRUPARTB[],7,FALSE),"")</f>
        <v/>
      </c>
      <c r="BC196" s="209" t="str">
        <f>IFERROR(VLOOKUP(TableHandbook[[#This Row],[UDC]],TableSTRUPARTM[],7,FALSE),"")</f>
        <v/>
      </c>
      <c r="BD196" s="209" t="str">
        <f>IFERROR(VLOOKUP(TableHandbook[[#This Row],[UDC]],TableSTRUPOLB1[],7,FALSE),"")</f>
        <v/>
      </c>
      <c r="BE196" s="209" t="str">
        <f>IFERROR(VLOOKUP(TableHandbook[[#This Row],[UDC]],TableSTRUPSYCB[],7,FALSE),"")</f>
        <v/>
      </c>
      <c r="BF196" s="209" t="str">
        <f>IFERROR(VLOOKUP(TableHandbook[[#This Row],[UDC]],TableSTRUPSYCM[],7,FALSE),"")</f>
        <v/>
      </c>
      <c r="BG196" s="209" t="str">
        <f>IFERROR(VLOOKUP(TableHandbook[[#This Row],[UDC]],TableSTRUVARTB[],7,FALSE),"")</f>
        <v/>
      </c>
      <c r="BH196" s="209" t="str">
        <f>IFERROR(VLOOKUP(TableHandbook[[#This Row],[UDC]],TableSTRUVARTM[],7,FALSE),"")</f>
        <v/>
      </c>
    </row>
    <row r="197" spans="1:60" x14ac:dyDescent="0.25">
      <c r="A197" s="296" t="s">
        <v>626</v>
      </c>
      <c r="B197" s="7">
        <v>2</v>
      </c>
      <c r="C197" s="7"/>
      <c r="D197" s="207" t="s">
        <v>1011</v>
      </c>
      <c r="E197" s="7">
        <v>25</v>
      </c>
      <c r="F197" s="311" t="s">
        <v>783</v>
      </c>
      <c r="G197" s="75" t="str">
        <f>IFERROR(IF(VLOOKUP(TableHandbook[[#This Row],[UDC]],TableAvailabilities[],2,FALSE)&gt;0,"Y",""),"")</f>
        <v/>
      </c>
      <c r="H197" s="75" t="str">
        <f>IFERROR(IF(VLOOKUP(TableHandbook[[#This Row],[UDC]],TableAvailabilities[],3,FALSE)&gt;0,"Y",""),"")</f>
        <v/>
      </c>
      <c r="I197" s="75" t="str">
        <f>IFERROR(IF(VLOOKUP(TableHandbook[[#This Row],[UDC]],TableAvailabilities[],4,FALSE)&gt;0,"Y",""),"")</f>
        <v/>
      </c>
      <c r="J197" s="75" t="str">
        <f>IFERROR(IF(VLOOKUP(TableHandbook[[#This Row],[UDC]],TableAvailabilities[],5,FALSE)&gt;0,"Y",""),"")</f>
        <v>Y</v>
      </c>
      <c r="K197" s="75" t="str">
        <f>IFERROR(IF(VLOOKUP(TableHandbook[[#This Row],[UDC]],TableAvailabilities[],6,FALSE)&gt;0,"Y",""),"")</f>
        <v>Y</v>
      </c>
      <c r="L197" s="75" t="str">
        <f>IFERROR(IF(VLOOKUP(TableHandbook[[#This Row],[UDC]],TableAvailabilities[],7,FALSE)&gt;0,"Y",""),"")</f>
        <v/>
      </c>
      <c r="M197" s="207"/>
      <c r="N197" s="209" t="str">
        <f>IFERROR(VLOOKUP(TableHandbook[[#This Row],[UDC]],TableBEDUC[],7,FALSE),"")</f>
        <v/>
      </c>
      <c r="O197" s="209" t="str">
        <f>IFERROR(VLOOKUP(TableHandbook[[#This Row],[UDC]],TableBEDEC[],7,FALSE),"")</f>
        <v/>
      </c>
      <c r="P197" s="211" t="str">
        <f>IFERROR(VLOOKUP(TableHandbook[[#This Row],[UDC]],TableBEDPR[],7,FALSE),"")</f>
        <v/>
      </c>
      <c r="Q197" s="209" t="str">
        <f>IFERROR(VLOOKUP(TableHandbook[[#This Row],[UDC]],TableSTRUCATHL[],7,FALSE),"")</f>
        <v/>
      </c>
      <c r="R197" s="209" t="str">
        <f>IFERROR(VLOOKUP(TableHandbook[[#This Row],[UDC]],TableSTRUENGLL[],7,FALSE),"")</f>
        <v/>
      </c>
      <c r="S197" s="209" t="str">
        <f>IFERROR(VLOOKUP(TableHandbook[[#This Row],[UDC]],TableSTRUHLTPE[],7,FALSE),"")</f>
        <v/>
      </c>
      <c r="T197" s="209" t="str">
        <f>IFERROR(VLOOKUP(TableHandbook[[#This Row],[UDC]],TableSTRUISTEM[],7,FALSE),"")</f>
        <v/>
      </c>
      <c r="U197" s="209" t="str">
        <f>IFERROR(VLOOKUP(TableHandbook[[#This Row],[UDC]],TableSTRULITNU[],7,FALSE),"")</f>
        <v/>
      </c>
      <c r="V197" s="209" t="str">
        <f>IFERROR(VLOOKUP(TableHandbook[[#This Row],[UDC]],TableSTRUTECHS[],7,FALSE),"")</f>
        <v/>
      </c>
      <c r="W197" s="211" t="str">
        <f>IFERROR(VLOOKUP(TableHandbook[[#This Row],[UDC]],TableBEDSC[],7,FALSE),"")</f>
        <v/>
      </c>
      <c r="X197" s="211" t="str">
        <f>IFERROR(VLOOKUP(TableHandbook[[#This Row],[UDC]],TableMJRUARDR1[],7,FALSE),"")</f>
        <v/>
      </c>
      <c r="Y197" s="209" t="str">
        <f>IFERROR(VLOOKUP(TableHandbook[[#This Row],[UDC]],TableMJRUARME1[],7,FALSE),"")</f>
        <v/>
      </c>
      <c r="Z197" s="209" t="str">
        <f>IFERROR(VLOOKUP(TableHandbook[[#This Row],[UDC]],TableMJRUARVA1[],7,FALSE),"")</f>
        <v/>
      </c>
      <c r="AA197" s="209" t="str">
        <f>IFERROR(VLOOKUP(TableHandbook[[#This Row],[UDC]],TableMJRUENGL1[],7,FALSE),"")</f>
        <v/>
      </c>
      <c r="AB197" s="209" t="str">
        <f>IFERROR(VLOOKUP(TableHandbook[[#This Row],[UDC]],TableMJRUHSEC1[],7,FALSE),"")</f>
        <v/>
      </c>
      <c r="AC197" s="209" t="str">
        <f>IFERROR(VLOOKUP(TableHandbook[[#This Row],[UDC]],TableMJRUHSGE1[],7,FALSE),"")</f>
        <v>AltCore</v>
      </c>
      <c r="AD197" s="209" t="str">
        <f>IFERROR(VLOOKUP(TableHandbook[[#This Row],[UDC]],TableMJRUHSHI1[],7,FALSE),"")</f>
        <v/>
      </c>
      <c r="AE197" s="209" t="str">
        <f>IFERROR(VLOOKUP(TableHandbook[[#This Row],[UDC]],TableMJRUHSPL1[],7,FALSE),"")</f>
        <v/>
      </c>
      <c r="AF197" s="209" t="str">
        <f>IFERROR(VLOOKUP(TableHandbook[[#This Row],[UDC]],TableMJRUMATH1[],7,FALSE),"")</f>
        <v/>
      </c>
      <c r="AG197" s="209" t="str">
        <f>IFERROR(VLOOKUP(TableHandbook[[#This Row],[UDC]],TableMJRUPHYSE[],7,FALSE),"")</f>
        <v/>
      </c>
      <c r="AH197" s="209" t="str">
        <f>IFERROR(VLOOKUP(TableHandbook[[#This Row],[UDC]],TableMJRUSCBI1[],7,FALSE),"")</f>
        <v/>
      </c>
      <c r="AI197" s="209" t="str">
        <f>IFERROR(VLOOKUP(TableHandbook[[#This Row],[UDC]],TableMJRUSCCH1[],7,FALSE),"")</f>
        <v/>
      </c>
      <c r="AJ197" s="209" t="str">
        <f>IFERROR(VLOOKUP(TableHandbook[[#This Row],[UDC]],TableMJRUSCHB1[],7,FALSE),"")</f>
        <v/>
      </c>
      <c r="AK197" s="209" t="str">
        <f>IFERROR(VLOOKUP(TableHandbook[[#This Row],[UDC]],TableMJRUSCPH1[],7,FALSE),"")</f>
        <v/>
      </c>
      <c r="AL197" s="209" t="str">
        <f>IFERROR(VLOOKUP(TableHandbook[[#This Row],[UDC]],TableMJRUSCPS1[],7,FALSE),"")</f>
        <v/>
      </c>
      <c r="AM197" s="211" t="str">
        <f>IFERROR(VLOOKUP(TableHandbook[[#This Row],[UDC]],TableSTRUBIOLB[],7,FALSE),"")</f>
        <v/>
      </c>
      <c r="AN197" s="209" t="str">
        <f>IFERROR(VLOOKUP(TableHandbook[[#This Row],[UDC]],TableSTRUBSCIM[],7,FALSE),"")</f>
        <v/>
      </c>
      <c r="AO197" s="209" t="str">
        <f>IFERROR(VLOOKUP(TableHandbook[[#This Row],[UDC]],TableSTRUCHEMB[],7,FALSE),"")</f>
        <v/>
      </c>
      <c r="AP197" s="209" t="str">
        <f>IFERROR(VLOOKUP(TableHandbook[[#This Row],[UDC]],TableSTRUECOB1[],7,FALSE),"")</f>
        <v/>
      </c>
      <c r="AQ197" s="209" t="str">
        <f>IFERROR(VLOOKUP(TableHandbook[[#This Row],[UDC]],TableSTRUENGLB[],7,FALSE),"")</f>
        <v/>
      </c>
      <c r="AR197" s="209" t="str">
        <f>IFERROR(VLOOKUP(TableHandbook[[#This Row],[UDC]],TableSTRUENGLM[],7,FALSE),"")</f>
        <v/>
      </c>
      <c r="AS197" s="209" t="str">
        <f>IFERROR(VLOOKUP(TableHandbook[[#This Row],[UDC]],TableSTRUGEOB1[],7,FALSE),"")</f>
        <v/>
      </c>
      <c r="AT197" s="209" t="str">
        <f>IFERROR(VLOOKUP(TableHandbook[[#This Row],[UDC]],TableSTRUGEOGM[],7,FALSE),"")</f>
        <v/>
      </c>
      <c r="AU197" s="209" t="str">
        <f>IFERROR(VLOOKUP(TableHandbook[[#This Row],[UDC]],TableSTRUHISB1[],7,FALSE),"")</f>
        <v/>
      </c>
      <c r="AV197" s="209" t="str">
        <f>IFERROR(VLOOKUP(TableHandbook[[#This Row],[UDC]],TableSTRUHISTM[],7,FALSE),"")</f>
        <v/>
      </c>
      <c r="AW197" s="209" t="str">
        <f>IFERROR(VLOOKUP(TableHandbook[[#This Row],[UDC]],TableSTRUHPEB1[],7,FALSE),"")</f>
        <v/>
      </c>
      <c r="AX197" s="209" t="str">
        <f>IFERROR(VLOOKUP(TableHandbook[[#This Row],[UDC]],TableSTRUHUMBB[],7,FALSE),"")</f>
        <v/>
      </c>
      <c r="AY197" s="209" t="str">
        <f>IFERROR(VLOOKUP(TableHandbook[[#This Row],[UDC]],TableSTRUMARTM[],7,FALSE),"")</f>
        <v/>
      </c>
      <c r="AZ197" s="209" t="str">
        <f>IFERROR(VLOOKUP(TableHandbook[[#This Row],[UDC]],TableSTRUMATHB[],7,FALSE),"")</f>
        <v/>
      </c>
      <c r="BA197" s="209" t="str">
        <f>IFERROR(VLOOKUP(TableHandbook[[#This Row],[UDC]],TableSTRUMATHM[],7,FALSE),"")</f>
        <v/>
      </c>
      <c r="BB197" s="209" t="str">
        <f>IFERROR(VLOOKUP(TableHandbook[[#This Row],[UDC]],TableSTRUPARTB[],7,FALSE),"")</f>
        <v/>
      </c>
      <c r="BC197" s="209" t="str">
        <f>IFERROR(VLOOKUP(TableHandbook[[#This Row],[UDC]],TableSTRUPARTM[],7,FALSE),"")</f>
        <v/>
      </c>
      <c r="BD197" s="209" t="str">
        <f>IFERROR(VLOOKUP(TableHandbook[[#This Row],[UDC]],TableSTRUPOLB1[],7,FALSE),"")</f>
        <v/>
      </c>
      <c r="BE197" s="209" t="str">
        <f>IFERROR(VLOOKUP(TableHandbook[[#This Row],[UDC]],TableSTRUPSYCB[],7,FALSE),"")</f>
        <v/>
      </c>
      <c r="BF197" s="209" t="str">
        <f>IFERROR(VLOOKUP(TableHandbook[[#This Row],[UDC]],TableSTRUPSYCM[],7,FALSE),"")</f>
        <v/>
      </c>
      <c r="BG197" s="209" t="str">
        <f>IFERROR(VLOOKUP(TableHandbook[[#This Row],[UDC]],TableSTRUVARTB[],7,FALSE),"")</f>
        <v/>
      </c>
      <c r="BH197" s="209" t="str">
        <f>IFERROR(VLOOKUP(TableHandbook[[#This Row],[UDC]],TableSTRUVARTM[],7,FALSE),"")</f>
        <v/>
      </c>
    </row>
    <row r="198" spans="1:60" x14ac:dyDescent="0.25">
      <c r="A198" s="6" t="s">
        <v>635</v>
      </c>
      <c r="B198" s="7">
        <v>1</v>
      </c>
      <c r="C198" s="7"/>
      <c r="D198" s="207" t="s">
        <v>1012</v>
      </c>
      <c r="E198" s="7">
        <v>25</v>
      </c>
      <c r="F198" s="84" t="s">
        <v>783</v>
      </c>
      <c r="G198" s="75" t="str">
        <f>IFERROR(IF(VLOOKUP(TableHandbook[[#This Row],[UDC]],TableAvailabilities[],2,FALSE)&gt;0,"Y",""),"")</f>
        <v>Y</v>
      </c>
      <c r="H198" s="75" t="str">
        <f>IFERROR(IF(VLOOKUP(TableHandbook[[#This Row],[UDC]],TableAvailabilities[],3,FALSE)&gt;0,"Y",""),"")</f>
        <v>Y</v>
      </c>
      <c r="I198" s="75" t="str">
        <f>IFERROR(IF(VLOOKUP(TableHandbook[[#This Row],[UDC]],TableAvailabilities[],4,FALSE)&gt;0,"Y",""),"")</f>
        <v/>
      </c>
      <c r="J198" s="75" t="str">
        <f>IFERROR(IF(VLOOKUP(TableHandbook[[#This Row],[UDC]],TableAvailabilities[],5,FALSE)&gt;0,"Y",""),"")</f>
        <v/>
      </c>
      <c r="K198" s="75" t="str">
        <f>IFERROR(IF(VLOOKUP(TableHandbook[[#This Row],[UDC]],TableAvailabilities[],6,FALSE)&gt;0,"Y",""),"")</f>
        <v/>
      </c>
      <c r="L198" s="75" t="str">
        <f>IFERROR(IF(VLOOKUP(TableHandbook[[#This Row],[UDC]],TableAvailabilities[],7,FALSE)&gt;0,"Y",""),"")</f>
        <v/>
      </c>
      <c r="M198" s="207"/>
      <c r="N198" s="209" t="str">
        <f>IFERROR(VLOOKUP(TableHandbook[[#This Row],[UDC]],TableBEDUC[],7,FALSE),"")</f>
        <v/>
      </c>
      <c r="O198" s="209" t="str">
        <f>IFERROR(VLOOKUP(TableHandbook[[#This Row],[UDC]],TableBEDEC[],7,FALSE),"")</f>
        <v/>
      </c>
      <c r="P198" s="211" t="str">
        <f>IFERROR(VLOOKUP(TableHandbook[[#This Row],[UDC]],TableBEDPR[],7,FALSE),"")</f>
        <v/>
      </c>
      <c r="Q198" s="209" t="str">
        <f>IFERROR(VLOOKUP(TableHandbook[[#This Row],[UDC]],TableSTRUCATHL[],7,FALSE),"")</f>
        <v/>
      </c>
      <c r="R198" s="209" t="str">
        <f>IFERROR(VLOOKUP(TableHandbook[[#This Row],[UDC]],TableSTRUENGLL[],7,FALSE),"")</f>
        <v/>
      </c>
      <c r="S198" s="209" t="str">
        <f>IFERROR(VLOOKUP(TableHandbook[[#This Row],[UDC]],TableSTRUHLTPE[],7,FALSE),"")</f>
        <v/>
      </c>
      <c r="T198" s="209" t="str">
        <f>IFERROR(VLOOKUP(TableHandbook[[#This Row],[UDC]],TableSTRUISTEM[],7,FALSE),"")</f>
        <v/>
      </c>
      <c r="U198" s="209" t="str">
        <f>IFERROR(VLOOKUP(TableHandbook[[#This Row],[UDC]],TableSTRULITNU[],7,FALSE),"")</f>
        <v/>
      </c>
      <c r="V198" s="209" t="str">
        <f>IFERROR(VLOOKUP(TableHandbook[[#This Row],[UDC]],TableSTRUTECHS[],7,FALSE),"")</f>
        <v/>
      </c>
      <c r="W198" s="211" t="str">
        <f>IFERROR(VLOOKUP(TableHandbook[[#This Row],[UDC]],TableBEDSC[],7,FALSE),"")</f>
        <v/>
      </c>
      <c r="X198" s="211" t="str">
        <f>IFERROR(VLOOKUP(TableHandbook[[#This Row],[UDC]],TableMJRUARDR1[],7,FALSE),"")</f>
        <v/>
      </c>
      <c r="Y198" s="209" t="str">
        <f>IFERROR(VLOOKUP(TableHandbook[[#This Row],[UDC]],TableMJRUARME1[],7,FALSE),"")</f>
        <v/>
      </c>
      <c r="Z198" s="209" t="str">
        <f>IFERROR(VLOOKUP(TableHandbook[[#This Row],[UDC]],TableMJRUARVA1[],7,FALSE),"")</f>
        <v/>
      </c>
      <c r="AA198" s="209" t="str">
        <f>IFERROR(VLOOKUP(TableHandbook[[#This Row],[UDC]],TableMJRUENGL1[],7,FALSE),"")</f>
        <v/>
      </c>
      <c r="AB198" s="209" t="str">
        <f>IFERROR(VLOOKUP(TableHandbook[[#This Row],[UDC]],TableMJRUHSEC1[],7,FALSE),"")</f>
        <v/>
      </c>
      <c r="AC198" s="209" t="str">
        <f>IFERROR(VLOOKUP(TableHandbook[[#This Row],[UDC]],TableMJRUHSGE1[],7,FALSE),"")</f>
        <v>AltCore</v>
      </c>
      <c r="AD198" s="209" t="str">
        <f>IFERROR(VLOOKUP(TableHandbook[[#This Row],[UDC]],TableMJRUHSHI1[],7,FALSE),"")</f>
        <v/>
      </c>
      <c r="AE198" s="209" t="str">
        <f>IFERROR(VLOOKUP(TableHandbook[[#This Row],[UDC]],TableMJRUHSPL1[],7,FALSE),"")</f>
        <v/>
      </c>
      <c r="AF198" s="209" t="str">
        <f>IFERROR(VLOOKUP(TableHandbook[[#This Row],[UDC]],TableMJRUMATH1[],7,FALSE),"")</f>
        <v/>
      </c>
      <c r="AG198" s="209" t="str">
        <f>IFERROR(VLOOKUP(TableHandbook[[#This Row],[UDC]],TableMJRUPHYSE[],7,FALSE),"")</f>
        <v/>
      </c>
      <c r="AH198" s="209" t="str">
        <f>IFERROR(VLOOKUP(TableHandbook[[#This Row],[UDC]],TableMJRUSCBI1[],7,FALSE),"")</f>
        <v/>
      </c>
      <c r="AI198" s="209" t="str">
        <f>IFERROR(VLOOKUP(TableHandbook[[#This Row],[UDC]],TableMJRUSCCH1[],7,FALSE),"")</f>
        <v/>
      </c>
      <c r="AJ198" s="209" t="str">
        <f>IFERROR(VLOOKUP(TableHandbook[[#This Row],[UDC]],TableMJRUSCHB1[],7,FALSE),"")</f>
        <v/>
      </c>
      <c r="AK198" s="209" t="str">
        <f>IFERROR(VLOOKUP(TableHandbook[[#This Row],[UDC]],TableMJRUSCPH1[],7,FALSE),"")</f>
        <v/>
      </c>
      <c r="AL198" s="209" t="str">
        <f>IFERROR(VLOOKUP(TableHandbook[[#This Row],[UDC]],TableMJRUSCPS1[],7,FALSE),"")</f>
        <v/>
      </c>
      <c r="AM198" s="211" t="str">
        <f>IFERROR(VLOOKUP(TableHandbook[[#This Row],[UDC]],TableSTRUBIOLB[],7,FALSE),"")</f>
        <v/>
      </c>
      <c r="AN198" s="209" t="str">
        <f>IFERROR(VLOOKUP(TableHandbook[[#This Row],[UDC]],TableSTRUBSCIM[],7,FALSE),"")</f>
        <v/>
      </c>
      <c r="AO198" s="209" t="str">
        <f>IFERROR(VLOOKUP(TableHandbook[[#This Row],[UDC]],TableSTRUCHEMB[],7,FALSE),"")</f>
        <v/>
      </c>
      <c r="AP198" s="209" t="str">
        <f>IFERROR(VLOOKUP(TableHandbook[[#This Row],[UDC]],TableSTRUECOB1[],7,FALSE),"")</f>
        <v/>
      </c>
      <c r="AQ198" s="209" t="str">
        <f>IFERROR(VLOOKUP(TableHandbook[[#This Row],[UDC]],TableSTRUENGLB[],7,FALSE),"")</f>
        <v/>
      </c>
      <c r="AR198" s="209" t="str">
        <f>IFERROR(VLOOKUP(TableHandbook[[#This Row],[UDC]],TableSTRUENGLM[],7,FALSE),"")</f>
        <v/>
      </c>
      <c r="AS198" s="209" t="str">
        <f>IFERROR(VLOOKUP(TableHandbook[[#This Row],[UDC]],TableSTRUGEOB1[],7,FALSE),"")</f>
        <v/>
      </c>
      <c r="AT198" s="209" t="str">
        <f>IFERROR(VLOOKUP(TableHandbook[[#This Row],[UDC]],TableSTRUGEOGM[],7,FALSE),"")</f>
        <v/>
      </c>
      <c r="AU198" s="209" t="str">
        <f>IFERROR(VLOOKUP(TableHandbook[[#This Row],[UDC]],TableSTRUHISB1[],7,FALSE),"")</f>
        <v/>
      </c>
      <c r="AV198" s="209" t="str">
        <f>IFERROR(VLOOKUP(TableHandbook[[#This Row],[UDC]],TableSTRUHISTM[],7,FALSE),"")</f>
        <v/>
      </c>
      <c r="AW198" s="209" t="str">
        <f>IFERROR(VLOOKUP(TableHandbook[[#This Row],[UDC]],TableSTRUHPEB1[],7,FALSE),"")</f>
        <v/>
      </c>
      <c r="AX198" s="209" t="str">
        <f>IFERROR(VLOOKUP(TableHandbook[[#This Row],[UDC]],TableSTRUHUMBB[],7,FALSE),"")</f>
        <v/>
      </c>
      <c r="AY198" s="209" t="str">
        <f>IFERROR(VLOOKUP(TableHandbook[[#This Row],[UDC]],TableSTRUMARTM[],7,FALSE),"")</f>
        <v/>
      </c>
      <c r="AZ198" s="209" t="str">
        <f>IFERROR(VLOOKUP(TableHandbook[[#This Row],[UDC]],TableSTRUMATHB[],7,FALSE),"")</f>
        <v/>
      </c>
      <c r="BA198" s="209" t="str">
        <f>IFERROR(VLOOKUP(TableHandbook[[#This Row],[UDC]],TableSTRUMATHM[],7,FALSE),"")</f>
        <v/>
      </c>
      <c r="BB198" s="209" t="str">
        <f>IFERROR(VLOOKUP(TableHandbook[[#This Row],[UDC]],TableSTRUPARTB[],7,FALSE),"")</f>
        <v/>
      </c>
      <c r="BC198" s="209" t="str">
        <f>IFERROR(VLOOKUP(TableHandbook[[#This Row],[UDC]],TableSTRUPARTM[],7,FALSE),"")</f>
        <v/>
      </c>
      <c r="BD198" s="209" t="str">
        <f>IFERROR(VLOOKUP(TableHandbook[[#This Row],[UDC]],TableSTRUPOLB1[],7,FALSE),"")</f>
        <v/>
      </c>
      <c r="BE198" s="209" t="str">
        <f>IFERROR(VLOOKUP(TableHandbook[[#This Row],[UDC]],TableSTRUPSYCB[],7,FALSE),"")</f>
        <v/>
      </c>
      <c r="BF198" s="209" t="str">
        <f>IFERROR(VLOOKUP(TableHandbook[[#This Row],[UDC]],TableSTRUPSYCM[],7,FALSE),"")</f>
        <v/>
      </c>
      <c r="BG198" s="209" t="str">
        <f>IFERROR(VLOOKUP(TableHandbook[[#This Row],[UDC]],TableSTRUVARTB[],7,FALSE),"")</f>
        <v/>
      </c>
      <c r="BH198" s="209" t="str">
        <f>IFERROR(VLOOKUP(TableHandbook[[#This Row],[UDC]],TableSTRUVARTM[],7,FALSE),"")</f>
        <v/>
      </c>
    </row>
    <row r="199" spans="1:60" x14ac:dyDescent="0.25">
      <c r="A199" s="305" t="s">
        <v>747</v>
      </c>
      <c r="B199" s="7">
        <v>2</v>
      </c>
      <c r="C199" s="7"/>
      <c r="D199" s="207" t="s">
        <v>1013</v>
      </c>
      <c r="E199" s="7">
        <v>25</v>
      </c>
      <c r="F199" s="311" t="s">
        <v>783</v>
      </c>
      <c r="G199" s="75" t="str">
        <f>IFERROR(IF(VLOOKUP(TableHandbook[[#This Row],[UDC]],TableAvailabilities[],2,FALSE)&gt;0,"Y",""),"")</f>
        <v/>
      </c>
      <c r="H199" s="75" t="str">
        <f>IFERROR(IF(VLOOKUP(TableHandbook[[#This Row],[UDC]],TableAvailabilities[],3,FALSE)&gt;0,"Y",""),"")</f>
        <v/>
      </c>
      <c r="I199" s="75" t="str">
        <f>IFERROR(IF(VLOOKUP(TableHandbook[[#This Row],[UDC]],TableAvailabilities[],4,FALSE)&gt;0,"Y",""),"")</f>
        <v/>
      </c>
      <c r="J199" s="75" t="str">
        <f>IFERROR(IF(VLOOKUP(TableHandbook[[#This Row],[UDC]],TableAvailabilities[],5,FALSE)&gt;0,"Y",""),"")</f>
        <v>Y</v>
      </c>
      <c r="K199" s="75" t="str">
        <f>IFERROR(IF(VLOOKUP(TableHandbook[[#This Row],[UDC]],TableAvailabilities[],6,FALSE)&gt;0,"Y",""),"")</f>
        <v/>
      </c>
      <c r="L199" s="75" t="str">
        <f>IFERROR(IF(VLOOKUP(TableHandbook[[#This Row],[UDC]],TableAvailabilities[],7,FALSE)&gt;0,"Y",""),"")</f>
        <v/>
      </c>
      <c r="M199" s="207"/>
      <c r="N199" s="209" t="str">
        <f>IFERROR(VLOOKUP(TableHandbook[[#This Row],[UDC]],TableBEDUC[],7,FALSE),"")</f>
        <v/>
      </c>
      <c r="O199" s="209" t="str">
        <f>IFERROR(VLOOKUP(TableHandbook[[#This Row],[UDC]],TableBEDEC[],7,FALSE),"")</f>
        <v/>
      </c>
      <c r="P199" s="211" t="str">
        <f>IFERROR(VLOOKUP(TableHandbook[[#This Row],[UDC]],TableBEDPR[],7,FALSE),"")</f>
        <v/>
      </c>
      <c r="Q199" s="209" t="str">
        <f>IFERROR(VLOOKUP(TableHandbook[[#This Row],[UDC]],TableSTRUCATHL[],7,FALSE),"")</f>
        <v/>
      </c>
      <c r="R199" s="209" t="str">
        <f>IFERROR(VLOOKUP(TableHandbook[[#This Row],[UDC]],TableSTRUENGLL[],7,FALSE),"")</f>
        <v/>
      </c>
      <c r="S199" s="209" t="str">
        <f>IFERROR(VLOOKUP(TableHandbook[[#This Row],[UDC]],TableSTRUHLTPE[],7,FALSE),"")</f>
        <v/>
      </c>
      <c r="T199" s="209" t="str">
        <f>IFERROR(VLOOKUP(TableHandbook[[#This Row],[UDC]],TableSTRUISTEM[],7,FALSE),"")</f>
        <v/>
      </c>
      <c r="U199" s="209" t="str">
        <f>IFERROR(VLOOKUP(TableHandbook[[#This Row],[UDC]],TableSTRULITNU[],7,FALSE),"")</f>
        <v/>
      </c>
      <c r="V199" s="209" t="str">
        <f>IFERROR(VLOOKUP(TableHandbook[[#This Row],[UDC]],TableSTRUTECHS[],7,FALSE),"")</f>
        <v/>
      </c>
      <c r="W199" s="211" t="str">
        <f>IFERROR(VLOOKUP(TableHandbook[[#This Row],[UDC]],TableBEDSC[],7,FALSE),"")</f>
        <v/>
      </c>
      <c r="X199" s="211" t="str">
        <f>IFERROR(VLOOKUP(TableHandbook[[#This Row],[UDC]],TableMJRUARDR1[],7,FALSE),"")</f>
        <v/>
      </c>
      <c r="Y199" s="209" t="str">
        <f>IFERROR(VLOOKUP(TableHandbook[[#This Row],[UDC]],TableMJRUARME1[],7,FALSE),"")</f>
        <v/>
      </c>
      <c r="Z199" s="209" t="str">
        <f>IFERROR(VLOOKUP(TableHandbook[[#This Row],[UDC]],TableMJRUARVA1[],7,FALSE),"")</f>
        <v/>
      </c>
      <c r="AA199" s="209" t="str">
        <f>IFERROR(VLOOKUP(TableHandbook[[#This Row],[UDC]],TableMJRUENGL1[],7,FALSE),"")</f>
        <v/>
      </c>
      <c r="AB199" s="209" t="str">
        <f>IFERROR(VLOOKUP(TableHandbook[[#This Row],[UDC]],TableMJRUHSEC1[],7,FALSE),"")</f>
        <v/>
      </c>
      <c r="AC199" s="209" t="str">
        <f>IFERROR(VLOOKUP(TableHandbook[[#This Row],[UDC]],TableMJRUHSGE1[],7,FALSE),"")</f>
        <v/>
      </c>
      <c r="AD199" s="209" t="str">
        <f>IFERROR(VLOOKUP(TableHandbook[[#This Row],[UDC]],TableMJRUHSHI1[],7,FALSE),"")</f>
        <v/>
      </c>
      <c r="AE199" s="209" t="str">
        <f>IFERROR(VLOOKUP(TableHandbook[[#This Row],[UDC]],TableMJRUHSPL1[],7,FALSE),"")</f>
        <v/>
      </c>
      <c r="AF199" s="209" t="str">
        <f>IFERROR(VLOOKUP(TableHandbook[[#This Row],[UDC]],TableMJRUMATH1[],7,FALSE),"")</f>
        <v/>
      </c>
      <c r="AG199" s="209" t="str">
        <f>IFERROR(VLOOKUP(TableHandbook[[#This Row],[UDC]],TableMJRUPHYSE[],7,FALSE),"")</f>
        <v/>
      </c>
      <c r="AH199" s="209" t="str">
        <f>IFERROR(VLOOKUP(TableHandbook[[#This Row],[UDC]],TableMJRUSCBI1[],7,FALSE),"")</f>
        <v/>
      </c>
      <c r="AI199" s="209" t="str">
        <f>IFERROR(VLOOKUP(TableHandbook[[#This Row],[UDC]],TableMJRUSCCH1[],7,FALSE),"")</f>
        <v/>
      </c>
      <c r="AJ199" s="209" t="str">
        <f>IFERROR(VLOOKUP(TableHandbook[[#This Row],[UDC]],TableMJRUSCHB1[],7,FALSE),"")</f>
        <v/>
      </c>
      <c r="AK199" s="209" t="str">
        <f>IFERROR(VLOOKUP(TableHandbook[[#This Row],[UDC]],TableMJRUSCPH1[],7,FALSE),"")</f>
        <v/>
      </c>
      <c r="AL199" s="209" t="str">
        <f>IFERROR(VLOOKUP(TableHandbook[[#This Row],[UDC]],TableMJRUSCPS1[],7,FALSE),"")</f>
        <v/>
      </c>
      <c r="AM199" s="211" t="str">
        <f>IFERROR(VLOOKUP(TableHandbook[[#This Row],[UDC]],TableSTRUBIOLB[],7,FALSE),"")</f>
        <v/>
      </c>
      <c r="AN199" s="209" t="str">
        <f>IFERROR(VLOOKUP(TableHandbook[[#This Row],[UDC]],TableSTRUBSCIM[],7,FALSE),"")</f>
        <v/>
      </c>
      <c r="AO199" s="209" t="str">
        <f>IFERROR(VLOOKUP(TableHandbook[[#This Row],[UDC]],TableSTRUCHEMB[],7,FALSE),"")</f>
        <v>AltCore</v>
      </c>
      <c r="AP199" s="209" t="str">
        <f>IFERROR(VLOOKUP(TableHandbook[[#This Row],[UDC]],TableSTRUECOB1[],7,FALSE),"")</f>
        <v/>
      </c>
      <c r="AQ199" s="209" t="str">
        <f>IFERROR(VLOOKUP(TableHandbook[[#This Row],[UDC]],TableSTRUENGLB[],7,FALSE),"")</f>
        <v/>
      </c>
      <c r="AR199" s="209" t="str">
        <f>IFERROR(VLOOKUP(TableHandbook[[#This Row],[UDC]],TableSTRUENGLM[],7,FALSE),"")</f>
        <v/>
      </c>
      <c r="AS199" s="209" t="str">
        <f>IFERROR(VLOOKUP(TableHandbook[[#This Row],[UDC]],TableSTRUGEOB1[],7,FALSE),"")</f>
        <v/>
      </c>
      <c r="AT199" s="209" t="str">
        <f>IFERROR(VLOOKUP(TableHandbook[[#This Row],[UDC]],TableSTRUGEOGM[],7,FALSE),"")</f>
        <v/>
      </c>
      <c r="AU199" s="209" t="str">
        <f>IFERROR(VLOOKUP(TableHandbook[[#This Row],[UDC]],TableSTRUHISB1[],7,FALSE),"")</f>
        <v/>
      </c>
      <c r="AV199" s="209" t="str">
        <f>IFERROR(VLOOKUP(TableHandbook[[#This Row],[UDC]],TableSTRUHISTM[],7,FALSE),"")</f>
        <v/>
      </c>
      <c r="AW199" s="209" t="str">
        <f>IFERROR(VLOOKUP(TableHandbook[[#This Row],[UDC]],TableSTRUHPEB1[],7,FALSE),"")</f>
        <v/>
      </c>
      <c r="AX199" s="209" t="str">
        <f>IFERROR(VLOOKUP(TableHandbook[[#This Row],[UDC]],TableSTRUHUMBB[],7,FALSE),"")</f>
        <v/>
      </c>
      <c r="AY199" s="209" t="str">
        <f>IFERROR(VLOOKUP(TableHandbook[[#This Row],[UDC]],TableSTRUMARTM[],7,FALSE),"")</f>
        <v/>
      </c>
      <c r="AZ199" s="209" t="str">
        <f>IFERROR(VLOOKUP(TableHandbook[[#This Row],[UDC]],TableSTRUMATHB[],7,FALSE),"")</f>
        <v/>
      </c>
      <c r="BA199" s="209" t="str">
        <f>IFERROR(VLOOKUP(TableHandbook[[#This Row],[UDC]],TableSTRUMATHM[],7,FALSE),"")</f>
        <v/>
      </c>
      <c r="BB199" s="209" t="str">
        <f>IFERROR(VLOOKUP(TableHandbook[[#This Row],[UDC]],TableSTRUPARTB[],7,FALSE),"")</f>
        <v/>
      </c>
      <c r="BC199" s="209" t="str">
        <f>IFERROR(VLOOKUP(TableHandbook[[#This Row],[UDC]],TableSTRUPARTM[],7,FALSE),"")</f>
        <v/>
      </c>
      <c r="BD199" s="209" t="str">
        <f>IFERROR(VLOOKUP(TableHandbook[[#This Row],[UDC]],TableSTRUPOLB1[],7,FALSE),"")</f>
        <v/>
      </c>
      <c r="BE199" s="209" t="str">
        <f>IFERROR(VLOOKUP(TableHandbook[[#This Row],[UDC]],TableSTRUPSYCB[],7,FALSE),"")</f>
        <v/>
      </c>
      <c r="BF199" s="209" t="str">
        <f>IFERROR(VLOOKUP(TableHandbook[[#This Row],[UDC]],TableSTRUPSYCM[],7,FALSE),"")</f>
        <v/>
      </c>
      <c r="BG199" s="209" t="str">
        <f>IFERROR(VLOOKUP(TableHandbook[[#This Row],[UDC]],TableSTRUVARTB[],7,FALSE),"")</f>
        <v/>
      </c>
      <c r="BH199" s="209" t="str">
        <f>IFERROR(VLOOKUP(TableHandbook[[#This Row],[UDC]],TableSTRUVARTM[],7,FALSE),"")</f>
        <v/>
      </c>
    </row>
    <row r="200" spans="1:60" x14ac:dyDescent="0.25">
      <c r="A200" s="305" t="s">
        <v>750</v>
      </c>
      <c r="B200" s="7">
        <v>1</v>
      </c>
      <c r="C200" s="7"/>
      <c r="D200" s="207" t="s">
        <v>1014</v>
      </c>
      <c r="E200" s="7">
        <v>25</v>
      </c>
      <c r="F200" s="311" t="s">
        <v>783</v>
      </c>
      <c r="G200" s="75" t="str">
        <f>IFERROR(IF(VLOOKUP(TableHandbook[[#This Row],[UDC]],TableAvailabilities[],2,FALSE)&gt;0,"Y",""),"")</f>
        <v/>
      </c>
      <c r="H200" s="75" t="str">
        <f>IFERROR(IF(VLOOKUP(TableHandbook[[#This Row],[UDC]],TableAvailabilities[],3,FALSE)&gt;0,"Y",""),"")</f>
        <v/>
      </c>
      <c r="I200" s="75" t="str">
        <f>IFERROR(IF(VLOOKUP(TableHandbook[[#This Row],[UDC]],TableAvailabilities[],4,FALSE)&gt;0,"Y",""),"")</f>
        <v/>
      </c>
      <c r="J200" s="75" t="str">
        <f>IFERROR(IF(VLOOKUP(TableHandbook[[#This Row],[UDC]],TableAvailabilities[],5,FALSE)&gt;0,"Y",""),"")</f>
        <v>Y</v>
      </c>
      <c r="K200" s="75" t="str">
        <f>IFERROR(IF(VLOOKUP(TableHandbook[[#This Row],[UDC]],TableAvailabilities[],6,FALSE)&gt;0,"Y",""),"")</f>
        <v/>
      </c>
      <c r="L200" s="75" t="str">
        <f>IFERROR(IF(VLOOKUP(TableHandbook[[#This Row],[UDC]],TableAvailabilities[],7,FALSE)&gt;0,"Y",""),"")</f>
        <v/>
      </c>
      <c r="M200" s="207"/>
      <c r="N200" s="209" t="str">
        <f>IFERROR(VLOOKUP(TableHandbook[[#This Row],[UDC]],TableBEDUC[],7,FALSE),"")</f>
        <v/>
      </c>
      <c r="O200" s="209" t="str">
        <f>IFERROR(VLOOKUP(TableHandbook[[#This Row],[UDC]],TableBEDEC[],7,FALSE),"")</f>
        <v/>
      </c>
      <c r="P200" s="211" t="str">
        <f>IFERROR(VLOOKUP(TableHandbook[[#This Row],[UDC]],TableBEDPR[],7,FALSE),"")</f>
        <v/>
      </c>
      <c r="Q200" s="209" t="str">
        <f>IFERROR(VLOOKUP(TableHandbook[[#This Row],[UDC]],TableSTRUCATHL[],7,FALSE),"")</f>
        <v/>
      </c>
      <c r="R200" s="209" t="str">
        <f>IFERROR(VLOOKUP(TableHandbook[[#This Row],[UDC]],TableSTRUENGLL[],7,FALSE),"")</f>
        <v/>
      </c>
      <c r="S200" s="209" t="str">
        <f>IFERROR(VLOOKUP(TableHandbook[[#This Row],[UDC]],TableSTRUHLTPE[],7,FALSE),"")</f>
        <v/>
      </c>
      <c r="T200" s="209" t="str">
        <f>IFERROR(VLOOKUP(TableHandbook[[#This Row],[UDC]],TableSTRUISTEM[],7,FALSE),"")</f>
        <v/>
      </c>
      <c r="U200" s="209" t="str">
        <f>IFERROR(VLOOKUP(TableHandbook[[#This Row],[UDC]],TableSTRULITNU[],7,FALSE),"")</f>
        <v/>
      </c>
      <c r="V200" s="209" t="str">
        <f>IFERROR(VLOOKUP(TableHandbook[[#This Row],[UDC]],TableSTRUTECHS[],7,FALSE),"")</f>
        <v/>
      </c>
      <c r="W200" s="211" t="str">
        <f>IFERROR(VLOOKUP(TableHandbook[[#This Row],[UDC]],TableBEDSC[],7,FALSE),"")</f>
        <v/>
      </c>
      <c r="X200" s="211" t="str">
        <f>IFERROR(VLOOKUP(TableHandbook[[#This Row],[UDC]],TableMJRUARDR1[],7,FALSE),"")</f>
        <v/>
      </c>
      <c r="Y200" s="209" t="str">
        <f>IFERROR(VLOOKUP(TableHandbook[[#This Row],[UDC]],TableMJRUARME1[],7,FALSE),"")</f>
        <v/>
      </c>
      <c r="Z200" s="209" t="str">
        <f>IFERROR(VLOOKUP(TableHandbook[[#This Row],[UDC]],TableMJRUARVA1[],7,FALSE),"")</f>
        <v/>
      </c>
      <c r="AA200" s="209" t="str">
        <f>IFERROR(VLOOKUP(TableHandbook[[#This Row],[UDC]],TableMJRUENGL1[],7,FALSE),"")</f>
        <v/>
      </c>
      <c r="AB200" s="209" t="str">
        <f>IFERROR(VLOOKUP(TableHandbook[[#This Row],[UDC]],TableMJRUHSEC1[],7,FALSE),"")</f>
        <v/>
      </c>
      <c r="AC200" s="209" t="str">
        <f>IFERROR(VLOOKUP(TableHandbook[[#This Row],[UDC]],TableMJRUHSGE1[],7,FALSE),"")</f>
        <v/>
      </c>
      <c r="AD200" s="209" t="str">
        <f>IFERROR(VLOOKUP(TableHandbook[[#This Row],[UDC]],TableMJRUHSHI1[],7,FALSE),"")</f>
        <v/>
      </c>
      <c r="AE200" s="209" t="str">
        <f>IFERROR(VLOOKUP(TableHandbook[[#This Row],[UDC]],TableMJRUHSPL1[],7,FALSE),"")</f>
        <v/>
      </c>
      <c r="AF200" s="209" t="str">
        <f>IFERROR(VLOOKUP(TableHandbook[[#This Row],[UDC]],TableMJRUMATH1[],7,FALSE),"")</f>
        <v/>
      </c>
      <c r="AG200" s="209" t="str">
        <f>IFERROR(VLOOKUP(TableHandbook[[#This Row],[UDC]],TableMJRUPHYSE[],7,FALSE),"")</f>
        <v/>
      </c>
      <c r="AH200" s="209" t="str">
        <f>IFERROR(VLOOKUP(TableHandbook[[#This Row],[UDC]],TableMJRUSCBI1[],7,FALSE),"")</f>
        <v/>
      </c>
      <c r="AI200" s="209" t="str">
        <f>IFERROR(VLOOKUP(TableHandbook[[#This Row],[UDC]],TableMJRUSCCH1[],7,FALSE),"")</f>
        <v/>
      </c>
      <c r="AJ200" s="209" t="str">
        <f>IFERROR(VLOOKUP(TableHandbook[[#This Row],[UDC]],TableMJRUSCHB1[],7,FALSE),"")</f>
        <v/>
      </c>
      <c r="AK200" s="209" t="str">
        <f>IFERROR(VLOOKUP(TableHandbook[[#This Row],[UDC]],TableMJRUSCPH1[],7,FALSE),"")</f>
        <v/>
      </c>
      <c r="AL200" s="209" t="str">
        <f>IFERROR(VLOOKUP(TableHandbook[[#This Row],[UDC]],TableMJRUSCPS1[],7,FALSE),"")</f>
        <v/>
      </c>
      <c r="AM200" s="211" t="str">
        <f>IFERROR(VLOOKUP(TableHandbook[[#This Row],[UDC]],TableSTRUBIOLB[],7,FALSE),"")</f>
        <v/>
      </c>
      <c r="AN200" s="209" t="str">
        <f>IFERROR(VLOOKUP(TableHandbook[[#This Row],[UDC]],TableSTRUBSCIM[],7,FALSE),"")</f>
        <v/>
      </c>
      <c r="AO200" s="209" t="str">
        <f>IFERROR(VLOOKUP(TableHandbook[[#This Row],[UDC]],TableSTRUCHEMB[],7,FALSE),"")</f>
        <v>AltCore</v>
      </c>
      <c r="AP200" s="209" t="str">
        <f>IFERROR(VLOOKUP(TableHandbook[[#This Row],[UDC]],TableSTRUECOB1[],7,FALSE),"")</f>
        <v/>
      </c>
      <c r="AQ200" s="209" t="str">
        <f>IFERROR(VLOOKUP(TableHandbook[[#This Row],[UDC]],TableSTRUENGLB[],7,FALSE),"")</f>
        <v/>
      </c>
      <c r="AR200" s="209" t="str">
        <f>IFERROR(VLOOKUP(TableHandbook[[#This Row],[UDC]],TableSTRUENGLM[],7,FALSE),"")</f>
        <v/>
      </c>
      <c r="AS200" s="209" t="str">
        <f>IFERROR(VLOOKUP(TableHandbook[[#This Row],[UDC]],TableSTRUGEOB1[],7,FALSE),"")</f>
        <v/>
      </c>
      <c r="AT200" s="209" t="str">
        <f>IFERROR(VLOOKUP(TableHandbook[[#This Row],[UDC]],TableSTRUGEOGM[],7,FALSE),"")</f>
        <v/>
      </c>
      <c r="AU200" s="209" t="str">
        <f>IFERROR(VLOOKUP(TableHandbook[[#This Row],[UDC]],TableSTRUHISB1[],7,FALSE),"")</f>
        <v/>
      </c>
      <c r="AV200" s="209" t="str">
        <f>IFERROR(VLOOKUP(TableHandbook[[#This Row],[UDC]],TableSTRUHISTM[],7,FALSE),"")</f>
        <v/>
      </c>
      <c r="AW200" s="209" t="str">
        <f>IFERROR(VLOOKUP(TableHandbook[[#This Row],[UDC]],TableSTRUHPEB1[],7,FALSE),"")</f>
        <v/>
      </c>
      <c r="AX200" s="209" t="str">
        <f>IFERROR(VLOOKUP(TableHandbook[[#This Row],[UDC]],TableSTRUHUMBB[],7,FALSE),"")</f>
        <v/>
      </c>
      <c r="AY200" s="209" t="str">
        <f>IFERROR(VLOOKUP(TableHandbook[[#This Row],[UDC]],TableSTRUMARTM[],7,FALSE),"")</f>
        <v/>
      </c>
      <c r="AZ200" s="209" t="str">
        <f>IFERROR(VLOOKUP(TableHandbook[[#This Row],[UDC]],TableSTRUMATHB[],7,FALSE),"")</f>
        <v/>
      </c>
      <c r="BA200" s="209" t="str">
        <f>IFERROR(VLOOKUP(TableHandbook[[#This Row],[UDC]],TableSTRUMATHM[],7,FALSE),"")</f>
        <v/>
      </c>
      <c r="BB200" s="209" t="str">
        <f>IFERROR(VLOOKUP(TableHandbook[[#This Row],[UDC]],TableSTRUPARTB[],7,FALSE),"")</f>
        <v/>
      </c>
      <c r="BC200" s="209" t="str">
        <f>IFERROR(VLOOKUP(TableHandbook[[#This Row],[UDC]],TableSTRUPARTM[],7,FALSE),"")</f>
        <v/>
      </c>
      <c r="BD200" s="209" t="str">
        <f>IFERROR(VLOOKUP(TableHandbook[[#This Row],[UDC]],TableSTRUPOLB1[],7,FALSE),"")</f>
        <v/>
      </c>
      <c r="BE200" s="209" t="str">
        <f>IFERROR(VLOOKUP(TableHandbook[[#This Row],[UDC]],TableSTRUPSYCB[],7,FALSE),"")</f>
        <v/>
      </c>
      <c r="BF200" s="209" t="str">
        <f>IFERROR(VLOOKUP(TableHandbook[[#This Row],[UDC]],TableSTRUPSYCM[],7,FALSE),"")</f>
        <v/>
      </c>
      <c r="BG200" s="209" t="str">
        <f>IFERROR(VLOOKUP(TableHandbook[[#This Row],[UDC]],TableSTRUVARTB[],7,FALSE),"")</f>
        <v/>
      </c>
      <c r="BH200" s="209" t="str">
        <f>IFERROR(VLOOKUP(TableHandbook[[#This Row],[UDC]],TableSTRUVARTM[],7,FALSE),"")</f>
        <v/>
      </c>
    </row>
    <row r="201" spans="1:60" x14ac:dyDescent="0.25">
      <c r="A201" s="6" t="s">
        <v>474</v>
      </c>
      <c r="B201" s="7">
        <v>1</v>
      </c>
      <c r="C201" s="7"/>
      <c r="D201" s="207" t="s">
        <v>1015</v>
      </c>
      <c r="E201" s="7">
        <v>25</v>
      </c>
      <c r="F201" s="84" t="s">
        <v>783</v>
      </c>
      <c r="G201" s="75" t="str">
        <f>IFERROR(IF(VLOOKUP(TableHandbook[[#This Row],[UDC]],TableAvailabilities[],2,FALSE)&gt;0,"Y",""),"")</f>
        <v>Y</v>
      </c>
      <c r="H201" s="75" t="str">
        <f>IFERROR(IF(VLOOKUP(TableHandbook[[#This Row],[UDC]],TableAvailabilities[],3,FALSE)&gt;0,"Y",""),"")</f>
        <v>Y</v>
      </c>
      <c r="I201" s="75" t="str">
        <f>IFERROR(IF(VLOOKUP(TableHandbook[[#This Row],[UDC]],TableAvailabilities[],4,FALSE)&gt;0,"Y",""),"")</f>
        <v/>
      </c>
      <c r="J201" s="75" t="str">
        <f>IFERROR(IF(VLOOKUP(TableHandbook[[#This Row],[UDC]],TableAvailabilities[],5,FALSE)&gt;0,"Y",""),"")</f>
        <v/>
      </c>
      <c r="K201" s="75" t="str">
        <f>IFERROR(IF(VLOOKUP(TableHandbook[[#This Row],[UDC]],TableAvailabilities[],6,FALSE)&gt;0,"Y",""),"")</f>
        <v/>
      </c>
      <c r="L201" s="75" t="str">
        <f>IFERROR(IF(VLOOKUP(TableHandbook[[#This Row],[UDC]],TableAvailabilities[],7,FALSE)&gt;0,"Y",""),"")</f>
        <v/>
      </c>
      <c r="M201" s="207"/>
      <c r="N201" s="209" t="str">
        <f>IFERROR(VLOOKUP(TableHandbook[[#This Row],[UDC]],TableBEDUC[],7,FALSE),"")</f>
        <v/>
      </c>
      <c r="O201" s="209" t="str">
        <f>IFERROR(VLOOKUP(TableHandbook[[#This Row],[UDC]],TableBEDEC[],7,FALSE),"")</f>
        <v/>
      </c>
      <c r="P201" s="211" t="str">
        <f>IFERROR(VLOOKUP(TableHandbook[[#This Row],[UDC]],TableBEDPR[],7,FALSE),"")</f>
        <v/>
      </c>
      <c r="Q201" s="209" t="str">
        <f>IFERROR(VLOOKUP(TableHandbook[[#This Row],[UDC]],TableSTRUCATHL[],7,FALSE),"")</f>
        <v/>
      </c>
      <c r="R201" s="209" t="str">
        <f>IFERROR(VLOOKUP(TableHandbook[[#This Row],[UDC]],TableSTRUENGLL[],7,FALSE),"")</f>
        <v/>
      </c>
      <c r="S201" s="209" t="str">
        <f>IFERROR(VLOOKUP(TableHandbook[[#This Row],[UDC]],TableSTRUHLTPE[],7,FALSE),"")</f>
        <v/>
      </c>
      <c r="T201" s="209" t="str">
        <f>IFERROR(VLOOKUP(TableHandbook[[#This Row],[UDC]],TableSTRUISTEM[],7,FALSE),"")</f>
        <v/>
      </c>
      <c r="U201" s="209" t="str">
        <f>IFERROR(VLOOKUP(TableHandbook[[#This Row],[UDC]],TableSTRULITNU[],7,FALSE),"")</f>
        <v/>
      </c>
      <c r="V201" s="209" t="str">
        <f>IFERROR(VLOOKUP(TableHandbook[[#This Row],[UDC]],TableSTRUTECHS[],7,FALSE),"")</f>
        <v/>
      </c>
      <c r="W201" s="211" t="str">
        <f>IFERROR(VLOOKUP(TableHandbook[[#This Row],[UDC]],TableBEDSC[],7,FALSE),"")</f>
        <v/>
      </c>
      <c r="X201" s="211" t="str">
        <f>IFERROR(VLOOKUP(TableHandbook[[#This Row],[UDC]],TableMJRUARDR1[],7,FALSE),"")</f>
        <v/>
      </c>
      <c r="Y201" s="209" t="str">
        <f>IFERROR(VLOOKUP(TableHandbook[[#This Row],[UDC]],TableMJRUARME1[],7,FALSE),"")</f>
        <v/>
      </c>
      <c r="Z201" s="209" t="str">
        <f>IFERROR(VLOOKUP(TableHandbook[[#This Row],[UDC]],TableMJRUARVA1[],7,FALSE),"")</f>
        <v/>
      </c>
      <c r="AA201" s="209" t="str">
        <f>IFERROR(VLOOKUP(TableHandbook[[#This Row],[UDC]],TableMJRUENGL1[],7,FALSE),"")</f>
        <v/>
      </c>
      <c r="AB201" s="209" t="str">
        <f>IFERROR(VLOOKUP(TableHandbook[[#This Row],[UDC]],TableMJRUHSEC1[],7,FALSE),"")</f>
        <v/>
      </c>
      <c r="AC201" s="209" t="str">
        <f>IFERROR(VLOOKUP(TableHandbook[[#This Row],[UDC]],TableMJRUHSGE1[],7,FALSE),"")</f>
        <v/>
      </c>
      <c r="AD201" s="209" t="str">
        <f>IFERROR(VLOOKUP(TableHandbook[[#This Row],[UDC]],TableMJRUHSHI1[],7,FALSE),"")</f>
        <v>Core</v>
      </c>
      <c r="AE201" s="209" t="str">
        <f>IFERROR(VLOOKUP(TableHandbook[[#This Row],[UDC]],TableMJRUHSPL1[],7,FALSE),"")</f>
        <v/>
      </c>
      <c r="AF201" s="209" t="str">
        <f>IFERROR(VLOOKUP(TableHandbook[[#This Row],[UDC]],TableMJRUMATH1[],7,FALSE),"")</f>
        <v/>
      </c>
      <c r="AG201" s="209" t="str">
        <f>IFERROR(VLOOKUP(TableHandbook[[#This Row],[UDC]],TableMJRUPHYSE[],7,FALSE),"")</f>
        <v/>
      </c>
      <c r="AH201" s="209" t="str">
        <f>IFERROR(VLOOKUP(TableHandbook[[#This Row],[UDC]],TableMJRUSCBI1[],7,FALSE),"")</f>
        <v/>
      </c>
      <c r="AI201" s="209" t="str">
        <f>IFERROR(VLOOKUP(TableHandbook[[#This Row],[UDC]],TableMJRUSCCH1[],7,FALSE),"")</f>
        <v/>
      </c>
      <c r="AJ201" s="209" t="str">
        <f>IFERROR(VLOOKUP(TableHandbook[[#This Row],[UDC]],TableMJRUSCHB1[],7,FALSE),"")</f>
        <v/>
      </c>
      <c r="AK201" s="209" t="str">
        <f>IFERROR(VLOOKUP(TableHandbook[[#This Row],[UDC]],TableMJRUSCPH1[],7,FALSE),"")</f>
        <v/>
      </c>
      <c r="AL201" s="209" t="str">
        <f>IFERROR(VLOOKUP(TableHandbook[[#This Row],[UDC]],TableMJRUSCPS1[],7,FALSE),"")</f>
        <v/>
      </c>
      <c r="AM201" s="211" t="str">
        <f>IFERROR(VLOOKUP(TableHandbook[[#This Row],[UDC]],TableSTRUBIOLB[],7,FALSE),"")</f>
        <v/>
      </c>
      <c r="AN201" s="209" t="str">
        <f>IFERROR(VLOOKUP(TableHandbook[[#This Row],[UDC]],TableSTRUBSCIM[],7,FALSE),"")</f>
        <v/>
      </c>
      <c r="AO201" s="209" t="str">
        <f>IFERROR(VLOOKUP(TableHandbook[[#This Row],[UDC]],TableSTRUCHEMB[],7,FALSE),"")</f>
        <v/>
      </c>
      <c r="AP201" s="209" t="str">
        <f>IFERROR(VLOOKUP(TableHandbook[[#This Row],[UDC]],TableSTRUECOB1[],7,FALSE),"")</f>
        <v>Core</v>
      </c>
      <c r="AQ201" s="209" t="str">
        <f>IFERROR(VLOOKUP(TableHandbook[[#This Row],[UDC]],TableSTRUENGLB[],7,FALSE),"")</f>
        <v/>
      </c>
      <c r="AR201" s="209" t="str">
        <f>IFERROR(VLOOKUP(TableHandbook[[#This Row],[UDC]],TableSTRUENGLM[],7,FALSE),"")</f>
        <v/>
      </c>
      <c r="AS201" s="209" t="str">
        <f>IFERROR(VLOOKUP(TableHandbook[[#This Row],[UDC]],TableSTRUGEOB1[],7,FALSE),"")</f>
        <v/>
      </c>
      <c r="AT201" s="209" t="str">
        <f>IFERROR(VLOOKUP(TableHandbook[[#This Row],[UDC]],TableSTRUGEOGM[],7,FALSE),"")</f>
        <v/>
      </c>
      <c r="AU201" s="209" t="str">
        <f>IFERROR(VLOOKUP(TableHandbook[[#This Row],[UDC]],TableSTRUHISB1[],7,FALSE),"")</f>
        <v/>
      </c>
      <c r="AV201" s="209" t="str">
        <f>IFERROR(VLOOKUP(TableHandbook[[#This Row],[UDC]],TableSTRUHISTM[],7,FALSE),"")</f>
        <v>Core</v>
      </c>
      <c r="AW201" s="209" t="str">
        <f>IFERROR(VLOOKUP(TableHandbook[[#This Row],[UDC]],TableSTRUHPEB1[],7,FALSE),"")</f>
        <v/>
      </c>
      <c r="AX201" s="209" t="str">
        <f>IFERROR(VLOOKUP(TableHandbook[[#This Row],[UDC]],TableSTRUHUMBB[],7,FALSE),"")</f>
        <v/>
      </c>
      <c r="AY201" s="209" t="str">
        <f>IFERROR(VLOOKUP(TableHandbook[[#This Row],[UDC]],TableSTRUMARTM[],7,FALSE),"")</f>
        <v/>
      </c>
      <c r="AZ201" s="209" t="str">
        <f>IFERROR(VLOOKUP(TableHandbook[[#This Row],[UDC]],TableSTRUMATHB[],7,FALSE),"")</f>
        <v/>
      </c>
      <c r="BA201" s="209" t="str">
        <f>IFERROR(VLOOKUP(TableHandbook[[#This Row],[UDC]],TableSTRUMATHM[],7,FALSE),"")</f>
        <v/>
      </c>
      <c r="BB201" s="209" t="str">
        <f>IFERROR(VLOOKUP(TableHandbook[[#This Row],[UDC]],TableSTRUPARTB[],7,FALSE),"")</f>
        <v/>
      </c>
      <c r="BC201" s="209" t="str">
        <f>IFERROR(VLOOKUP(TableHandbook[[#This Row],[UDC]],TableSTRUPARTM[],7,FALSE),"")</f>
        <v/>
      </c>
      <c r="BD201" s="209" t="str">
        <f>IFERROR(VLOOKUP(TableHandbook[[#This Row],[UDC]],TableSTRUPOLB1[],7,FALSE),"")</f>
        <v/>
      </c>
      <c r="BE201" s="209" t="str">
        <f>IFERROR(VLOOKUP(TableHandbook[[#This Row],[UDC]],TableSTRUPSYCB[],7,FALSE),"")</f>
        <v/>
      </c>
      <c r="BF201" s="209" t="str">
        <f>IFERROR(VLOOKUP(TableHandbook[[#This Row],[UDC]],TableSTRUPSYCM[],7,FALSE),"")</f>
        <v/>
      </c>
      <c r="BG201" s="209" t="str">
        <f>IFERROR(VLOOKUP(TableHandbook[[#This Row],[UDC]],TableSTRUVARTB[],7,FALSE),"")</f>
        <v/>
      </c>
      <c r="BH201" s="209" t="str">
        <f>IFERROR(VLOOKUP(TableHandbook[[#This Row],[UDC]],TableSTRUVARTM[],7,FALSE),"")</f>
        <v/>
      </c>
    </row>
    <row r="202" spans="1:60" x14ac:dyDescent="0.25">
      <c r="A202" s="365" t="s">
        <v>569</v>
      </c>
      <c r="B202" s="310">
        <v>3</v>
      </c>
      <c r="C202" s="310"/>
      <c r="D202" s="314" t="s">
        <v>1016</v>
      </c>
      <c r="E202" s="7">
        <v>25</v>
      </c>
      <c r="F202" s="311" t="s">
        <v>783</v>
      </c>
      <c r="G202" s="75" t="str">
        <f>IFERROR(IF(VLOOKUP(TableHandbook[[#This Row],[UDC]],TableAvailabilities[],2,FALSE)&gt;0,"Y",""),"")</f>
        <v/>
      </c>
      <c r="H202" s="75" t="str">
        <f>IFERROR(IF(VLOOKUP(TableHandbook[[#This Row],[UDC]],TableAvailabilities[],3,FALSE)&gt;0,"Y",""),"")</f>
        <v/>
      </c>
      <c r="I202" s="75" t="str">
        <f>IFERROR(IF(VLOOKUP(TableHandbook[[#This Row],[UDC]],TableAvailabilities[],4,FALSE)&gt;0,"Y",""),"")</f>
        <v/>
      </c>
      <c r="J202" s="75" t="str">
        <f>IFERROR(IF(VLOOKUP(TableHandbook[[#This Row],[UDC]],TableAvailabilities[],5,FALSE)&gt;0,"Y",""),"")</f>
        <v>Y</v>
      </c>
      <c r="K202" s="75" t="str">
        <f>IFERROR(IF(VLOOKUP(TableHandbook[[#This Row],[UDC]],TableAvailabilities[],6,FALSE)&gt;0,"Y",""),"")</f>
        <v>Y</v>
      </c>
      <c r="L202" s="75" t="str">
        <f>IFERROR(IF(VLOOKUP(TableHandbook[[#This Row],[UDC]],TableAvailabilities[],7,FALSE)&gt;0,"Y",""),"")</f>
        <v/>
      </c>
      <c r="M202" s="207"/>
      <c r="N202" s="209" t="str">
        <f>IFERROR(VLOOKUP(TableHandbook[[#This Row],[UDC]],TableBEDUC[],7,FALSE),"")</f>
        <v/>
      </c>
      <c r="O202" s="209" t="str">
        <f>IFERROR(VLOOKUP(TableHandbook[[#This Row],[UDC]],TableBEDEC[],7,FALSE),"")</f>
        <v/>
      </c>
      <c r="P202" s="211" t="str">
        <f>IFERROR(VLOOKUP(TableHandbook[[#This Row],[UDC]],TableBEDPR[],7,FALSE),"")</f>
        <v/>
      </c>
      <c r="Q202" s="209" t="str">
        <f>IFERROR(VLOOKUP(TableHandbook[[#This Row],[UDC]],TableSTRUCATHL[],7,FALSE),"")</f>
        <v/>
      </c>
      <c r="R202" s="209" t="str">
        <f>IFERROR(VLOOKUP(TableHandbook[[#This Row],[UDC]],TableSTRUENGLL[],7,FALSE),"")</f>
        <v/>
      </c>
      <c r="S202" s="209" t="str">
        <f>IFERROR(VLOOKUP(TableHandbook[[#This Row],[UDC]],TableSTRUHLTPE[],7,FALSE),"")</f>
        <v/>
      </c>
      <c r="T202" s="209" t="str">
        <f>IFERROR(VLOOKUP(TableHandbook[[#This Row],[UDC]],TableSTRUISTEM[],7,FALSE),"")</f>
        <v/>
      </c>
      <c r="U202" s="209" t="str">
        <f>IFERROR(VLOOKUP(TableHandbook[[#This Row],[UDC]],TableSTRULITNU[],7,FALSE),"")</f>
        <v/>
      </c>
      <c r="V202" s="209" t="str">
        <f>IFERROR(VLOOKUP(TableHandbook[[#This Row],[UDC]],TableSTRUTECHS[],7,FALSE),"")</f>
        <v/>
      </c>
      <c r="W202" s="211" t="str">
        <f>IFERROR(VLOOKUP(TableHandbook[[#This Row],[UDC]],TableBEDSC[],7,FALSE),"")</f>
        <v/>
      </c>
      <c r="X202" s="211" t="str">
        <f>IFERROR(VLOOKUP(TableHandbook[[#This Row],[UDC]],TableMJRUARDR1[],7,FALSE),"")</f>
        <v/>
      </c>
      <c r="Y202" s="209" t="str">
        <f>IFERROR(VLOOKUP(TableHandbook[[#This Row],[UDC]],TableMJRUARME1[],7,FALSE),"")</f>
        <v/>
      </c>
      <c r="Z202" s="209" t="str">
        <f>IFERROR(VLOOKUP(TableHandbook[[#This Row],[UDC]],TableMJRUARVA1[],7,FALSE),"")</f>
        <v/>
      </c>
      <c r="AA202" s="209" t="str">
        <f>IFERROR(VLOOKUP(TableHandbook[[#This Row],[UDC]],TableMJRUENGL1[],7,FALSE),"")</f>
        <v/>
      </c>
      <c r="AB202" s="209" t="str">
        <f>IFERROR(VLOOKUP(TableHandbook[[#This Row],[UDC]],TableMJRUHSEC1[],7,FALSE),"")</f>
        <v/>
      </c>
      <c r="AC202" s="209" t="str">
        <f>IFERROR(VLOOKUP(TableHandbook[[#This Row],[UDC]],TableMJRUHSGE1[],7,FALSE),"")</f>
        <v/>
      </c>
      <c r="AD202" s="209" t="str">
        <f>IFERROR(VLOOKUP(TableHandbook[[#This Row],[UDC]],TableMJRUHSHI1[],7,FALSE),"")</f>
        <v>AltCore</v>
      </c>
      <c r="AE202" s="209" t="str">
        <f>IFERROR(VLOOKUP(TableHandbook[[#This Row],[UDC]],TableMJRUHSPL1[],7,FALSE),"")</f>
        <v/>
      </c>
      <c r="AF202" s="209" t="str">
        <f>IFERROR(VLOOKUP(TableHandbook[[#This Row],[UDC]],TableMJRUMATH1[],7,FALSE),"")</f>
        <v/>
      </c>
      <c r="AG202" s="209" t="str">
        <f>IFERROR(VLOOKUP(TableHandbook[[#This Row],[UDC]],TableMJRUPHYSE[],7,FALSE),"")</f>
        <v/>
      </c>
      <c r="AH202" s="209" t="str">
        <f>IFERROR(VLOOKUP(TableHandbook[[#This Row],[UDC]],TableMJRUSCBI1[],7,FALSE),"")</f>
        <v/>
      </c>
      <c r="AI202" s="209" t="str">
        <f>IFERROR(VLOOKUP(TableHandbook[[#This Row],[UDC]],TableMJRUSCCH1[],7,FALSE),"")</f>
        <v/>
      </c>
      <c r="AJ202" s="209" t="str">
        <f>IFERROR(VLOOKUP(TableHandbook[[#This Row],[UDC]],TableMJRUSCHB1[],7,FALSE),"")</f>
        <v/>
      </c>
      <c r="AK202" s="209" t="str">
        <f>IFERROR(VLOOKUP(TableHandbook[[#This Row],[UDC]],TableMJRUSCPH1[],7,FALSE),"")</f>
        <v/>
      </c>
      <c r="AL202" s="209" t="str">
        <f>IFERROR(VLOOKUP(TableHandbook[[#This Row],[UDC]],TableMJRUSCPS1[],7,FALSE),"")</f>
        <v/>
      </c>
      <c r="AM202" s="211" t="str">
        <f>IFERROR(VLOOKUP(TableHandbook[[#This Row],[UDC]],TableSTRUBIOLB[],7,FALSE),"")</f>
        <v/>
      </c>
      <c r="AN202" s="209" t="str">
        <f>IFERROR(VLOOKUP(TableHandbook[[#This Row],[UDC]],TableSTRUBSCIM[],7,FALSE),"")</f>
        <v/>
      </c>
      <c r="AO202" s="209" t="str">
        <f>IFERROR(VLOOKUP(TableHandbook[[#This Row],[UDC]],TableSTRUCHEMB[],7,FALSE),"")</f>
        <v/>
      </c>
      <c r="AP202" s="209" t="str">
        <f>IFERROR(VLOOKUP(TableHandbook[[#This Row],[UDC]],TableSTRUECOB1[],7,FALSE),"")</f>
        <v>Core</v>
      </c>
      <c r="AQ202" s="209" t="str">
        <f>IFERROR(VLOOKUP(TableHandbook[[#This Row],[UDC]],TableSTRUENGLB[],7,FALSE),"")</f>
        <v/>
      </c>
      <c r="AR202" s="209" t="str">
        <f>IFERROR(VLOOKUP(TableHandbook[[#This Row],[UDC]],TableSTRUENGLM[],7,FALSE),"")</f>
        <v/>
      </c>
      <c r="AS202" s="209" t="str">
        <f>IFERROR(VLOOKUP(TableHandbook[[#This Row],[UDC]],TableSTRUGEOB1[],7,FALSE),"")</f>
        <v>Core</v>
      </c>
      <c r="AT202" s="209" t="str">
        <f>IFERROR(VLOOKUP(TableHandbook[[#This Row],[UDC]],TableSTRUGEOGM[],7,FALSE),"")</f>
        <v/>
      </c>
      <c r="AU202" s="209" t="str">
        <f>IFERROR(VLOOKUP(TableHandbook[[#This Row],[UDC]],TableSTRUHISB1[],7,FALSE),"")</f>
        <v/>
      </c>
      <c r="AV202" s="209" t="str">
        <f>IFERROR(VLOOKUP(TableHandbook[[#This Row],[UDC]],TableSTRUHISTM[],7,FALSE),"")</f>
        <v>Core</v>
      </c>
      <c r="AW202" s="209" t="str">
        <f>IFERROR(VLOOKUP(TableHandbook[[#This Row],[UDC]],TableSTRUHPEB1[],7,FALSE),"")</f>
        <v/>
      </c>
      <c r="AX202" s="209" t="str">
        <f>IFERROR(VLOOKUP(TableHandbook[[#This Row],[UDC]],TableSTRUHUMBB[],7,FALSE),"")</f>
        <v/>
      </c>
      <c r="AY202" s="209" t="str">
        <f>IFERROR(VLOOKUP(TableHandbook[[#This Row],[UDC]],TableSTRUMARTM[],7,FALSE),"")</f>
        <v/>
      </c>
      <c r="AZ202" s="209" t="str">
        <f>IFERROR(VLOOKUP(TableHandbook[[#This Row],[UDC]],TableSTRUMATHB[],7,FALSE),"")</f>
        <v/>
      </c>
      <c r="BA202" s="209" t="str">
        <f>IFERROR(VLOOKUP(TableHandbook[[#This Row],[UDC]],TableSTRUMATHM[],7,FALSE),"")</f>
        <v/>
      </c>
      <c r="BB202" s="209" t="str">
        <f>IFERROR(VLOOKUP(TableHandbook[[#This Row],[UDC]],TableSTRUPARTB[],7,FALSE),"")</f>
        <v/>
      </c>
      <c r="BC202" s="209" t="str">
        <f>IFERROR(VLOOKUP(TableHandbook[[#This Row],[UDC]],TableSTRUPARTM[],7,FALSE),"")</f>
        <v/>
      </c>
      <c r="BD202" s="209" t="str">
        <f>IFERROR(VLOOKUP(TableHandbook[[#This Row],[UDC]],TableSTRUPOLB1[],7,FALSE),"")</f>
        <v>Core</v>
      </c>
      <c r="BE202" s="209" t="str">
        <f>IFERROR(VLOOKUP(TableHandbook[[#This Row],[UDC]],TableSTRUPSYCB[],7,FALSE),"")</f>
        <v/>
      </c>
      <c r="BF202" s="209" t="str">
        <f>IFERROR(VLOOKUP(TableHandbook[[#This Row],[UDC]],TableSTRUPSYCM[],7,FALSE),"")</f>
        <v/>
      </c>
      <c r="BG202" s="209" t="str">
        <f>IFERROR(VLOOKUP(TableHandbook[[#This Row],[UDC]],TableSTRUVARTB[],7,FALSE),"")</f>
        <v/>
      </c>
      <c r="BH202" s="209" t="str">
        <f>IFERROR(VLOOKUP(TableHandbook[[#This Row],[UDC]],TableSTRUVARTM[],7,FALSE),"")</f>
        <v/>
      </c>
    </row>
    <row r="203" spans="1:60" x14ac:dyDescent="0.25">
      <c r="A203" s="6" t="s">
        <v>595</v>
      </c>
      <c r="B203" s="7">
        <v>2</v>
      </c>
      <c r="C203" s="7"/>
      <c r="D203" s="207" t="s">
        <v>1017</v>
      </c>
      <c r="E203" s="7">
        <v>25</v>
      </c>
      <c r="F203" s="84" t="s">
        <v>783</v>
      </c>
      <c r="G203" s="75" t="str">
        <f>IFERROR(IF(VLOOKUP(TableHandbook[[#This Row],[UDC]],TableAvailabilities[],2,FALSE)&gt;0,"Y",""),"")</f>
        <v>Y</v>
      </c>
      <c r="H203" s="75" t="str">
        <f>IFERROR(IF(VLOOKUP(TableHandbook[[#This Row],[UDC]],TableAvailabilities[],3,FALSE)&gt;0,"Y",""),"")</f>
        <v>Y</v>
      </c>
      <c r="I203" s="75" t="str">
        <f>IFERROR(IF(VLOOKUP(TableHandbook[[#This Row],[UDC]],TableAvailabilities[],4,FALSE)&gt;0,"Y",""),"")</f>
        <v/>
      </c>
      <c r="J203" s="75" t="str">
        <f>IFERROR(IF(VLOOKUP(TableHandbook[[#This Row],[UDC]],TableAvailabilities[],5,FALSE)&gt;0,"Y",""),"")</f>
        <v/>
      </c>
      <c r="K203" s="75" t="str">
        <f>IFERROR(IF(VLOOKUP(TableHandbook[[#This Row],[UDC]],TableAvailabilities[],6,FALSE)&gt;0,"Y",""),"")</f>
        <v/>
      </c>
      <c r="L203" s="75" t="str">
        <f>IFERROR(IF(VLOOKUP(TableHandbook[[#This Row],[UDC]],TableAvailabilities[],7,FALSE)&gt;0,"Y",""),"")</f>
        <v/>
      </c>
      <c r="M203" s="207"/>
      <c r="N203" s="209" t="str">
        <f>IFERROR(VLOOKUP(TableHandbook[[#This Row],[UDC]],TableBEDUC[],7,FALSE),"")</f>
        <v/>
      </c>
      <c r="O203" s="209" t="str">
        <f>IFERROR(VLOOKUP(TableHandbook[[#This Row],[UDC]],TableBEDEC[],7,FALSE),"")</f>
        <v/>
      </c>
      <c r="P203" s="211" t="str">
        <f>IFERROR(VLOOKUP(TableHandbook[[#This Row],[UDC]],TableBEDPR[],7,FALSE),"")</f>
        <v/>
      </c>
      <c r="Q203" s="209" t="str">
        <f>IFERROR(VLOOKUP(TableHandbook[[#This Row],[UDC]],TableSTRUCATHL[],7,FALSE),"")</f>
        <v/>
      </c>
      <c r="R203" s="209" t="str">
        <f>IFERROR(VLOOKUP(TableHandbook[[#This Row],[UDC]],TableSTRUENGLL[],7,FALSE),"")</f>
        <v/>
      </c>
      <c r="S203" s="209" t="str">
        <f>IFERROR(VLOOKUP(TableHandbook[[#This Row],[UDC]],TableSTRUHLTPE[],7,FALSE),"")</f>
        <v/>
      </c>
      <c r="T203" s="209" t="str">
        <f>IFERROR(VLOOKUP(TableHandbook[[#This Row],[UDC]],TableSTRUISTEM[],7,FALSE),"")</f>
        <v/>
      </c>
      <c r="U203" s="209" t="str">
        <f>IFERROR(VLOOKUP(TableHandbook[[#This Row],[UDC]],TableSTRULITNU[],7,FALSE),"")</f>
        <v/>
      </c>
      <c r="V203" s="209" t="str">
        <f>IFERROR(VLOOKUP(TableHandbook[[#This Row],[UDC]],TableSTRUTECHS[],7,FALSE),"")</f>
        <v/>
      </c>
      <c r="W203" s="211" t="str">
        <f>IFERROR(VLOOKUP(TableHandbook[[#This Row],[UDC]],TableBEDSC[],7,FALSE),"")</f>
        <v/>
      </c>
      <c r="X203" s="211" t="str">
        <f>IFERROR(VLOOKUP(TableHandbook[[#This Row],[UDC]],TableMJRUARDR1[],7,FALSE),"")</f>
        <v/>
      </c>
      <c r="Y203" s="209" t="str">
        <f>IFERROR(VLOOKUP(TableHandbook[[#This Row],[UDC]],TableMJRUARME1[],7,FALSE),"")</f>
        <v/>
      </c>
      <c r="Z203" s="209" t="str">
        <f>IFERROR(VLOOKUP(TableHandbook[[#This Row],[UDC]],TableMJRUARVA1[],7,FALSE),"")</f>
        <v/>
      </c>
      <c r="AA203" s="209" t="str">
        <f>IFERROR(VLOOKUP(TableHandbook[[#This Row],[UDC]],TableMJRUENGL1[],7,FALSE),"")</f>
        <v/>
      </c>
      <c r="AB203" s="209" t="str">
        <f>IFERROR(VLOOKUP(TableHandbook[[#This Row],[UDC]],TableMJRUHSEC1[],7,FALSE),"")</f>
        <v/>
      </c>
      <c r="AC203" s="209" t="str">
        <f>IFERROR(VLOOKUP(TableHandbook[[#This Row],[UDC]],TableMJRUHSGE1[],7,FALSE),"")</f>
        <v/>
      </c>
      <c r="AD203" s="209" t="str">
        <f>IFERROR(VLOOKUP(TableHandbook[[#This Row],[UDC]],TableMJRUHSHI1[],7,FALSE),"")</f>
        <v>AltCore</v>
      </c>
      <c r="AE203" s="209" t="str">
        <f>IFERROR(VLOOKUP(TableHandbook[[#This Row],[UDC]],TableMJRUHSPL1[],7,FALSE),"")</f>
        <v>AltCore</v>
      </c>
      <c r="AF203" s="209" t="str">
        <f>IFERROR(VLOOKUP(TableHandbook[[#This Row],[UDC]],TableMJRUMATH1[],7,FALSE),"")</f>
        <v/>
      </c>
      <c r="AG203" s="209" t="str">
        <f>IFERROR(VLOOKUP(TableHandbook[[#This Row],[UDC]],TableMJRUPHYSE[],7,FALSE),"")</f>
        <v/>
      </c>
      <c r="AH203" s="209" t="str">
        <f>IFERROR(VLOOKUP(TableHandbook[[#This Row],[UDC]],TableMJRUSCBI1[],7,FALSE),"")</f>
        <v/>
      </c>
      <c r="AI203" s="209" t="str">
        <f>IFERROR(VLOOKUP(TableHandbook[[#This Row],[UDC]],TableMJRUSCCH1[],7,FALSE),"")</f>
        <v/>
      </c>
      <c r="AJ203" s="209" t="str">
        <f>IFERROR(VLOOKUP(TableHandbook[[#This Row],[UDC]],TableMJRUSCHB1[],7,FALSE),"")</f>
        <v/>
      </c>
      <c r="AK203" s="209" t="str">
        <f>IFERROR(VLOOKUP(TableHandbook[[#This Row],[UDC]],TableMJRUSCPH1[],7,FALSE),"")</f>
        <v/>
      </c>
      <c r="AL203" s="209" t="str">
        <f>IFERROR(VLOOKUP(TableHandbook[[#This Row],[UDC]],TableMJRUSCPS1[],7,FALSE),"")</f>
        <v/>
      </c>
      <c r="AM203" s="211" t="str">
        <f>IFERROR(VLOOKUP(TableHandbook[[#This Row],[UDC]],TableSTRUBIOLB[],7,FALSE),"")</f>
        <v/>
      </c>
      <c r="AN203" s="209" t="str">
        <f>IFERROR(VLOOKUP(TableHandbook[[#This Row],[UDC]],TableSTRUBSCIM[],7,FALSE),"")</f>
        <v/>
      </c>
      <c r="AO203" s="209" t="str">
        <f>IFERROR(VLOOKUP(TableHandbook[[#This Row],[UDC]],TableSTRUCHEMB[],7,FALSE),"")</f>
        <v/>
      </c>
      <c r="AP203" s="209" t="str">
        <f>IFERROR(VLOOKUP(TableHandbook[[#This Row],[UDC]],TableSTRUECOB1[],7,FALSE),"")</f>
        <v>Core</v>
      </c>
      <c r="AQ203" s="209" t="str">
        <f>IFERROR(VLOOKUP(TableHandbook[[#This Row],[UDC]],TableSTRUENGLB[],7,FALSE),"")</f>
        <v/>
      </c>
      <c r="AR203" s="209" t="str">
        <f>IFERROR(VLOOKUP(TableHandbook[[#This Row],[UDC]],TableSTRUENGLM[],7,FALSE),"")</f>
        <v/>
      </c>
      <c r="AS203" s="209" t="str">
        <f>IFERROR(VLOOKUP(TableHandbook[[#This Row],[UDC]],TableSTRUGEOB1[],7,FALSE),"")</f>
        <v>Core</v>
      </c>
      <c r="AT203" s="209" t="str">
        <f>IFERROR(VLOOKUP(TableHandbook[[#This Row],[UDC]],TableSTRUGEOGM[],7,FALSE),"")</f>
        <v/>
      </c>
      <c r="AU203" s="209" t="str">
        <f>IFERROR(VLOOKUP(TableHandbook[[#This Row],[UDC]],TableSTRUHISB1[],7,FALSE),"")</f>
        <v/>
      </c>
      <c r="AV203" s="209" t="str">
        <f>IFERROR(VLOOKUP(TableHandbook[[#This Row],[UDC]],TableSTRUHISTM[],7,FALSE),"")</f>
        <v>Core</v>
      </c>
      <c r="AW203" s="209" t="str">
        <f>IFERROR(VLOOKUP(TableHandbook[[#This Row],[UDC]],TableSTRUHPEB1[],7,FALSE),"")</f>
        <v/>
      </c>
      <c r="AX203" s="209" t="str">
        <f>IFERROR(VLOOKUP(TableHandbook[[#This Row],[UDC]],TableSTRUHUMBB[],7,FALSE),"")</f>
        <v/>
      </c>
      <c r="AY203" s="209" t="str">
        <f>IFERROR(VLOOKUP(TableHandbook[[#This Row],[UDC]],TableSTRUMARTM[],7,FALSE),"")</f>
        <v/>
      </c>
      <c r="AZ203" s="209" t="str">
        <f>IFERROR(VLOOKUP(TableHandbook[[#This Row],[UDC]],TableSTRUMATHB[],7,FALSE),"")</f>
        <v/>
      </c>
      <c r="BA203" s="209" t="str">
        <f>IFERROR(VLOOKUP(TableHandbook[[#This Row],[UDC]],TableSTRUMATHM[],7,FALSE),"")</f>
        <v/>
      </c>
      <c r="BB203" s="209" t="str">
        <f>IFERROR(VLOOKUP(TableHandbook[[#This Row],[UDC]],TableSTRUPARTB[],7,FALSE),"")</f>
        <v/>
      </c>
      <c r="BC203" s="209" t="str">
        <f>IFERROR(VLOOKUP(TableHandbook[[#This Row],[UDC]],TableSTRUPARTM[],7,FALSE),"")</f>
        <v/>
      </c>
      <c r="BD203" s="209" t="str">
        <f>IFERROR(VLOOKUP(TableHandbook[[#This Row],[UDC]],TableSTRUPOLB1[],7,FALSE),"")</f>
        <v/>
      </c>
      <c r="BE203" s="209" t="str">
        <f>IFERROR(VLOOKUP(TableHandbook[[#This Row],[UDC]],TableSTRUPSYCB[],7,FALSE),"")</f>
        <v/>
      </c>
      <c r="BF203" s="209" t="str">
        <f>IFERROR(VLOOKUP(TableHandbook[[#This Row],[UDC]],TableSTRUPSYCM[],7,FALSE),"")</f>
        <v/>
      </c>
      <c r="BG203" s="209" t="str">
        <f>IFERROR(VLOOKUP(TableHandbook[[#This Row],[UDC]],TableSTRUVARTB[],7,FALSE),"")</f>
        <v/>
      </c>
      <c r="BH203" s="209" t="str">
        <f>IFERROR(VLOOKUP(TableHandbook[[#This Row],[UDC]],TableSTRUVARTM[],7,FALSE),"")</f>
        <v/>
      </c>
    </row>
    <row r="204" spans="1:60" x14ac:dyDescent="0.25">
      <c r="A204" s="296" t="s">
        <v>639</v>
      </c>
      <c r="B204" s="7">
        <v>4</v>
      </c>
      <c r="C204" s="7"/>
      <c r="D204" s="207" t="s">
        <v>1018</v>
      </c>
      <c r="E204" s="7">
        <v>25</v>
      </c>
      <c r="F204" s="311" t="s">
        <v>783</v>
      </c>
      <c r="G204" s="75" t="str">
        <f>IFERROR(IF(VLOOKUP(TableHandbook[[#This Row],[UDC]],TableAvailabilities[],2,FALSE)&gt;0,"Y",""),"")</f>
        <v>Y</v>
      </c>
      <c r="H204" s="75" t="str">
        <f>IFERROR(IF(VLOOKUP(TableHandbook[[#This Row],[UDC]],TableAvailabilities[],3,FALSE)&gt;0,"Y",""),"")</f>
        <v>Y</v>
      </c>
      <c r="I204" s="75" t="str">
        <f>IFERROR(IF(VLOOKUP(TableHandbook[[#This Row],[UDC]],TableAvailabilities[],4,FALSE)&gt;0,"Y",""),"")</f>
        <v/>
      </c>
      <c r="J204" s="75" t="str">
        <f>IFERROR(IF(VLOOKUP(TableHandbook[[#This Row],[UDC]],TableAvailabilities[],5,FALSE)&gt;0,"Y",""),"")</f>
        <v/>
      </c>
      <c r="K204" s="75" t="str">
        <f>IFERROR(IF(VLOOKUP(TableHandbook[[#This Row],[UDC]],TableAvailabilities[],6,FALSE)&gt;0,"Y",""),"")</f>
        <v/>
      </c>
      <c r="L204" s="75" t="str">
        <f>IFERROR(IF(VLOOKUP(TableHandbook[[#This Row],[UDC]],TableAvailabilities[],7,FALSE)&gt;0,"Y",""),"")</f>
        <v/>
      </c>
      <c r="M204" s="207"/>
      <c r="N204" s="209" t="str">
        <f>IFERROR(VLOOKUP(TableHandbook[[#This Row],[UDC]],TableBEDUC[],7,FALSE),"")</f>
        <v/>
      </c>
      <c r="O204" s="209" t="str">
        <f>IFERROR(VLOOKUP(TableHandbook[[#This Row],[UDC]],TableBEDEC[],7,FALSE),"")</f>
        <v/>
      </c>
      <c r="P204" s="211" t="str">
        <f>IFERROR(VLOOKUP(TableHandbook[[#This Row],[UDC]],TableBEDPR[],7,FALSE),"")</f>
        <v/>
      </c>
      <c r="Q204" s="209" t="str">
        <f>IFERROR(VLOOKUP(TableHandbook[[#This Row],[UDC]],TableSTRUCATHL[],7,FALSE),"")</f>
        <v/>
      </c>
      <c r="R204" s="209" t="str">
        <f>IFERROR(VLOOKUP(TableHandbook[[#This Row],[UDC]],TableSTRUENGLL[],7,FALSE),"")</f>
        <v/>
      </c>
      <c r="S204" s="209" t="str">
        <f>IFERROR(VLOOKUP(TableHandbook[[#This Row],[UDC]],TableSTRUHLTPE[],7,FALSE),"")</f>
        <v/>
      </c>
      <c r="T204" s="209" t="str">
        <f>IFERROR(VLOOKUP(TableHandbook[[#This Row],[UDC]],TableSTRUISTEM[],7,FALSE),"")</f>
        <v/>
      </c>
      <c r="U204" s="209" t="str">
        <f>IFERROR(VLOOKUP(TableHandbook[[#This Row],[UDC]],TableSTRULITNU[],7,FALSE),"")</f>
        <v/>
      </c>
      <c r="V204" s="209" t="str">
        <f>IFERROR(VLOOKUP(TableHandbook[[#This Row],[UDC]],TableSTRUTECHS[],7,FALSE),"")</f>
        <v/>
      </c>
      <c r="W204" s="211" t="str">
        <f>IFERROR(VLOOKUP(TableHandbook[[#This Row],[UDC]],TableBEDSC[],7,FALSE),"")</f>
        <v/>
      </c>
      <c r="X204" s="211" t="str">
        <f>IFERROR(VLOOKUP(TableHandbook[[#This Row],[UDC]],TableMJRUARDR1[],7,FALSE),"")</f>
        <v/>
      </c>
      <c r="Y204" s="209" t="str">
        <f>IFERROR(VLOOKUP(TableHandbook[[#This Row],[UDC]],TableMJRUARME1[],7,FALSE),"")</f>
        <v/>
      </c>
      <c r="Z204" s="209" t="str">
        <f>IFERROR(VLOOKUP(TableHandbook[[#This Row],[UDC]],TableMJRUARVA1[],7,FALSE),"")</f>
        <v/>
      </c>
      <c r="AA204" s="209" t="str">
        <f>IFERROR(VLOOKUP(TableHandbook[[#This Row],[UDC]],TableMJRUENGL1[],7,FALSE),"")</f>
        <v/>
      </c>
      <c r="AB204" s="209" t="str">
        <f>IFERROR(VLOOKUP(TableHandbook[[#This Row],[UDC]],TableMJRUHSEC1[],7,FALSE),"")</f>
        <v/>
      </c>
      <c r="AC204" s="209" t="str">
        <f>IFERROR(VLOOKUP(TableHandbook[[#This Row],[UDC]],TableMJRUHSGE1[],7,FALSE),"")</f>
        <v/>
      </c>
      <c r="AD204" s="209" t="str">
        <f>IFERROR(VLOOKUP(TableHandbook[[#This Row],[UDC]],TableMJRUHSHI1[],7,FALSE),"")</f>
        <v>Option</v>
      </c>
      <c r="AE204" s="209" t="str">
        <f>IFERROR(VLOOKUP(TableHandbook[[#This Row],[UDC]],TableMJRUHSPL1[],7,FALSE),"")</f>
        <v/>
      </c>
      <c r="AF204" s="209" t="str">
        <f>IFERROR(VLOOKUP(TableHandbook[[#This Row],[UDC]],TableMJRUMATH1[],7,FALSE),"")</f>
        <v/>
      </c>
      <c r="AG204" s="209" t="str">
        <f>IFERROR(VLOOKUP(TableHandbook[[#This Row],[UDC]],TableMJRUPHYSE[],7,FALSE),"")</f>
        <v/>
      </c>
      <c r="AH204" s="209" t="str">
        <f>IFERROR(VLOOKUP(TableHandbook[[#This Row],[UDC]],TableMJRUSCBI1[],7,FALSE),"")</f>
        <v/>
      </c>
      <c r="AI204" s="209" t="str">
        <f>IFERROR(VLOOKUP(TableHandbook[[#This Row],[UDC]],TableMJRUSCCH1[],7,FALSE),"")</f>
        <v/>
      </c>
      <c r="AJ204" s="209" t="str">
        <f>IFERROR(VLOOKUP(TableHandbook[[#This Row],[UDC]],TableMJRUSCHB1[],7,FALSE),"")</f>
        <v/>
      </c>
      <c r="AK204" s="209" t="str">
        <f>IFERROR(VLOOKUP(TableHandbook[[#This Row],[UDC]],TableMJRUSCPH1[],7,FALSE),"")</f>
        <v/>
      </c>
      <c r="AL204" s="209" t="str">
        <f>IFERROR(VLOOKUP(TableHandbook[[#This Row],[UDC]],TableMJRUSCPS1[],7,FALSE),"")</f>
        <v/>
      </c>
      <c r="AM204" s="211" t="str">
        <f>IFERROR(VLOOKUP(TableHandbook[[#This Row],[UDC]],TableSTRUBIOLB[],7,FALSE),"")</f>
        <v/>
      </c>
      <c r="AN204" s="209" t="str">
        <f>IFERROR(VLOOKUP(TableHandbook[[#This Row],[UDC]],TableSTRUBSCIM[],7,FALSE),"")</f>
        <v/>
      </c>
      <c r="AO204" s="209" t="str">
        <f>IFERROR(VLOOKUP(TableHandbook[[#This Row],[UDC]],TableSTRUCHEMB[],7,FALSE),"")</f>
        <v/>
      </c>
      <c r="AP204" s="209" t="str">
        <f>IFERROR(VLOOKUP(TableHandbook[[#This Row],[UDC]],TableSTRUECOB1[],7,FALSE),"")</f>
        <v/>
      </c>
      <c r="AQ204" s="209" t="str">
        <f>IFERROR(VLOOKUP(TableHandbook[[#This Row],[UDC]],TableSTRUENGLB[],7,FALSE),"")</f>
        <v/>
      </c>
      <c r="AR204" s="209" t="str">
        <f>IFERROR(VLOOKUP(TableHandbook[[#This Row],[UDC]],TableSTRUENGLM[],7,FALSE),"")</f>
        <v/>
      </c>
      <c r="AS204" s="209" t="str">
        <f>IFERROR(VLOOKUP(TableHandbook[[#This Row],[UDC]],TableSTRUGEOB1[],7,FALSE),"")</f>
        <v/>
      </c>
      <c r="AT204" s="209" t="str">
        <f>IFERROR(VLOOKUP(TableHandbook[[#This Row],[UDC]],TableSTRUGEOGM[],7,FALSE),"")</f>
        <v/>
      </c>
      <c r="AU204" s="209" t="str">
        <f>IFERROR(VLOOKUP(TableHandbook[[#This Row],[UDC]],TableSTRUHISB1[],7,FALSE),"")</f>
        <v/>
      </c>
      <c r="AV204" s="209" t="str">
        <f>IFERROR(VLOOKUP(TableHandbook[[#This Row],[UDC]],TableSTRUHISTM[],7,FALSE),"")</f>
        <v/>
      </c>
      <c r="AW204" s="209" t="str">
        <f>IFERROR(VLOOKUP(TableHandbook[[#This Row],[UDC]],TableSTRUHPEB1[],7,FALSE),"")</f>
        <v/>
      </c>
      <c r="AX204" s="209" t="str">
        <f>IFERROR(VLOOKUP(TableHandbook[[#This Row],[UDC]],TableSTRUHUMBB[],7,FALSE),"")</f>
        <v/>
      </c>
      <c r="AY204" s="209" t="str">
        <f>IFERROR(VLOOKUP(TableHandbook[[#This Row],[UDC]],TableSTRUMARTM[],7,FALSE),"")</f>
        <v/>
      </c>
      <c r="AZ204" s="209" t="str">
        <f>IFERROR(VLOOKUP(TableHandbook[[#This Row],[UDC]],TableSTRUMATHB[],7,FALSE),"")</f>
        <v/>
      </c>
      <c r="BA204" s="209" t="str">
        <f>IFERROR(VLOOKUP(TableHandbook[[#This Row],[UDC]],TableSTRUMATHM[],7,FALSE),"")</f>
        <v/>
      </c>
      <c r="BB204" s="209" t="str">
        <f>IFERROR(VLOOKUP(TableHandbook[[#This Row],[UDC]],TableSTRUPARTB[],7,FALSE),"")</f>
        <v/>
      </c>
      <c r="BC204" s="209" t="str">
        <f>IFERROR(VLOOKUP(TableHandbook[[#This Row],[UDC]],TableSTRUPARTM[],7,FALSE),"")</f>
        <v/>
      </c>
      <c r="BD204" s="209" t="str">
        <f>IFERROR(VLOOKUP(TableHandbook[[#This Row],[UDC]],TableSTRUPOLB1[],7,FALSE),"")</f>
        <v/>
      </c>
      <c r="BE204" s="209" t="str">
        <f>IFERROR(VLOOKUP(TableHandbook[[#This Row],[UDC]],TableSTRUPSYCB[],7,FALSE),"")</f>
        <v/>
      </c>
      <c r="BF204" s="209" t="str">
        <f>IFERROR(VLOOKUP(TableHandbook[[#This Row],[UDC]],TableSTRUPSYCM[],7,FALSE),"")</f>
        <v/>
      </c>
      <c r="BG204" s="209" t="str">
        <f>IFERROR(VLOOKUP(TableHandbook[[#This Row],[UDC]],TableSTRUVARTB[],7,FALSE),"")</f>
        <v/>
      </c>
      <c r="BH204" s="209" t="str">
        <f>IFERROR(VLOOKUP(TableHandbook[[#This Row],[UDC]],TableSTRUVARTM[],7,FALSE),"")</f>
        <v/>
      </c>
    </row>
    <row r="205" spans="1:60" x14ac:dyDescent="0.25">
      <c r="A205" s="6" t="s">
        <v>613</v>
      </c>
      <c r="B205" s="7">
        <v>3</v>
      </c>
      <c r="C205" s="7"/>
      <c r="D205" s="207" t="s">
        <v>1019</v>
      </c>
      <c r="E205" s="7">
        <v>25</v>
      </c>
      <c r="F205" s="84" t="s">
        <v>783</v>
      </c>
      <c r="G205" s="75" t="str">
        <f>IFERROR(IF(VLOOKUP(TableHandbook[[#This Row],[UDC]],TableAvailabilities[],2,FALSE)&gt;0,"Y",""),"")</f>
        <v/>
      </c>
      <c r="H205" s="75" t="str">
        <f>IFERROR(IF(VLOOKUP(TableHandbook[[#This Row],[UDC]],TableAvailabilities[],3,FALSE)&gt;0,"Y",""),"")</f>
        <v/>
      </c>
      <c r="I205" s="75" t="str">
        <f>IFERROR(IF(VLOOKUP(TableHandbook[[#This Row],[UDC]],TableAvailabilities[],4,FALSE)&gt;0,"Y",""),"")</f>
        <v/>
      </c>
      <c r="J205" s="75" t="str">
        <f>IFERROR(IF(VLOOKUP(TableHandbook[[#This Row],[UDC]],TableAvailabilities[],5,FALSE)&gt;0,"Y",""),"")</f>
        <v>Y</v>
      </c>
      <c r="K205" s="75" t="str">
        <f>IFERROR(IF(VLOOKUP(TableHandbook[[#This Row],[UDC]],TableAvailabilities[],6,FALSE)&gt;0,"Y",""),"")</f>
        <v>Y</v>
      </c>
      <c r="L205" s="75" t="str">
        <f>IFERROR(IF(VLOOKUP(TableHandbook[[#This Row],[UDC]],TableAvailabilities[],7,FALSE)&gt;0,"Y",""),"")</f>
        <v/>
      </c>
      <c r="M205" s="207"/>
      <c r="N205" s="209" t="str">
        <f>IFERROR(VLOOKUP(TableHandbook[[#This Row],[UDC]],TableBEDUC[],7,FALSE),"")</f>
        <v/>
      </c>
      <c r="O205" s="209" t="str">
        <f>IFERROR(VLOOKUP(TableHandbook[[#This Row],[UDC]],TableBEDEC[],7,FALSE),"")</f>
        <v/>
      </c>
      <c r="P205" s="211" t="str">
        <f>IFERROR(VLOOKUP(TableHandbook[[#This Row],[UDC]],TableBEDPR[],7,FALSE),"")</f>
        <v/>
      </c>
      <c r="Q205" s="209" t="str">
        <f>IFERROR(VLOOKUP(TableHandbook[[#This Row],[UDC]],TableSTRUCATHL[],7,FALSE),"")</f>
        <v/>
      </c>
      <c r="R205" s="209" t="str">
        <f>IFERROR(VLOOKUP(TableHandbook[[#This Row],[UDC]],TableSTRUENGLL[],7,FALSE),"")</f>
        <v/>
      </c>
      <c r="S205" s="209" t="str">
        <f>IFERROR(VLOOKUP(TableHandbook[[#This Row],[UDC]],TableSTRUHLTPE[],7,FALSE),"")</f>
        <v/>
      </c>
      <c r="T205" s="209" t="str">
        <f>IFERROR(VLOOKUP(TableHandbook[[#This Row],[UDC]],TableSTRUISTEM[],7,FALSE),"")</f>
        <v/>
      </c>
      <c r="U205" s="209" t="str">
        <f>IFERROR(VLOOKUP(TableHandbook[[#This Row],[UDC]],TableSTRULITNU[],7,FALSE),"")</f>
        <v/>
      </c>
      <c r="V205" s="209" t="str">
        <f>IFERROR(VLOOKUP(TableHandbook[[#This Row],[UDC]],TableSTRUTECHS[],7,FALSE),"")</f>
        <v/>
      </c>
      <c r="W205" s="211" t="str">
        <f>IFERROR(VLOOKUP(TableHandbook[[#This Row],[UDC]],TableBEDSC[],7,FALSE),"")</f>
        <v/>
      </c>
      <c r="X205" s="211" t="str">
        <f>IFERROR(VLOOKUP(TableHandbook[[#This Row],[UDC]],TableMJRUARDR1[],7,FALSE),"")</f>
        <v/>
      </c>
      <c r="Y205" s="209" t="str">
        <f>IFERROR(VLOOKUP(TableHandbook[[#This Row],[UDC]],TableMJRUARME1[],7,FALSE),"")</f>
        <v/>
      </c>
      <c r="Z205" s="209" t="str">
        <f>IFERROR(VLOOKUP(TableHandbook[[#This Row],[UDC]],TableMJRUARVA1[],7,FALSE),"")</f>
        <v/>
      </c>
      <c r="AA205" s="209" t="str">
        <f>IFERROR(VLOOKUP(TableHandbook[[#This Row],[UDC]],TableMJRUENGL1[],7,FALSE),"")</f>
        <v/>
      </c>
      <c r="AB205" s="209" t="str">
        <f>IFERROR(VLOOKUP(TableHandbook[[#This Row],[UDC]],TableMJRUHSEC1[],7,FALSE),"")</f>
        <v/>
      </c>
      <c r="AC205" s="209" t="str">
        <f>IFERROR(VLOOKUP(TableHandbook[[#This Row],[UDC]],TableMJRUHSGE1[],7,FALSE),"")</f>
        <v/>
      </c>
      <c r="AD205" s="209" t="str">
        <f>IFERROR(VLOOKUP(TableHandbook[[#This Row],[UDC]],TableMJRUHSHI1[],7,FALSE),"")</f>
        <v>AltCore</v>
      </c>
      <c r="AE205" s="209" t="str">
        <f>IFERROR(VLOOKUP(TableHandbook[[#This Row],[UDC]],TableMJRUHSPL1[],7,FALSE),"")</f>
        <v/>
      </c>
      <c r="AF205" s="209" t="str">
        <f>IFERROR(VLOOKUP(TableHandbook[[#This Row],[UDC]],TableMJRUMATH1[],7,FALSE),"")</f>
        <v/>
      </c>
      <c r="AG205" s="209" t="str">
        <f>IFERROR(VLOOKUP(TableHandbook[[#This Row],[UDC]],TableMJRUPHYSE[],7,FALSE),"")</f>
        <v/>
      </c>
      <c r="AH205" s="209" t="str">
        <f>IFERROR(VLOOKUP(TableHandbook[[#This Row],[UDC]],TableMJRUSCBI1[],7,FALSE),"")</f>
        <v/>
      </c>
      <c r="AI205" s="209" t="str">
        <f>IFERROR(VLOOKUP(TableHandbook[[#This Row],[UDC]],TableMJRUSCCH1[],7,FALSE),"")</f>
        <v/>
      </c>
      <c r="AJ205" s="209" t="str">
        <f>IFERROR(VLOOKUP(TableHandbook[[#This Row],[UDC]],TableMJRUSCHB1[],7,FALSE),"")</f>
        <v/>
      </c>
      <c r="AK205" s="209" t="str">
        <f>IFERROR(VLOOKUP(TableHandbook[[#This Row],[UDC]],TableMJRUSCPH1[],7,FALSE),"")</f>
        <v/>
      </c>
      <c r="AL205" s="209" t="str">
        <f>IFERROR(VLOOKUP(TableHandbook[[#This Row],[UDC]],TableMJRUSCPS1[],7,FALSE),"")</f>
        <v/>
      </c>
      <c r="AM205" s="211" t="str">
        <f>IFERROR(VLOOKUP(TableHandbook[[#This Row],[UDC]],TableSTRUBIOLB[],7,FALSE),"")</f>
        <v/>
      </c>
      <c r="AN205" s="209" t="str">
        <f>IFERROR(VLOOKUP(TableHandbook[[#This Row],[UDC]],TableSTRUBSCIM[],7,FALSE),"")</f>
        <v/>
      </c>
      <c r="AO205" s="209" t="str">
        <f>IFERROR(VLOOKUP(TableHandbook[[#This Row],[UDC]],TableSTRUCHEMB[],7,FALSE),"")</f>
        <v/>
      </c>
      <c r="AP205" s="209" t="str">
        <f>IFERROR(VLOOKUP(TableHandbook[[#This Row],[UDC]],TableSTRUECOB1[],7,FALSE),"")</f>
        <v/>
      </c>
      <c r="AQ205" s="209" t="str">
        <f>IFERROR(VLOOKUP(TableHandbook[[#This Row],[UDC]],TableSTRUENGLB[],7,FALSE),"")</f>
        <v/>
      </c>
      <c r="AR205" s="209" t="str">
        <f>IFERROR(VLOOKUP(TableHandbook[[#This Row],[UDC]],TableSTRUENGLM[],7,FALSE),"")</f>
        <v/>
      </c>
      <c r="AS205" s="209" t="str">
        <f>IFERROR(VLOOKUP(TableHandbook[[#This Row],[UDC]],TableSTRUGEOB1[],7,FALSE),"")</f>
        <v/>
      </c>
      <c r="AT205" s="209" t="str">
        <f>IFERROR(VLOOKUP(TableHandbook[[#This Row],[UDC]],TableSTRUGEOGM[],7,FALSE),"")</f>
        <v/>
      </c>
      <c r="AU205" s="209" t="str">
        <f>IFERROR(VLOOKUP(TableHandbook[[#This Row],[UDC]],TableSTRUHISB1[],7,FALSE),"")</f>
        <v/>
      </c>
      <c r="AV205" s="209" t="str">
        <f>IFERROR(VLOOKUP(TableHandbook[[#This Row],[UDC]],TableSTRUHISTM[],7,FALSE),"")</f>
        <v/>
      </c>
      <c r="AW205" s="209" t="str">
        <f>IFERROR(VLOOKUP(TableHandbook[[#This Row],[UDC]],TableSTRUHPEB1[],7,FALSE),"")</f>
        <v/>
      </c>
      <c r="AX205" s="209" t="str">
        <f>IFERROR(VLOOKUP(TableHandbook[[#This Row],[UDC]],TableSTRUHUMBB[],7,FALSE),"")</f>
        <v/>
      </c>
      <c r="AY205" s="209" t="str">
        <f>IFERROR(VLOOKUP(TableHandbook[[#This Row],[UDC]],TableSTRUMARTM[],7,FALSE),"")</f>
        <v/>
      </c>
      <c r="AZ205" s="209" t="str">
        <f>IFERROR(VLOOKUP(TableHandbook[[#This Row],[UDC]],TableSTRUMATHB[],7,FALSE),"")</f>
        <v/>
      </c>
      <c r="BA205" s="209" t="str">
        <f>IFERROR(VLOOKUP(TableHandbook[[#This Row],[UDC]],TableSTRUMATHM[],7,FALSE),"")</f>
        <v/>
      </c>
      <c r="BB205" s="209" t="str">
        <f>IFERROR(VLOOKUP(TableHandbook[[#This Row],[UDC]],TableSTRUPARTB[],7,FALSE),"")</f>
        <v/>
      </c>
      <c r="BC205" s="209" t="str">
        <f>IFERROR(VLOOKUP(TableHandbook[[#This Row],[UDC]],TableSTRUPARTM[],7,FALSE),"")</f>
        <v/>
      </c>
      <c r="BD205" s="209" t="str">
        <f>IFERROR(VLOOKUP(TableHandbook[[#This Row],[UDC]],TableSTRUPOLB1[],7,FALSE),"")</f>
        <v/>
      </c>
      <c r="BE205" s="209" t="str">
        <f>IFERROR(VLOOKUP(TableHandbook[[#This Row],[UDC]],TableSTRUPSYCB[],7,FALSE),"")</f>
        <v/>
      </c>
      <c r="BF205" s="209" t="str">
        <f>IFERROR(VLOOKUP(TableHandbook[[#This Row],[UDC]],TableSTRUPSYCM[],7,FALSE),"")</f>
        <v/>
      </c>
      <c r="BG205" s="209" t="str">
        <f>IFERROR(VLOOKUP(TableHandbook[[#This Row],[UDC]],TableSTRUVARTB[],7,FALSE),"")</f>
        <v/>
      </c>
      <c r="BH205" s="209" t="str">
        <f>IFERROR(VLOOKUP(TableHandbook[[#This Row],[UDC]],TableSTRUVARTM[],7,FALSE),"")</f>
        <v/>
      </c>
    </row>
    <row r="206" spans="1:60" x14ac:dyDescent="0.25">
      <c r="A206" s="296" t="s">
        <v>620</v>
      </c>
      <c r="B206" s="7">
        <v>3</v>
      </c>
      <c r="C206" s="7"/>
      <c r="D206" s="207" t="s">
        <v>1020</v>
      </c>
      <c r="E206" s="7">
        <v>25</v>
      </c>
      <c r="F206" s="311" t="s">
        <v>783</v>
      </c>
      <c r="G206" s="75" t="str">
        <f>IFERROR(IF(VLOOKUP(TableHandbook[[#This Row],[UDC]],TableAvailabilities[],2,FALSE)&gt;0,"Y",""),"")</f>
        <v/>
      </c>
      <c r="H206" s="75" t="str">
        <f>IFERROR(IF(VLOOKUP(TableHandbook[[#This Row],[UDC]],TableAvailabilities[],3,FALSE)&gt;0,"Y",""),"")</f>
        <v/>
      </c>
      <c r="I206" s="75" t="str">
        <f>IFERROR(IF(VLOOKUP(TableHandbook[[#This Row],[UDC]],TableAvailabilities[],4,FALSE)&gt;0,"Y",""),"")</f>
        <v/>
      </c>
      <c r="J206" s="75" t="str">
        <f>IFERROR(IF(VLOOKUP(TableHandbook[[#This Row],[UDC]],TableAvailabilities[],5,FALSE)&gt;0,"Y",""),"")</f>
        <v>Y</v>
      </c>
      <c r="K206" s="75" t="str">
        <f>IFERROR(IF(VLOOKUP(TableHandbook[[#This Row],[UDC]],TableAvailabilities[],6,FALSE)&gt;0,"Y",""),"")</f>
        <v>Y</v>
      </c>
      <c r="L206" s="75" t="str">
        <f>IFERROR(IF(VLOOKUP(TableHandbook[[#This Row],[UDC]],TableAvailabilities[],7,FALSE)&gt;0,"Y",""),"")</f>
        <v/>
      </c>
      <c r="M206" s="207"/>
      <c r="N206" s="209" t="str">
        <f>IFERROR(VLOOKUP(TableHandbook[[#This Row],[UDC]],TableBEDUC[],7,FALSE),"")</f>
        <v/>
      </c>
      <c r="O206" s="209" t="str">
        <f>IFERROR(VLOOKUP(TableHandbook[[#This Row],[UDC]],TableBEDEC[],7,FALSE),"")</f>
        <v/>
      </c>
      <c r="P206" s="211" t="str">
        <f>IFERROR(VLOOKUP(TableHandbook[[#This Row],[UDC]],TableBEDPR[],7,FALSE),"")</f>
        <v/>
      </c>
      <c r="Q206" s="209" t="str">
        <f>IFERROR(VLOOKUP(TableHandbook[[#This Row],[UDC]],TableSTRUCATHL[],7,FALSE),"")</f>
        <v/>
      </c>
      <c r="R206" s="209" t="str">
        <f>IFERROR(VLOOKUP(TableHandbook[[#This Row],[UDC]],TableSTRUENGLL[],7,FALSE),"")</f>
        <v/>
      </c>
      <c r="S206" s="209" t="str">
        <f>IFERROR(VLOOKUP(TableHandbook[[#This Row],[UDC]],TableSTRUHLTPE[],7,FALSE),"")</f>
        <v/>
      </c>
      <c r="T206" s="209" t="str">
        <f>IFERROR(VLOOKUP(TableHandbook[[#This Row],[UDC]],TableSTRUISTEM[],7,FALSE),"")</f>
        <v/>
      </c>
      <c r="U206" s="209" t="str">
        <f>IFERROR(VLOOKUP(TableHandbook[[#This Row],[UDC]],TableSTRULITNU[],7,FALSE),"")</f>
        <v/>
      </c>
      <c r="V206" s="209" t="str">
        <f>IFERROR(VLOOKUP(TableHandbook[[#This Row],[UDC]],TableSTRUTECHS[],7,FALSE),"")</f>
        <v/>
      </c>
      <c r="W206" s="211" t="str">
        <f>IFERROR(VLOOKUP(TableHandbook[[#This Row],[UDC]],TableBEDSC[],7,FALSE),"")</f>
        <v/>
      </c>
      <c r="X206" s="211" t="str">
        <f>IFERROR(VLOOKUP(TableHandbook[[#This Row],[UDC]],TableMJRUARDR1[],7,FALSE),"")</f>
        <v/>
      </c>
      <c r="Y206" s="209" t="str">
        <f>IFERROR(VLOOKUP(TableHandbook[[#This Row],[UDC]],TableMJRUARME1[],7,FALSE),"")</f>
        <v/>
      </c>
      <c r="Z206" s="209" t="str">
        <f>IFERROR(VLOOKUP(TableHandbook[[#This Row],[UDC]],TableMJRUARVA1[],7,FALSE),"")</f>
        <v/>
      </c>
      <c r="AA206" s="209" t="str">
        <f>IFERROR(VLOOKUP(TableHandbook[[#This Row],[UDC]],TableMJRUENGL1[],7,FALSE),"")</f>
        <v/>
      </c>
      <c r="AB206" s="209" t="str">
        <f>IFERROR(VLOOKUP(TableHandbook[[#This Row],[UDC]],TableMJRUHSEC1[],7,FALSE),"")</f>
        <v/>
      </c>
      <c r="AC206" s="209" t="str">
        <f>IFERROR(VLOOKUP(TableHandbook[[#This Row],[UDC]],TableMJRUHSGE1[],7,FALSE),"")</f>
        <v/>
      </c>
      <c r="AD206" s="209" t="str">
        <f>IFERROR(VLOOKUP(TableHandbook[[#This Row],[UDC]],TableMJRUHSHI1[],7,FALSE),"")</f>
        <v>AltCore</v>
      </c>
      <c r="AE206" s="209" t="str">
        <f>IFERROR(VLOOKUP(TableHandbook[[#This Row],[UDC]],TableMJRUHSPL1[],7,FALSE),"")</f>
        <v/>
      </c>
      <c r="AF206" s="209" t="str">
        <f>IFERROR(VLOOKUP(TableHandbook[[#This Row],[UDC]],TableMJRUMATH1[],7,FALSE),"")</f>
        <v/>
      </c>
      <c r="AG206" s="209" t="str">
        <f>IFERROR(VLOOKUP(TableHandbook[[#This Row],[UDC]],TableMJRUPHYSE[],7,FALSE),"")</f>
        <v/>
      </c>
      <c r="AH206" s="209" t="str">
        <f>IFERROR(VLOOKUP(TableHandbook[[#This Row],[UDC]],TableMJRUSCBI1[],7,FALSE),"")</f>
        <v/>
      </c>
      <c r="AI206" s="209" t="str">
        <f>IFERROR(VLOOKUP(TableHandbook[[#This Row],[UDC]],TableMJRUSCCH1[],7,FALSE),"")</f>
        <v/>
      </c>
      <c r="AJ206" s="209" t="str">
        <f>IFERROR(VLOOKUP(TableHandbook[[#This Row],[UDC]],TableMJRUSCHB1[],7,FALSE),"")</f>
        <v/>
      </c>
      <c r="AK206" s="209" t="str">
        <f>IFERROR(VLOOKUP(TableHandbook[[#This Row],[UDC]],TableMJRUSCPH1[],7,FALSE),"")</f>
        <v/>
      </c>
      <c r="AL206" s="209" t="str">
        <f>IFERROR(VLOOKUP(TableHandbook[[#This Row],[UDC]],TableMJRUSCPS1[],7,FALSE),"")</f>
        <v/>
      </c>
      <c r="AM206" s="211" t="str">
        <f>IFERROR(VLOOKUP(TableHandbook[[#This Row],[UDC]],TableSTRUBIOLB[],7,FALSE),"")</f>
        <v/>
      </c>
      <c r="AN206" s="209" t="str">
        <f>IFERROR(VLOOKUP(TableHandbook[[#This Row],[UDC]],TableSTRUBSCIM[],7,FALSE),"")</f>
        <v/>
      </c>
      <c r="AO206" s="209" t="str">
        <f>IFERROR(VLOOKUP(TableHandbook[[#This Row],[UDC]],TableSTRUCHEMB[],7,FALSE),"")</f>
        <v/>
      </c>
      <c r="AP206" s="209" t="str">
        <f>IFERROR(VLOOKUP(TableHandbook[[#This Row],[UDC]],TableSTRUECOB1[],7,FALSE),"")</f>
        <v/>
      </c>
      <c r="AQ206" s="209" t="str">
        <f>IFERROR(VLOOKUP(TableHandbook[[#This Row],[UDC]],TableSTRUENGLB[],7,FALSE),"")</f>
        <v/>
      </c>
      <c r="AR206" s="209" t="str">
        <f>IFERROR(VLOOKUP(TableHandbook[[#This Row],[UDC]],TableSTRUENGLM[],7,FALSE),"")</f>
        <v/>
      </c>
      <c r="AS206" s="209" t="str">
        <f>IFERROR(VLOOKUP(TableHandbook[[#This Row],[UDC]],TableSTRUGEOB1[],7,FALSE),"")</f>
        <v/>
      </c>
      <c r="AT206" s="209" t="str">
        <f>IFERROR(VLOOKUP(TableHandbook[[#This Row],[UDC]],TableSTRUGEOGM[],7,FALSE),"")</f>
        <v/>
      </c>
      <c r="AU206" s="209" t="str">
        <f>IFERROR(VLOOKUP(TableHandbook[[#This Row],[UDC]],TableSTRUHISB1[],7,FALSE),"")</f>
        <v/>
      </c>
      <c r="AV206" s="209" t="str">
        <f>IFERROR(VLOOKUP(TableHandbook[[#This Row],[UDC]],TableSTRUHISTM[],7,FALSE),"")</f>
        <v/>
      </c>
      <c r="AW206" s="209" t="str">
        <f>IFERROR(VLOOKUP(TableHandbook[[#This Row],[UDC]],TableSTRUHPEB1[],7,FALSE),"")</f>
        <v/>
      </c>
      <c r="AX206" s="209" t="str">
        <f>IFERROR(VLOOKUP(TableHandbook[[#This Row],[UDC]],TableSTRUHUMBB[],7,FALSE),"")</f>
        <v/>
      </c>
      <c r="AY206" s="209" t="str">
        <f>IFERROR(VLOOKUP(TableHandbook[[#This Row],[UDC]],TableSTRUMARTM[],7,FALSE),"")</f>
        <v/>
      </c>
      <c r="AZ206" s="209" t="str">
        <f>IFERROR(VLOOKUP(TableHandbook[[#This Row],[UDC]],TableSTRUMATHB[],7,FALSE),"")</f>
        <v/>
      </c>
      <c r="BA206" s="209" t="str">
        <f>IFERROR(VLOOKUP(TableHandbook[[#This Row],[UDC]],TableSTRUMATHM[],7,FALSE),"")</f>
        <v/>
      </c>
      <c r="BB206" s="209" t="str">
        <f>IFERROR(VLOOKUP(TableHandbook[[#This Row],[UDC]],TableSTRUPARTB[],7,FALSE),"")</f>
        <v/>
      </c>
      <c r="BC206" s="209" t="str">
        <f>IFERROR(VLOOKUP(TableHandbook[[#This Row],[UDC]],TableSTRUPARTM[],7,FALSE),"")</f>
        <v/>
      </c>
      <c r="BD206" s="209" t="str">
        <f>IFERROR(VLOOKUP(TableHandbook[[#This Row],[UDC]],TableSTRUPOLB1[],7,FALSE),"")</f>
        <v/>
      </c>
      <c r="BE206" s="209" t="str">
        <f>IFERROR(VLOOKUP(TableHandbook[[#This Row],[UDC]],TableSTRUPSYCB[],7,FALSE),"")</f>
        <v/>
      </c>
      <c r="BF206" s="209" t="str">
        <f>IFERROR(VLOOKUP(TableHandbook[[#This Row],[UDC]],TableSTRUPSYCM[],7,FALSE),"")</f>
        <v/>
      </c>
      <c r="BG206" s="209" t="str">
        <f>IFERROR(VLOOKUP(TableHandbook[[#This Row],[UDC]],TableSTRUVARTB[],7,FALSE),"")</f>
        <v/>
      </c>
      <c r="BH206" s="209" t="str">
        <f>IFERROR(VLOOKUP(TableHandbook[[#This Row],[UDC]],TableSTRUVARTM[],7,FALSE),"")</f>
        <v/>
      </c>
    </row>
    <row r="207" spans="1:60" x14ac:dyDescent="0.25">
      <c r="A207" s="6" t="s">
        <v>542</v>
      </c>
      <c r="B207" s="7">
        <v>1</v>
      </c>
      <c r="C207" s="7"/>
      <c r="D207" s="207" t="s">
        <v>1021</v>
      </c>
      <c r="E207" s="7">
        <v>25</v>
      </c>
      <c r="F207" s="84" t="s">
        <v>783</v>
      </c>
      <c r="G207" s="75" t="str">
        <f>IFERROR(IF(VLOOKUP(TableHandbook[[#This Row],[UDC]],TableAvailabilities[],2,FALSE)&gt;0,"Y",""),"")</f>
        <v>Y</v>
      </c>
      <c r="H207" s="75" t="str">
        <f>IFERROR(IF(VLOOKUP(TableHandbook[[#This Row],[UDC]],TableAvailabilities[],3,FALSE)&gt;0,"Y",""),"")</f>
        <v>Y</v>
      </c>
      <c r="I207" s="75" t="str">
        <f>IFERROR(IF(VLOOKUP(TableHandbook[[#This Row],[UDC]],TableAvailabilities[],4,FALSE)&gt;0,"Y",""),"")</f>
        <v/>
      </c>
      <c r="J207" s="75" t="str">
        <f>IFERROR(IF(VLOOKUP(TableHandbook[[#This Row],[UDC]],TableAvailabilities[],5,FALSE)&gt;0,"Y",""),"")</f>
        <v/>
      </c>
      <c r="K207" s="75" t="str">
        <f>IFERROR(IF(VLOOKUP(TableHandbook[[#This Row],[UDC]],TableAvailabilities[],6,FALSE)&gt;0,"Y",""),"")</f>
        <v/>
      </c>
      <c r="L207" s="75" t="str">
        <f>IFERROR(IF(VLOOKUP(TableHandbook[[#This Row],[UDC]],TableAvailabilities[],7,FALSE)&gt;0,"Y",""),"")</f>
        <v/>
      </c>
      <c r="M207" s="207"/>
      <c r="N207" s="209" t="str">
        <f>IFERROR(VLOOKUP(TableHandbook[[#This Row],[UDC]],TableBEDUC[],7,FALSE),"")</f>
        <v/>
      </c>
      <c r="O207" s="209" t="str">
        <f>IFERROR(VLOOKUP(TableHandbook[[#This Row],[UDC]],TableBEDEC[],7,FALSE),"")</f>
        <v/>
      </c>
      <c r="P207" s="211" t="str">
        <f>IFERROR(VLOOKUP(TableHandbook[[#This Row],[UDC]],TableBEDPR[],7,FALSE),"")</f>
        <v/>
      </c>
      <c r="Q207" s="209" t="str">
        <f>IFERROR(VLOOKUP(TableHandbook[[#This Row],[UDC]],TableSTRUCATHL[],7,FALSE),"")</f>
        <v/>
      </c>
      <c r="R207" s="209" t="str">
        <f>IFERROR(VLOOKUP(TableHandbook[[#This Row],[UDC]],TableSTRUENGLL[],7,FALSE),"")</f>
        <v/>
      </c>
      <c r="S207" s="209" t="str">
        <f>IFERROR(VLOOKUP(TableHandbook[[#This Row],[UDC]],TableSTRUHLTPE[],7,FALSE),"")</f>
        <v/>
      </c>
      <c r="T207" s="209" t="str">
        <f>IFERROR(VLOOKUP(TableHandbook[[#This Row],[UDC]],TableSTRUISTEM[],7,FALSE),"")</f>
        <v/>
      </c>
      <c r="U207" s="209" t="str">
        <f>IFERROR(VLOOKUP(TableHandbook[[#This Row],[UDC]],TableSTRULITNU[],7,FALSE),"")</f>
        <v/>
      </c>
      <c r="V207" s="209" t="str">
        <f>IFERROR(VLOOKUP(TableHandbook[[#This Row],[UDC]],TableSTRUTECHS[],7,FALSE),"")</f>
        <v/>
      </c>
      <c r="W207" s="211" t="str">
        <f>IFERROR(VLOOKUP(TableHandbook[[#This Row],[UDC]],TableBEDSC[],7,FALSE),"")</f>
        <v/>
      </c>
      <c r="X207" s="211" t="str">
        <f>IFERROR(VLOOKUP(TableHandbook[[#This Row],[UDC]],TableMJRUARDR1[],7,FALSE),"")</f>
        <v/>
      </c>
      <c r="Y207" s="209" t="str">
        <f>IFERROR(VLOOKUP(TableHandbook[[#This Row],[UDC]],TableMJRUARME1[],7,FALSE),"")</f>
        <v/>
      </c>
      <c r="Z207" s="209" t="str">
        <f>IFERROR(VLOOKUP(TableHandbook[[#This Row],[UDC]],TableMJRUARVA1[],7,FALSE),"")</f>
        <v/>
      </c>
      <c r="AA207" s="209" t="str">
        <f>IFERROR(VLOOKUP(TableHandbook[[#This Row],[UDC]],TableMJRUENGL1[],7,FALSE),"")</f>
        <v/>
      </c>
      <c r="AB207" s="209" t="str">
        <f>IFERROR(VLOOKUP(TableHandbook[[#This Row],[UDC]],TableMJRUHSEC1[],7,FALSE),"")</f>
        <v/>
      </c>
      <c r="AC207" s="209" t="str">
        <f>IFERROR(VLOOKUP(TableHandbook[[#This Row],[UDC]],TableMJRUHSGE1[],7,FALSE),"")</f>
        <v/>
      </c>
      <c r="AD207" s="209" t="str">
        <f>IFERROR(VLOOKUP(TableHandbook[[#This Row],[UDC]],TableMJRUHSHI1[],7,FALSE),"")</f>
        <v>Core</v>
      </c>
      <c r="AE207" s="209" t="str">
        <f>IFERROR(VLOOKUP(TableHandbook[[#This Row],[UDC]],TableMJRUHSPL1[],7,FALSE),"")</f>
        <v/>
      </c>
      <c r="AF207" s="209" t="str">
        <f>IFERROR(VLOOKUP(TableHandbook[[#This Row],[UDC]],TableMJRUMATH1[],7,FALSE),"")</f>
        <v/>
      </c>
      <c r="AG207" s="209" t="str">
        <f>IFERROR(VLOOKUP(TableHandbook[[#This Row],[UDC]],TableMJRUPHYSE[],7,FALSE),"")</f>
        <v/>
      </c>
      <c r="AH207" s="209" t="str">
        <f>IFERROR(VLOOKUP(TableHandbook[[#This Row],[UDC]],TableMJRUSCBI1[],7,FALSE),"")</f>
        <v/>
      </c>
      <c r="AI207" s="209" t="str">
        <f>IFERROR(VLOOKUP(TableHandbook[[#This Row],[UDC]],TableMJRUSCCH1[],7,FALSE),"")</f>
        <v/>
      </c>
      <c r="AJ207" s="209" t="str">
        <f>IFERROR(VLOOKUP(TableHandbook[[#This Row],[UDC]],TableMJRUSCHB1[],7,FALSE),"")</f>
        <v/>
      </c>
      <c r="AK207" s="209" t="str">
        <f>IFERROR(VLOOKUP(TableHandbook[[#This Row],[UDC]],TableMJRUSCPH1[],7,FALSE),"")</f>
        <v/>
      </c>
      <c r="AL207" s="209" t="str">
        <f>IFERROR(VLOOKUP(TableHandbook[[#This Row],[UDC]],TableMJRUSCPS1[],7,FALSE),"")</f>
        <v/>
      </c>
      <c r="AM207" s="211" t="str">
        <f>IFERROR(VLOOKUP(TableHandbook[[#This Row],[UDC]],TableSTRUBIOLB[],7,FALSE),"")</f>
        <v/>
      </c>
      <c r="AN207" s="209" t="str">
        <f>IFERROR(VLOOKUP(TableHandbook[[#This Row],[UDC]],TableSTRUBSCIM[],7,FALSE),"")</f>
        <v/>
      </c>
      <c r="AO207" s="209" t="str">
        <f>IFERROR(VLOOKUP(TableHandbook[[#This Row],[UDC]],TableSTRUCHEMB[],7,FALSE),"")</f>
        <v/>
      </c>
      <c r="AP207" s="209" t="str">
        <f>IFERROR(VLOOKUP(TableHandbook[[#This Row],[UDC]],TableSTRUECOB1[],7,FALSE),"")</f>
        <v/>
      </c>
      <c r="AQ207" s="209" t="str">
        <f>IFERROR(VLOOKUP(TableHandbook[[#This Row],[UDC]],TableSTRUENGLB[],7,FALSE),"")</f>
        <v/>
      </c>
      <c r="AR207" s="209" t="str">
        <f>IFERROR(VLOOKUP(TableHandbook[[#This Row],[UDC]],TableSTRUENGLM[],7,FALSE),"")</f>
        <v/>
      </c>
      <c r="AS207" s="209" t="str">
        <f>IFERROR(VLOOKUP(TableHandbook[[#This Row],[UDC]],TableSTRUGEOB1[],7,FALSE),"")</f>
        <v/>
      </c>
      <c r="AT207" s="209" t="str">
        <f>IFERROR(VLOOKUP(TableHandbook[[#This Row],[UDC]],TableSTRUGEOGM[],7,FALSE),"")</f>
        <v/>
      </c>
      <c r="AU207" s="209" t="str">
        <f>IFERROR(VLOOKUP(TableHandbook[[#This Row],[UDC]],TableSTRUHISB1[],7,FALSE),"")</f>
        <v/>
      </c>
      <c r="AV207" s="209" t="str">
        <f>IFERROR(VLOOKUP(TableHandbook[[#This Row],[UDC]],TableSTRUHISTM[],7,FALSE),"")</f>
        <v/>
      </c>
      <c r="AW207" s="209" t="str">
        <f>IFERROR(VLOOKUP(TableHandbook[[#This Row],[UDC]],TableSTRUHPEB1[],7,FALSE),"")</f>
        <v/>
      </c>
      <c r="AX207" s="209" t="str">
        <f>IFERROR(VLOOKUP(TableHandbook[[#This Row],[UDC]],TableSTRUHUMBB[],7,FALSE),"")</f>
        <v/>
      </c>
      <c r="AY207" s="209" t="str">
        <f>IFERROR(VLOOKUP(TableHandbook[[#This Row],[UDC]],TableSTRUMARTM[],7,FALSE),"")</f>
        <v/>
      </c>
      <c r="AZ207" s="209" t="str">
        <f>IFERROR(VLOOKUP(TableHandbook[[#This Row],[UDC]],TableSTRUMATHB[],7,FALSE),"")</f>
        <v/>
      </c>
      <c r="BA207" s="209" t="str">
        <f>IFERROR(VLOOKUP(TableHandbook[[#This Row],[UDC]],TableSTRUMATHM[],7,FALSE),"")</f>
        <v/>
      </c>
      <c r="BB207" s="209" t="str">
        <f>IFERROR(VLOOKUP(TableHandbook[[#This Row],[UDC]],TableSTRUPARTB[],7,FALSE),"")</f>
        <v/>
      </c>
      <c r="BC207" s="209" t="str">
        <f>IFERROR(VLOOKUP(TableHandbook[[#This Row],[UDC]],TableSTRUPARTM[],7,FALSE),"")</f>
        <v/>
      </c>
      <c r="BD207" s="209" t="str">
        <f>IFERROR(VLOOKUP(TableHandbook[[#This Row],[UDC]],TableSTRUPOLB1[],7,FALSE),"")</f>
        <v/>
      </c>
      <c r="BE207" s="209" t="str">
        <f>IFERROR(VLOOKUP(TableHandbook[[#This Row],[UDC]],TableSTRUPSYCB[],7,FALSE),"")</f>
        <v/>
      </c>
      <c r="BF207" s="209" t="str">
        <f>IFERROR(VLOOKUP(TableHandbook[[#This Row],[UDC]],TableSTRUPSYCM[],7,FALSE),"")</f>
        <v/>
      </c>
      <c r="BG207" s="209" t="str">
        <f>IFERROR(VLOOKUP(TableHandbook[[#This Row],[UDC]],TableSTRUVARTB[],7,FALSE),"")</f>
        <v/>
      </c>
      <c r="BH207" s="209" t="str">
        <f>IFERROR(VLOOKUP(TableHandbook[[#This Row],[UDC]],TableSTRUVARTM[],7,FALSE),"")</f>
        <v/>
      </c>
    </row>
    <row r="208" spans="1:60" x14ac:dyDescent="0.25">
      <c r="A208" s="6" t="s">
        <v>741</v>
      </c>
      <c r="B208" s="7">
        <v>1</v>
      </c>
      <c r="C208" s="7"/>
      <c r="D208" s="207" t="s">
        <v>1022</v>
      </c>
      <c r="E208" s="7">
        <v>25</v>
      </c>
      <c r="F208" s="84" t="s">
        <v>783</v>
      </c>
      <c r="G208" s="75" t="str">
        <f>IFERROR(IF(VLOOKUP(TableHandbook[[#This Row],[UDC]],TableAvailabilities[],2,FALSE)&gt;0,"Y",""),"")</f>
        <v/>
      </c>
      <c r="H208" s="75" t="str">
        <f>IFERROR(IF(VLOOKUP(TableHandbook[[#This Row],[UDC]],TableAvailabilities[],3,FALSE)&gt;0,"Y",""),"")</f>
        <v/>
      </c>
      <c r="I208" s="75" t="str">
        <f>IFERROR(IF(VLOOKUP(TableHandbook[[#This Row],[UDC]],TableAvailabilities[],4,FALSE)&gt;0,"Y",""),"")</f>
        <v/>
      </c>
      <c r="J208" s="75" t="str">
        <f>IFERROR(IF(VLOOKUP(TableHandbook[[#This Row],[UDC]],TableAvailabilities[],5,FALSE)&gt;0,"Y",""),"")</f>
        <v>Y</v>
      </c>
      <c r="K208" s="75" t="str">
        <f>IFERROR(IF(VLOOKUP(TableHandbook[[#This Row],[UDC]],TableAvailabilities[],6,FALSE)&gt;0,"Y",""),"")</f>
        <v>Y</v>
      </c>
      <c r="L208" s="75" t="str">
        <f>IFERROR(IF(VLOOKUP(TableHandbook[[#This Row],[UDC]],TableAvailabilities[],7,FALSE)&gt;0,"Y",""),"")</f>
        <v/>
      </c>
      <c r="M208" s="207"/>
      <c r="N208" s="209" t="str">
        <f>IFERROR(VLOOKUP(TableHandbook[[#This Row],[UDC]],TableBEDUC[],7,FALSE),"")</f>
        <v/>
      </c>
      <c r="O208" s="209" t="str">
        <f>IFERROR(VLOOKUP(TableHandbook[[#This Row],[UDC]],TableBEDEC[],7,FALSE),"")</f>
        <v/>
      </c>
      <c r="P208" s="211" t="str">
        <f>IFERROR(VLOOKUP(TableHandbook[[#This Row],[UDC]],TableBEDPR[],7,FALSE),"")</f>
        <v/>
      </c>
      <c r="Q208" s="209" t="str">
        <f>IFERROR(VLOOKUP(TableHandbook[[#This Row],[UDC]],TableSTRUCATHL[],7,FALSE),"")</f>
        <v/>
      </c>
      <c r="R208" s="209" t="str">
        <f>IFERROR(VLOOKUP(TableHandbook[[#This Row],[UDC]],TableSTRUENGLL[],7,FALSE),"")</f>
        <v/>
      </c>
      <c r="S208" s="209" t="str">
        <f>IFERROR(VLOOKUP(TableHandbook[[#This Row],[UDC]],TableSTRUHLTPE[],7,FALSE),"")</f>
        <v/>
      </c>
      <c r="T208" s="209" t="str">
        <f>IFERROR(VLOOKUP(TableHandbook[[#This Row],[UDC]],TableSTRUISTEM[],7,FALSE),"")</f>
        <v/>
      </c>
      <c r="U208" s="209" t="str">
        <f>IFERROR(VLOOKUP(TableHandbook[[#This Row],[UDC]],TableSTRULITNU[],7,FALSE),"")</f>
        <v/>
      </c>
      <c r="V208" s="209" t="str">
        <f>IFERROR(VLOOKUP(TableHandbook[[#This Row],[UDC]],TableSTRUTECHS[],7,FALSE),"")</f>
        <v/>
      </c>
      <c r="W208" s="211" t="str">
        <f>IFERROR(VLOOKUP(TableHandbook[[#This Row],[UDC]],TableBEDSC[],7,FALSE),"")</f>
        <v/>
      </c>
      <c r="X208" s="211" t="str">
        <f>IFERROR(VLOOKUP(TableHandbook[[#This Row],[UDC]],TableMJRUARDR1[],7,FALSE),"")</f>
        <v/>
      </c>
      <c r="Y208" s="209" t="str">
        <f>IFERROR(VLOOKUP(TableHandbook[[#This Row],[UDC]],TableMJRUARME1[],7,FALSE),"")</f>
        <v/>
      </c>
      <c r="Z208" s="209" t="str">
        <f>IFERROR(VLOOKUP(TableHandbook[[#This Row],[UDC]],TableMJRUARVA1[],7,FALSE),"")</f>
        <v/>
      </c>
      <c r="AA208" s="209" t="str">
        <f>IFERROR(VLOOKUP(TableHandbook[[#This Row],[UDC]],TableMJRUENGL1[],7,FALSE),"")</f>
        <v/>
      </c>
      <c r="AB208" s="209" t="str">
        <f>IFERROR(VLOOKUP(TableHandbook[[#This Row],[UDC]],TableMJRUHSEC1[],7,FALSE),"")</f>
        <v/>
      </c>
      <c r="AC208" s="209" t="str">
        <f>IFERROR(VLOOKUP(TableHandbook[[#This Row],[UDC]],TableMJRUHSGE1[],7,FALSE),"")</f>
        <v/>
      </c>
      <c r="AD208" s="209" t="str">
        <f>IFERROR(VLOOKUP(TableHandbook[[#This Row],[UDC]],TableMJRUHSHI1[],7,FALSE),"")</f>
        <v/>
      </c>
      <c r="AE208" s="209" t="str">
        <f>IFERROR(VLOOKUP(TableHandbook[[#This Row],[UDC]],TableMJRUHSPL1[],7,FALSE),"")</f>
        <v/>
      </c>
      <c r="AF208" s="209" t="str">
        <f>IFERROR(VLOOKUP(TableHandbook[[#This Row],[UDC]],TableMJRUMATH1[],7,FALSE),"")</f>
        <v/>
      </c>
      <c r="AG208" s="209" t="str">
        <f>IFERROR(VLOOKUP(TableHandbook[[#This Row],[UDC]],TableMJRUPHYSE[],7,FALSE),"")</f>
        <v/>
      </c>
      <c r="AH208" s="209" t="str">
        <f>IFERROR(VLOOKUP(TableHandbook[[#This Row],[UDC]],TableMJRUSCBI1[],7,FALSE),"")</f>
        <v/>
      </c>
      <c r="AI208" s="209" t="str">
        <f>IFERROR(VLOOKUP(TableHandbook[[#This Row],[UDC]],TableMJRUSCCH1[],7,FALSE),"")</f>
        <v/>
      </c>
      <c r="AJ208" s="209" t="str">
        <f>IFERROR(VLOOKUP(TableHandbook[[#This Row],[UDC]],TableMJRUSCHB1[],7,FALSE),"")</f>
        <v/>
      </c>
      <c r="AK208" s="209" t="str">
        <f>IFERROR(VLOOKUP(TableHandbook[[#This Row],[UDC]],TableMJRUSCPH1[],7,FALSE),"")</f>
        <v/>
      </c>
      <c r="AL208" s="209" t="str">
        <f>IFERROR(VLOOKUP(TableHandbook[[#This Row],[UDC]],TableMJRUSCPS1[],7,FALSE),"")</f>
        <v/>
      </c>
      <c r="AM208" s="211" t="str">
        <f>IFERROR(VLOOKUP(TableHandbook[[#This Row],[UDC]],TableSTRUBIOLB[],7,FALSE),"")</f>
        <v/>
      </c>
      <c r="AN208" s="209" t="str">
        <f>IFERROR(VLOOKUP(TableHandbook[[#This Row],[UDC]],TableSTRUBSCIM[],7,FALSE),"")</f>
        <v/>
      </c>
      <c r="AO208" s="209" t="str">
        <f>IFERROR(VLOOKUP(TableHandbook[[#This Row],[UDC]],TableSTRUCHEMB[],7,FALSE),"")</f>
        <v/>
      </c>
      <c r="AP208" s="209" t="str">
        <f>IFERROR(VLOOKUP(TableHandbook[[#This Row],[UDC]],TableSTRUECOB1[],7,FALSE),"")</f>
        <v/>
      </c>
      <c r="AQ208" s="209" t="str">
        <f>IFERROR(VLOOKUP(TableHandbook[[#This Row],[UDC]],TableSTRUENGLB[],7,FALSE),"")</f>
        <v/>
      </c>
      <c r="AR208" s="209" t="str">
        <f>IFERROR(VLOOKUP(TableHandbook[[#This Row],[UDC]],TableSTRUENGLM[],7,FALSE),"")</f>
        <v/>
      </c>
      <c r="AS208" s="209" t="str">
        <f>IFERROR(VLOOKUP(TableHandbook[[#This Row],[UDC]],TableSTRUGEOB1[],7,FALSE),"")</f>
        <v/>
      </c>
      <c r="AT208" s="209" t="str">
        <f>IFERROR(VLOOKUP(TableHandbook[[#This Row],[UDC]],TableSTRUGEOGM[],7,FALSE),"")</f>
        <v/>
      </c>
      <c r="AU208" s="209" t="str">
        <f>IFERROR(VLOOKUP(TableHandbook[[#This Row],[UDC]],TableSTRUHISB1[],7,FALSE),"")</f>
        <v/>
      </c>
      <c r="AV208" s="209" t="str">
        <f>IFERROR(VLOOKUP(TableHandbook[[#This Row],[UDC]],TableSTRUHISTM[],7,FALSE),"")</f>
        <v/>
      </c>
      <c r="AW208" s="209" t="str">
        <f>IFERROR(VLOOKUP(TableHandbook[[#This Row],[UDC]],TableSTRUHPEB1[],7,FALSE),"")</f>
        <v>Core</v>
      </c>
      <c r="AX208" s="209" t="str">
        <f>IFERROR(VLOOKUP(TableHandbook[[#This Row],[UDC]],TableSTRUHUMBB[],7,FALSE),"")</f>
        <v/>
      </c>
      <c r="AY208" s="209" t="str">
        <f>IFERROR(VLOOKUP(TableHandbook[[#This Row],[UDC]],TableSTRUMARTM[],7,FALSE),"")</f>
        <v/>
      </c>
      <c r="AZ208" s="209" t="str">
        <f>IFERROR(VLOOKUP(TableHandbook[[#This Row],[UDC]],TableSTRUMATHB[],7,FALSE),"")</f>
        <v/>
      </c>
      <c r="BA208" s="209" t="str">
        <f>IFERROR(VLOOKUP(TableHandbook[[#This Row],[UDC]],TableSTRUMATHM[],7,FALSE),"")</f>
        <v/>
      </c>
      <c r="BB208" s="209" t="str">
        <f>IFERROR(VLOOKUP(TableHandbook[[#This Row],[UDC]],TableSTRUPARTB[],7,FALSE),"")</f>
        <v/>
      </c>
      <c r="BC208" s="209" t="str">
        <f>IFERROR(VLOOKUP(TableHandbook[[#This Row],[UDC]],TableSTRUPARTM[],7,FALSE),"")</f>
        <v/>
      </c>
      <c r="BD208" s="209" t="str">
        <f>IFERROR(VLOOKUP(TableHandbook[[#This Row],[UDC]],TableSTRUPOLB1[],7,FALSE),"")</f>
        <v/>
      </c>
      <c r="BE208" s="209" t="str">
        <f>IFERROR(VLOOKUP(TableHandbook[[#This Row],[UDC]],TableSTRUPSYCB[],7,FALSE),"")</f>
        <v/>
      </c>
      <c r="BF208" s="209" t="str">
        <f>IFERROR(VLOOKUP(TableHandbook[[#This Row],[UDC]],TableSTRUPSYCM[],7,FALSE),"")</f>
        <v/>
      </c>
      <c r="BG208" s="209" t="str">
        <f>IFERROR(VLOOKUP(TableHandbook[[#This Row],[UDC]],TableSTRUVARTB[],7,FALSE),"")</f>
        <v/>
      </c>
      <c r="BH208" s="209" t="str">
        <f>IFERROR(VLOOKUP(TableHandbook[[#This Row],[UDC]],TableSTRUVARTM[],7,FALSE),"")</f>
        <v/>
      </c>
    </row>
    <row r="209" spans="1:60" x14ac:dyDescent="0.25">
      <c r="A209" s="6" t="s">
        <v>458</v>
      </c>
      <c r="B209" s="7">
        <v>1</v>
      </c>
      <c r="C209" s="7"/>
      <c r="D209" s="207" t="s">
        <v>1023</v>
      </c>
      <c r="E209" s="7">
        <v>25</v>
      </c>
      <c r="F209" s="84" t="s">
        <v>783</v>
      </c>
      <c r="G209" s="75" t="str">
        <f>IFERROR(IF(VLOOKUP(TableHandbook[[#This Row],[UDC]],TableAvailabilities[],2,FALSE)&gt;0,"Y",""),"")</f>
        <v>Y</v>
      </c>
      <c r="H209" s="75" t="str">
        <f>IFERROR(IF(VLOOKUP(TableHandbook[[#This Row],[UDC]],TableAvailabilities[],3,FALSE)&gt;0,"Y",""),"")</f>
        <v>Y</v>
      </c>
      <c r="I209" s="75" t="str">
        <f>IFERROR(IF(VLOOKUP(TableHandbook[[#This Row],[UDC]],TableAvailabilities[],4,FALSE)&gt;0,"Y",""),"")</f>
        <v>Y</v>
      </c>
      <c r="J209" s="75" t="str">
        <f>IFERROR(IF(VLOOKUP(TableHandbook[[#This Row],[UDC]],TableAvailabilities[],5,FALSE)&gt;0,"Y",""),"")</f>
        <v>Y</v>
      </c>
      <c r="K209" s="75" t="str">
        <f>IFERROR(IF(VLOOKUP(TableHandbook[[#This Row],[UDC]],TableAvailabilities[],6,FALSE)&gt;0,"Y",""),"")</f>
        <v>Y</v>
      </c>
      <c r="L209" s="75" t="str">
        <f>IFERROR(IF(VLOOKUP(TableHandbook[[#This Row],[UDC]],TableAvailabilities[],7,FALSE)&gt;0,"Y",""),"")</f>
        <v>Y</v>
      </c>
      <c r="M209" s="207"/>
      <c r="N209" s="209" t="str">
        <f>IFERROR(VLOOKUP(TableHandbook[[#This Row],[UDC]],TableBEDUC[],7,FALSE),"")</f>
        <v/>
      </c>
      <c r="O209" s="209" t="str">
        <f>IFERROR(VLOOKUP(TableHandbook[[#This Row],[UDC]],TableBEDEC[],7,FALSE),"")</f>
        <v/>
      </c>
      <c r="P209" s="211" t="str">
        <f>IFERROR(VLOOKUP(TableHandbook[[#This Row],[UDC]],TableBEDPR[],7,FALSE),"")</f>
        <v/>
      </c>
      <c r="Q209" s="209" t="str">
        <f>IFERROR(VLOOKUP(TableHandbook[[#This Row],[UDC]],TableSTRUCATHL[],7,FALSE),"")</f>
        <v/>
      </c>
      <c r="R209" s="209" t="str">
        <f>IFERROR(VLOOKUP(TableHandbook[[#This Row],[UDC]],TableSTRUENGLL[],7,FALSE),"")</f>
        <v/>
      </c>
      <c r="S209" s="209" t="str">
        <f>IFERROR(VLOOKUP(TableHandbook[[#This Row],[UDC]],TableSTRUHLTPE[],7,FALSE),"")</f>
        <v/>
      </c>
      <c r="T209" s="209" t="str">
        <f>IFERROR(VLOOKUP(TableHandbook[[#This Row],[UDC]],TableSTRUISTEM[],7,FALSE),"")</f>
        <v/>
      </c>
      <c r="U209" s="209" t="str">
        <f>IFERROR(VLOOKUP(TableHandbook[[#This Row],[UDC]],TableSTRULITNU[],7,FALSE),"")</f>
        <v/>
      </c>
      <c r="V209" s="209" t="str">
        <f>IFERROR(VLOOKUP(TableHandbook[[#This Row],[UDC]],TableSTRUTECHS[],7,FALSE),"")</f>
        <v/>
      </c>
      <c r="W209" s="211" t="str">
        <f>IFERROR(VLOOKUP(TableHandbook[[#This Row],[UDC]],TableBEDSC[],7,FALSE),"")</f>
        <v/>
      </c>
      <c r="X209" s="211" t="str">
        <f>IFERROR(VLOOKUP(TableHandbook[[#This Row],[UDC]],TableMJRUARDR1[],7,FALSE),"")</f>
        <v/>
      </c>
      <c r="Y209" s="209" t="str">
        <f>IFERROR(VLOOKUP(TableHandbook[[#This Row],[UDC]],TableMJRUARME1[],7,FALSE),"")</f>
        <v/>
      </c>
      <c r="Z209" s="209" t="str">
        <f>IFERROR(VLOOKUP(TableHandbook[[#This Row],[UDC]],TableMJRUARVA1[],7,FALSE),"")</f>
        <v/>
      </c>
      <c r="AA209" s="209" t="str">
        <f>IFERROR(VLOOKUP(TableHandbook[[#This Row],[UDC]],TableMJRUENGL1[],7,FALSE),"")</f>
        <v/>
      </c>
      <c r="AB209" s="209" t="str">
        <f>IFERROR(VLOOKUP(TableHandbook[[#This Row],[UDC]],TableMJRUHSEC1[],7,FALSE),"")</f>
        <v/>
      </c>
      <c r="AC209" s="209" t="str">
        <f>IFERROR(VLOOKUP(TableHandbook[[#This Row],[UDC]],TableMJRUHSGE1[],7,FALSE),"")</f>
        <v/>
      </c>
      <c r="AD209" s="209" t="str">
        <f>IFERROR(VLOOKUP(TableHandbook[[#This Row],[UDC]],TableMJRUHSHI1[],7,FALSE),"")</f>
        <v/>
      </c>
      <c r="AE209" s="209" t="str">
        <f>IFERROR(VLOOKUP(TableHandbook[[#This Row],[UDC]],TableMJRUHSPL1[],7,FALSE),"")</f>
        <v/>
      </c>
      <c r="AF209" s="209" t="str">
        <f>IFERROR(VLOOKUP(TableHandbook[[#This Row],[UDC]],TableMJRUMATH1[],7,FALSE),"")</f>
        <v/>
      </c>
      <c r="AG209" s="209" t="str">
        <f>IFERROR(VLOOKUP(TableHandbook[[#This Row],[UDC]],TableMJRUPHYSE[],7,FALSE),"")</f>
        <v/>
      </c>
      <c r="AH209" s="209" t="str">
        <f>IFERROR(VLOOKUP(TableHandbook[[#This Row],[UDC]],TableMJRUSCBI1[],7,FALSE),"")</f>
        <v>AltCore</v>
      </c>
      <c r="AI209" s="209" t="str">
        <f>IFERROR(VLOOKUP(TableHandbook[[#This Row],[UDC]],TableMJRUSCCH1[],7,FALSE),"")</f>
        <v/>
      </c>
      <c r="AJ209" s="209" t="str">
        <f>IFERROR(VLOOKUP(TableHandbook[[#This Row],[UDC]],TableMJRUSCHB1[],7,FALSE),"")</f>
        <v>Core</v>
      </c>
      <c r="AK209" s="209" t="str">
        <f>IFERROR(VLOOKUP(TableHandbook[[#This Row],[UDC]],TableMJRUSCPH1[],7,FALSE),"")</f>
        <v/>
      </c>
      <c r="AL209" s="209" t="str">
        <f>IFERROR(VLOOKUP(TableHandbook[[#This Row],[UDC]],TableMJRUSCPS1[],7,FALSE),"")</f>
        <v/>
      </c>
      <c r="AM209" s="211" t="str">
        <f>IFERROR(VLOOKUP(TableHandbook[[#This Row],[UDC]],TableSTRUBIOLB[],7,FALSE),"")</f>
        <v>Core</v>
      </c>
      <c r="AN209" s="209" t="str">
        <f>IFERROR(VLOOKUP(TableHandbook[[#This Row],[UDC]],TableSTRUBSCIM[],7,FALSE),"")</f>
        <v>AltCore</v>
      </c>
      <c r="AO209" s="209" t="str">
        <f>IFERROR(VLOOKUP(TableHandbook[[#This Row],[UDC]],TableSTRUCHEMB[],7,FALSE),"")</f>
        <v>Core</v>
      </c>
      <c r="AP209" s="209" t="str">
        <f>IFERROR(VLOOKUP(TableHandbook[[#This Row],[UDC]],TableSTRUECOB1[],7,FALSE),"")</f>
        <v/>
      </c>
      <c r="AQ209" s="209" t="str">
        <f>IFERROR(VLOOKUP(TableHandbook[[#This Row],[UDC]],TableSTRUENGLB[],7,FALSE),"")</f>
        <v/>
      </c>
      <c r="AR209" s="209" t="str">
        <f>IFERROR(VLOOKUP(TableHandbook[[#This Row],[UDC]],TableSTRUENGLM[],7,FALSE),"")</f>
        <v/>
      </c>
      <c r="AS209" s="209" t="str">
        <f>IFERROR(VLOOKUP(TableHandbook[[#This Row],[UDC]],TableSTRUGEOB1[],7,FALSE),"")</f>
        <v/>
      </c>
      <c r="AT209" s="209" t="str">
        <f>IFERROR(VLOOKUP(TableHandbook[[#This Row],[UDC]],TableSTRUGEOGM[],7,FALSE),"")</f>
        <v/>
      </c>
      <c r="AU209" s="209" t="str">
        <f>IFERROR(VLOOKUP(TableHandbook[[#This Row],[UDC]],TableSTRUHISB1[],7,FALSE),"")</f>
        <v/>
      </c>
      <c r="AV209" s="209" t="str">
        <f>IFERROR(VLOOKUP(TableHandbook[[#This Row],[UDC]],TableSTRUHISTM[],7,FALSE),"")</f>
        <v/>
      </c>
      <c r="AW209" s="209" t="str">
        <f>IFERROR(VLOOKUP(TableHandbook[[#This Row],[UDC]],TableSTRUHPEB1[],7,FALSE),"")</f>
        <v/>
      </c>
      <c r="AX209" s="209" t="str">
        <f>IFERROR(VLOOKUP(TableHandbook[[#This Row],[UDC]],TableSTRUHUMBB[],7,FALSE),"")</f>
        <v/>
      </c>
      <c r="AY209" s="209" t="str">
        <f>IFERROR(VLOOKUP(TableHandbook[[#This Row],[UDC]],TableSTRUMARTM[],7,FALSE),"")</f>
        <v/>
      </c>
      <c r="AZ209" s="209" t="str">
        <f>IFERROR(VLOOKUP(TableHandbook[[#This Row],[UDC]],TableSTRUMATHB[],7,FALSE),"")</f>
        <v/>
      </c>
      <c r="BA209" s="209" t="str">
        <f>IFERROR(VLOOKUP(TableHandbook[[#This Row],[UDC]],TableSTRUMATHM[],7,FALSE),"")</f>
        <v/>
      </c>
      <c r="BB209" s="209" t="str">
        <f>IFERROR(VLOOKUP(TableHandbook[[#This Row],[UDC]],TableSTRUPARTB[],7,FALSE),"")</f>
        <v/>
      </c>
      <c r="BC209" s="209" t="str">
        <f>IFERROR(VLOOKUP(TableHandbook[[#This Row],[UDC]],TableSTRUPARTM[],7,FALSE),"")</f>
        <v/>
      </c>
      <c r="BD209" s="209" t="str">
        <f>IFERROR(VLOOKUP(TableHandbook[[#This Row],[UDC]],TableSTRUPOLB1[],7,FALSE),"")</f>
        <v/>
      </c>
      <c r="BE209" s="209" t="str">
        <f>IFERROR(VLOOKUP(TableHandbook[[#This Row],[UDC]],TableSTRUPSYCB[],7,FALSE),"")</f>
        <v/>
      </c>
      <c r="BF209" s="209" t="str">
        <f>IFERROR(VLOOKUP(TableHandbook[[#This Row],[UDC]],TableSTRUPSYCM[],7,FALSE),"")</f>
        <v/>
      </c>
      <c r="BG209" s="209" t="str">
        <f>IFERROR(VLOOKUP(TableHandbook[[#This Row],[UDC]],TableSTRUVARTB[],7,FALSE),"")</f>
        <v/>
      </c>
      <c r="BH209" s="209" t="str">
        <f>IFERROR(VLOOKUP(TableHandbook[[#This Row],[UDC]],TableSTRUVARTM[],7,FALSE),"")</f>
        <v/>
      </c>
    </row>
    <row r="210" spans="1:60" x14ac:dyDescent="0.25">
      <c r="A210" s="6" t="s">
        <v>480</v>
      </c>
      <c r="B210" s="7">
        <v>1</v>
      </c>
      <c r="C210" s="7"/>
      <c r="D210" s="207" t="s">
        <v>1024</v>
      </c>
      <c r="E210" s="7">
        <v>25</v>
      </c>
      <c r="F210" s="311" t="s">
        <v>458</v>
      </c>
      <c r="G210" s="75" t="str">
        <f>IFERROR(IF(VLOOKUP(TableHandbook[[#This Row],[UDC]],TableAvailabilities[],2,FALSE)&gt;0,"Y",""),"")</f>
        <v>Y</v>
      </c>
      <c r="H210" s="75" t="str">
        <f>IFERROR(IF(VLOOKUP(TableHandbook[[#This Row],[UDC]],TableAvailabilities[],3,FALSE)&gt;0,"Y",""),"")</f>
        <v>Y</v>
      </c>
      <c r="I210" s="75" t="str">
        <f>IFERROR(IF(VLOOKUP(TableHandbook[[#This Row],[UDC]],TableAvailabilities[],4,FALSE)&gt;0,"Y",""),"")</f>
        <v/>
      </c>
      <c r="J210" s="75" t="str">
        <f>IFERROR(IF(VLOOKUP(TableHandbook[[#This Row],[UDC]],TableAvailabilities[],5,FALSE)&gt;0,"Y",""),"")</f>
        <v>Y</v>
      </c>
      <c r="K210" s="75" t="str">
        <f>IFERROR(IF(VLOOKUP(TableHandbook[[#This Row],[UDC]],TableAvailabilities[],6,FALSE)&gt;0,"Y",""),"")</f>
        <v>Y</v>
      </c>
      <c r="L210" s="75" t="str">
        <f>IFERROR(IF(VLOOKUP(TableHandbook[[#This Row],[UDC]],TableAvailabilities[],7,FALSE)&gt;0,"Y",""),"")</f>
        <v/>
      </c>
      <c r="M210" s="207"/>
      <c r="N210" s="209" t="str">
        <f>IFERROR(VLOOKUP(TableHandbook[[#This Row],[UDC]],TableBEDUC[],7,FALSE),"")</f>
        <v/>
      </c>
      <c r="O210" s="209" t="str">
        <f>IFERROR(VLOOKUP(TableHandbook[[#This Row],[UDC]],TableBEDEC[],7,FALSE),"")</f>
        <v/>
      </c>
      <c r="P210" s="211" t="str">
        <f>IFERROR(VLOOKUP(TableHandbook[[#This Row],[UDC]],TableBEDPR[],7,FALSE),"")</f>
        <v/>
      </c>
      <c r="Q210" s="209" t="str">
        <f>IFERROR(VLOOKUP(TableHandbook[[#This Row],[UDC]],TableSTRUCATHL[],7,FALSE),"")</f>
        <v/>
      </c>
      <c r="R210" s="209" t="str">
        <f>IFERROR(VLOOKUP(TableHandbook[[#This Row],[UDC]],TableSTRUENGLL[],7,FALSE),"")</f>
        <v/>
      </c>
      <c r="S210" s="209" t="str">
        <f>IFERROR(VLOOKUP(TableHandbook[[#This Row],[UDC]],TableSTRUHLTPE[],7,FALSE),"")</f>
        <v/>
      </c>
      <c r="T210" s="209" t="str">
        <f>IFERROR(VLOOKUP(TableHandbook[[#This Row],[UDC]],TableSTRUISTEM[],7,FALSE),"")</f>
        <v/>
      </c>
      <c r="U210" s="209" t="str">
        <f>IFERROR(VLOOKUP(TableHandbook[[#This Row],[UDC]],TableSTRULITNU[],7,FALSE),"")</f>
        <v/>
      </c>
      <c r="V210" s="209" t="str">
        <f>IFERROR(VLOOKUP(TableHandbook[[#This Row],[UDC]],TableSTRUTECHS[],7,FALSE),"")</f>
        <v/>
      </c>
      <c r="W210" s="211" t="str">
        <f>IFERROR(VLOOKUP(TableHandbook[[#This Row],[UDC]],TableBEDSC[],7,FALSE),"")</f>
        <v/>
      </c>
      <c r="X210" s="211" t="str">
        <f>IFERROR(VLOOKUP(TableHandbook[[#This Row],[UDC]],TableMJRUARDR1[],7,FALSE),"")</f>
        <v/>
      </c>
      <c r="Y210" s="209" t="str">
        <f>IFERROR(VLOOKUP(TableHandbook[[#This Row],[UDC]],TableMJRUARME1[],7,FALSE),"")</f>
        <v/>
      </c>
      <c r="Z210" s="209" t="str">
        <f>IFERROR(VLOOKUP(TableHandbook[[#This Row],[UDC]],TableMJRUARVA1[],7,FALSE),"")</f>
        <v/>
      </c>
      <c r="AA210" s="209" t="str">
        <f>IFERROR(VLOOKUP(TableHandbook[[#This Row],[UDC]],TableMJRUENGL1[],7,FALSE),"")</f>
        <v/>
      </c>
      <c r="AB210" s="209" t="str">
        <f>IFERROR(VLOOKUP(TableHandbook[[#This Row],[UDC]],TableMJRUHSEC1[],7,FALSE),"")</f>
        <v/>
      </c>
      <c r="AC210" s="209" t="str">
        <f>IFERROR(VLOOKUP(TableHandbook[[#This Row],[UDC]],TableMJRUHSGE1[],7,FALSE),"")</f>
        <v/>
      </c>
      <c r="AD210" s="209" t="str">
        <f>IFERROR(VLOOKUP(TableHandbook[[#This Row],[UDC]],TableMJRUHSHI1[],7,FALSE),"")</f>
        <v/>
      </c>
      <c r="AE210" s="209" t="str">
        <f>IFERROR(VLOOKUP(TableHandbook[[#This Row],[UDC]],TableMJRUHSPL1[],7,FALSE),"")</f>
        <v/>
      </c>
      <c r="AF210" s="209" t="str">
        <f>IFERROR(VLOOKUP(TableHandbook[[#This Row],[UDC]],TableMJRUMATH1[],7,FALSE),"")</f>
        <v/>
      </c>
      <c r="AG210" s="209" t="str">
        <f>IFERROR(VLOOKUP(TableHandbook[[#This Row],[UDC]],TableMJRUPHYSE[],7,FALSE),"")</f>
        <v/>
      </c>
      <c r="AH210" s="209" t="str">
        <f>IFERROR(VLOOKUP(TableHandbook[[#This Row],[UDC]],TableMJRUSCBI1[],7,FALSE),"")</f>
        <v/>
      </c>
      <c r="AI210" s="209" t="str">
        <f>IFERROR(VLOOKUP(TableHandbook[[#This Row],[UDC]],TableMJRUSCCH1[],7,FALSE),"")</f>
        <v/>
      </c>
      <c r="AJ210" s="209" t="str">
        <f>IFERROR(VLOOKUP(TableHandbook[[#This Row],[UDC]],TableMJRUSCHB1[],7,FALSE),"")</f>
        <v>Core</v>
      </c>
      <c r="AK210" s="209" t="str">
        <f>IFERROR(VLOOKUP(TableHandbook[[#This Row],[UDC]],TableMJRUSCPH1[],7,FALSE),"")</f>
        <v/>
      </c>
      <c r="AL210" s="209" t="str">
        <f>IFERROR(VLOOKUP(TableHandbook[[#This Row],[UDC]],TableMJRUSCPS1[],7,FALSE),"")</f>
        <v/>
      </c>
      <c r="AM210" s="211" t="str">
        <f>IFERROR(VLOOKUP(TableHandbook[[#This Row],[UDC]],TableSTRUBIOLB[],7,FALSE),"")</f>
        <v/>
      </c>
      <c r="AN210" s="209" t="str">
        <f>IFERROR(VLOOKUP(TableHandbook[[#This Row],[UDC]],TableSTRUBSCIM[],7,FALSE),"")</f>
        <v>AltCore</v>
      </c>
      <c r="AO210" s="209" t="str">
        <f>IFERROR(VLOOKUP(TableHandbook[[#This Row],[UDC]],TableSTRUCHEMB[],7,FALSE),"")</f>
        <v/>
      </c>
      <c r="AP210" s="209" t="str">
        <f>IFERROR(VLOOKUP(TableHandbook[[#This Row],[UDC]],TableSTRUECOB1[],7,FALSE),"")</f>
        <v/>
      </c>
      <c r="AQ210" s="209" t="str">
        <f>IFERROR(VLOOKUP(TableHandbook[[#This Row],[UDC]],TableSTRUENGLB[],7,FALSE),"")</f>
        <v/>
      </c>
      <c r="AR210" s="209" t="str">
        <f>IFERROR(VLOOKUP(TableHandbook[[#This Row],[UDC]],TableSTRUENGLM[],7,FALSE),"")</f>
        <v/>
      </c>
      <c r="AS210" s="209" t="str">
        <f>IFERROR(VLOOKUP(TableHandbook[[#This Row],[UDC]],TableSTRUGEOB1[],7,FALSE),"")</f>
        <v/>
      </c>
      <c r="AT210" s="209" t="str">
        <f>IFERROR(VLOOKUP(TableHandbook[[#This Row],[UDC]],TableSTRUGEOGM[],7,FALSE),"")</f>
        <v/>
      </c>
      <c r="AU210" s="209" t="str">
        <f>IFERROR(VLOOKUP(TableHandbook[[#This Row],[UDC]],TableSTRUHISB1[],7,FALSE),"")</f>
        <v/>
      </c>
      <c r="AV210" s="209" t="str">
        <f>IFERROR(VLOOKUP(TableHandbook[[#This Row],[UDC]],TableSTRUHISTM[],7,FALSE),"")</f>
        <v/>
      </c>
      <c r="AW210" s="209" t="str">
        <f>IFERROR(VLOOKUP(TableHandbook[[#This Row],[UDC]],TableSTRUHPEB1[],7,FALSE),"")</f>
        <v/>
      </c>
      <c r="AX210" s="209" t="str">
        <f>IFERROR(VLOOKUP(TableHandbook[[#This Row],[UDC]],TableSTRUHUMBB[],7,FALSE),"")</f>
        <v/>
      </c>
      <c r="AY210" s="209" t="str">
        <f>IFERROR(VLOOKUP(TableHandbook[[#This Row],[UDC]],TableSTRUMARTM[],7,FALSE),"")</f>
        <v/>
      </c>
      <c r="AZ210" s="209" t="str">
        <f>IFERROR(VLOOKUP(TableHandbook[[#This Row],[UDC]],TableSTRUMATHB[],7,FALSE),"")</f>
        <v/>
      </c>
      <c r="BA210" s="209" t="str">
        <f>IFERROR(VLOOKUP(TableHandbook[[#This Row],[UDC]],TableSTRUMATHM[],7,FALSE),"")</f>
        <v/>
      </c>
      <c r="BB210" s="209" t="str">
        <f>IFERROR(VLOOKUP(TableHandbook[[#This Row],[UDC]],TableSTRUPARTB[],7,FALSE),"")</f>
        <v/>
      </c>
      <c r="BC210" s="209" t="str">
        <f>IFERROR(VLOOKUP(TableHandbook[[#This Row],[UDC]],TableSTRUPARTM[],7,FALSE),"")</f>
        <v/>
      </c>
      <c r="BD210" s="209" t="str">
        <f>IFERROR(VLOOKUP(TableHandbook[[#This Row],[UDC]],TableSTRUPOLB1[],7,FALSE),"")</f>
        <v/>
      </c>
      <c r="BE210" s="209" t="str">
        <f>IFERROR(VLOOKUP(TableHandbook[[#This Row],[UDC]],TableSTRUPSYCB[],7,FALSE),"")</f>
        <v/>
      </c>
      <c r="BF210" s="209" t="str">
        <f>IFERROR(VLOOKUP(TableHandbook[[#This Row],[UDC]],TableSTRUPSYCM[],7,FALSE),"")</f>
        <v/>
      </c>
      <c r="BG210" s="209" t="str">
        <f>IFERROR(VLOOKUP(TableHandbook[[#This Row],[UDC]],TableSTRUVARTB[],7,FALSE),"")</f>
        <v/>
      </c>
      <c r="BH210" s="209" t="str">
        <f>IFERROR(VLOOKUP(TableHandbook[[#This Row],[UDC]],TableSTRUVARTM[],7,FALSE),"")</f>
        <v/>
      </c>
    </row>
    <row r="211" spans="1:60" x14ac:dyDescent="0.25">
      <c r="A211" s="6" t="s">
        <v>696</v>
      </c>
      <c r="B211" s="7">
        <v>1</v>
      </c>
      <c r="C211" s="7"/>
      <c r="D211" s="207" t="s">
        <v>1025</v>
      </c>
      <c r="E211" s="7">
        <v>25</v>
      </c>
      <c r="F211" s="311" t="s">
        <v>1026</v>
      </c>
      <c r="G211" s="75" t="str">
        <f>IFERROR(IF(VLOOKUP(TableHandbook[[#This Row],[UDC]],TableAvailabilities[],2,FALSE)&gt;0,"Y",""),"")</f>
        <v/>
      </c>
      <c r="H211" s="75" t="str">
        <f>IFERROR(IF(VLOOKUP(TableHandbook[[#This Row],[UDC]],TableAvailabilities[],3,FALSE)&gt;0,"Y",""),"")</f>
        <v/>
      </c>
      <c r="I211" s="75" t="str">
        <f>IFERROR(IF(VLOOKUP(TableHandbook[[#This Row],[UDC]],TableAvailabilities[],4,FALSE)&gt;0,"Y",""),"")</f>
        <v/>
      </c>
      <c r="J211" s="75" t="str">
        <f>IFERROR(IF(VLOOKUP(TableHandbook[[#This Row],[UDC]],TableAvailabilities[],5,FALSE)&gt;0,"Y",""),"")</f>
        <v>Y</v>
      </c>
      <c r="K211" s="75" t="str">
        <f>IFERROR(IF(VLOOKUP(TableHandbook[[#This Row],[UDC]],TableAvailabilities[],6,FALSE)&gt;0,"Y",""),"")</f>
        <v/>
      </c>
      <c r="L211" s="75" t="str">
        <f>IFERROR(IF(VLOOKUP(TableHandbook[[#This Row],[UDC]],TableAvailabilities[],7,FALSE)&gt;0,"Y",""),"")</f>
        <v/>
      </c>
      <c r="M211" s="207"/>
      <c r="N211" s="209" t="str">
        <f>IFERROR(VLOOKUP(TableHandbook[[#This Row],[UDC]],TableBEDUC[],7,FALSE),"")</f>
        <v/>
      </c>
      <c r="O211" s="209" t="str">
        <f>IFERROR(VLOOKUP(TableHandbook[[#This Row],[UDC]],TableBEDEC[],7,FALSE),"")</f>
        <v/>
      </c>
      <c r="P211" s="211" t="str">
        <f>IFERROR(VLOOKUP(TableHandbook[[#This Row],[UDC]],TableBEDPR[],7,FALSE),"")</f>
        <v/>
      </c>
      <c r="Q211" s="209" t="str">
        <f>IFERROR(VLOOKUP(TableHandbook[[#This Row],[UDC]],TableSTRUCATHL[],7,FALSE),"")</f>
        <v/>
      </c>
      <c r="R211" s="209" t="str">
        <f>IFERROR(VLOOKUP(TableHandbook[[#This Row],[UDC]],TableSTRUENGLL[],7,FALSE),"")</f>
        <v/>
      </c>
      <c r="S211" s="209" t="str">
        <f>IFERROR(VLOOKUP(TableHandbook[[#This Row],[UDC]],TableSTRUHLTPE[],7,FALSE),"")</f>
        <v/>
      </c>
      <c r="T211" s="209" t="str">
        <f>IFERROR(VLOOKUP(TableHandbook[[#This Row],[UDC]],TableSTRUISTEM[],7,FALSE),"")</f>
        <v/>
      </c>
      <c r="U211" s="209" t="str">
        <f>IFERROR(VLOOKUP(TableHandbook[[#This Row],[UDC]],TableSTRULITNU[],7,FALSE),"")</f>
        <v/>
      </c>
      <c r="V211" s="209" t="str">
        <f>IFERROR(VLOOKUP(TableHandbook[[#This Row],[UDC]],TableSTRUTECHS[],7,FALSE),"")</f>
        <v/>
      </c>
      <c r="W211" s="211" t="str">
        <f>IFERROR(VLOOKUP(TableHandbook[[#This Row],[UDC]],TableBEDSC[],7,FALSE),"")</f>
        <v/>
      </c>
      <c r="X211" s="211" t="str">
        <f>IFERROR(VLOOKUP(TableHandbook[[#This Row],[UDC]],TableMJRUARDR1[],7,FALSE),"")</f>
        <v/>
      </c>
      <c r="Y211" s="209" t="str">
        <f>IFERROR(VLOOKUP(TableHandbook[[#This Row],[UDC]],TableMJRUARME1[],7,FALSE),"")</f>
        <v/>
      </c>
      <c r="Z211" s="209" t="str">
        <f>IFERROR(VLOOKUP(TableHandbook[[#This Row],[UDC]],TableMJRUARVA1[],7,FALSE),"")</f>
        <v/>
      </c>
      <c r="AA211" s="209" t="str">
        <f>IFERROR(VLOOKUP(TableHandbook[[#This Row],[UDC]],TableMJRUENGL1[],7,FALSE),"")</f>
        <v/>
      </c>
      <c r="AB211" s="209" t="str">
        <f>IFERROR(VLOOKUP(TableHandbook[[#This Row],[UDC]],TableMJRUHSEC1[],7,FALSE),"")</f>
        <v/>
      </c>
      <c r="AC211" s="209" t="str">
        <f>IFERROR(VLOOKUP(TableHandbook[[#This Row],[UDC]],TableMJRUHSGE1[],7,FALSE),"")</f>
        <v/>
      </c>
      <c r="AD211" s="209" t="str">
        <f>IFERROR(VLOOKUP(TableHandbook[[#This Row],[UDC]],TableMJRUHSHI1[],7,FALSE),"")</f>
        <v/>
      </c>
      <c r="AE211" s="209" t="str">
        <f>IFERROR(VLOOKUP(TableHandbook[[#This Row],[UDC]],TableMJRUHSPL1[],7,FALSE),"")</f>
        <v/>
      </c>
      <c r="AF211" s="209" t="str">
        <f>IFERROR(VLOOKUP(TableHandbook[[#This Row],[UDC]],TableMJRUMATH1[],7,FALSE),"")</f>
        <v/>
      </c>
      <c r="AG211" s="209" t="str">
        <f>IFERROR(VLOOKUP(TableHandbook[[#This Row],[UDC]],TableMJRUPHYSE[],7,FALSE),"")</f>
        <v/>
      </c>
      <c r="AH211" s="209" t="str">
        <f>IFERROR(VLOOKUP(TableHandbook[[#This Row],[UDC]],TableMJRUSCBI1[],7,FALSE),"")</f>
        <v/>
      </c>
      <c r="AI211" s="209" t="str">
        <f>IFERROR(VLOOKUP(TableHandbook[[#This Row],[UDC]],TableMJRUSCCH1[],7,FALSE),"")</f>
        <v/>
      </c>
      <c r="AJ211" s="209" t="str">
        <f>IFERROR(VLOOKUP(TableHandbook[[#This Row],[UDC]],TableMJRUSCHB1[],7,FALSE),"")</f>
        <v/>
      </c>
      <c r="AK211" s="209" t="str">
        <f>IFERROR(VLOOKUP(TableHandbook[[#This Row],[UDC]],TableMJRUSCPH1[],7,FALSE),"")</f>
        <v/>
      </c>
      <c r="AL211" s="209" t="str">
        <f>IFERROR(VLOOKUP(TableHandbook[[#This Row],[UDC]],TableMJRUSCPS1[],7,FALSE),"")</f>
        <v/>
      </c>
      <c r="AM211" s="211" t="str">
        <f>IFERROR(VLOOKUP(TableHandbook[[#This Row],[UDC]],TableSTRUBIOLB[],7,FALSE),"")</f>
        <v/>
      </c>
      <c r="AN211" s="209" t="str">
        <f>IFERROR(VLOOKUP(TableHandbook[[#This Row],[UDC]],TableSTRUBSCIM[],7,FALSE),"")</f>
        <v>AltCore</v>
      </c>
      <c r="AO211" s="209" t="str">
        <f>IFERROR(VLOOKUP(TableHandbook[[#This Row],[UDC]],TableSTRUCHEMB[],7,FALSE),"")</f>
        <v/>
      </c>
      <c r="AP211" s="209" t="str">
        <f>IFERROR(VLOOKUP(TableHandbook[[#This Row],[UDC]],TableSTRUECOB1[],7,FALSE),"")</f>
        <v/>
      </c>
      <c r="AQ211" s="209" t="str">
        <f>IFERROR(VLOOKUP(TableHandbook[[#This Row],[UDC]],TableSTRUENGLB[],7,FALSE),"")</f>
        <v/>
      </c>
      <c r="AR211" s="209" t="str">
        <f>IFERROR(VLOOKUP(TableHandbook[[#This Row],[UDC]],TableSTRUENGLM[],7,FALSE),"")</f>
        <v/>
      </c>
      <c r="AS211" s="209" t="str">
        <f>IFERROR(VLOOKUP(TableHandbook[[#This Row],[UDC]],TableSTRUGEOB1[],7,FALSE),"")</f>
        <v/>
      </c>
      <c r="AT211" s="209" t="str">
        <f>IFERROR(VLOOKUP(TableHandbook[[#This Row],[UDC]],TableSTRUGEOGM[],7,FALSE),"")</f>
        <v/>
      </c>
      <c r="AU211" s="209" t="str">
        <f>IFERROR(VLOOKUP(TableHandbook[[#This Row],[UDC]],TableSTRUHISB1[],7,FALSE),"")</f>
        <v/>
      </c>
      <c r="AV211" s="209" t="str">
        <f>IFERROR(VLOOKUP(TableHandbook[[#This Row],[UDC]],TableSTRUHISTM[],7,FALSE),"")</f>
        <v/>
      </c>
      <c r="AW211" s="209" t="str">
        <f>IFERROR(VLOOKUP(TableHandbook[[#This Row],[UDC]],TableSTRUHPEB1[],7,FALSE),"")</f>
        <v>Core</v>
      </c>
      <c r="AX211" s="209" t="str">
        <f>IFERROR(VLOOKUP(TableHandbook[[#This Row],[UDC]],TableSTRUHUMBB[],7,FALSE),"")</f>
        <v/>
      </c>
      <c r="AY211" s="209" t="str">
        <f>IFERROR(VLOOKUP(TableHandbook[[#This Row],[UDC]],TableSTRUMARTM[],7,FALSE),"")</f>
        <v/>
      </c>
      <c r="AZ211" s="209" t="str">
        <f>IFERROR(VLOOKUP(TableHandbook[[#This Row],[UDC]],TableSTRUMATHB[],7,FALSE),"")</f>
        <v/>
      </c>
      <c r="BA211" s="209" t="str">
        <f>IFERROR(VLOOKUP(TableHandbook[[#This Row],[UDC]],TableSTRUMATHM[],7,FALSE),"")</f>
        <v/>
      </c>
      <c r="BB211" s="209" t="str">
        <f>IFERROR(VLOOKUP(TableHandbook[[#This Row],[UDC]],TableSTRUPARTB[],7,FALSE),"")</f>
        <v/>
      </c>
      <c r="BC211" s="209" t="str">
        <f>IFERROR(VLOOKUP(TableHandbook[[#This Row],[UDC]],TableSTRUPARTM[],7,FALSE),"")</f>
        <v/>
      </c>
      <c r="BD211" s="209" t="str">
        <f>IFERROR(VLOOKUP(TableHandbook[[#This Row],[UDC]],TableSTRUPOLB1[],7,FALSE),"")</f>
        <v/>
      </c>
      <c r="BE211" s="209" t="str">
        <f>IFERROR(VLOOKUP(TableHandbook[[#This Row],[UDC]],TableSTRUPSYCB[],7,FALSE),"")</f>
        <v/>
      </c>
      <c r="BF211" s="209" t="str">
        <f>IFERROR(VLOOKUP(TableHandbook[[#This Row],[UDC]],TableSTRUPSYCM[],7,FALSE),"")</f>
        <v/>
      </c>
      <c r="BG211" s="209" t="str">
        <f>IFERROR(VLOOKUP(TableHandbook[[#This Row],[UDC]],TableSTRUVARTB[],7,FALSE),"")</f>
        <v/>
      </c>
      <c r="BH211" s="209" t="str">
        <f>IFERROR(VLOOKUP(TableHandbook[[#This Row],[UDC]],TableSTRUVARTM[],7,FALSE),"")</f>
        <v/>
      </c>
    </row>
    <row r="212" spans="1:60" x14ac:dyDescent="0.25">
      <c r="A212" s="6" t="s">
        <v>467</v>
      </c>
      <c r="B212" s="7">
        <v>1</v>
      </c>
      <c r="C212" s="7"/>
      <c r="D212" s="207" t="s">
        <v>1027</v>
      </c>
      <c r="E212" s="7">
        <v>25</v>
      </c>
      <c r="F212" s="311" t="s">
        <v>1026</v>
      </c>
      <c r="G212" s="75" t="str">
        <f>IFERROR(IF(VLOOKUP(TableHandbook[[#This Row],[UDC]],TableAvailabilities[],2,FALSE)&gt;0,"Y",""),"")</f>
        <v>Y</v>
      </c>
      <c r="H212" s="75" t="str">
        <f>IFERROR(IF(VLOOKUP(TableHandbook[[#This Row],[UDC]],TableAvailabilities[],3,FALSE)&gt;0,"Y",""),"")</f>
        <v/>
      </c>
      <c r="I212" s="75" t="str">
        <f>IFERROR(IF(VLOOKUP(TableHandbook[[#This Row],[UDC]],TableAvailabilities[],4,FALSE)&gt;0,"Y",""),"")</f>
        <v/>
      </c>
      <c r="J212" s="75" t="str">
        <f>IFERROR(IF(VLOOKUP(TableHandbook[[#This Row],[UDC]],TableAvailabilities[],5,FALSE)&gt;0,"Y",""),"")</f>
        <v/>
      </c>
      <c r="K212" s="75" t="str">
        <f>IFERROR(IF(VLOOKUP(TableHandbook[[#This Row],[UDC]],TableAvailabilities[],6,FALSE)&gt;0,"Y",""),"")</f>
        <v/>
      </c>
      <c r="L212" s="75" t="str">
        <f>IFERROR(IF(VLOOKUP(TableHandbook[[#This Row],[UDC]],TableAvailabilities[],7,FALSE)&gt;0,"Y",""),"")</f>
        <v/>
      </c>
      <c r="M212" s="207"/>
      <c r="N212" s="209" t="str">
        <f>IFERROR(VLOOKUP(TableHandbook[[#This Row],[UDC]],TableBEDUC[],7,FALSE),"")</f>
        <v/>
      </c>
      <c r="O212" s="209" t="str">
        <f>IFERROR(VLOOKUP(TableHandbook[[#This Row],[UDC]],TableBEDEC[],7,FALSE),"")</f>
        <v/>
      </c>
      <c r="P212" s="211" t="str">
        <f>IFERROR(VLOOKUP(TableHandbook[[#This Row],[UDC]],TableBEDPR[],7,FALSE),"")</f>
        <v/>
      </c>
      <c r="Q212" s="209" t="str">
        <f>IFERROR(VLOOKUP(TableHandbook[[#This Row],[UDC]],TableSTRUCATHL[],7,FALSE),"")</f>
        <v/>
      </c>
      <c r="R212" s="209" t="str">
        <f>IFERROR(VLOOKUP(TableHandbook[[#This Row],[UDC]],TableSTRUENGLL[],7,FALSE),"")</f>
        <v/>
      </c>
      <c r="S212" s="209" t="str">
        <f>IFERROR(VLOOKUP(TableHandbook[[#This Row],[UDC]],TableSTRUHLTPE[],7,FALSE),"")</f>
        <v/>
      </c>
      <c r="T212" s="209" t="str">
        <f>IFERROR(VLOOKUP(TableHandbook[[#This Row],[UDC]],TableSTRUISTEM[],7,FALSE),"")</f>
        <v/>
      </c>
      <c r="U212" s="209" t="str">
        <f>IFERROR(VLOOKUP(TableHandbook[[#This Row],[UDC]],TableSTRULITNU[],7,FALSE),"")</f>
        <v/>
      </c>
      <c r="V212" s="209" t="str">
        <f>IFERROR(VLOOKUP(TableHandbook[[#This Row],[UDC]],TableSTRUTECHS[],7,FALSE),"")</f>
        <v/>
      </c>
      <c r="W212" s="211" t="str">
        <f>IFERROR(VLOOKUP(TableHandbook[[#This Row],[UDC]],TableBEDSC[],7,FALSE),"")</f>
        <v/>
      </c>
      <c r="X212" s="211" t="str">
        <f>IFERROR(VLOOKUP(TableHandbook[[#This Row],[UDC]],TableMJRUARDR1[],7,FALSE),"")</f>
        <v/>
      </c>
      <c r="Y212" s="209" t="str">
        <f>IFERROR(VLOOKUP(TableHandbook[[#This Row],[UDC]],TableMJRUARME1[],7,FALSE),"")</f>
        <v/>
      </c>
      <c r="Z212" s="209" t="str">
        <f>IFERROR(VLOOKUP(TableHandbook[[#This Row],[UDC]],TableMJRUARVA1[],7,FALSE),"")</f>
        <v/>
      </c>
      <c r="AA212" s="209" t="str">
        <f>IFERROR(VLOOKUP(TableHandbook[[#This Row],[UDC]],TableMJRUENGL1[],7,FALSE),"")</f>
        <v/>
      </c>
      <c r="AB212" s="209" t="str">
        <f>IFERROR(VLOOKUP(TableHandbook[[#This Row],[UDC]],TableMJRUHSEC1[],7,FALSE),"")</f>
        <v/>
      </c>
      <c r="AC212" s="209" t="str">
        <f>IFERROR(VLOOKUP(TableHandbook[[#This Row],[UDC]],TableMJRUHSGE1[],7,FALSE),"")</f>
        <v/>
      </c>
      <c r="AD212" s="209" t="str">
        <f>IFERROR(VLOOKUP(TableHandbook[[#This Row],[UDC]],TableMJRUHSHI1[],7,FALSE),"")</f>
        <v/>
      </c>
      <c r="AE212" s="209" t="str">
        <f>IFERROR(VLOOKUP(TableHandbook[[#This Row],[UDC]],TableMJRUHSPL1[],7,FALSE),"")</f>
        <v/>
      </c>
      <c r="AF212" s="209" t="str">
        <f>IFERROR(VLOOKUP(TableHandbook[[#This Row],[UDC]],TableMJRUMATH1[],7,FALSE),"")</f>
        <v/>
      </c>
      <c r="AG212" s="209" t="str">
        <f>IFERROR(VLOOKUP(TableHandbook[[#This Row],[UDC]],TableMJRUPHYSE[],7,FALSE),"")</f>
        <v>Core</v>
      </c>
      <c r="AH212" s="209" t="str">
        <f>IFERROR(VLOOKUP(TableHandbook[[#This Row],[UDC]],TableMJRUSCBI1[],7,FALSE),"")</f>
        <v/>
      </c>
      <c r="AI212" s="209" t="str">
        <f>IFERROR(VLOOKUP(TableHandbook[[#This Row],[UDC]],TableMJRUSCCH1[],7,FALSE),"")</f>
        <v/>
      </c>
      <c r="AJ212" s="209" t="str">
        <f>IFERROR(VLOOKUP(TableHandbook[[#This Row],[UDC]],TableMJRUSCHB1[],7,FALSE),"")</f>
        <v/>
      </c>
      <c r="AK212" s="209" t="str">
        <f>IFERROR(VLOOKUP(TableHandbook[[#This Row],[UDC]],TableMJRUSCPH1[],7,FALSE),"")</f>
        <v/>
      </c>
      <c r="AL212" s="209" t="str">
        <f>IFERROR(VLOOKUP(TableHandbook[[#This Row],[UDC]],TableMJRUSCPS1[],7,FALSE),"")</f>
        <v/>
      </c>
      <c r="AM212" s="211" t="str">
        <f>IFERROR(VLOOKUP(TableHandbook[[#This Row],[UDC]],TableSTRUBIOLB[],7,FALSE),"")</f>
        <v/>
      </c>
      <c r="AN212" s="209" t="str">
        <f>IFERROR(VLOOKUP(TableHandbook[[#This Row],[UDC]],TableSTRUBSCIM[],7,FALSE),"")</f>
        <v/>
      </c>
      <c r="AO212" s="209" t="str">
        <f>IFERROR(VLOOKUP(TableHandbook[[#This Row],[UDC]],TableSTRUCHEMB[],7,FALSE),"")</f>
        <v/>
      </c>
      <c r="AP212" s="209" t="str">
        <f>IFERROR(VLOOKUP(TableHandbook[[#This Row],[UDC]],TableSTRUECOB1[],7,FALSE),"")</f>
        <v/>
      </c>
      <c r="AQ212" s="209" t="str">
        <f>IFERROR(VLOOKUP(TableHandbook[[#This Row],[UDC]],TableSTRUENGLB[],7,FALSE),"")</f>
        <v/>
      </c>
      <c r="AR212" s="209" t="str">
        <f>IFERROR(VLOOKUP(TableHandbook[[#This Row],[UDC]],TableSTRUENGLM[],7,FALSE),"")</f>
        <v/>
      </c>
      <c r="AS212" s="209" t="str">
        <f>IFERROR(VLOOKUP(TableHandbook[[#This Row],[UDC]],TableSTRUGEOB1[],7,FALSE),"")</f>
        <v/>
      </c>
      <c r="AT212" s="209" t="str">
        <f>IFERROR(VLOOKUP(TableHandbook[[#This Row],[UDC]],TableSTRUGEOGM[],7,FALSE),"")</f>
        <v/>
      </c>
      <c r="AU212" s="209" t="str">
        <f>IFERROR(VLOOKUP(TableHandbook[[#This Row],[UDC]],TableSTRUHISB1[],7,FALSE),"")</f>
        <v/>
      </c>
      <c r="AV212" s="209" t="str">
        <f>IFERROR(VLOOKUP(TableHandbook[[#This Row],[UDC]],TableSTRUHISTM[],7,FALSE),"")</f>
        <v/>
      </c>
      <c r="AW212" s="209" t="str">
        <f>IFERROR(VLOOKUP(TableHandbook[[#This Row],[UDC]],TableSTRUHPEB1[],7,FALSE),"")</f>
        <v/>
      </c>
      <c r="AX212" s="209" t="str">
        <f>IFERROR(VLOOKUP(TableHandbook[[#This Row],[UDC]],TableSTRUHUMBB[],7,FALSE),"")</f>
        <v/>
      </c>
      <c r="AY212" s="209" t="str">
        <f>IFERROR(VLOOKUP(TableHandbook[[#This Row],[UDC]],TableSTRUMARTM[],7,FALSE),"")</f>
        <v/>
      </c>
      <c r="AZ212" s="209" t="str">
        <f>IFERROR(VLOOKUP(TableHandbook[[#This Row],[UDC]],TableSTRUMATHB[],7,FALSE),"")</f>
        <v/>
      </c>
      <c r="BA212" s="209" t="str">
        <f>IFERROR(VLOOKUP(TableHandbook[[#This Row],[UDC]],TableSTRUMATHM[],7,FALSE),"")</f>
        <v/>
      </c>
      <c r="BB212" s="209" t="str">
        <f>IFERROR(VLOOKUP(TableHandbook[[#This Row],[UDC]],TableSTRUPARTB[],7,FALSE),"")</f>
        <v/>
      </c>
      <c r="BC212" s="209" t="str">
        <f>IFERROR(VLOOKUP(TableHandbook[[#This Row],[UDC]],TableSTRUPARTM[],7,FALSE),"")</f>
        <v/>
      </c>
      <c r="BD212" s="209" t="str">
        <f>IFERROR(VLOOKUP(TableHandbook[[#This Row],[UDC]],TableSTRUPOLB1[],7,FALSE),"")</f>
        <v/>
      </c>
      <c r="BE212" s="209" t="str">
        <f>IFERROR(VLOOKUP(TableHandbook[[#This Row],[UDC]],TableSTRUPSYCB[],7,FALSE),"")</f>
        <v/>
      </c>
      <c r="BF212" s="209" t="str">
        <f>IFERROR(VLOOKUP(TableHandbook[[#This Row],[UDC]],TableSTRUPSYCM[],7,FALSE),"")</f>
        <v/>
      </c>
      <c r="BG212" s="209" t="str">
        <f>IFERROR(VLOOKUP(TableHandbook[[#This Row],[UDC]],TableSTRUVARTB[],7,FALSE),"")</f>
        <v/>
      </c>
      <c r="BH212" s="209" t="str">
        <f>IFERROR(VLOOKUP(TableHandbook[[#This Row],[UDC]],TableSTRUVARTM[],7,FALSE),"")</f>
        <v/>
      </c>
    </row>
    <row r="213" spans="1:60" x14ac:dyDescent="0.25">
      <c r="A213" s="6" t="s">
        <v>707</v>
      </c>
      <c r="B213" s="7">
        <v>1</v>
      </c>
      <c r="C213" s="7"/>
      <c r="D213" s="207" t="s">
        <v>1028</v>
      </c>
      <c r="E213" s="7">
        <v>25</v>
      </c>
      <c r="F213" s="311" t="s">
        <v>1029</v>
      </c>
      <c r="G213" s="75" t="str">
        <f>IFERROR(IF(VLOOKUP(TableHandbook[[#This Row],[UDC]],TableAvailabilities[],2,FALSE)&gt;0,"Y",""),"")</f>
        <v>Y</v>
      </c>
      <c r="H213" s="75" t="str">
        <f>IFERROR(IF(VLOOKUP(TableHandbook[[#This Row],[UDC]],TableAvailabilities[],3,FALSE)&gt;0,"Y",""),"")</f>
        <v/>
      </c>
      <c r="I213" s="75" t="str">
        <f>IFERROR(IF(VLOOKUP(TableHandbook[[#This Row],[UDC]],TableAvailabilities[],4,FALSE)&gt;0,"Y",""),"")</f>
        <v/>
      </c>
      <c r="J213" s="75" t="str">
        <f>IFERROR(IF(VLOOKUP(TableHandbook[[#This Row],[UDC]],TableAvailabilities[],5,FALSE)&gt;0,"Y",""),"")</f>
        <v/>
      </c>
      <c r="K213" s="75" t="str">
        <f>IFERROR(IF(VLOOKUP(TableHandbook[[#This Row],[UDC]],TableAvailabilities[],6,FALSE)&gt;0,"Y",""),"")</f>
        <v/>
      </c>
      <c r="L213" s="75" t="str">
        <f>IFERROR(IF(VLOOKUP(TableHandbook[[#This Row],[UDC]],TableAvailabilities[],7,FALSE)&gt;0,"Y",""),"")</f>
        <v/>
      </c>
      <c r="M213" s="207"/>
      <c r="N213" s="209" t="str">
        <f>IFERROR(VLOOKUP(TableHandbook[[#This Row],[UDC]],TableBEDUC[],7,FALSE),"")</f>
        <v/>
      </c>
      <c r="O213" s="209" t="str">
        <f>IFERROR(VLOOKUP(TableHandbook[[#This Row],[UDC]],TableBEDEC[],7,FALSE),"")</f>
        <v/>
      </c>
      <c r="P213" s="211" t="str">
        <f>IFERROR(VLOOKUP(TableHandbook[[#This Row],[UDC]],TableBEDPR[],7,FALSE),"")</f>
        <v/>
      </c>
      <c r="Q213" s="209" t="str">
        <f>IFERROR(VLOOKUP(TableHandbook[[#This Row],[UDC]],TableSTRUCATHL[],7,FALSE),"")</f>
        <v/>
      </c>
      <c r="R213" s="209" t="str">
        <f>IFERROR(VLOOKUP(TableHandbook[[#This Row],[UDC]],TableSTRUENGLL[],7,FALSE),"")</f>
        <v/>
      </c>
      <c r="S213" s="209" t="str">
        <f>IFERROR(VLOOKUP(TableHandbook[[#This Row],[UDC]],TableSTRUHLTPE[],7,FALSE),"")</f>
        <v/>
      </c>
      <c r="T213" s="209" t="str">
        <f>IFERROR(VLOOKUP(TableHandbook[[#This Row],[UDC]],TableSTRUISTEM[],7,FALSE),"")</f>
        <v/>
      </c>
      <c r="U213" s="209" t="str">
        <f>IFERROR(VLOOKUP(TableHandbook[[#This Row],[UDC]],TableSTRULITNU[],7,FALSE),"")</f>
        <v/>
      </c>
      <c r="V213" s="209" t="str">
        <f>IFERROR(VLOOKUP(TableHandbook[[#This Row],[UDC]],TableSTRUTECHS[],7,FALSE),"")</f>
        <v/>
      </c>
      <c r="W213" s="211" t="str">
        <f>IFERROR(VLOOKUP(TableHandbook[[#This Row],[UDC]],TableBEDSC[],7,FALSE),"")</f>
        <v/>
      </c>
      <c r="X213" s="211" t="str">
        <f>IFERROR(VLOOKUP(TableHandbook[[#This Row],[UDC]],TableMJRUARDR1[],7,FALSE),"")</f>
        <v/>
      </c>
      <c r="Y213" s="209" t="str">
        <f>IFERROR(VLOOKUP(TableHandbook[[#This Row],[UDC]],TableMJRUARME1[],7,FALSE),"")</f>
        <v/>
      </c>
      <c r="Z213" s="209" t="str">
        <f>IFERROR(VLOOKUP(TableHandbook[[#This Row],[UDC]],TableMJRUARVA1[],7,FALSE),"")</f>
        <v/>
      </c>
      <c r="AA213" s="209" t="str">
        <f>IFERROR(VLOOKUP(TableHandbook[[#This Row],[UDC]],TableMJRUENGL1[],7,FALSE),"")</f>
        <v/>
      </c>
      <c r="AB213" s="209" t="str">
        <f>IFERROR(VLOOKUP(TableHandbook[[#This Row],[UDC]],TableMJRUHSEC1[],7,FALSE),"")</f>
        <v/>
      </c>
      <c r="AC213" s="209" t="str">
        <f>IFERROR(VLOOKUP(TableHandbook[[#This Row],[UDC]],TableMJRUHSGE1[],7,FALSE),"")</f>
        <v/>
      </c>
      <c r="AD213" s="209" t="str">
        <f>IFERROR(VLOOKUP(TableHandbook[[#This Row],[UDC]],TableMJRUHSHI1[],7,FALSE),"")</f>
        <v/>
      </c>
      <c r="AE213" s="209" t="str">
        <f>IFERROR(VLOOKUP(TableHandbook[[#This Row],[UDC]],TableMJRUHSPL1[],7,FALSE),"")</f>
        <v/>
      </c>
      <c r="AF213" s="209" t="str">
        <f>IFERROR(VLOOKUP(TableHandbook[[#This Row],[UDC]],TableMJRUMATH1[],7,FALSE),"")</f>
        <v/>
      </c>
      <c r="AG213" s="209" t="str">
        <f>IFERROR(VLOOKUP(TableHandbook[[#This Row],[UDC]],TableMJRUPHYSE[],7,FALSE),"")</f>
        <v/>
      </c>
      <c r="AH213" s="209" t="str">
        <f>IFERROR(VLOOKUP(TableHandbook[[#This Row],[UDC]],TableMJRUSCBI1[],7,FALSE),"")</f>
        <v/>
      </c>
      <c r="AI213" s="209" t="str">
        <f>IFERROR(VLOOKUP(TableHandbook[[#This Row],[UDC]],TableMJRUSCCH1[],7,FALSE),"")</f>
        <v/>
      </c>
      <c r="AJ213" s="209" t="str">
        <f>IFERROR(VLOOKUP(TableHandbook[[#This Row],[UDC]],TableMJRUSCHB1[],7,FALSE),"")</f>
        <v/>
      </c>
      <c r="AK213" s="209" t="str">
        <f>IFERROR(VLOOKUP(TableHandbook[[#This Row],[UDC]],TableMJRUSCPH1[],7,FALSE),"")</f>
        <v/>
      </c>
      <c r="AL213" s="209" t="str">
        <f>IFERROR(VLOOKUP(TableHandbook[[#This Row],[UDC]],TableMJRUSCPS1[],7,FALSE),"")</f>
        <v/>
      </c>
      <c r="AM213" s="211" t="str">
        <f>IFERROR(VLOOKUP(TableHandbook[[#This Row],[UDC]],TableSTRUBIOLB[],7,FALSE),"")</f>
        <v/>
      </c>
      <c r="AN213" s="209" t="str">
        <f>IFERROR(VLOOKUP(TableHandbook[[#This Row],[UDC]],TableSTRUBSCIM[],7,FALSE),"")</f>
        <v>AltCore</v>
      </c>
      <c r="AO213" s="209" t="str">
        <f>IFERROR(VLOOKUP(TableHandbook[[#This Row],[UDC]],TableSTRUCHEMB[],7,FALSE),"")</f>
        <v/>
      </c>
      <c r="AP213" s="209" t="str">
        <f>IFERROR(VLOOKUP(TableHandbook[[#This Row],[UDC]],TableSTRUECOB1[],7,FALSE),"")</f>
        <v/>
      </c>
      <c r="AQ213" s="209" t="str">
        <f>IFERROR(VLOOKUP(TableHandbook[[#This Row],[UDC]],TableSTRUENGLB[],7,FALSE),"")</f>
        <v/>
      </c>
      <c r="AR213" s="209" t="str">
        <f>IFERROR(VLOOKUP(TableHandbook[[#This Row],[UDC]],TableSTRUENGLM[],7,FALSE),"")</f>
        <v/>
      </c>
      <c r="AS213" s="209" t="str">
        <f>IFERROR(VLOOKUP(TableHandbook[[#This Row],[UDC]],TableSTRUGEOB1[],7,FALSE),"")</f>
        <v/>
      </c>
      <c r="AT213" s="209" t="str">
        <f>IFERROR(VLOOKUP(TableHandbook[[#This Row],[UDC]],TableSTRUGEOGM[],7,FALSE),"")</f>
        <v/>
      </c>
      <c r="AU213" s="209" t="str">
        <f>IFERROR(VLOOKUP(TableHandbook[[#This Row],[UDC]],TableSTRUHISB1[],7,FALSE),"")</f>
        <v/>
      </c>
      <c r="AV213" s="209" t="str">
        <f>IFERROR(VLOOKUP(TableHandbook[[#This Row],[UDC]],TableSTRUHISTM[],7,FALSE),"")</f>
        <v/>
      </c>
      <c r="AW213" s="209" t="str">
        <f>IFERROR(VLOOKUP(TableHandbook[[#This Row],[UDC]],TableSTRUHPEB1[],7,FALSE),"")</f>
        <v>Core</v>
      </c>
      <c r="AX213" s="209" t="str">
        <f>IFERROR(VLOOKUP(TableHandbook[[#This Row],[UDC]],TableSTRUHUMBB[],7,FALSE),"")</f>
        <v/>
      </c>
      <c r="AY213" s="209" t="str">
        <f>IFERROR(VLOOKUP(TableHandbook[[#This Row],[UDC]],TableSTRUMARTM[],7,FALSE),"")</f>
        <v/>
      </c>
      <c r="AZ213" s="209" t="str">
        <f>IFERROR(VLOOKUP(TableHandbook[[#This Row],[UDC]],TableSTRUMATHB[],7,FALSE),"")</f>
        <v/>
      </c>
      <c r="BA213" s="209" t="str">
        <f>IFERROR(VLOOKUP(TableHandbook[[#This Row],[UDC]],TableSTRUMATHM[],7,FALSE),"")</f>
        <v/>
      </c>
      <c r="BB213" s="209" t="str">
        <f>IFERROR(VLOOKUP(TableHandbook[[#This Row],[UDC]],TableSTRUPARTB[],7,FALSE),"")</f>
        <v/>
      </c>
      <c r="BC213" s="209" t="str">
        <f>IFERROR(VLOOKUP(TableHandbook[[#This Row],[UDC]],TableSTRUPARTM[],7,FALSE),"")</f>
        <v/>
      </c>
      <c r="BD213" s="209" t="str">
        <f>IFERROR(VLOOKUP(TableHandbook[[#This Row],[UDC]],TableSTRUPOLB1[],7,FALSE),"")</f>
        <v/>
      </c>
      <c r="BE213" s="209" t="str">
        <f>IFERROR(VLOOKUP(TableHandbook[[#This Row],[UDC]],TableSTRUPSYCB[],7,FALSE),"")</f>
        <v/>
      </c>
      <c r="BF213" s="209" t="str">
        <f>IFERROR(VLOOKUP(TableHandbook[[#This Row],[UDC]],TableSTRUPSYCM[],7,FALSE),"")</f>
        <v/>
      </c>
      <c r="BG213" s="209" t="str">
        <f>IFERROR(VLOOKUP(TableHandbook[[#This Row],[UDC]],TableSTRUVARTB[],7,FALSE),"")</f>
        <v/>
      </c>
      <c r="BH213" s="209" t="str">
        <f>IFERROR(VLOOKUP(TableHandbook[[#This Row],[UDC]],TableSTRUVARTM[],7,FALSE),"")</f>
        <v/>
      </c>
    </row>
    <row r="214" spans="1:60" x14ac:dyDescent="0.25">
      <c r="A214" s="6" t="s">
        <v>574</v>
      </c>
      <c r="B214" s="7">
        <v>1</v>
      </c>
      <c r="C214" s="7"/>
      <c r="D214" s="207" t="s">
        <v>1030</v>
      </c>
      <c r="E214" s="7">
        <v>25</v>
      </c>
      <c r="F214" s="311" t="s">
        <v>1031</v>
      </c>
      <c r="G214" s="75" t="str">
        <f>IFERROR(IF(VLOOKUP(TableHandbook[[#This Row],[UDC]],TableAvailabilities[],2,FALSE)&gt;0,"Y",""),"")</f>
        <v/>
      </c>
      <c r="H214" s="75" t="str">
        <f>IFERROR(IF(VLOOKUP(TableHandbook[[#This Row],[UDC]],TableAvailabilities[],3,FALSE)&gt;0,"Y",""),"")</f>
        <v/>
      </c>
      <c r="I214" s="75" t="str">
        <f>IFERROR(IF(VLOOKUP(TableHandbook[[#This Row],[UDC]],TableAvailabilities[],4,FALSE)&gt;0,"Y",""),"")</f>
        <v/>
      </c>
      <c r="J214" s="75" t="str">
        <f>IFERROR(IF(VLOOKUP(TableHandbook[[#This Row],[UDC]],TableAvailabilities[],5,FALSE)&gt;0,"Y",""),"")</f>
        <v>Y</v>
      </c>
      <c r="K214" s="75" t="str">
        <f>IFERROR(IF(VLOOKUP(TableHandbook[[#This Row],[UDC]],TableAvailabilities[],6,FALSE)&gt;0,"Y",""),"")</f>
        <v/>
      </c>
      <c r="L214" s="75" t="str">
        <f>IFERROR(IF(VLOOKUP(TableHandbook[[#This Row],[UDC]],TableAvailabilities[],7,FALSE)&gt;0,"Y",""),"")</f>
        <v/>
      </c>
      <c r="M214" s="207"/>
      <c r="N214" s="209" t="str">
        <f>IFERROR(VLOOKUP(TableHandbook[[#This Row],[UDC]],TableBEDUC[],7,FALSE),"")</f>
        <v/>
      </c>
      <c r="O214" s="209" t="str">
        <f>IFERROR(VLOOKUP(TableHandbook[[#This Row],[UDC]],TableBEDEC[],7,FALSE),"")</f>
        <v/>
      </c>
      <c r="P214" s="211" t="str">
        <f>IFERROR(VLOOKUP(TableHandbook[[#This Row],[UDC]],TableBEDPR[],7,FALSE),"")</f>
        <v/>
      </c>
      <c r="Q214" s="209" t="str">
        <f>IFERROR(VLOOKUP(TableHandbook[[#This Row],[UDC]],TableSTRUCATHL[],7,FALSE),"")</f>
        <v/>
      </c>
      <c r="R214" s="209" t="str">
        <f>IFERROR(VLOOKUP(TableHandbook[[#This Row],[UDC]],TableSTRUENGLL[],7,FALSE),"")</f>
        <v/>
      </c>
      <c r="S214" s="209" t="str">
        <f>IFERROR(VLOOKUP(TableHandbook[[#This Row],[UDC]],TableSTRUHLTPE[],7,FALSE),"")</f>
        <v/>
      </c>
      <c r="T214" s="209" t="str">
        <f>IFERROR(VLOOKUP(TableHandbook[[#This Row],[UDC]],TableSTRUISTEM[],7,FALSE),"")</f>
        <v/>
      </c>
      <c r="U214" s="209" t="str">
        <f>IFERROR(VLOOKUP(TableHandbook[[#This Row],[UDC]],TableSTRULITNU[],7,FALSE),"")</f>
        <v/>
      </c>
      <c r="V214" s="209" t="str">
        <f>IFERROR(VLOOKUP(TableHandbook[[#This Row],[UDC]],TableSTRUTECHS[],7,FALSE),"")</f>
        <v/>
      </c>
      <c r="W214" s="211" t="str">
        <f>IFERROR(VLOOKUP(TableHandbook[[#This Row],[UDC]],TableBEDSC[],7,FALSE),"")</f>
        <v/>
      </c>
      <c r="X214" s="211" t="str">
        <f>IFERROR(VLOOKUP(TableHandbook[[#This Row],[UDC]],TableMJRUARDR1[],7,FALSE),"")</f>
        <v/>
      </c>
      <c r="Y214" s="209" t="str">
        <f>IFERROR(VLOOKUP(TableHandbook[[#This Row],[UDC]],TableMJRUARME1[],7,FALSE),"")</f>
        <v/>
      </c>
      <c r="Z214" s="209" t="str">
        <f>IFERROR(VLOOKUP(TableHandbook[[#This Row],[UDC]],TableMJRUARVA1[],7,FALSE),"")</f>
        <v/>
      </c>
      <c r="AA214" s="209" t="str">
        <f>IFERROR(VLOOKUP(TableHandbook[[#This Row],[UDC]],TableMJRUENGL1[],7,FALSE),"")</f>
        <v/>
      </c>
      <c r="AB214" s="209" t="str">
        <f>IFERROR(VLOOKUP(TableHandbook[[#This Row],[UDC]],TableMJRUHSEC1[],7,FALSE),"")</f>
        <v/>
      </c>
      <c r="AC214" s="209" t="str">
        <f>IFERROR(VLOOKUP(TableHandbook[[#This Row],[UDC]],TableMJRUHSGE1[],7,FALSE),"")</f>
        <v/>
      </c>
      <c r="AD214" s="209" t="str">
        <f>IFERROR(VLOOKUP(TableHandbook[[#This Row],[UDC]],TableMJRUHSHI1[],7,FALSE),"")</f>
        <v/>
      </c>
      <c r="AE214" s="209" t="str">
        <f>IFERROR(VLOOKUP(TableHandbook[[#This Row],[UDC]],TableMJRUHSPL1[],7,FALSE),"")</f>
        <v/>
      </c>
      <c r="AF214" s="209" t="str">
        <f>IFERROR(VLOOKUP(TableHandbook[[#This Row],[UDC]],TableMJRUMATH1[],7,FALSE),"")</f>
        <v/>
      </c>
      <c r="AG214" s="209" t="str">
        <f>IFERROR(VLOOKUP(TableHandbook[[#This Row],[UDC]],TableMJRUPHYSE[],7,FALSE),"")</f>
        <v/>
      </c>
      <c r="AH214" s="209" t="str">
        <f>IFERROR(VLOOKUP(TableHandbook[[#This Row],[UDC]],TableMJRUSCBI1[],7,FALSE),"")</f>
        <v/>
      </c>
      <c r="AI214" s="209" t="str">
        <f>IFERROR(VLOOKUP(TableHandbook[[#This Row],[UDC]],TableMJRUSCCH1[],7,FALSE),"")</f>
        <v/>
      </c>
      <c r="AJ214" s="209" t="str">
        <f>IFERROR(VLOOKUP(TableHandbook[[#This Row],[UDC]],TableMJRUSCHB1[],7,FALSE),"")</f>
        <v>Option</v>
      </c>
      <c r="AK214" s="209" t="str">
        <f>IFERROR(VLOOKUP(TableHandbook[[#This Row],[UDC]],TableMJRUSCPH1[],7,FALSE),"")</f>
        <v/>
      </c>
      <c r="AL214" s="209" t="str">
        <f>IFERROR(VLOOKUP(TableHandbook[[#This Row],[UDC]],TableMJRUSCPS1[],7,FALSE),"")</f>
        <v/>
      </c>
      <c r="AM214" s="211" t="str">
        <f>IFERROR(VLOOKUP(TableHandbook[[#This Row],[UDC]],TableSTRUBIOLB[],7,FALSE),"")</f>
        <v/>
      </c>
      <c r="AN214" s="209" t="str">
        <f>IFERROR(VLOOKUP(TableHandbook[[#This Row],[UDC]],TableSTRUBSCIM[],7,FALSE),"")</f>
        <v/>
      </c>
      <c r="AO214" s="209" t="str">
        <f>IFERROR(VLOOKUP(TableHandbook[[#This Row],[UDC]],TableSTRUCHEMB[],7,FALSE),"")</f>
        <v/>
      </c>
      <c r="AP214" s="209" t="str">
        <f>IFERROR(VLOOKUP(TableHandbook[[#This Row],[UDC]],TableSTRUECOB1[],7,FALSE),"")</f>
        <v/>
      </c>
      <c r="AQ214" s="209" t="str">
        <f>IFERROR(VLOOKUP(TableHandbook[[#This Row],[UDC]],TableSTRUENGLB[],7,FALSE),"")</f>
        <v/>
      </c>
      <c r="AR214" s="209" t="str">
        <f>IFERROR(VLOOKUP(TableHandbook[[#This Row],[UDC]],TableSTRUENGLM[],7,FALSE),"")</f>
        <v/>
      </c>
      <c r="AS214" s="209" t="str">
        <f>IFERROR(VLOOKUP(TableHandbook[[#This Row],[UDC]],TableSTRUGEOB1[],7,FALSE),"")</f>
        <v/>
      </c>
      <c r="AT214" s="209" t="str">
        <f>IFERROR(VLOOKUP(TableHandbook[[#This Row],[UDC]],TableSTRUGEOGM[],7,FALSE),"")</f>
        <v/>
      </c>
      <c r="AU214" s="209" t="str">
        <f>IFERROR(VLOOKUP(TableHandbook[[#This Row],[UDC]],TableSTRUHISB1[],7,FALSE),"")</f>
        <v/>
      </c>
      <c r="AV214" s="209" t="str">
        <f>IFERROR(VLOOKUP(TableHandbook[[#This Row],[UDC]],TableSTRUHISTM[],7,FALSE),"")</f>
        <v/>
      </c>
      <c r="AW214" s="209" t="str">
        <f>IFERROR(VLOOKUP(TableHandbook[[#This Row],[UDC]],TableSTRUHPEB1[],7,FALSE),"")</f>
        <v/>
      </c>
      <c r="AX214" s="209" t="str">
        <f>IFERROR(VLOOKUP(TableHandbook[[#This Row],[UDC]],TableSTRUHUMBB[],7,FALSE),"")</f>
        <v/>
      </c>
      <c r="AY214" s="209" t="str">
        <f>IFERROR(VLOOKUP(TableHandbook[[#This Row],[UDC]],TableSTRUMARTM[],7,FALSE),"")</f>
        <v/>
      </c>
      <c r="AZ214" s="209" t="str">
        <f>IFERROR(VLOOKUP(TableHandbook[[#This Row],[UDC]],TableSTRUMATHB[],7,FALSE),"")</f>
        <v/>
      </c>
      <c r="BA214" s="209" t="str">
        <f>IFERROR(VLOOKUP(TableHandbook[[#This Row],[UDC]],TableSTRUMATHM[],7,FALSE),"")</f>
        <v/>
      </c>
      <c r="BB214" s="209" t="str">
        <f>IFERROR(VLOOKUP(TableHandbook[[#This Row],[UDC]],TableSTRUPARTB[],7,FALSE),"")</f>
        <v/>
      </c>
      <c r="BC214" s="209" t="str">
        <f>IFERROR(VLOOKUP(TableHandbook[[#This Row],[UDC]],TableSTRUPARTM[],7,FALSE),"")</f>
        <v/>
      </c>
      <c r="BD214" s="209" t="str">
        <f>IFERROR(VLOOKUP(TableHandbook[[#This Row],[UDC]],TableSTRUPOLB1[],7,FALSE),"")</f>
        <v/>
      </c>
      <c r="BE214" s="209" t="str">
        <f>IFERROR(VLOOKUP(TableHandbook[[#This Row],[UDC]],TableSTRUPSYCB[],7,FALSE),"")</f>
        <v/>
      </c>
      <c r="BF214" s="209" t="str">
        <f>IFERROR(VLOOKUP(TableHandbook[[#This Row],[UDC]],TableSTRUPSYCM[],7,FALSE),"")</f>
        <v/>
      </c>
      <c r="BG214" s="209" t="str">
        <f>IFERROR(VLOOKUP(TableHandbook[[#This Row],[UDC]],TableSTRUVARTB[],7,FALSE),"")</f>
        <v/>
      </c>
      <c r="BH214" s="209" t="str">
        <f>IFERROR(VLOOKUP(TableHandbook[[#This Row],[UDC]],TableSTRUVARTM[],7,FALSE),"")</f>
        <v/>
      </c>
    </row>
    <row r="215" spans="1:60" x14ac:dyDescent="0.25">
      <c r="A215" s="6" t="s">
        <v>504</v>
      </c>
      <c r="B215" s="7">
        <v>1</v>
      </c>
      <c r="C215" s="7"/>
      <c r="D215" s="207" t="s">
        <v>1032</v>
      </c>
      <c r="E215" s="7">
        <v>25</v>
      </c>
      <c r="F215" s="311" t="s">
        <v>480</v>
      </c>
      <c r="G215" s="75" t="str">
        <f>IFERROR(IF(VLOOKUP(TableHandbook[[#This Row],[UDC]],TableAvailabilities[],2,FALSE)&gt;0,"Y",""),"")</f>
        <v/>
      </c>
      <c r="H215" s="75" t="str">
        <f>IFERROR(IF(VLOOKUP(TableHandbook[[#This Row],[UDC]],TableAvailabilities[],3,FALSE)&gt;0,"Y",""),"")</f>
        <v/>
      </c>
      <c r="I215" s="75" t="str">
        <f>IFERROR(IF(VLOOKUP(TableHandbook[[#This Row],[UDC]],TableAvailabilities[],4,FALSE)&gt;0,"Y",""),"")</f>
        <v/>
      </c>
      <c r="J215" s="75" t="str">
        <f>IFERROR(IF(VLOOKUP(TableHandbook[[#This Row],[UDC]],TableAvailabilities[],5,FALSE)&gt;0,"Y",""),"")</f>
        <v>Y</v>
      </c>
      <c r="K215" s="75" t="str">
        <f>IFERROR(IF(VLOOKUP(TableHandbook[[#This Row],[UDC]],TableAvailabilities[],6,FALSE)&gt;0,"Y",""),"")</f>
        <v/>
      </c>
      <c r="L215" s="75" t="str">
        <f>IFERROR(IF(VLOOKUP(TableHandbook[[#This Row],[UDC]],TableAvailabilities[],7,FALSE)&gt;0,"Y",""),"")</f>
        <v/>
      </c>
      <c r="M215" s="207"/>
      <c r="N215" s="209" t="str">
        <f>IFERROR(VLOOKUP(TableHandbook[[#This Row],[UDC]],TableBEDUC[],7,FALSE),"")</f>
        <v/>
      </c>
      <c r="O215" s="209" t="str">
        <f>IFERROR(VLOOKUP(TableHandbook[[#This Row],[UDC]],TableBEDEC[],7,FALSE),"")</f>
        <v/>
      </c>
      <c r="P215" s="211" t="str">
        <f>IFERROR(VLOOKUP(TableHandbook[[#This Row],[UDC]],TableBEDPR[],7,FALSE),"")</f>
        <v/>
      </c>
      <c r="Q215" s="209" t="str">
        <f>IFERROR(VLOOKUP(TableHandbook[[#This Row],[UDC]],TableSTRUCATHL[],7,FALSE),"")</f>
        <v/>
      </c>
      <c r="R215" s="209" t="str">
        <f>IFERROR(VLOOKUP(TableHandbook[[#This Row],[UDC]],TableSTRUENGLL[],7,FALSE),"")</f>
        <v/>
      </c>
      <c r="S215" s="209" t="str">
        <f>IFERROR(VLOOKUP(TableHandbook[[#This Row],[UDC]],TableSTRUHLTPE[],7,FALSE),"")</f>
        <v/>
      </c>
      <c r="T215" s="209" t="str">
        <f>IFERROR(VLOOKUP(TableHandbook[[#This Row],[UDC]],TableSTRUISTEM[],7,FALSE),"")</f>
        <v/>
      </c>
      <c r="U215" s="209" t="str">
        <f>IFERROR(VLOOKUP(TableHandbook[[#This Row],[UDC]],TableSTRULITNU[],7,FALSE),"")</f>
        <v/>
      </c>
      <c r="V215" s="209" t="str">
        <f>IFERROR(VLOOKUP(TableHandbook[[#This Row],[UDC]],TableSTRUTECHS[],7,FALSE),"")</f>
        <v/>
      </c>
      <c r="W215" s="211" t="str">
        <f>IFERROR(VLOOKUP(TableHandbook[[#This Row],[UDC]],TableBEDSC[],7,FALSE),"")</f>
        <v/>
      </c>
      <c r="X215" s="211" t="str">
        <f>IFERROR(VLOOKUP(TableHandbook[[#This Row],[UDC]],TableMJRUARDR1[],7,FALSE),"")</f>
        <v/>
      </c>
      <c r="Y215" s="209" t="str">
        <f>IFERROR(VLOOKUP(TableHandbook[[#This Row],[UDC]],TableMJRUARME1[],7,FALSE),"")</f>
        <v/>
      </c>
      <c r="Z215" s="209" t="str">
        <f>IFERROR(VLOOKUP(TableHandbook[[#This Row],[UDC]],TableMJRUARVA1[],7,FALSE),"")</f>
        <v/>
      </c>
      <c r="AA215" s="209" t="str">
        <f>IFERROR(VLOOKUP(TableHandbook[[#This Row],[UDC]],TableMJRUENGL1[],7,FALSE),"")</f>
        <v/>
      </c>
      <c r="AB215" s="209" t="str">
        <f>IFERROR(VLOOKUP(TableHandbook[[#This Row],[UDC]],TableMJRUHSEC1[],7,FALSE),"")</f>
        <v/>
      </c>
      <c r="AC215" s="209" t="str">
        <f>IFERROR(VLOOKUP(TableHandbook[[#This Row],[UDC]],TableMJRUHSGE1[],7,FALSE),"")</f>
        <v/>
      </c>
      <c r="AD215" s="209" t="str">
        <f>IFERROR(VLOOKUP(TableHandbook[[#This Row],[UDC]],TableMJRUHSHI1[],7,FALSE),"")</f>
        <v/>
      </c>
      <c r="AE215" s="209" t="str">
        <f>IFERROR(VLOOKUP(TableHandbook[[#This Row],[UDC]],TableMJRUHSPL1[],7,FALSE),"")</f>
        <v/>
      </c>
      <c r="AF215" s="209" t="str">
        <f>IFERROR(VLOOKUP(TableHandbook[[#This Row],[UDC]],TableMJRUMATH1[],7,FALSE),"")</f>
        <v/>
      </c>
      <c r="AG215" s="209" t="str">
        <f>IFERROR(VLOOKUP(TableHandbook[[#This Row],[UDC]],TableMJRUPHYSE[],7,FALSE),"")</f>
        <v/>
      </c>
      <c r="AH215" s="209" t="str">
        <f>IFERROR(VLOOKUP(TableHandbook[[#This Row],[UDC]],TableMJRUSCBI1[],7,FALSE),"")</f>
        <v/>
      </c>
      <c r="AI215" s="209" t="str">
        <f>IFERROR(VLOOKUP(TableHandbook[[#This Row],[UDC]],TableMJRUSCCH1[],7,FALSE),"")</f>
        <v/>
      </c>
      <c r="AJ215" s="209" t="str">
        <f>IFERROR(VLOOKUP(TableHandbook[[#This Row],[UDC]],TableMJRUSCHB1[],7,FALSE),"")</f>
        <v>Core</v>
      </c>
      <c r="AK215" s="209" t="str">
        <f>IFERROR(VLOOKUP(TableHandbook[[#This Row],[UDC]],TableMJRUSCPH1[],7,FALSE),"")</f>
        <v/>
      </c>
      <c r="AL215" s="209" t="str">
        <f>IFERROR(VLOOKUP(TableHandbook[[#This Row],[UDC]],TableMJRUSCPS1[],7,FALSE),"")</f>
        <v/>
      </c>
      <c r="AM215" s="211" t="str">
        <f>IFERROR(VLOOKUP(TableHandbook[[#This Row],[UDC]],TableSTRUBIOLB[],7,FALSE),"")</f>
        <v/>
      </c>
      <c r="AN215" s="209" t="str">
        <f>IFERROR(VLOOKUP(TableHandbook[[#This Row],[UDC]],TableSTRUBSCIM[],7,FALSE),"")</f>
        <v>AltCore</v>
      </c>
      <c r="AO215" s="209" t="str">
        <f>IFERROR(VLOOKUP(TableHandbook[[#This Row],[UDC]],TableSTRUCHEMB[],7,FALSE),"")</f>
        <v/>
      </c>
      <c r="AP215" s="209" t="str">
        <f>IFERROR(VLOOKUP(TableHandbook[[#This Row],[UDC]],TableSTRUECOB1[],7,FALSE),"")</f>
        <v/>
      </c>
      <c r="AQ215" s="209" t="str">
        <f>IFERROR(VLOOKUP(TableHandbook[[#This Row],[UDC]],TableSTRUENGLB[],7,FALSE),"")</f>
        <v/>
      </c>
      <c r="AR215" s="209" t="str">
        <f>IFERROR(VLOOKUP(TableHandbook[[#This Row],[UDC]],TableSTRUENGLM[],7,FALSE),"")</f>
        <v/>
      </c>
      <c r="AS215" s="209" t="str">
        <f>IFERROR(VLOOKUP(TableHandbook[[#This Row],[UDC]],TableSTRUGEOB1[],7,FALSE),"")</f>
        <v/>
      </c>
      <c r="AT215" s="209" t="str">
        <f>IFERROR(VLOOKUP(TableHandbook[[#This Row],[UDC]],TableSTRUGEOGM[],7,FALSE),"")</f>
        <v/>
      </c>
      <c r="AU215" s="209" t="str">
        <f>IFERROR(VLOOKUP(TableHandbook[[#This Row],[UDC]],TableSTRUHISB1[],7,FALSE),"")</f>
        <v/>
      </c>
      <c r="AV215" s="209" t="str">
        <f>IFERROR(VLOOKUP(TableHandbook[[#This Row],[UDC]],TableSTRUHISTM[],7,FALSE),"")</f>
        <v/>
      </c>
      <c r="AW215" s="209" t="str">
        <f>IFERROR(VLOOKUP(TableHandbook[[#This Row],[UDC]],TableSTRUHPEB1[],7,FALSE),"")</f>
        <v/>
      </c>
      <c r="AX215" s="209" t="str">
        <f>IFERROR(VLOOKUP(TableHandbook[[#This Row],[UDC]],TableSTRUHUMBB[],7,FALSE),"")</f>
        <v/>
      </c>
      <c r="AY215" s="209" t="str">
        <f>IFERROR(VLOOKUP(TableHandbook[[#This Row],[UDC]],TableSTRUMARTM[],7,FALSE),"")</f>
        <v/>
      </c>
      <c r="AZ215" s="209" t="str">
        <f>IFERROR(VLOOKUP(TableHandbook[[#This Row],[UDC]],TableSTRUMATHB[],7,FALSE),"")</f>
        <v/>
      </c>
      <c r="BA215" s="209" t="str">
        <f>IFERROR(VLOOKUP(TableHandbook[[#This Row],[UDC]],TableSTRUMATHM[],7,FALSE),"")</f>
        <v/>
      </c>
      <c r="BB215" s="209" t="str">
        <f>IFERROR(VLOOKUP(TableHandbook[[#This Row],[UDC]],TableSTRUPARTB[],7,FALSE),"")</f>
        <v/>
      </c>
      <c r="BC215" s="209" t="str">
        <f>IFERROR(VLOOKUP(TableHandbook[[#This Row],[UDC]],TableSTRUPARTM[],7,FALSE),"")</f>
        <v/>
      </c>
      <c r="BD215" s="209" t="str">
        <f>IFERROR(VLOOKUP(TableHandbook[[#This Row],[UDC]],TableSTRUPOLB1[],7,FALSE),"")</f>
        <v/>
      </c>
      <c r="BE215" s="209" t="str">
        <f>IFERROR(VLOOKUP(TableHandbook[[#This Row],[UDC]],TableSTRUPSYCB[],7,FALSE),"")</f>
        <v/>
      </c>
      <c r="BF215" s="209" t="str">
        <f>IFERROR(VLOOKUP(TableHandbook[[#This Row],[UDC]],TableSTRUPSYCM[],7,FALSE),"")</f>
        <v/>
      </c>
      <c r="BG215" s="209" t="str">
        <f>IFERROR(VLOOKUP(TableHandbook[[#This Row],[UDC]],TableSTRUVARTB[],7,FALSE),"")</f>
        <v/>
      </c>
      <c r="BH215" s="209" t="str">
        <f>IFERROR(VLOOKUP(TableHandbook[[#This Row],[UDC]],TableSTRUVARTM[],7,FALSE),"")</f>
        <v/>
      </c>
    </row>
    <row r="216" spans="1:60" x14ac:dyDescent="0.25">
      <c r="A216" s="6" t="s">
        <v>518</v>
      </c>
      <c r="B216" s="7">
        <v>1</v>
      </c>
      <c r="C216" s="7"/>
      <c r="D216" s="207" t="s">
        <v>1033</v>
      </c>
      <c r="E216" s="7">
        <v>25</v>
      </c>
      <c r="F216" s="311" t="s">
        <v>1031</v>
      </c>
      <c r="G216" s="75" t="str">
        <f>IFERROR(IF(VLOOKUP(TableHandbook[[#This Row],[UDC]],TableAvailabilities[],2,FALSE)&gt;0,"Y",""),"")</f>
        <v>Y</v>
      </c>
      <c r="H216" s="75" t="str">
        <f>IFERROR(IF(VLOOKUP(TableHandbook[[#This Row],[UDC]],TableAvailabilities[],3,FALSE)&gt;0,"Y",""),"")</f>
        <v/>
      </c>
      <c r="I216" s="75" t="str">
        <f>IFERROR(IF(VLOOKUP(TableHandbook[[#This Row],[UDC]],TableAvailabilities[],4,FALSE)&gt;0,"Y",""),"")</f>
        <v/>
      </c>
      <c r="J216" s="75" t="str">
        <f>IFERROR(IF(VLOOKUP(TableHandbook[[#This Row],[UDC]],TableAvailabilities[],5,FALSE)&gt;0,"Y",""),"")</f>
        <v/>
      </c>
      <c r="K216" s="75" t="str">
        <f>IFERROR(IF(VLOOKUP(TableHandbook[[#This Row],[UDC]],TableAvailabilities[],6,FALSE)&gt;0,"Y",""),"")</f>
        <v/>
      </c>
      <c r="L216" s="75" t="str">
        <f>IFERROR(IF(VLOOKUP(TableHandbook[[#This Row],[UDC]],TableAvailabilities[],7,FALSE)&gt;0,"Y",""),"")</f>
        <v/>
      </c>
      <c r="M216" s="207"/>
      <c r="N216" s="209" t="str">
        <f>IFERROR(VLOOKUP(TableHandbook[[#This Row],[UDC]],TableBEDUC[],7,FALSE),"")</f>
        <v/>
      </c>
      <c r="O216" s="209" t="str">
        <f>IFERROR(VLOOKUP(TableHandbook[[#This Row],[UDC]],TableBEDEC[],7,FALSE),"")</f>
        <v/>
      </c>
      <c r="P216" s="211" t="str">
        <f>IFERROR(VLOOKUP(TableHandbook[[#This Row],[UDC]],TableBEDPR[],7,FALSE),"")</f>
        <v/>
      </c>
      <c r="Q216" s="209" t="str">
        <f>IFERROR(VLOOKUP(TableHandbook[[#This Row],[UDC]],TableSTRUCATHL[],7,FALSE),"")</f>
        <v/>
      </c>
      <c r="R216" s="209" t="str">
        <f>IFERROR(VLOOKUP(TableHandbook[[#This Row],[UDC]],TableSTRUENGLL[],7,FALSE),"")</f>
        <v/>
      </c>
      <c r="S216" s="209" t="str">
        <f>IFERROR(VLOOKUP(TableHandbook[[#This Row],[UDC]],TableSTRUHLTPE[],7,FALSE),"")</f>
        <v/>
      </c>
      <c r="T216" s="209" t="str">
        <f>IFERROR(VLOOKUP(TableHandbook[[#This Row],[UDC]],TableSTRUISTEM[],7,FALSE),"")</f>
        <v/>
      </c>
      <c r="U216" s="209" t="str">
        <f>IFERROR(VLOOKUP(TableHandbook[[#This Row],[UDC]],TableSTRULITNU[],7,FALSE),"")</f>
        <v/>
      </c>
      <c r="V216" s="209" t="str">
        <f>IFERROR(VLOOKUP(TableHandbook[[#This Row],[UDC]],TableSTRUTECHS[],7,FALSE),"")</f>
        <v/>
      </c>
      <c r="W216" s="211" t="str">
        <f>IFERROR(VLOOKUP(TableHandbook[[#This Row],[UDC]],TableBEDSC[],7,FALSE),"")</f>
        <v/>
      </c>
      <c r="X216" s="211" t="str">
        <f>IFERROR(VLOOKUP(TableHandbook[[#This Row],[UDC]],TableMJRUARDR1[],7,FALSE),"")</f>
        <v/>
      </c>
      <c r="Y216" s="209" t="str">
        <f>IFERROR(VLOOKUP(TableHandbook[[#This Row],[UDC]],TableMJRUARME1[],7,FALSE),"")</f>
        <v/>
      </c>
      <c r="Z216" s="209" t="str">
        <f>IFERROR(VLOOKUP(TableHandbook[[#This Row],[UDC]],TableMJRUARVA1[],7,FALSE),"")</f>
        <v/>
      </c>
      <c r="AA216" s="209" t="str">
        <f>IFERROR(VLOOKUP(TableHandbook[[#This Row],[UDC]],TableMJRUENGL1[],7,FALSE),"")</f>
        <v/>
      </c>
      <c r="AB216" s="209" t="str">
        <f>IFERROR(VLOOKUP(TableHandbook[[#This Row],[UDC]],TableMJRUHSEC1[],7,FALSE),"")</f>
        <v/>
      </c>
      <c r="AC216" s="209" t="str">
        <f>IFERROR(VLOOKUP(TableHandbook[[#This Row],[UDC]],TableMJRUHSGE1[],7,FALSE),"")</f>
        <v/>
      </c>
      <c r="AD216" s="209" t="str">
        <f>IFERROR(VLOOKUP(TableHandbook[[#This Row],[UDC]],TableMJRUHSHI1[],7,FALSE),"")</f>
        <v/>
      </c>
      <c r="AE216" s="209" t="str">
        <f>IFERROR(VLOOKUP(TableHandbook[[#This Row],[UDC]],TableMJRUHSPL1[],7,FALSE),"")</f>
        <v/>
      </c>
      <c r="AF216" s="209" t="str">
        <f>IFERROR(VLOOKUP(TableHandbook[[#This Row],[UDC]],TableMJRUMATH1[],7,FALSE),"")</f>
        <v/>
      </c>
      <c r="AG216" s="209" t="str">
        <f>IFERROR(VLOOKUP(TableHandbook[[#This Row],[UDC]],TableMJRUPHYSE[],7,FALSE),"")</f>
        <v/>
      </c>
      <c r="AH216" s="209" t="str">
        <f>IFERROR(VLOOKUP(TableHandbook[[#This Row],[UDC]],TableMJRUSCBI1[],7,FALSE),"")</f>
        <v/>
      </c>
      <c r="AI216" s="209" t="str">
        <f>IFERROR(VLOOKUP(TableHandbook[[#This Row],[UDC]],TableMJRUSCCH1[],7,FALSE),"")</f>
        <v/>
      </c>
      <c r="AJ216" s="209" t="str">
        <f>IFERROR(VLOOKUP(TableHandbook[[#This Row],[UDC]],TableMJRUSCHB1[],7,FALSE),"")</f>
        <v>Core</v>
      </c>
      <c r="AK216" s="209" t="str">
        <f>IFERROR(VLOOKUP(TableHandbook[[#This Row],[UDC]],TableMJRUSCPH1[],7,FALSE),"")</f>
        <v/>
      </c>
      <c r="AL216" s="209" t="str">
        <f>IFERROR(VLOOKUP(TableHandbook[[#This Row],[UDC]],TableMJRUSCPS1[],7,FALSE),"")</f>
        <v/>
      </c>
      <c r="AM216" s="211" t="str">
        <f>IFERROR(VLOOKUP(TableHandbook[[#This Row],[UDC]],TableSTRUBIOLB[],7,FALSE),"")</f>
        <v/>
      </c>
      <c r="AN216" s="209" t="str">
        <f>IFERROR(VLOOKUP(TableHandbook[[#This Row],[UDC]],TableSTRUBSCIM[],7,FALSE),"")</f>
        <v/>
      </c>
      <c r="AO216" s="209" t="str">
        <f>IFERROR(VLOOKUP(TableHandbook[[#This Row],[UDC]],TableSTRUCHEMB[],7,FALSE),"")</f>
        <v/>
      </c>
      <c r="AP216" s="209" t="str">
        <f>IFERROR(VLOOKUP(TableHandbook[[#This Row],[UDC]],TableSTRUECOB1[],7,FALSE),"")</f>
        <v/>
      </c>
      <c r="AQ216" s="209" t="str">
        <f>IFERROR(VLOOKUP(TableHandbook[[#This Row],[UDC]],TableSTRUENGLB[],7,FALSE),"")</f>
        <v/>
      </c>
      <c r="AR216" s="209" t="str">
        <f>IFERROR(VLOOKUP(TableHandbook[[#This Row],[UDC]],TableSTRUENGLM[],7,FALSE),"")</f>
        <v/>
      </c>
      <c r="AS216" s="209" t="str">
        <f>IFERROR(VLOOKUP(TableHandbook[[#This Row],[UDC]],TableSTRUGEOB1[],7,FALSE),"")</f>
        <v/>
      </c>
      <c r="AT216" s="209" t="str">
        <f>IFERROR(VLOOKUP(TableHandbook[[#This Row],[UDC]],TableSTRUGEOGM[],7,FALSE),"")</f>
        <v/>
      </c>
      <c r="AU216" s="209" t="str">
        <f>IFERROR(VLOOKUP(TableHandbook[[#This Row],[UDC]],TableSTRUHISB1[],7,FALSE),"")</f>
        <v/>
      </c>
      <c r="AV216" s="209" t="str">
        <f>IFERROR(VLOOKUP(TableHandbook[[#This Row],[UDC]],TableSTRUHISTM[],7,FALSE),"")</f>
        <v/>
      </c>
      <c r="AW216" s="209" t="str">
        <f>IFERROR(VLOOKUP(TableHandbook[[#This Row],[UDC]],TableSTRUHPEB1[],7,FALSE),"")</f>
        <v/>
      </c>
      <c r="AX216" s="209" t="str">
        <f>IFERROR(VLOOKUP(TableHandbook[[#This Row],[UDC]],TableSTRUHUMBB[],7,FALSE),"")</f>
        <v/>
      </c>
      <c r="AY216" s="209" t="str">
        <f>IFERROR(VLOOKUP(TableHandbook[[#This Row],[UDC]],TableSTRUMARTM[],7,FALSE),"")</f>
        <v/>
      </c>
      <c r="AZ216" s="209" t="str">
        <f>IFERROR(VLOOKUP(TableHandbook[[#This Row],[UDC]],TableSTRUMATHB[],7,FALSE),"")</f>
        <v/>
      </c>
      <c r="BA216" s="209" t="str">
        <f>IFERROR(VLOOKUP(TableHandbook[[#This Row],[UDC]],TableSTRUMATHM[],7,FALSE),"")</f>
        <v/>
      </c>
      <c r="BB216" s="209" t="str">
        <f>IFERROR(VLOOKUP(TableHandbook[[#This Row],[UDC]],TableSTRUPARTB[],7,FALSE),"")</f>
        <v/>
      </c>
      <c r="BC216" s="209" t="str">
        <f>IFERROR(VLOOKUP(TableHandbook[[#This Row],[UDC]],TableSTRUPARTM[],7,FALSE),"")</f>
        <v/>
      </c>
      <c r="BD216" s="209" t="str">
        <f>IFERROR(VLOOKUP(TableHandbook[[#This Row],[UDC]],TableSTRUPOLB1[],7,FALSE),"")</f>
        <v/>
      </c>
      <c r="BE216" s="209" t="str">
        <f>IFERROR(VLOOKUP(TableHandbook[[#This Row],[UDC]],TableSTRUPSYCB[],7,FALSE),"")</f>
        <v/>
      </c>
      <c r="BF216" s="209" t="str">
        <f>IFERROR(VLOOKUP(TableHandbook[[#This Row],[UDC]],TableSTRUPSYCM[],7,FALSE),"")</f>
        <v/>
      </c>
      <c r="BG216" s="209" t="str">
        <f>IFERROR(VLOOKUP(TableHandbook[[#This Row],[UDC]],TableSTRUVARTB[],7,FALSE),"")</f>
        <v/>
      </c>
      <c r="BH216" s="209" t="str">
        <f>IFERROR(VLOOKUP(TableHandbook[[#This Row],[UDC]],TableSTRUVARTM[],7,FALSE),"")</f>
        <v/>
      </c>
    </row>
    <row r="217" spans="1:60" x14ac:dyDescent="0.25">
      <c r="A217" s="6" t="s">
        <v>586</v>
      </c>
      <c r="B217" s="7">
        <v>1</v>
      </c>
      <c r="C217" s="7"/>
      <c r="D217" s="207" t="s">
        <v>1034</v>
      </c>
      <c r="E217" s="7">
        <v>25</v>
      </c>
      <c r="F217" s="311" t="s">
        <v>480</v>
      </c>
      <c r="G217" s="75" t="str">
        <f>IFERROR(IF(VLOOKUP(TableHandbook[[#This Row],[UDC]],TableAvailabilities[],2,FALSE)&gt;0,"Y",""),"")</f>
        <v>Y</v>
      </c>
      <c r="H217" s="75" t="str">
        <f>IFERROR(IF(VLOOKUP(TableHandbook[[#This Row],[UDC]],TableAvailabilities[],3,FALSE)&gt;0,"Y",""),"")</f>
        <v/>
      </c>
      <c r="I217" s="75" t="str">
        <f>IFERROR(IF(VLOOKUP(TableHandbook[[#This Row],[UDC]],TableAvailabilities[],4,FALSE)&gt;0,"Y",""),"")</f>
        <v/>
      </c>
      <c r="J217" s="75" t="str">
        <f>IFERROR(IF(VLOOKUP(TableHandbook[[#This Row],[UDC]],TableAvailabilities[],5,FALSE)&gt;0,"Y",""),"")</f>
        <v/>
      </c>
      <c r="K217" s="75" t="str">
        <f>IFERROR(IF(VLOOKUP(TableHandbook[[#This Row],[UDC]],TableAvailabilities[],6,FALSE)&gt;0,"Y",""),"")</f>
        <v/>
      </c>
      <c r="L217" s="75" t="str">
        <f>IFERROR(IF(VLOOKUP(TableHandbook[[#This Row],[UDC]],TableAvailabilities[],7,FALSE)&gt;0,"Y",""),"")</f>
        <v/>
      </c>
      <c r="M217" s="207"/>
      <c r="N217" s="209" t="str">
        <f>IFERROR(VLOOKUP(TableHandbook[[#This Row],[UDC]],TableBEDUC[],7,FALSE),"")</f>
        <v/>
      </c>
      <c r="O217" s="209" t="str">
        <f>IFERROR(VLOOKUP(TableHandbook[[#This Row],[UDC]],TableBEDEC[],7,FALSE),"")</f>
        <v/>
      </c>
      <c r="P217" s="211" t="str">
        <f>IFERROR(VLOOKUP(TableHandbook[[#This Row],[UDC]],TableBEDPR[],7,FALSE),"")</f>
        <v/>
      </c>
      <c r="Q217" s="209" t="str">
        <f>IFERROR(VLOOKUP(TableHandbook[[#This Row],[UDC]],TableSTRUCATHL[],7,FALSE),"")</f>
        <v/>
      </c>
      <c r="R217" s="209" t="str">
        <f>IFERROR(VLOOKUP(TableHandbook[[#This Row],[UDC]],TableSTRUENGLL[],7,FALSE),"")</f>
        <v/>
      </c>
      <c r="S217" s="209" t="str">
        <f>IFERROR(VLOOKUP(TableHandbook[[#This Row],[UDC]],TableSTRUHLTPE[],7,FALSE),"")</f>
        <v/>
      </c>
      <c r="T217" s="209" t="str">
        <f>IFERROR(VLOOKUP(TableHandbook[[#This Row],[UDC]],TableSTRUISTEM[],7,FALSE),"")</f>
        <v/>
      </c>
      <c r="U217" s="209" t="str">
        <f>IFERROR(VLOOKUP(TableHandbook[[#This Row],[UDC]],TableSTRULITNU[],7,FALSE),"")</f>
        <v/>
      </c>
      <c r="V217" s="209" t="str">
        <f>IFERROR(VLOOKUP(TableHandbook[[#This Row],[UDC]],TableSTRUTECHS[],7,FALSE),"")</f>
        <v/>
      </c>
      <c r="W217" s="211" t="str">
        <f>IFERROR(VLOOKUP(TableHandbook[[#This Row],[UDC]],TableBEDSC[],7,FALSE),"")</f>
        <v/>
      </c>
      <c r="X217" s="211" t="str">
        <f>IFERROR(VLOOKUP(TableHandbook[[#This Row],[UDC]],TableMJRUARDR1[],7,FALSE),"")</f>
        <v/>
      </c>
      <c r="Y217" s="209" t="str">
        <f>IFERROR(VLOOKUP(TableHandbook[[#This Row],[UDC]],TableMJRUARME1[],7,FALSE),"")</f>
        <v/>
      </c>
      <c r="Z217" s="209" t="str">
        <f>IFERROR(VLOOKUP(TableHandbook[[#This Row],[UDC]],TableMJRUARVA1[],7,FALSE),"")</f>
        <v/>
      </c>
      <c r="AA217" s="209" t="str">
        <f>IFERROR(VLOOKUP(TableHandbook[[#This Row],[UDC]],TableMJRUENGL1[],7,FALSE),"")</f>
        <v/>
      </c>
      <c r="AB217" s="209" t="str">
        <f>IFERROR(VLOOKUP(TableHandbook[[#This Row],[UDC]],TableMJRUHSEC1[],7,FALSE),"")</f>
        <v/>
      </c>
      <c r="AC217" s="209" t="str">
        <f>IFERROR(VLOOKUP(TableHandbook[[#This Row],[UDC]],TableMJRUHSGE1[],7,FALSE),"")</f>
        <v/>
      </c>
      <c r="AD217" s="209" t="str">
        <f>IFERROR(VLOOKUP(TableHandbook[[#This Row],[UDC]],TableMJRUHSHI1[],7,FALSE),"")</f>
        <v/>
      </c>
      <c r="AE217" s="209" t="str">
        <f>IFERROR(VLOOKUP(TableHandbook[[#This Row],[UDC]],TableMJRUHSPL1[],7,FALSE),"")</f>
        <v/>
      </c>
      <c r="AF217" s="209" t="str">
        <f>IFERROR(VLOOKUP(TableHandbook[[#This Row],[UDC]],TableMJRUMATH1[],7,FALSE),"")</f>
        <v/>
      </c>
      <c r="AG217" s="209" t="str">
        <f>IFERROR(VLOOKUP(TableHandbook[[#This Row],[UDC]],TableMJRUPHYSE[],7,FALSE),"")</f>
        <v/>
      </c>
      <c r="AH217" s="209" t="str">
        <f>IFERROR(VLOOKUP(TableHandbook[[#This Row],[UDC]],TableMJRUSCBI1[],7,FALSE),"")</f>
        <v/>
      </c>
      <c r="AI217" s="209" t="str">
        <f>IFERROR(VLOOKUP(TableHandbook[[#This Row],[UDC]],TableMJRUSCCH1[],7,FALSE),"")</f>
        <v/>
      </c>
      <c r="AJ217" s="209" t="str">
        <f>IFERROR(VLOOKUP(TableHandbook[[#This Row],[UDC]],TableMJRUSCHB1[],7,FALSE),"")</f>
        <v>Option</v>
      </c>
      <c r="AK217" s="209" t="str">
        <f>IFERROR(VLOOKUP(TableHandbook[[#This Row],[UDC]],TableMJRUSCPH1[],7,FALSE),"")</f>
        <v/>
      </c>
      <c r="AL217" s="209" t="str">
        <f>IFERROR(VLOOKUP(TableHandbook[[#This Row],[UDC]],TableMJRUSCPS1[],7,FALSE),"")</f>
        <v/>
      </c>
      <c r="AM217" s="211" t="str">
        <f>IFERROR(VLOOKUP(TableHandbook[[#This Row],[UDC]],TableSTRUBIOLB[],7,FALSE),"")</f>
        <v/>
      </c>
      <c r="AN217" s="209" t="str">
        <f>IFERROR(VLOOKUP(TableHandbook[[#This Row],[UDC]],TableSTRUBSCIM[],7,FALSE),"")</f>
        <v/>
      </c>
      <c r="AO217" s="209" t="str">
        <f>IFERROR(VLOOKUP(TableHandbook[[#This Row],[UDC]],TableSTRUCHEMB[],7,FALSE),"")</f>
        <v/>
      </c>
      <c r="AP217" s="209" t="str">
        <f>IFERROR(VLOOKUP(TableHandbook[[#This Row],[UDC]],TableSTRUECOB1[],7,FALSE),"")</f>
        <v/>
      </c>
      <c r="AQ217" s="209" t="str">
        <f>IFERROR(VLOOKUP(TableHandbook[[#This Row],[UDC]],TableSTRUENGLB[],7,FALSE),"")</f>
        <v/>
      </c>
      <c r="AR217" s="209" t="str">
        <f>IFERROR(VLOOKUP(TableHandbook[[#This Row],[UDC]],TableSTRUENGLM[],7,FALSE),"")</f>
        <v/>
      </c>
      <c r="AS217" s="209" t="str">
        <f>IFERROR(VLOOKUP(TableHandbook[[#This Row],[UDC]],TableSTRUGEOB1[],7,FALSE),"")</f>
        <v/>
      </c>
      <c r="AT217" s="209" t="str">
        <f>IFERROR(VLOOKUP(TableHandbook[[#This Row],[UDC]],TableSTRUGEOGM[],7,FALSE),"")</f>
        <v/>
      </c>
      <c r="AU217" s="209" t="str">
        <f>IFERROR(VLOOKUP(TableHandbook[[#This Row],[UDC]],TableSTRUHISB1[],7,FALSE),"")</f>
        <v/>
      </c>
      <c r="AV217" s="209" t="str">
        <f>IFERROR(VLOOKUP(TableHandbook[[#This Row],[UDC]],TableSTRUHISTM[],7,FALSE),"")</f>
        <v/>
      </c>
      <c r="AW217" s="209" t="str">
        <f>IFERROR(VLOOKUP(TableHandbook[[#This Row],[UDC]],TableSTRUHPEB1[],7,FALSE),"")</f>
        <v/>
      </c>
      <c r="AX217" s="209" t="str">
        <f>IFERROR(VLOOKUP(TableHandbook[[#This Row],[UDC]],TableSTRUHUMBB[],7,FALSE),"")</f>
        <v/>
      </c>
      <c r="AY217" s="209" t="str">
        <f>IFERROR(VLOOKUP(TableHandbook[[#This Row],[UDC]],TableSTRUMARTM[],7,FALSE),"")</f>
        <v/>
      </c>
      <c r="AZ217" s="209" t="str">
        <f>IFERROR(VLOOKUP(TableHandbook[[#This Row],[UDC]],TableSTRUMATHB[],7,FALSE),"")</f>
        <v/>
      </c>
      <c r="BA217" s="209" t="str">
        <f>IFERROR(VLOOKUP(TableHandbook[[#This Row],[UDC]],TableSTRUMATHM[],7,FALSE),"")</f>
        <v/>
      </c>
      <c r="BB217" s="209" t="str">
        <f>IFERROR(VLOOKUP(TableHandbook[[#This Row],[UDC]],TableSTRUPARTB[],7,FALSE),"")</f>
        <v/>
      </c>
      <c r="BC217" s="209" t="str">
        <f>IFERROR(VLOOKUP(TableHandbook[[#This Row],[UDC]],TableSTRUPARTM[],7,FALSE),"")</f>
        <v/>
      </c>
      <c r="BD217" s="209" t="str">
        <f>IFERROR(VLOOKUP(TableHandbook[[#This Row],[UDC]],TableSTRUPOLB1[],7,FALSE),"")</f>
        <v/>
      </c>
      <c r="BE217" s="209" t="str">
        <f>IFERROR(VLOOKUP(TableHandbook[[#This Row],[UDC]],TableSTRUPSYCB[],7,FALSE),"")</f>
        <v/>
      </c>
      <c r="BF217" s="209" t="str">
        <f>IFERROR(VLOOKUP(TableHandbook[[#This Row],[UDC]],TableSTRUPSYCM[],7,FALSE),"")</f>
        <v/>
      </c>
      <c r="BG217" s="209" t="str">
        <f>IFERROR(VLOOKUP(TableHandbook[[#This Row],[UDC]],TableSTRUVARTB[],7,FALSE),"")</f>
        <v/>
      </c>
      <c r="BH217" s="209" t="str">
        <f>IFERROR(VLOOKUP(TableHandbook[[#This Row],[UDC]],TableSTRUVARTM[],7,FALSE),"")</f>
        <v/>
      </c>
    </row>
    <row r="218" spans="1:60" x14ac:dyDescent="0.25">
      <c r="A218" s="296" t="s">
        <v>591</v>
      </c>
      <c r="B218" s="7">
        <v>1</v>
      </c>
      <c r="C218" s="7"/>
      <c r="D218" s="207" t="s">
        <v>1035</v>
      </c>
      <c r="E218" s="7">
        <v>25</v>
      </c>
      <c r="F218" s="311" t="s">
        <v>1031</v>
      </c>
      <c r="G218" s="75" t="str">
        <f>IFERROR(IF(VLOOKUP(TableHandbook[[#This Row],[UDC]],TableAvailabilities[],2,FALSE)&gt;0,"Y",""),"")</f>
        <v>Y</v>
      </c>
      <c r="H218" s="75" t="str">
        <f>IFERROR(IF(VLOOKUP(TableHandbook[[#This Row],[UDC]],TableAvailabilities[],3,FALSE)&gt;0,"Y",""),"")</f>
        <v/>
      </c>
      <c r="I218" s="75" t="str">
        <f>IFERROR(IF(VLOOKUP(TableHandbook[[#This Row],[UDC]],TableAvailabilities[],4,FALSE)&gt;0,"Y",""),"")</f>
        <v/>
      </c>
      <c r="J218" s="75" t="str">
        <f>IFERROR(IF(VLOOKUP(TableHandbook[[#This Row],[UDC]],TableAvailabilities[],5,FALSE)&gt;0,"Y",""),"")</f>
        <v/>
      </c>
      <c r="K218" s="75" t="str">
        <f>IFERROR(IF(VLOOKUP(TableHandbook[[#This Row],[UDC]],TableAvailabilities[],6,FALSE)&gt;0,"Y",""),"")</f>
        <v/>
      </c>
      <c r="L218" s="75" t="str">
        <f>IFERROR(IF(VLOOKUP(TableHandbook[[#This Row],[UDC]],TableAvailabilities[],7,FALSE)&gt;0,"Y",""),"")</f>
        <v/>
      </c>
      <c r="M218" s="207"/>
      <c r="N218" s="209" t="str">
        <f>IFERROR(VLOOKUP(TableHandbook[[#This Row],[UDC]],TableBEDUC[],7,FALSE),"")</f>
        <v/>
      </c>
      <c r="O218" s="209" t="str">
        <f>IFERROR(VLOOKUP(TableHandbook[[#This Row],[UDC]],TableBEDEC[],7,FALSE),"")</f>
        <v/>
      </c>
      <c r="P218" s="211" t="str">
        <f>IFERROR(VLOOKUP(TableHandbook[[#This Row],[UDC]],TableBEDPR[],7,FALSE),"")</f>
        <v/>
      </c>
      <c r="Q218" s="209" t="str">
        <f>IFERROR(VLOOKUP(TableHandbook[[#This Row],[UDC]],TableSTRUCATHL[],7,FALSE),"")</f>
        <v/>
      </c>
      <c r="R218" s="209" t="str">
        <f>IFERROR(VLOOKUP(TableHandbook[[#This Row],[UDC]],TableSTRUENGLL[],7,FALSE),"")</f>
        <v/>
      </c>
      <c r="S218" s="209" t="str">
        <f>IFERROR(VLOOKUP(TableHandbook[[#This Row],[UDC]],TableSTRUHLTPE[],7,FALSE),"")</f>
        <v/>
      </c>
      <c r="T218" s="209" t="str">
        <f>IFERROR(VLOOKUP(TableHandbook[[#This Row],[UDC]],TableSTRUISTEM[],7,FALSE),"")</f>
        <v/>
      </c>
      <c r="U218" s="209" t="str">
        <f>IFERROR(VLOOKUP(TableHandbook[[#This Row],[UDC]],TableSTRULITNU[],7,FALSE),"")</f>
        <v/>
      </c>
      <c r="V218" s="209" t="str">
        <f>IFERROR(VLOOKUP(TableHandbook[[#This Row],[UDC]],TableSTRUTECHS[],7,FALSE),"")</f>
        <v/>
      </c>
      <c r="W218" s="211" t="str">
        <f>IFERROR(VLOOKUP(TableHandbook[[#This Row],[UDC]],TableBEDSC[],7,FALSE),"")</f>
        <v/>
      </c>
      <c r="X218" s="211" t="str">
        <f>IFERROR(VLOOKUP(TableHandbook[[#This Row],[UDC]],TableMJRUARDR1[],7,FALSE),"")</f>
        <v/>
      </c>
      <c r="Y218" s="209" t="str">
        <f>IFERROR(VLOOKUP(TableHandbook[[#This Row],[UDC]],TableMJRUARME1[],7,FALSE),"")</f>
        <v/>
      </c>
      <c r="Z218" s="209" t="str">
        <f>IFERROR(VLOOKUP(TableHandbook[[#This Row],[UDC]],TableMJRUARVA1[],7,FALSE),"")</f>
        <v/>
      </c>
      <c r="AA218" s="209" t="str">
        <f>IFERROR(VLOOKUP(TableHandbook[[#This Row],[UDC]],TableMJRUENGL1[],7,FALSE),"")</f>
        <v/>
      </c>
      <c r="AB218" s="209" t="str">
        <f>IFERROR(VLOOKUP(TableHandbook[[#This Row],[UDC]],TableMJRUHSEC1[],7,FALSE),"")</f>
        <v/>
      </c>
      <c r="AC218" s="209" t="str">
        <f>IFERROR(VLOOKUP(TableHandbook[[#This Row],[UDC]],TableMJRUHSGE1[],7,FALSE),"")</f>
        <v/>
      </c>
      <c r="AD218" s="209" t="str">
        <f>IFERROR(VLOOKUP(TableHandbook[[#This Row],[UDC]],TableMJRUHSHI1[],7,FALSE),"")</f>
        <v/>
      </c>
      <c r="AE218" s="209" t="str">
        <f>IFERROR(VLOOKUP(TableHandbook[[#This Row],[UDC]],TableMJRUHSPL1[],7,FALSE),"")</f>
        <v/>
      </c>
      <c r="AF218" s="209" t="str">
        <f>IFERROR(VLOOKUP(TableHandbook[[#This Row],[UDC]],TableMJRUMATH1[],7,FALSE),"")</f>
        <v/>
      </c>
      <c r="AG218" s="209" t="str">
        <f>IFERROR(VLOOKUP(TableHandbook[[#This Row],[UDC]],TableMJRUPHYSE[],7,FALSE),"")</f>
        <v/>
      </c>
      <c r="AH218" s="209" t="str">
        <f>IFERROR(VLOOKUP(TableHandbook[[#This Row],[UDC]],TableMJRUSCBI1[],7,FALSE),"")</f>
        <v/>
      </c>
      <c r="AI218" s="209" t="str">
        <f>IFERROR(VLOOKUP(TableHandbook[[#This Row],[UDC]],TableMJRUSCCH1[],7,FALSE),"")</f>
        <v/>
      </c>
      <c r="AJ218" s="209" t="str">
        <f>IFERROR(VLOOKUP(TableHandbook[[#This Row],[UDC]],TableMJRUSCHB1[],7,FALSE),"")</f>
        <v>Option</v>
      </c>
      <c r="AK218" s="209" t="str">
        <f>IFERROR(VLOOKUP(TableHandbook[[#This Row],[UDC]],TableMJRUSCPH1[],7,FALSE),"")</f>
        <v/>
      </c>
      <c r="AL218" s="209" t="str">
        <f>IFERROR(VLOOKUP(TableHandbook[[#This Row],[UDC]],TableMJRUSCPS1[],7,FALSE),"")</f>
        <v/>
      </c>
      <c r="AM218" s="211" t="str">
        <f>IFERROR(VLOOKUP(TableHandbook[[#This Row],[UDC]],TableSTRUBIOLB[],7,FALSE),"")</f>
        <v/>
      </c>
      <c r="AN218" s="209" t="str">
        <f>IFERROR(VLOOKUP(TableHandbook[[#This Row],[UDC]],TableSTRUBSCIM[],7,FALSE),"")</f>
        <v/>
      </c>
      <c r="AO218" s="209" t="str">
        <f>IFERROR(VLOOKUP(TableHandbook[[#This Row],[UDC]],TableSTRUCHEMB[],7,FALSE),"")</f>
        <v/>
      </c>
      <c r="AP218" s="209" t="str">
        <f>IFERROR(VLOOKUP(TableHandbook[[#This Row],[UDC]],TableSTRUECOB1[],7,FALSE),"")</f>
        <v/>
      </c>
      <c r="AQ218" s="209" t="str">
        <f>IFERROR(VLOOKUP(TableHandbook[[#This Row],[UDC]],TableSTRUENGLB[],7,FALSE),"")</f>
        <v/>
      </c>
      <c r="AR218" s="209" t="str">
        <f>IFERROR(VLOOKUP(TableHandbook[[#This Row],[UDC]],TableSTRUENGLM[],7,FALSE),"")</f>
        <v/>
      </c>
      <c r="AS218" s="209" t="str">
        <f>IFERROR(VLOOKUP(TableHandbook[[#This Row],[UDC]],TableSTRUGEOB1[],7,FALSE),"")</f>
        <v/>
      </c>
      <c r="AT218" s="209" t="str">
        <f>IFERROR(VLOOKUP(TableHandbook[[#This Row],[UDC]],TableSTRUGEOGM[],7,FALSE),"")</f>
        <v/>
      </c>
      <c r="AU218" s="209" t="str">
        <f>IFERROR(VLOOKUP(TableHandbook[[#This Row],[UDC]],TableSTRUHISB1[],7,FALSE),"")</f>
        <v/>
      </c>
      <c r="AV218" s="209" t="str">
        <f>IFERROR(VLOOKUP(TableHandbook[[#This Row],[UDC]],TableSTRUHISTM[],7,FALSE),"")</f>
        <v/>
      </c>
      <c r="AW218" s="209" t="str">
        <f>IFERROR(VLOOKUP(TableHandbook[[#This Row],[UDC]],TableSTRUHPEB1[],7,FALSE),"")</f>
        <v/>
      </c>
      <c r="AX218" s="209" t="str">
        <f>IFERROR(VLOOKUP(TableHandbook[[#This Row],[UDC]],TableSTRUHUMBB[],7,FALSE),"")</f>
        <v/>
      </c>
      <c r="AY218" s="209" t="str">
        <f>IFERROR(VLOOKUP(TableHandbook[[#This Row],[UDC]],TableSTRUMARTM[],7,FALSE),"")</f>
        <v/>
      </c>
      <c r="AZ218" s="209" t="str">
        <f>IFERROR(VLOOKUP(TableHandbook[[#This Row],[UDC]],TableSTRUMATHB[],7,FALSE),"")</f>
        <v/>
      </c>
      <c r="BA218" s="209" t="str">
        <f>IFERROR(VLOOKUP(TableHandbook[[#This Row],[UDC]],TableSTRUMATHM[],7,FALSE),"")</f>
        <v/>
      </c>
      <c r="BB218" s="209" t="str">
        <f>IFERROR(VLOOKUP(TableHandbook[[#This Row],[UDC]],TableSTRUPARTB[],7,FALSE),"")</f>
        <v/>
      </c>
      <c r="BC218" s="209" t="str">
        <f>IFERROR(VLOOKUP(TableHandbook[[#This Row],[UDC]],TableSTRUPARTM[],7,FALSE),"")</f>
        <v/>
      </c>
      <c r="BD218" s="209" t="str">
        <f>IFERROR(VLOOKUP(TableHandbook[[#This Row],[UDC]],TableSTRUPOLB1[],7,FALSE),"")</f>
        <v/>
      </c>
      <c r="BE218" s="209" t="str">
        <f>IFERROR(VLOOKUP(TableHandbook[[#This Row],[UDC]],TableSTRUPSYCB[],7,FALSE),"")</f>
        <v/>
      </c>
      <c r="BF218" s="209" t="str">
        <f>IFERROR(VLOOKUP(TableHandbook[[#This Row],[UDC]],TableSTRUPSYCM[],7,FALSE),"")</f>
        <v/>
      </c>
      <c r="BG218" s="209" t="str">
        <f>IFERROR(VLOOKUP(TableHandbook[[#This Row],[UDC]],TableSTRUVARTB[],7,FALSE),"")</f>
        <v/>
      </c>
      <c r="BH218" s="209" t="str">
        <f>IFERROR(VLOOKUP(TableHandbook[[#This Row],[UDC]],TableSTRUVARTM[],7,FALSE),"")</f>
        <v/>
      </c>
    </row>
    <row r="219" spans="1:60" x14ac:dyDescent="0.25">
      <c r="A219" s="6" t="s">
        <v>515</v>
      </c>
      <c r="B219" s="7">
        <v>1</v>
      </c>
      <c r="C219" s="7"/>
      <c r="D219" s="207" t="s">
        <v>1036</v>
      </c>
      <c r="E219" s="7">
        <v>25</v>
      </c>
      <c r="F219" s="321" t="s">
        <v>1037</v>
      </c>
      <c r="G219" s="75" t="str">
        <f>IFERROR(IF(VLOOKUP(TableHandbook[[#This Row],[UDC]],TableAvailabilities[],2,FALSE)&gt;0,"Y",""),"")</f>
        <v>Y</v>
      </c>
      <c r="H219" s="75" t="str">
        <f>IFERROR(IF(VLOOKUP(TableHandbook[[#This Row],[UDC]],TableAvailabilities[],3,FALSE)&gt;0,"Y",""),"")</f>
        <v/>
      </c>
      <c r="I219" s="75" t="str">
        <f>IFERROR(IF(VLOOKUP(TableHandbook[[#This Row],[UDC]],TableAvailabilities[],4,FALSE)&gt;0,"Y",""),"")</f>
        <v/>
      </c>
      <c r="J219" s="75" t="str">
        <f>IFERROR(IF(VLOOKUP(TableHandbook[[#This Row],[UDC]],TableAvailabilities[],5,FALSE)&gt;0,"Y",""),"")</f>
        <v/>
      </c>
      <c r="K219" s="75" t="str">
        <f>IFERROR(IF(VLOOKUP(TableHandbook[[#This Row],[UDC]],TableAvailabilities[],6,FALSE)&gt;0,"Y",""),"")</f>
        <v/>
      </c>
      <c r="L219" s="75" t="str">
        <f>IFERROR(IF(VLOOKUP(TableHandbook[[#This Row],[UDC]],TableAvailabilities[],7,FALSE)&gt;0,"Y",""),"")</f>
        <v/>
      </c>
      <c r="M219" s="314" t="s">
        <v>1038</v>
      </c>
      <c r="N219" s="209" t="str">
        <f>IFERROR(VLOOKUP(TableHandbook[[#This Row],[UDC]],TableBEDUC[],7,FALSE),"")</f>
        <v/>
      </c>
      <c r="O219" s="209" t="str">
        <f>IFERROR(VLOOKUP(TableHandbook[[#This Row],[UDC]],TableBEDEC[],7,FALSE),"")</f>
        <v/>
      </c>
      <c r="P219" s="211" t="str">
        <f>IFERROR(VLOOKUP(TableHandbook[[#This Row],[UDC]],TableBEDPR[],7,FALSE),"")</f>
        <v/>
      </c>
      <c r="Q219" s="209" t="str">
        <f>IFERROR(VLOOKUP(TableHandbook[[#This Row],[UDC]],TableSTRUCATHL[],7,FALSE),"")</f>
        <v/>
      </c>
      <c r="R219" s="209" t="str">
        <f>IFERROR(VLOOKUP(TableHandbook[[#This Row],[UDC]],TableSTRUENGLL[],7,FALSE),"")</f>
        <v/>
      </c>
      <c r="S219" s="209" t="str">
        <f>IFERROR(VLOOKUP(TableHandbook[[#This Row],[UDC]],TableSTRUHLTPE[],7,FALSE),"")</f>
        <v/>
      </c>
      <c r="T219" s="209" t="str">
        <f>IFERROR(VLOOKUP(TableHandbook[[#This Row],[UDC]],TableSTRUISTEM[],7,FALSE),"")</f>
        <v/>
      </c>
      <c r="U219" s="209" t="str">
        <f>IFERROR(VLOOKUP(TableHandbook[[#This Row],[UDC]],TableSTRULITNU[],7,FALSE),"")</f>
        <v/>
      </c>
      <c r="V219" s="209" t="str">
        <f>IFERROR(VLOOKUP(TableHandbook[[#This Row],[UDC]],TableSTRUTECHS[],7,FALSE),"")</f>
        <v/>
      </c>
      <c r="W219" s="211" t="str">
        <f>IFERROR(VLOOKUP(TableHandbook[[#This Row],[UDC]],TableBEDSC[],7,FALSE),"")</f>
        <v/>
      </c>
      <c r="X219" s="211" t="str">
        <f>IFERROR(VLOOKUP(TableHandbook[[#This Row],[UDC]],TableMJRUARDR1[],7,FALSE),"")</f>
        <v/>
      </c>
      <c r="Y219" s="209" t="str">
        <f>IFERROR(VLOOKUP(TableHandbook[[#This Row],[UDC]],TableMJRUARME1[],7,FALSE),"")</f>
        <v/>
      </c>
      <c r="Z219" s="209" t="str">
        <f>IFERROR(VLOOKUP(TableHandbook[[#This Row],[UDC]],TableMJRUARVA1[],7,FALSE),"")</f>
        <v/>
      </c>
      <c r="AA219" s="209" t="str">
        <f>IFERROR(VLOOKUP(TableHandbook[[#This Row],[UDC]],TableMJRUENGL1[],7,FALSE),"")</f>
        <v/>
      </c>
      <c r="AB219" s="209" t="str">
        <f>IFERROR(VLOOKUP(TableHandbook[[#This Row],[UDC]],TableMJRUHSEC1[],7,FALSE),"")</f>
        <v/>
      </c>
      <c r="AC219" s="209" t="str">
        <f>IFERROR(VLOOKUP(TableHandbook[[#This Row],[UDC]],TableMJRUHSGE1[],7,FALSE),"")</f>
        <v/>
      </c>
      <c r="AD219" s="209" t="str">
        <f>IFERROR(VLOOKUP(TableHandbook[[#This Row],[UDC]],TableMJRUHSHI1[],7,FALSE),"")</f>
        <v/>
      </c>
      <c r="AE219" s="209" t="str">
        <f>IFERROR(VLOOKUP(TableHandbook[[#This Row],[UDC]],TableMJRUHSPL1[],7,FALSE),"")</f>
        <v/>
      </c>
      <c r="AF219" s="209" t="str">
        <f>IFERROR(VLOOKUP(TableHandbook[[#This Row],[UDC]],TableMJRUMATH1[],7,FALSE),"")</f>
        <v/>
      </c>
      <c r="AG219" s="209" t="str">
        <f>IFERROR(VLOOKUP(TableHandbook[[#This Row],[UDC]],TableMJRUPHYSE[],7,FALSE),"")</f>
        <v>Core</v>
      </c>
      <c r="AH219" s="209" t="str">
        <f>IFERROR(VLOOKUP(TableHandbook[[#This Row],[UDC]],TableMJRUSCBI1[],7,FALSE),"")</f>
        <v/>
      </c>
      <c r="AI219" s="209" t="str">
        <f>IFERROR(VLOOKUP(TableHandbook[[#This Row],[UDC]],TableMJRUSCCH1[],7,FALSE),"")</f>
        <v/>
      </c>
      <c r="AJ219" s="209" t="str">
        <f>IFERROR(VLOOKUP(TableHandbook[[#This Row],[UDC]],TableMJRUSCHB1[],7,FALSE),"")</f>
        <v/>
      </c>
      <c r="AK219" s="209" t="str">
        <f>IFERROR(VLOOKUP(TableHandbook[[#This Row],[UDC]],TableMJRUSCPH1[],7,FALSE),"")</f>
        <v/>
      </c>
      <c r="AL219" s="209" t="str">
        <f>IFERROR(VLOOKUP(TableHandbook[[#This Row],[UDC]],TableMJRUSCPS1[],7,FALSE),"")</f>
        <v/>
      </c>
      <c r="AM219" s="211" t="str">
        <f>IFERROR(VLOOKUP(TableHandbook[[#This Row],[UDC]],TableSTRUBIOLB[],7,FALSE),"")</f>
        <v/>
      </c>
      <c r="AN219" s="209" t="str">
        <f>IFERROR(VLOOKUP(TableHandbook[[#This Row],[UDC]],TableSTRUBSCIM[],7,FALSE),"")</f>
        <v/>
      </c>
      <c r="AO219" s="209" t="str">
        <f>IFERROR(VLOOKUP(TableHandbook[[#This Row],[UDC]],TableSTRUCHEMB[],7,FALSE),"")</f>
        <v/>
      </c>
      <c r="AP219" s="209" t="str">
        <f>IFERROR(VLOOKUP(TableHandbook[[#This Row],[UDC]],TableSTRUECOB1[],7,FALSE),"")</f>
        <v/>
      </c>
      <c r="AQ219" s="209" t="str">
        <f>IFERROR(VLOOKUP(TableHandbook[[#This Row],[UDC]],TableSTRUENGLB[],7,FALSE),"")</f>
        <v/>
      </c>
      <c r="AR219" s="209" t="str">
        <f>IFERROR(VLOOKUP(TableHandbook[[#This Row],[UDC]],TableSTRUENGLM[],7,FALSE),"")</f>
        <v/>
      </c>
      <c r="AS219" s="209" t="str">
        <f>IFERROR(VLOOKUP(TableHandbook[[#This Row],[UDC]],TableSTRUGEOB1[],7,FALSE),"")</f>
        <v/>
      </c>
      <c r="AT219" s="209" t="str">
        <f>IFERROR(VLOOKUP(TableHandbook[[#This Row],[UDC]],TableSTRUGEOGM[],7,FALSE),"")</f>
        <v/>
      </c>
      <c r="AU219" s="209" t="str">
        <f>IFERROR(VLOOKUP(TableHandbook[[#This Row],[UDC]],TableSTRUHISB1[],7,FALSE),"")</f>
        <v/>
      </c>
      <c r="AV219" s="209" t="str">
        <f>IFERROR(VLOOKUP(TableHandbook[[#This Row],[UDC]],TableSTRUHISTM[],7,FALSE),"")</f>
        <v/>
      </c>
      <c r="AW219" s="209" t="str">
        <f>IFERROR(VLOOKUP(TableHandbook[[#This Row],[UDC]],TableSTRUHPEB1[],7,FALSE),"")</f>
        <v/>
      </c>
      <c r="AX219" s="209" t="str">
        <f>IFERROR(VLOOKUP(TableHandbook[[#This Row],[UDC]],TableSTRUHUMBB[],7,FALSE),"")</f>
        <v/>
      </c>
      <c r="AY219" s="209" t="str">
        <f>IFERROR(VLOOKUP(TableHandbook[[#This Row],[UDC]],TableSTRUMARTM[],7,FALSE),"")</f>
        <v/>
      </c>
      <c r="AZ219" s="209" t="str">
        <f>IFERROR(VLOOKUP(TableHandbook[[#This Row],[UDC]],TableSTRUMATHB[],7,FALSE),"")</f>
        <v/>
      </c>
      <c r="BA219" s="209" t="str">
        <f>IFERROR(VLOOKUP(TableHandbook[[#This Row],[UDC]],TableSTRUMATHM[],7,FALSE),"")</f>
        <v/>
      </c>
      <c r="BB219" s="209" t="str">
        <f>IFERROR(VLOOKUP(TableHandbook[[#This Row],[UDC]],TableSTRUPARTB[],7,FALSE),"")</f>
        <v/>
      </c>
      <c r="BC219" s="209" t="str">
        <f>IFERROR(VLOOKUP(TableHandbook[[#This Row],[UDC]],TableSTRUPARTM[],7,FALSE),"")</f>
        <v/>
      </c>
      <c r="BD219" s="209" t="str">
        <f>IFERROR(VLOOKUP(TableHandbook[[#This Row],[UDC]],TableSTRUPOLB1[],7,FALSE),"")</f>
        <v/>
      </c>
      <c r="BE219" s="209" t="str">
        <f>IFERROR(VLOOKUP(TableHandbook[[#This Row],[UDC]],TableSTRUPSYCB[],7,FALSE),"")</f>
        <v/>
      </c>
      <c r="BF219" s="209" t="str">
        <f>IFERROR(VLOOKUP(TableHandbook[[#This Row],[UDC]],TableSTRUPSYCM[],7,FALSE),"")</f>
        <v/>
      </c>
      <c r="BG219" s="209" t="str">
        <f>IFERROR(VLOOKUP(TableHandbook[[#This Row],[UDC]],TableSTRUVARTB[],7,FALSE),"")</f>
        <v/>
      </c>
      <c r="BH219" s="209" t="str">
        <f>IFERROR(VLOOKUP(TableHandbook[[#This Row],[UDC]],TableSTRUVARTM[],7,FALSE),"")</f>
        <v/>
      </c>
    </row>
    <row r="220" spans="1:60" x14ac:dyDescent="0.25">
      <c r="A220" s="6" t="s">
        <v>640</v>
      </c>
      <c r="B220" s="7">
        <v>1</v>
      </c>
      <c r="C220" s="7"/>
      <c r="D220" s="207" t="s">
        <v>1039</v>
      </c>
      <c r="E220" s="7">
        <v>25</v>
      </c>
      <c r="F220" s="84" t="s">
        <v>783</v>
      </c>
      <c r="G220" s="75" t="str">
        <f>IFERROR(IF(VLOOKUP(TableHandbook[[#This Row],[UDC]],TableAvailabilities[],2,FALSE)&gt;0,"Y",""),"")</f>
        <v>Y</v>
      </c>
      <c r="H220" s="75" t="str">
        <f>IFERROR(IF(VLOOKUP(TableHandbook[[#This Row],[UDC]],TableAvailabilities[],3,FALSE)&gt;0,"Y",""),"")</f>
        <v/>
      </c>
      <c r="I220" s="75" t="str">
        <f>IFERROR(IF(VLOOKUP(TableHandbook[[#This Row],[UDC]],TableAvailabilities[],4,FALSE)&gt;0,"Y",""),"")</f>
        <v/>
      </c>
      <c r="J220" s="75" t="str">
        <f>IFERROR(IF(VLOOKUP(TableHandbook[[#This Row],[UDC]],TableAvailabilities[],5,FALSE)&gt;0,"Y",""),"")</f>
        <v>Y</v>
      </c>
      <c r="K220" s="75" t="str">
        <f>IFERROR(IF(VLOOKUP(TableHandbook[[#This Row],[UDC]],TableAvailabilities[],6,FALSE)&gt;0,"Y",""),"")</f>
        <v/>
      </c>
      <c r="L220" s="75" t="str">
        <f>IFERROR(IF(VLOOKUP(TableHandbook[[#This Row],[UDC]],TableAvailabilities[],7,FALSE)&gt;0,"Y",""),"")</f>
        <v/>
      </c>
      <c r="M220" s="207"/>
      <c r="N220" s="209" t="str">
        <f>IFERROR(VLOOKUP(TableHandbook[[#This Row],[UDC]],TableBEDUC[],7,FALSE),"")</f>
        <v/>
      </c>
      <c r="O220" s="209" t="str">
        <f>IFERROR(VLOOKUP(TableHandbook[[#This Row],[UDC]],TableBEDEC[],7,FALSE),"")</f>
        <v/>
      </c>
      <c r="P220" s="211" t="str">
        <f>IFERROR(VLOOKUP(TableHandbook[[#This Row],[UDC]],TableBEDPR[],7,FALSE),"")</f>
        <v/>
      </c>
      <c r="Q220" s="209" t="str">
        <f>IFERROR(VLOOKUP(TableHandbook[[#This Row],[UDC]],TableSTRUCATHL[],7,FALSE),"")</f>
        <v/>
      </c>
      <c r="R220" s="209" t="str">
        <f>IFERROR(VLOOKUP(TableHandbook[[#This Row],[UDC]],TableSTRUENGLL[],7,FALSE),"")</f>
        <v/>
      </c>
      <c r="S220" s="209" t="str">
        <f>IFERROR(VLOOKUP(TableHandbook[[#This Row],[UDC]],TableSTRUHLTPE[],7,FALSE),"")</f>
        <v/>
      </c>
      <c r="T220" s="209" t="str">
        <f>IFERROR(VLOOKUP(TableHandbook[[#This Row],[UDC]],TableSTRUISTEM[],7,FALSE),"")</f>
        <v/>
      </c>
      <c r="U220" s="209" t="str">
        <f>IFERROR(VLOOKUP(TableHandbook[[#This Row],[UDC]],TableSTRULITNU[],7,FALSE),"")</f>
        <v/>
      </c>
      <c r="V220" s="209" t="str">
        <f>IFERROR(VLOOKUP(TableHandbook[[#This Row],[UDC]],TableSTRUTECHS[],7,FALSE),"")</f>
        <v/>
      </c>
      <c r="W220" s="211" t="str">
        <f>IFERROR(VLOOKUP(TableHandbook[[#This Row],[UDC]],TableBEDSC[],7,FALSE),"")</f>
        <v/>
      </c>
      <c r="X220" s="211" t="str">
        <f>IFERROR(VLOOKUP(TableHandbook[[#This Row],[UDC]],TableMJRUARDR1[],7,FALSE),"")</f>
        <v/>
      </c>
      <c r="Y220" s="209" t="str">
        <f>IFERROR(VLOOKUP(TableHandbook[[#This Row],[UDC]],TableMJRUARME1[],7,FALSE),"")</f>
        <v/>
      </c>
      <c r="Z220" s="209" t="str">
        <f>IFERROR(VLOOKUP(TableHandbook[[#This Row],[UDC]],TableMJRUARVA1[],7,FALSE),"")</f>
        <v/>
      </c>
      <c r="AA220" s="209" t="str">
        <f>IFERROR(VLOOKUP(TableHandbook[[#This Row],[UDC]],TableMJRUENGL1[],7,FALSE),"")</f>
        <v/>
      </c>
      <c r="AB220" s="209" t="str">
        <f>IFERROR(VLOOKUP(TableHandbook[[#This Row],[UDC]],TableMJRUHSEC1[],7,FALSE),"")</f>
        <v/>
      </c>
      <c r="AC220" s="209" t="str">
        <f>IFERROR(VLOOKUP(TableHandbook[[#This Row],[UDC]],TableMJRUHSGE1[],7,FALSE),"")</f>
        <v/>
      </c>
      <c r="AD220" s="209" t="str">
        <f>IFERROR(VLOOKUP(TableHandbook[[#This Row],[UDC]],TableMJRUHSHI1[],7,FALSE),"")</f>
        <v>Option</v>
      </c>
      <c r="AE220" s="209" t="str">
        <f>IFERROR(VLOOKUP(TableHandbook[[#This Row],[UDC]],TableMJRUHSPL1[],7,FALSE),"")</f>
        <v/>
      </c>
      <c r="AF220" s="209" t="str">
        <f>IFERROR(VLOOKUP(TableHandbook[[#This Row],[UDC]],TableMJRUMATH1[],7,FALSE),"")</f>
        <v/>
      </c>
      <c r="AG220" s="209" t="str">
        <f>IFERROR(VLOOKUP(TableHandbook[[#This Row],[UDC]],TableMJRUPHYSE[],7,FALSE),"")</f>
        <v/>
      </c>
      <c r="AH220" s="209" t="str">
        <f>IFERROR(VLOOKUP(TableHandbook[[#This Row],[UDC]],TableMJRUSCBI1[],7,FALSE),"")</f>
        <v/>
      </c>
      <c r="AI220" s="209" t="str">
        <f>IFERROR(VLOOKUP(TableHandbook[[#This Row],[UDC]],TableMJRUSCCH1[],7,FALSE),"")</f>
        <v/>
      </c>
      <c r="AJ220" s="209" t="str">
        <f>IFERROR(VLOOKUP(TableHandbook[[#This Row],[UDC]],TableMJRUSCHB1[],7,FALSE),"")</f>
        <v/>
      </c>
      <c r="AK220" s="209" t="str">
        <f>IFERROR(VLOOKUP(TableHandbook[[#This Row],[UDC]],TableMJRUSCPH1[],7,FALSE),"")</f>
        <v/>
      </c>
      <c r="AL220" s="209" t="str">
        <f>IFERROR(VLOOKUP(TableHandbook[[#This Row],[UDC]],TableMJRUSCPS1[],7,FALSE),"")</f>
        <v/>
      </c>
      <c r="AM220" s="211" t="str">
        <f>IFERROR(VLOOKUP(TableHandbook[[#This Row],[UDC]],TableSTRUBIOLB[],7,FALSE),"")</f>
        <v/>
      </c>
      <c r="AN220" s="209" t="str">
        <f>IFERROR(VLOOKUP(TableHandbook[[#This Row],[UDC]],TableSTRUBSCIM[],7,FALSE),"")</f>
        <v/>
      </c>
      <c r="AO220" s="209" t="str">
        <f>IFERROR(VLOOKUP(TableHandbook[[#This Row],[UDC]],TableSTRUCHEMB[],7,FALSE),"")</f>
        <v/>
      </c>
      <c r="AP220" s="209" t="str">
        <f>IFERROR(VLOOKUP(TableHandbook[[#This Row],[UDC]],TableSTRUECOB1[],7,FALSE),"")</f>
        <v>Core</v>
      </c>
      <c r="AQ220" s="209" t="str">
        <f>IFERROR(VLOOKUP(TableHandbook[[#This Row],[UDC]],TableSTRUENGLB[],7,FALSE),"")</f>
        <v/>
      </c>
      <c r="AR220" s="209" t="str">
        <f>IFERROR(VLOOKUP(TableHandbook[[#This Row],[UDC]],TableSTRUENGLM[],7,FALSE),"")</f>
        <v/>
      </c>
      <c r="AS220" s="209" t="str">
        <f>IFERROR(VLOOKUP(TableHandbook[[#This Row],[UDC]],TableSTRUGEOB1[],7,FALSE),"")</f>
        <v>Core</v>
      </c>
      <c r="AT220" s="209" t="str">
        <f>IFERROR(VLOOKUP(TableHandbook[[#This Row],[UDC]],TableSTRUGEOGM[],7,FALSE),"")</f>
        <v/>
      </c>
      <c r="AU220" s="209" t="str">
        <f>IFERROR(VLOOKUP(TableHandbook[[#This Row],[UDC]],TableSTRUHISB1[],7,FALSE),"")</f>
        <v>Core</v>
      </c>
      <c r="AV220" s="209" t="str">
        <f>IFERROR(VLOOKUP(TableHandbook[[#This Row],[UDC]],TableSTRUHISTM[],7,FALSE),"")</f>
        <v/>
      </c>
      <c r="AW220" s="209" t="str">
        <f>IFERROR(VLOOKUP(TableHandbook[[#This Row],[UDC]],TableSTRUHPEB1[],7,FALSE),"")</f>
        <v/>
      </c>
      <c r="AX220" s="209" t="str">
        <f>IFERROR(VLOOKUP(TableHandbook[[#This Row],[UDC]],TableSTRUHUMBB[],7,FALSE),"")</f>
        <v/>
      </c>
      <c r="AY220" s="209" t="str">
        <f>IFERROR(VLOOKUP(TableHandbook[[#This Row],[UDC]],TableSTRUMARTM[],7,FALSE),"")</f>
        <v/>
      </c>
      <c r="AZ220" s="209" t="str">
        <f>IFERROR(VLOOKUP(TableHandbook[[#This Row],[UDC]],TableSTRUMATHB[],7,FALSE),"")</f>
        <v/>
      </c>
      <c r="BA220" s="209" t="str">
        <f>IFERROR(VLOOKUP(TableHandbook[[#This Row],[UDC]],TableSTRUMATHM[],7,FALSE),"")</f>
        <v/>
      </c>
      <c r="BB220" s="209" t="str">
        <f>IFERROR(VLOOKUP(TableHandbook[[#This Row],[UDC]],TableSTRUPARTB[],7,FALSE),"")</f>
        <v/>
      </c>
      <c r="BC220" s="209" t="str">
        <f>IFERROR(VLOOKUP(TableHandbook[[#This Row],[UDC]],TableSTRUPARTM[],7,FALSE),"")</f>
        <v/>
      </c>
      <c r="BD220" s="209" t="str">
        <f>IFERROR(VLOOKUP(TableHandbook[[#This Row],[UDC]],TableSTRUPOLB1[],7,FALSE),"")</f>
        <v>Core</v>
      </c>
      <c r="BE220" s="209" t="str">
        <f>IFERROR(VLOOKUP(TableHandbook[[#This Row],[UDC]],TableSTRUPSYCB[],7,FALSE),"")</f>
        <v/>
      </c>
      <c r="BF220" s="209" t="str">
        <f>IFERROR(VLOOKUP(TableHandbook[[#This Row],[UDC]],TableSTRUPSYCM[],7,FALSE),"")</f>
        <v/>
      </c>
      <c r="BG220" s="209" t="str">
        <f>IFERROR(VLOOKUP(TableHandbook[[#This Row],[UDC]],TableSTRUVARTB[],7,FALSE),"")</f>
        <v/>
      </c>
      <c r="BH220" s="209" t="str">
        <f>IFERROR(VLOOKUP(TableHandbook[[#This Row],[UDC]],TableSTRUVARTM[],7,FALSE),"")</f>
        <v/>
      </c>
    </row>
    <row r="221" spans="1:60" x14ac:dyDescent="0.25">
      <c r="A221" s="296" t="s">
        <v>599</v>
      </c>
      <c r="B221" s="7">
        <v>1</v>
      </c>
      <c r="C221" s="7"/>
      <c r="D221" s="207" t="s">
        <v>1040</v>
      </c>
      <c r="E221" s="7">
        <v>25</v>
      </c>
      <c r="F221" s="311" t="s">
        <v>783</v>
      </c>
      <c r="G221" s="75" t="str">
        <f>IFERROR(IF(VLOOKUP(TableHandbook[[#This Row],[UDC]],TableAvailabilities[],2,FALSE)&gt;0,"Y",""),"")</f>
        <v/>
      </c>
      <c r="H221" s="75" t="str">
        <f>IFERROR(IF(VLOOKUP(TableHandbook[[#This Row],[UDC]],TableAvailabilities[],3,FALSE)&gt;0,"Y",""),"")</f>
        <v/>
      </c>
      <c r="I221" s="75" t="str">
        <f>IFERROR(IF(VLOOKUP(TableHandbook[[#This Row],[UDC]],TableAvailabilities[],4,FALSE)&gt;0,"Y",""),"")</f>
        <v/>
      </c>
      <c r="J221" s="75" t="str">
        <f>IFERROR(IF(VLOOKUP(TableHandbook[[#This Row],[UDC]],TableAvailabilities[],5,FALSE)&gt;0,"Y",""),"")</f>
        <v>Y</v>
      </c>
      <c r="K221" s="75" t="str">
        <f>IFERROR(IF(VLOOKUP(TableHandbook[[#This Row],[UDC]],TableAvailabilities[],6,FALSE)&gt;0,"Y",""),"")</f>
        <v>Y</v>
      </c>
      <c r="L221" s="75" t="str">
        <f>IFERROR(IF(VLOOKUP(TableHandbook[[#This Row],[UDC]],TableAvailabilities[],7,FALSE)&gt;0,"Y",""),"")</f>
        <v/>
      </c>
      <c r="M221" s="207"/>
      <c r="N221" s="209" t="str">
        <f>IFERROR(VLOOKUP(TableHandbook[[#This Row],[UDC]],TableBEDUC[],7,FALSE),"")</f>
        <v/>
      </c>
      <c r="O221" s="209" t="str">
        <f>IFERROR(VLOOKUP(TableHandbook[[#This Row],[UDC]],TableBEDEC[],7,FALSE),"")</f>
        <v/>
      </c>
      <c r="P221" s="211" t="str">
        <f>IFERROR(VLOOKUP(TableHandbook[[#This Row],[UDC]],TableBEDPR[],7,FALSE),"")</f>
        <v/>
      </c>
      <c r="Q221" s="209" t="str">
        <f>IFERROR(VLOOKUP(TableHandbook[[#This Row],[UDC]],TableSTRUCATHL[],7,FALSE),"")</f>
        <v/>
      </c>
      <c r="R221" s="209" t="str">
        <f>IFERROR(VLOOKUP(TableHandbook[[#This Row],[UDC]],TableSTRUENGLL[],7,FALSE),"")</f>
        <v/>
      </c>
      <c r="S221" s="209" t="str">
        <f>IFERROR(VLOOKUP(TableHandbook[[#This Row],[UDC]],TableSTRUHLTPE[],7,FALSE),"")</f>
        <v/>
      </c>
      <c r="T221" s="209" t="str">
        <f>IFERROR(VLOOKUP(TableHandbook[[#This Row],[UDC]],TableSTRUISTEM[],7,FALSE),"")</f>
        <v/>
      </c>
      <c r="U221" s="209" t="str">
        <f>IFERROR(VLOOKUP(TableHandbook[[#This Row],[UDC]],TableSTRULITNU[],7,FALSE),"")</f>
        <v/>
      </c>
      <c r="V221" s="209" t="str">
        <f>IFERROR(VLOOKUP(TableHandbook[[#This Row],[UDC]],TableSTRUTECHS[],7,FALSE),"")</f>
        <v/>
      </c>
      <c r="W221" s="211" t="str">
        <f>IFERROR(VLOOKUP(TableHandbook[[#This Row],[UDC]],TableBEDSC[],7,FALSE),"")</f>
        <v/>
      </c>
      <c r="X221" s="211" t="str">
        <f>IFERROR(VLOOKUP(TableHandbook[[#This Row],[UDC]],TableMJRUARDR1[],7,FALSE),"")</f>
        <v/>
      </c>
      <c r="Y221" s="209" t="str">
        <f>IFERROR(VLOOKUP(TableHandbook[[#This Row],[UDC]],TableMJRUARME1[],7,FALSE),"")</f>
        <v/>
      </c>
      <c r="Z221" s="209" t="str">
        <f>IFERROR(VLOOKUP(TableHandbook[[#This Row],[UDC]],TableMJRUARVA1[],7,FALSE),"")</f>
        <v>Option</v>
      </c>
      <c r="AA221" s="209" t="str">
        <f>IFERROR(VLOOKUP(TableHandbook[[#This Row],[UDC]],TableMJRUENGL1[],7,FALSE),"")</f>
        <v/>
      </c>
      <c r="AB221" s="209" t="str">
        <f>IFERROR(VLOOKUP(TableHandbook[[#This Row],[UDC]],TableMJRUHSEC1[],7,FALSE),"")</f>
        <v/>
      </c>
      <c r="AC221" s="209" t="str">
        <f>IFERROR(VLOOKUP(TableHandbook[[#This Row],[UDC]],TableMJRUHSGE1[],7,FALSE),"")</f>
        <v/>
      </c>
      <c r="AD221" s="209" t="str">
        <f>IFERROR(VLOOKUP(TableHandbook[[#This Row],[UDC]],TableMJRUHSHI1[],7,FALSE),"")</f>
        <v/>
      </c>
      <c r="AE221" s="209" t="str">
        <f>IFERROR(VLOOKUP(TableHandbook[[#This Row],[UDC]],TableMJRUHSPL1[],7,FALSE),"")</f>
        <v/>
      </c>
      <c r="AF221" s="209" t="str">
        <f>IFERROR(VLOOKUP(TableHandbook[[#This Row],[UDC]],TableMJRUMATH1[],7,FALSE),"")</f>
        <v/>
      </c>
      <c r="AG221" s="209" t="str">
        <f>IFERROR(VLOOKUP(TableHandbook[[#This Row],[UDC]],TableMJRUPHYSE[],7,FALSE),"")</f>
        <v/>
      </c>
      <c r="AH221" s="209" t="str">
        <f>IFERROR(VLOOKUP(TableHandbook[[#This Row],[UDC]],TableMJRUSCBI1[],7,FALSE),"")</f>
        <v/>
      </c>
      <c r="AI221" s="209" t="str">
        <f>IFERROR(VLOOKUP(TableHandbook[[#This Row],[UDC]],TableMJRUSCCH1[],7,FALSE),"")</f>
        <v/>
      </c>
      <c r="AJ221" s="209" t="str">
        <f>IFERROR(VLOOKUP(TableHandbook[[#This Row],[UDC]],TableMJRUSCHB1[],7,FALSE),"")</f>
        <v/>
      </c>
      <c r="AK221" s="209" t="str">
        <f>IFERROR(VLOOKUP(TableHandbook[[#This Row],[UDC]],TableMJRUSCPH1[],7,FALSE),"")</f>
        <v/>
      </c>
      <c r="AL221" s="209" t="str">
        <f>IFERROR(VLOOKUP(TableHandbook[[#This Row],[UDC]],TableMJRUSCPS1[],7,FALSE),"")</f>
        <v/>
      </c>
      <c r="AM221" s="211" t="str">
        <f>IFERROR(VLOOKUP(TableHandbook[[#This Row],[UDC]],TableSTRUBIOLB[],7,FALSE),"")</f>
        <v/>
      </c>
      <c r="AN221" s="209" t="str">
        <f>IFERROR(VLOOKUP(TableHandbook[[#This Row],[UDC]],TableSTRUBSCIM[],7,FALSE),"")</f>
        <v/>
      </c>
      <c r="AO221" s="209" t="str">
        <f>IFERROR(VLOOKUP(TableHandbook[[#This Row],[UDC]],TableSTRUCHEMB[],7,FALSE),"")</f>
        <v/>
      </c>
      <c r="AP221" s="209" t="str">
        <f>IFERROR(VLOOKUP(TableHandbook[[#This Row],[UDC]],TableSTRUECOB1[],7,FALSE),"")</f>
        <v/>
      </c>
      <c r="AQ221" s="209" t="str">
        <f>IFERROR(VLOOKUP(TableHandbook[[#This Row],[UDC]],TableSTRUENGLB[],7,FALSE),"")</f>
        <v/>
      </c>
      <c r="AR221" s="209" t="str">
        <f>IFERROR(VLOOKUP(TableHandbook[[#This Row],[UDC]],TableSTRUENGLM[],7,FALSE),"")</f>
        <v/>
      </c>
      <c r="AS221" s="209" t="str">
        <f>IFERROR(VLOOKUP(TableHandbook[[#This Row],[UDC]],TableSTRUGEOB1[],7,FALSE),"")</f>
        <v/>
      </c>
      <c r="AT221" s="209" t="str">
        <f>IFERROR(VLOOKUP(TableHandbook[[#This Row],[UDC]],TableSTRUGEOGM[],7,FALSE),"")</f>
        <v/>
      </c>
      <c r="AU221" s="209" t="str">
        <f>IFERROR(VLOOKUP(TableHandbook[[#This Row],[UDC]],TableSTRUHISB1[],7,FALSE),"")</f>
        <v/>
      </c>
      <c r="AV221" s="209" t="str">
        <f>IFERROR(VLOOKUP(TableHandbook[[#This Row],[UDC]],TableSTRUHISTM[],7,FALSE),"")</f>
        <v/>
      </c>
      <c r="AW221" s="209" t="str">
        <f>IFERROR(VLOOKUP(TableHandbook[[#This Row],[UDC]],TableSTRUHPEB1[],7,FALSE),"")</f>
        <v/>
      </c>
      <c r="AX221" s="209" t="str">
        <f>IFERROR(VLOOKUP(TableHandbook[[#This Row],[UDC]],TableSTRUHUMBB[],7,FALSE),"")</f>
        <v/>
      </c>
      <c r="AY221" s="209" t="str">
        <f>IFERROR(VLOOKUP(TableHandbook[[#This Row],[UDC]],TableSTRUMARTM[],7,FALSE),"")</f>
        <v/>
      </c>
      <c r="AZ221" s="209" t="str">
        <f>IFERROR(VLOOKUP(TableHandbook[[#This Row],[UDC]],TableSTRUMATHB[],7,FALSE),"")</f>
        <v/>
      </c>
      <c r="BA221" s="209" t="str">
        <f>IFERROR(VLOOKUP(TableHandbook[[#This Row],[UDC]],TableSTRUMATHM[],7,FALSE),"")</f>
        <v/>
      </c>
      <c r="BB221" s="209" t="str">
        <f>IFERROR(VLOOKUP(TableHandbook[[#This Row],[UDC]],TableSTRUPARTB[],7,FALSE),"")</f>
        <v/>
      </c>
      <c r="BC221" s="209" t="str">
        <f>IFERROR(VLOOKUP(TableHandbook[[#This Row],[UDC]],TableSTRUPARTM[],7,FALSE),"")</f>
        <v/>
      </c>
      <c r="BD221" s="209" t="str">
        <f>IFERROR(VLOOKUP(TableHandbook[[#This Row],[UDC]],TableSTRUPOLB1[],7,FALSE),"")</f>
        <v/>
      </c>
      <c r="BE221" s="209" t="str">
        <f>IFERROR(VLOOKUP(TableHandbook[[#This Row],[UDC]],TableSTRUPSYCB[],7,FALSE),"")</f>
        <v/>
      </c>
      <c r="BF221" s="209" t="str">
        <f>IFERROR(VLOOKUP(TableHandbook[[#This Row],[UDC]],TableSTRUPSYCM[],7,FALSE),"")</f>
        <v/>
      </c>
      <c r="BG221" s="209" t="str">
        <f>IFERROR(VLOOKUP(TableHandbook[[#This Row],[UDC]],TableSTRUVARTB[],7,FALSE),"")</f>
        <v/>
      </c>
      <c r="BH221" s="209" t="str">
        <f>IFERROR(VLOOKUP(TableHandbook[[#This Row],[UDC]],TableSTRUVARTM[],7,FALSE),"")</f>
        <v/>
      </c>
    </row>
    <row r="222" spans="1:60" x14ac:dyDescent="0.25">
      <c r="A222" s="6" t="s">
        <v>582</v>
      </c>
      <c r="B222" s="7">
        <v>2</v>
      </c>
      <c r="C222" s="7"/>
      <c r="D222" s="207" t="s">
        <v>1041</v>
      </c>
      <c r="E222" s="7">
        <v>25</v>
      </c>
      <c r="F222" s="84" t="s">
        <v>783</v>
      </c>
      <c r="G222" s="75" t="str">
        <f>IFERROR(IF(VLOOKUP(TableHandbook[[#This Row],[UDC]],TableAvailabilities[],2,FALSE)&gt;0,"Y",""),"")</f>
        <v>Y</v>
      </c>
      <c r="H222" s="75" t="str">
        <f>IFERROR(IF(VLOOKUP(TableHandbook[[#This Row],[UDC]],TableAvailabilities[],3,FALSE)&gt;0,"Y",""),"")</f>
        <v/>
      </c>
      <c r="I222" s="75" t="str">
        <f>IFERROR(IF(VLOOKUP(TableHandbook[[#This Row],[UDC]],TableAvailabilities[],4,FALSE)&gt;0,"Y",""),"")</f>
        <v/>
      </c>
      <c r="J222" s="75" t="str">
        <f>IFERROR(IF(VLOOKUP(TableHandbook[[#This Row],[UDC]],TableAvailabilities[],5,FALSE)&gt;0,"Y",""),"")</f>
        <v>Y</v>
      </c>
      <c r="K222" s="75" t="str">
        <f>IFERROR(IF(VLOOKUP(TableHandbook[[#This Row],[UDC]],TableAvailabilities[],6,FALSE)&gt;0,"Y",""),"")</f>
        <v/>
      </c>
      <c r="L222" s="75" t="str">
        <f>IFERROR(IF(VLOOKUP(TableHandbook[[#This Row],[UDC]],TableAvailabilities[],7,FALSE)&gt;0,"Y",""),"")</f>
        <v/>
      </c>
      <c r="M222" s="207"/>
      <c r="N222" s="209" t="str">
        <f>IFERROR(VLOOKUP(TableHandbook[[#This Row],[UDC]],TableBEDUC[],7,FALSE),"")</f>
        <v/>
      </c>
      <c r="O222" s="209" t="str">
        <f>IFERROR(VLOOKUP(TableHandbook[[#This Row],[UDC]],TableBEDEC[],7,FALSE),"")</f>
        <v/>
      </c>
      <c r="P222" s="211" t="str">
        <f>IFERROR(VLOOKUP(TableHandbook[[#This Row],[UDC]],TableBEDPR[],7,FALSE),"")</f>
        <v/>
      </c>
      <c r="Q222" s="209" t="str">
        <f>IFERROR(VLOOKUP(TableHandbook[[#This Row],[UDC]],TableSTRUCATHL[],7,FALSE),"")</f>
        <v/>
      </c>
      <c r="R222" s="209" t="str">
        <f>IFERROR(VLOOKUP(TableHandbook[[#This Row],[UDC]],TableSTRUENGLL[],7,FALSE),"")</f>
        <v/>
      </c>
      <c r="S222" s="209" t="str">
        <f>IFERROR(VLOOKUP(TableHandbook[[#This Row],[UDC]],TableSTRUHLTPE[],7,FALSE),"")</f>
        <v/>
      </c>
      <c r="T222" s="209" t="str">
        <f>IFERROR(VLOOKUP(TableHandbook[[#This Row],[UDC]],TableSTRUISTEM[],7,FALSE),"")</f>
        <v/>
      </c>
      <c r="U222" s="209" t="str">
        <f>IFERROR(VLOOKUP(TableHandbook[[#This Row],[UDC]],TableSTRULITNU[],7,FALSE),"")</f>
        <v/>
      </c>
      <c r="V222" s="209" t="str">
        <f>IFERROR(VLOOKUP(TableHandbook[[#This Row],[UDC]],TableSTRUTECHS[],7,FALSE),"")</f>
        <v/>
      </c>
      <c r="W222" s="211" t="str">
        <f>IFERROR(VLOOKUP(TableHandbook[[#This Row],[UDC]],TableBEDSC[],7,FALSE),"")</f>
        <v/>
      </c>
      <c r="X222" s="211" t="str">
        <f>IFERROR(VLOOKUP(TableHandbook[[#This Row],[UDC]],TableMJRUARDR1[],7,FALSE),"")</f>
        <v/>
      </c>
      <c r="Y222" s="209" t="str">
        <f>IFERROR(VLOOKUP(TableHandbook[[#This Row],[UDC]],TableMJRUARME1[],7,FALSE),"")</f>
        <v/>
      </c>
      <c r="Z222" s="209" t="str">
        <f>IFERROR(VLOOKUP(TableHandbook[[#This Row],[UDC]],TableMJRUARVA1[],7,FALSE),"")</f>
        <v/>
      </c>
      <c r="AA222" s="209" t="str">
        <f>IFERROR(VLOOKUP(TableHandbook[[#This Row],[UDC]],TableMJRUENGL1[],7,FALSE),"")</f>
        <v/>
      </c>
      <c r="AB222" s="209" t="str">
        <f>IFERROR(VLOOKUP(TableHandbook[[#This Row],[UDC]],TableMJRUHSEC1[],7,FALSE),"")</f>
        <v/>
      </c>
      <c r="AC222" s="209" t="str">
        <f>IFERROR(VLOOKUP(TableHandbook[[#This Row],[UDC]],TableMJRUHSGE1[],7,FALSE),"")</f>
        <v/>
      </c>
      <c r="AD222" s="209" t="str">
        <f>IFERROR(VLOOKUP(TableHandbook[[#This Row],[UDC]],TableMJRUHSHI1[],7,FALSE),"")</f>
        <v>AltCore</v>
      </c>
      <c r="AE222" s="209" t="str">
        <f>IFERROR(VLOOKUP(TableHandbook[[#This Row],[UDC]],TableMJRUHSPL1[],7,FALSE),"")</f>
        <v/>
      </c>
      <c r="AF222" s="209" t="str">
        <f>IFERROR(VLOOKUP(TableHandbook[[#This Row],[UDC]],TableMJRUMATH1[],7,FALSE),"")</f>
        <v/>
      </c>
      <c r="AG222" s="209" t="str">
        <f>IFERROR(VLOOKUP(TableHandbook[[#This Row],[UDC]],TableMJRUPHYSE[],7,FALSE),"")</f>
        <v/>
      </c>
      <c r="AH222" s="209" t="str">
        <f>IFERROR(VLOOKUP(TableHandbook[[#This Row],[UDC]],TableMJRUSCBI1[],7,FALSE),"")</f>
        <v/>
      </c>
      <c r="AI222" s="209" t="str">
        <f>IFERROR(VLOOKUP(TableHandbook[[#This Row],[UDC]],TableMJRUSCCH1[],7,FALSE),"")</f>
        <v/>
      </c>
      <c r="AJ222" s="209" t="str">
        <f>IFERROR(VLOOKUP(TableHandbook[[#This Row],[UDC]],TableMJRUSCHB1[],7,FALSE),"")</f>
        <v/>
      </c>
      <c r="AK222" s="209" t="str">
        <f>IFERROR(VLOOKUP(TableHandbook[[#This Row],[UDC]],TableMJRUSCPH1[],7,FALSE),"")</f>
        <v/>
      </c>
      <c r="AL222" s="209" t="str">
        <f>IFERROR(VLOOKUP(TableHandbook[[#This Row],[UDC]],TableMJRUSCPS1[],7,FALSE),"")</f>
        <v/>
      </c>
      <c r="AM222" s="211" t="str">
        <f>IFERROR(VLOOKUP(TableHandbook[[#This Row],[UDC]],TableSTRUBIOLB[],7,FALSE),"")</f>
        <v/>
      </c>
      <c r="AN222" s="209" t="str">
        <f>IFERROR(VLOOKUP(TableHandbook[[#This Row],[UDC]],TableSTRUBSCIM[],7,FALSE),"")</f>
        <v/>
      </c>
      <c r="AO222" s="209" t="str">
        <f>IFERROR(VLOOKUP(TableHandbook[[#This Row],[UDC]],TableSTRUCHEMB[],7,FALSE),"")</f>
        <v/>
      </c>
      <c r="AP222" s="209" t="str">
        <f>IFERROR(VLOOKUP(TableHandbook[[#This Row],[UDC]],TableSTRUECOB1[],7,FALSE),"")</f>
        <v>Core</v>
      </c>
      <c r="AQ222" s="209" t="str">
        <f>IFERROR(VLOOKUP(TableHandbook[[#This Row],[UDC]],TableSTRUENGLB[],7,FALSE),"")</f>
        <v/>
      </c>
      <c r="AR222" s="209" t="str">
        <f>IFERROR(VLOOKUP(TableHandbook[[#This Row],[UDC]],TableSTRUENGLM[],7,FALSE),"")</f>
        <v/>
      </c>
      <c r="AS222" s="209" t="str">
        <f>IFERROR(VLOOKUP(TableHandbook[[#This Row],[UDC]],TableSTRUGEOB1[],7,FALSE),"")</f>
        <v>Core</v>
      </c>
      <c r="AT222" s="209" t="str">
        <f>IFERROR(VLOOKUP(TableHandbook[[#This Row],[UDC]],TableSTRUGEOGM[],7,FALSE),"")</f>
        <v/>
      </c>
      <c r="AU222" s="209" t="str">
        <f>IFERROR(VLOOKUP(TableHandbook[[#This Row],[UDC]],TableSTRUHISB1[],7,FALSE),"")</f>
        <v/>
      </c>
      <c r="AV222" s="209" t="str">
        <f>IFERROR(VLOOKUP(TableHandbook[[#This Row],[UDC]],TableSTRUHISTM[],7,FALSE),"")</f>
        <v/>
      </c>
      <c r="AW222" s="209" t="str">
        <f>IFERROR(VLOOKUP(TableHandbook[[#This Row],[UDC]],TableSTRUHPEB1[],7,FALSE),"")</f>
        <v/>
      </c>
      <c r="AX222" s="209" t="str">
        <f>IFERROR(VLOOKUP(TableHandbook[[#This Row],[UDC]],TableSTRUHUMBB[],7,FALSE),"")</f>
        <v/>
      </c>
      <c r="AY222" s="209" t="str">
        <f>IFERROR(VLOOKUP(TableHandbook[[#This Row],[UDC]],TableSTRUMARTM[],7,FALSE),"")</f>
        <v/>
      </c>
      <c r="AZ222" s="209" t="str">
        <f>IFERROR(VLOOKUP(TableHandbook[[#This Row],[UDC]],TableSTRUMATHB[],7,FALSE),"")</f>
        <v/>
      </c>
      <c r="BA222" s="209" t="str">
        <f>IFERROR(VLOOKUP(TableHandbook[[#This Row],[UDC]],TableSTRUMATHM[],7,FALSE),"")</f>
        <v/>
      </c>
      <c r="BB222" s="209" t="str">
        <f>IFERROR(VLOOKUP(TableHandbook[[#This Row],[UDC]],TableSTRUPARTB[],7,FALSE),"")</f>
        <v/>
      </c>
      <c r="BC222" s="209" t="str">
        <f>IFERROR(VLOOKUP(TableHandbook[[#This Row],[UDC]],TableSTRUPARTM[],7,FALSE),"")</f>
        <v/>
      </c>
      <c r="BD222" s="209" t="str">
        <f>IFERROR(VLOOKUP(TableHandbook[[#This Row],[UDC]],TableSTRUPOLB1[],7,FALSE),"")</f>
        <v>Core</v>
      </c>
      <c r="BE222" s="209" t="str">
        <f>IFERROR(VLOOKUP(TableHandbook[[#This Row],[UDC]],TableSTRUPSYCB[],7,FALSE),"")</f>
        <v/>
      </c>
      <c r="BF222" s="209" t="str">
        <f>IFERROR(VLOOKUP(TableHandbook[[#This Row],[UDC]],TableSTRUPSYCM[],7,FALSE),"")</f>
        <v/>
      </c>
      <c r="BG222" s="209" t="str">
        <f>IFERROR(VLOOKUP(TableHandbook[[#This Row],[UDC]],TableSTRUVARTB[],7,FALSE),"")</f>
        <v/>
      </c>
      <c r="BH222" s="209" t="str">
        <f>IFERROR(VLOOKUP(TableHandbook[[#This Row],[UDC]],TableSTRUVARTM[],7,FALSE),"")</f>
        <v/>
      </c>
    </row>
    <row r="223" spans="1:60" x14ac:dyDescent="0.25">
      <c r="A223" s="6" t="s">
        <v>122</v>
      </c>
      <c r="B223" s="7">
        <v>1</v>
      </c>
      <c r="C223" s="7"/>
      <c r="D223" s="207" t="s">
        <v>1042</v>
      </c>
      <c r="E223" s="7">
        <v>25</v>
      </c>
      <c r="F223" s="84" t="s">
        <v>1043</v>
      </c>
      <c r="G223" s="75" t="str">
        <f>IFERROR(IF(VLOOKUP(TableHandbook[[#This Row],[UDC]],TableAvailabilities[],2,FALSE)&gt;0,"Y",""),"")</f>
        <v>Y</v>
      </c>
      <c r="H223" s="75" t="str">
        <f>IFERROR(IF(VLOOKUP(TableHandbook[[#This Row],[UDC]],TableAvailabilities[],3,FALSE)&gt;0,"Y",""),"")</f>
        <v/>
      </c>
      <c r="I223" s="75" t="str">
        <f>IFERROR(IF(VLOOKUP(TableHandbook[[#This Row],[UDC]],TableAvailabilities[],4,FALSE)&gt;0,"Y",""),"")</f>
        <v>Y</v>
      </c>
      <c r="J223" s="75" t="str">
        <f>IFERROR(IF(VLOOKUP(TableHandbook[[#This Row],[UDC]],TableAvailabilities[],5,FALSE)&gt;0,"Y",""),"")</f>
        <v>Y</v>
      </c>
      <c r="K223" s="75" t="str">
        <f>IFERROR(IF(VLOOKUP(TableHandbook[[#This Row],[UDC]],TableAvailabilities[],6,FALSE)&gt;0,"Y",""),"")</f>
        <v/>
      </c>
      <c r="L223" s="75" t="str">
        <f>IFERROR(IF(VLOOKUP(TableHandbook[[#This Row],[UDC]],TableAvailabilities[],7,FALSE)&gt;0,"Y",""),"")</f>
        <v>Y</v>
      </c>
      <c r="M223" s="207"/>
      <c r="N223" s="209" t="str">
        <f>IFERROR(VLOOKUP(TableHandbook[[#This Row],[UDC]],TableBEDUC[],7,FALSE),"")</f>
        <v>Core</v>
      </c>
      <c r="O223" s="209" t="str">
        <f>IFERROR(VLOOKUP(TableHandbook[[#This Row],[UDC]],TableBEDEC[],7,FALSE),"")</f>
        <v>Core</v>
      </c>
      <c r="P223" s="211" t="str">
        <f>IFERROR(VLOOKUP(TableHandbook[[#This Row],[UDC]],TableBEDPR[],7,FALSE),"")</f>
        <v>Core</v>
      </c>
      <c r="Q223" s="209" t="str">
        <f>IFERROR(VLOOKUP(TableHandbook[[#This Row],[UDC]],TableSTRUCATHL[],7,FALSE),"")</f>
        <v/>
      </c>
      <c r="R223" s="209" t="str">
        <f>IFERROR(VLOOKUP(TableHandbook[[#This Row],[UDC]],TableSTRUENGLL[],7,FALSE),"")</f>
        <v/>
      </c>
      <c r="S223" s="209" t="str">
        <f>IFERROR(VLOOKUP(TableHandbook[[#This Row],[UDC]],TableSTRUHLTPE[],7,FALSE),"")</f>
        <v/>
      </c>
      <c r="T223" s="209" t="str">
        <f>IFERROR(VLOOKUP(TableHandbook[[#This Row],[UDC]],TableSTRUISTEM[],7,FALSE),"")</f>
        <v/>
      </c>
      <c r="U223" s="209" t="str">
        <f>IFERROR(VLOOKUP(TableHandbook[[#This Row],[UDC]],TableSTRULITNU[],7,FALSE),"")</f>
        <v/>
      </c>
      <c r="V223" s="209" t="str">
        <f>IFERROR(VLOOKUP(TableHandbook[[#This Row],[UDC]],TableSTRUTECHS[],7,FALSE),"")</f>
        <v/>
      </c>
      <c r="W223" s="211" t="str">
        <f>IFERROR(VLOOKUP(TableHandbook[[#This Row],[UDC]],TableBEDSC[],7,FALSE),"")</f>
        <v>Core</v>
      </c>
      <c r="X223" s="211" t="str">
        <f>IFERROR(VLOOKUP(TableHandbook[[#This Row],[UDC]],TableMJRUARDR1[],7,FALSE),"")</f>
        <v/>
      </c>
      <c r="Y223" s="209" t="str">
        <f>IFERROR(VLOOKUP(TableHandbook[[#This Row],[UDC]],TableMJRUARME1[],7,FALSE),"")</f>
        <v/>
      </c>
      <c r="Z223" s="209" t="str">
        <f>IFERROR(VLOOKUP(TableHandbook[[#This Row],[UDC]],TableMJRUARVA1[],7,FALSE),"")</f>
        <v/>
      </c>
      <c r="AA223" s="209" t="str">
        <f>IFERROR(VLOOKUP(TableHandbook[[#This Row],[UDC]],TableMJRUENGL1[],7,FALSE),"")</f>
        <v/>
      </c>
      <c r="AB223" s="209" t="str">
        <f>IFERROR(VLOOKUP(TableHandbook[[#This Row],[UDC]],TableMJRUHSEC1[],7,FALSE),"")</f>
        <v/>
      </c>
      <c r="AC223" s="209" t="str">
        <f>IFERROR(VLOOKUP(TableHandbook[[#This Row],[UDC]],TableMJRUHSGE1[],7,FALSE),"")</f>
        <v/>
      </c>
      <c r="AD223" s="209" t="str">
        <f>IFERROR(VLOOKUP(TableHandbook[[#This Row],[UDC]],TableMJRUHSHI1[],7,FALSE),"")</f>
        <v/>
      </c>
      <c r="AE223" s="209" t="str">
        <f>IFERROR(VLOOKUP(TableHandbook[[#This Row],[UDC]],TableMJRUHSPL1[],7,FALSE),"")</f>
        <v/>
      </c>
      <c r="AF223" s="209" t="str">
        <f>IFERROR(VLOOKUP(TableHandbook[[#This Row],[UDC]],TableMJRUMATH1[],7,FALSE),"")</f>
        <v/>
      </c>
      <c r="AG223" s="209" t="str">
        <f>IFERROR(VLOOKUP(TableHandbook[[#This Row],[UDC]],TableMJRUPHYSE[],7,FALSE),"")</f>
        <v/>
      </c>
      <c r="AH223" s="209" t="str">
        <f>IFERROR(VLOOKUP(TableHandbook[[#This Row],[UDC]],TableMJRUSCBI1[],7,FALSE),"")</f>
        <v/>
      </c>
      <c r="AI223" s="209" t="str">
        <f>IFERROR(VLOOKUP(TableHandbook[[#This Row],[UDC]],TableMJRUSCCH1[],7,FALSE),"")</f>
        <v/>
      </c>
      <c r="AJ223" s="209" t="str">
        <f>IFERROR(VLOOKUP(TableHandbook[[#This Row],[UDC]],TableMJRUSCHB1[],7,FALSE),"")</f>
        <v/>
      </c>
      <c r="AK223" s="209" t="str">
        <f>IFERROR(VLOOKUP(TableHandbook[[#This Row],[UDC]],TableMJRUSCPH1[],7,FALSE),"")</f>
        <v/>
      </c>
      <c r="AL223" s="209" t="str">
        <f>IFERROR(VLOOKUP(TableHandbook[[#This Row],[UDC]],TableMJRUSCPS1[],7,FALSE),"")</f>
        <v/>
      </c>
      <c r="AM223" s="211" t="str">
        <f>IFERROR(VLOOKUP(TableHandbook[[#This Row],[UDC]],TableSTRUBIOLB[],7,FALSE),"")</f>
        <v/>
      </c>
      <c r="AN223" s="209" t="str">
        <f>IFERROR(VLOOKUP(TableHandbook[[#This Row],[UDC]],TableSTRUBSCIM[],7,FALSE),"")</f>
        <v/>
      </c>
      <c r="AO223" s="209" t="str">
        <f>IFERROR(VLOOKUP(TableHandbook[[#This Row],[UDC]],TableSTRUCHEMB[],7,FALSE),"")</f>
        <v/>
      </c>
      <c r="AP223" s="209" t="str">
        <f>IFERROR(VLOOKUP(TableHandbook[[#This Row],[UDC]],TableSTRUECOB1[],7,FALSE),"")</f>
        <v/>
      </c>
      <c r="AQ223" s="209" t="str">
        <f>IFERROR(VLOOKUP(TableHandbook[[#This Row],[UDC]],TableSTRUENGLB[],7,FALSE),"")</f>
        <v/>
      </c>
      <c r="AR223" s="209" t="str">
        <f>IFERROR(VLOOKUP(TableHandbook[[#This Row],[UDC]],TableSTRUENGLM[],7,FALSE),"")</f>
        <v/>
      </c>
      <c r="AS223" s="209" t="str">
        <f>IFERROR(VLOOKUP(TableHandbook[[#This Row],[UDC]],TableSTRUGEOB1[],7,FALSE),"")</f>
        <v/>
      </c>
      <c r="AT223" s="209" t="str">
        <f>IFERROR(VLOOKUP(TableHandbook[[#This Row],[UDC]],TableSTRUGEOGM[],7,FALSE),"")</f>
        <v/>
      </c>
      <c r="AU223" s="209" t="str">
        <f>IFERROR(VLOOKUP(TableHandbook[[#This Row],[UDC]],TableSTRUHISB1[],7,FALSE),"")</f>
        <v/>
      </c>
      <c r="AV223" s="209" t="str">
        <f>IFERROR(VLOOKUP(TableHandbook[[#This Row],[UDC]],TableSTRUHISTM[],7,FALSE),"")</f>
        <v/>
      </c>
      <c r="AW223" s="209" t="str">
        <f>IFERROR(VLOOKUP(TableHandbook[[#This Row],[UDC]],TableSTRUHPEB1[],7,FALSE),"")</f>
        <v/>
      </c>
      <c r="AX223" s="209" t="str">
        <f>IFERROR(VLOOKUP(TableHandbook[[#This Row],[UDC]],TableSTRUHUMBB[],7,FALSE),"")</f>
        <v/>
      </c>
      <c r="AY223" s="209" t="str">
        <f>IFERROR(VLOOKUP(TableHandbook[[#This Row],[UDC]],TableSTRUMARTM[],7,FALSE),"")</f>
        <v/>
      </c>
      <c r="AZ223" s="209" t="str">
        <f>IFERROR(VLOOKUP(TableHandbook[[#This Row],[UDC]],TableSTRUMATHB[],7,FALSE),"")</f>
        <v/>
      </c>
      <c r="BA223" s="209" t="str">
        <f>IFERROR(VLOOKUP(TableHandbook[[#This Row],[UDC]],TableSTRUMATHM[],7,FALSE),"")</f>
        <v/>
      </c>
      <c r="BB223" s="209" t="str">
        <f>IFERROR(VLOOKUP(TableHandbook[[#This Row],[UDC]],TableSTRUPARTB[],7,FALSE),"")</f>
        <v/>
      </c>
      <c r="BC223" s="209" t="str">
        <f>IFERROR(VLOOKUP(TableHandbook[[#This Row],[UDC]],TableSTRUPARTM[],7,FALSE),"")</f>
        <v/>
      </c>
      <c r="BD223" s="209" t="str">
        <f>IFERROR(VLOOKUP(TableHandbook[[#This Row],[UDC]],TableSTRUPOLB1[],7,FALSE),"")</f>
        <v/>
      </c>
      <c r="BE223" s="209" t="str">
        <f>IFERROR(VLOOKUP(TableHandbook[[#This Row],[UDC]],TableSTRUPSYCB[],7,FALSE),"")</f>
        <v/>
      </c>
      <c r="BF223" s="209" t="str">
        <f>IFERROR(VLOOKUP(TableHandbook[[#This Row],[UDC]],TableSTRUPSYCM[],7,FALSE),"")</f>
        <v/>
      </c>
      <c r="BG223" s="209" t="str">
        <f>IFERROR(VLOOKUP(TableHandbook[[#This Row],[UDC]],TableSTRUVARTB[],7,FALSE),"")</f>
        <v/>
      </c>
      <c r="BH223" s="209" t="str">
        <f>IFERROR(VLOOKUP(TableHandbook[[#This Row],[UDC]],TableSTRUVARTM[],7,FALSE),"")</f>
        <v/>
      </c>
    </row>
    <row r="224" spans="1:60" x14ac:dyDescent="0.25">
      <c r="A224" s="6" t="s">
        <v>643</v>
      </c>
      <c r="B224" s="7">
        <v>2</v>
      </c>
      <c r="C224" s="7"/>
      <c r="D224" s="207" t="s">
        <v>1044</v>
      </c>
      <c r="E224" s="7">
        <v>25</v>
      </c>
      <c r="F224" s="84" t="s">
        <v>783</v>
      </c>
      <c r="G224" s="75" t="str">
        <f>IFERROR(IF(VLOOKUP(TableHandbook[[#This Row],[UDC]],TableAvailabilities[],2,FALSE)&gt;0,"Y",""),"")</f>
        <v/>
      </c>
      <c r="H224" s="75" t="str">
        <f>IFERROR(IF(VLOOKUP(TableHandbook[[#This Row],[UDC]],TableAvailabilities[],3,FALSE)&gt;0,"Y",""),"")</f>
        <v/>
      </c>
      <c r="I224" s="75" t="str">
        <f>IFERROR(IF(VLOOKUP(TableHandbook[[#This Row],[UDC]],TableAvailabilities[],4,FALSE)&gt;0,"Y",""),"")</f>
        <v/>
      </c>
      <c r="J224" s="75" t="str">
        <f>IFERROR(IF(VLOOKUP(TableHandbook[[#This Row],[UDC]],TableAvailabilities[],5,FALSE)&gt;0,"Y",""),"")</f>
        <v>Y</v>
      </c>
      <c r="K224" s="75" t="str">
        <f>IFERROR(IF(VLOOKUP(TableHandbook[[#This Row],[UDC]],TableAvailabilities[],6,FALSE)&gt;0,"Y",""),"")</f>
        <v>Y</v>
      </c>
      <c r="L224" s="75" t="str">
        <f>IFERROR(IF(VLOOKUP(TableHandbook[[#This Row],[UDC]],TableAvailabilities[],7,FALSE)&gt;0,"Y",""),"")</f>
        <v/>
      </c>
      <c r="M224" s="207"/>
      <c r="N224" s="209" t="str">
        <f>IFERROR(VLOOKUP(TableHandbook[[#This Row],[UDC]],TableBEDUC[],7,FALSE),"")</f>
        <v/>
      </c>
      <c r="O224" s="209" t="str">
        <f>IFERROR(VLOOKUP(TableHandbook[[#This Row],[UDC]],TableBEDEC[],7,FALSE),"")</f>
        <v/>
      </c>
      <c r="P224" s="211" t="str">
        <f>IFERROR(VLOOKUP(TableHandbook[[#This Row],[UDC]],TableBEDPR[],7,FALSE),"")</f>
        <v/>
      </c>
      <c r="Q224" s="209" t="str">
        <f>IFERROR(VLOOKUP(TableHandbook[[#This Row],[UDC]],TableSTRUCATHL[],7,FALSE),"")</f>
        <v/>
      </c>
      <c r="R224" s="209" t="str">
        <f>IFERROR(VLOOKUP(TableHandbook[[#This Row],[UDC]],TableSTRUENGLL[],7,FALSE),"")</f>
        <v/>
      </c>
      <c r="S224" s="209" t="str">
        <f>IFERROR(VLOOKUP(TableHandbook[[#This Row],[UDC]],TableSTRUHLTPE[],7,FALSE),"")</f>
        <v/>
      </c>
      <c r="T224" s="209" t="str">
        <f>IFERROR(VLOOKUP(TableHandbook[[#This Row],[UDC]],TableSTRUISTEM[],7,FALSE),"")</f>
        <v/>
      </c>
      <c r="U224" s="209" t="str">
        <f>IFERROR(VLOOKUP(TableHandbook[[#This Row],[UDC]],TableSTRULITNU[],7,FALSE),"")</f>
        <v/>
      </c>
      <c r="V224" s="209" t="str">
        <f>IFERROR(VLOOKUP(TableHandbook[[#This Row],[UDC]],TableSTRUTECHS[],7,FALSE),"")</f>
        <v/>
      </c>
      <c r="W224" s="211" t="str">
        <f>IFERROR(VLOOKUP(TableHandbook[[#This Row],[UDC]],TableBEDSC[],7,FALSE),"")</f>
        <v/>
      </c>
      <c r="X224" s="211" t="str">
        <f>IFERROR(VLOOKUP(TableHandbook[[#This Row],[UDC]],TableMJRUARDR1[],7,FALSE),"")</f>
        <v/>
      </c>
      <c r="Y224" s="209" t="str">
        <f>IFERROR(VLOOKUP(TableHandbook[[#This Row],[UDC]],TableMJRUARME1[],7,FALSE),"")</f>
        <v/>
      </c>
      <c r="Z224" s="209" t="str">
        <f>IFERROR(VLOOKUP(TableHandbook[[#This Row],[UDC]],TableMJRUARVA1[],7,FALSE),"")</f>
        <v/>
      </c>
      <c r="AA224" s="209" t="str">
        <f>IFERROR(VLOOKUP(TableHandbook[[#This Row],[UDC]],TableMJRUENGL1[],7,FALSE),"")</f>
        <v/>
      </c>
      <c r="AB224" s="209" t="str">
        <f>IFERROR(VLOOKUP(TableHandbook[[#This Row],[UDC]],TableMJRUHSEC1[],7,FALSE),"")</f>
        <v/>
      </c>
      <c r="AC224" s="209" t="str">
        <f>IFERROR(VLOOKUP(TableHandbook[[#This Row],[UDC]],TableMJRUHSGE1[],7,FALSE),"")</f>
        <v/>
      </c>
      <c r="AD224" s="209" t="str">
        <f>IFERROR(VLOOKUP(TableHandbook[[#This Row],[UDC]],TableMJRUHSHI1[],7,FALSE),"")</f>
        <v>Option</v>
      </c>
      <c r="AE224" s="209" t="str">
        <f>IFERROR(VLOOKUP(TableHandbook[[#This Row],[UDC]],TableMJRUHSPL1[],7,FALSE),"")</f>
        <v/>
      </c>
      <c r="AF224" s="209" t="str">
        <f>IFERROR(VLOOKUP(TableHandbook[[#This Row],[UDC]],TableMJRUMATH1[],7,FALSE),"")</f>
        <v/>
      </c>
      <c r="AG224" s="209" t="str">
        <f>IFERROR(VLOOKUP(TableHandbook[[#This Row],[UDC]],TableMJRUPHYSE[],7,FALSE),"")</f>
        <v/>
      </c>
      <c r="AH224" s="209" t="str">
        <f>IFERROR(VLOOKUP(TableHandbook[[#This Row],[UDC]],TableMJRUSCBI1[],7,FALSE),"")</f>
        <v/>
      </c>
      <c r="AI224" s="209" t="str">
        <f>IFERROR(VLOOKUP(TableHandbook[[#This Row],[UDC]],TableMJRUSCCH1[],7,FALSE),"")</f>
        <v/>
      </c>
      <c r="AJ224" s="209" t="str">
        <f>IFERROR(VLOOKUP(TableHandbook[[#This Row],[UDC]],TableMJRUSCHB1[],7,FALSE),"")</f>
        <v/>
      </c>
      <c r="AK224" s="209" t="str">
        <f>IFERROR(VLOOKUP(TableHandbook[[#This Row],[UDC]],TableMJRUSCPH1[],7,FALSE),"")</f>
        <v/>
      </c>
      <c r="AL224" s="209" t="str">
        <f>IFERROR(VLOOKUP(TableHandbook[[#This Row],[UDC]],TableMJRUSCPS1[],7,FALSE),"")</f>
        <v/>
      </c>
      <c r="AM224" s="211" t="str">
        <f>IFERROR(VLOOKUP(TableHandbook[[#This Row],[UDC]],TableSTRUBIOLB[],7,FALSE),"")</f>
        <v/>
      </c>
      <c r="AN224" s="209" t="str">
        <f>IFERROR(VLOOKUP(TableHandbook[[#This Row],[UDC]],TableSTRUBSCIM[],7,FALSE),"")</f>
        <v/>
      </c>
      <c r="AO224" s="209" t="str">
        <f>IFERROR(VLOOKUP(TableHandbook[[#This Row],[UDC]],TableSTRUCHEMB[],7,FALSE),"")</f>
        <v/>
      </c>
      <c r="AP224" s="209" t="str">
        <f>IFERROR(VLOOKUP(TableHandbook[[#This Row],[UDC]],TableSTRUECOB1[],7,FALSE),"")</f>
        <v/>
      </c>
      <c r="AQ224" s="209" t="str">
        <f>IFERROR(VLOOKUP(TableHandbook[[#This Row],[UDC]],TableSTRUENGLB[],7,FALSE),"")</f>
        <v/>
      </c>
      <c r="AR224" s="209" t="str">
        <f>IFERROR(VLOOKUP(TableHandbook[[#This Row],[UDC]],TableSTRUENGLM[],7,FALSE),"")</f>
        <v/>
      </c>
      <c r="AS224" s="209" t="str">
        <f>IFERROR(VLOOKUP(TableHandbook[[#This Row],[UDC]],TableSTRUGEOB1[],7,FALSE),"")</f>
        <v/>
      </c>
      <c r="AT224" s="209" t="str">
        <f>IFERROR(VLOOKUP(TableHandbook[[#This Row],[UDC]],TableSTRUGEOGM[],7,FALSE),"")</f>
        <v/>
      </c>
      <c r="AU224" s="209" t="str">
        <f>IFERROR(VLOOKUP(TableHandbook[[#This Row],[UDC]],TableSTRUHISB1[],7,FALSE),"")</f>
        <v/>
      </c>
      <c r="AV224" s="209" t="str">
        <f>IFERROR(VLOOKUP(TableHandbook[[#This Row],[UDC]],TableSTRUHISTM[],7,FALSE),"")</f>
        <v/>
      </c>
      <c r="AW224" s="209" t="str">
        <f>IFERROR(VLOOKUP(TableHandbook[[#This Row],[UDC]],TableSTRUHPEB1[],7,FALSE),"")</f>
        <v/>
      </c>
      <c r="AX224" s="209" t="str">
        <f>IFERROR(VLOOKUP(TableHandbook[[#This Row],[UDC]],TableSTRUHUMBB[],7,FALSE),"")</f>
        <v/>
      </c>
      <c r="AY224" s="209" t="str">
        <f>IFERROR(VLOOKUP(TableHandbook[[#This Row],[UDC]],TableSTRUMARTM[],7,FALSE),"")</f>
        <v/>
      </c>
      <c r="AZ224" s="209" t="str">
        <f>IFERROR(VLOOKUP(TableHandbook[[#This Row],[UDC]],TableSTRUMATHB[],7,FALSE),"")</f>
        <v/>
      </c>
      <c r="BA224" s="209" t="str">
        <f>IFERROR(VLOOKUP(TableHandbook[[#This Row],[UDC]],TableSTRUMATHM[],7,FALSE),"")</f>
        <v/>
      </c>
      <c r="BB224" s="209" t="str">
        <f>IFERROR(VLOOKUP(TableHandbook[[#This Row],[UDC]],TableSTRUPARTB[],7,FALSE),"")</f>
        <v/>
      </c>
      <c r="BC224" s="209" t="str">
        <f>IFERROR(VLOOKUP(TableHandbook[[#This Row],[UDC]],TableSTRUPARTM[],7,FALSE),"")</f>
        <v/>
      </c>
      <c r="BD224" s="209" t="str">
        <f>IFERROR(VLOOKUP(TableHandbook[[#This Row],[UDC]],TableSTRUPOLB1[],7,FALSE),"")</f>
        <v/>
      </c>
      <c r="BE224" s="209" t="str">
        <f>IFERROR(VLOOKUP(TableHandbook[[#This Row],[UDC]],TableSTRUPSYCB[],7,FALSE),"")</f>
        <v/>
      </c>
      <c r="BF224" s="209" t="str">
        <f>IFERROR(VLOOKUP(TableHandbook[[#This Row],[UDC]],TableSTRUPSYCM[],7,FALSE),"")</f>
        <v/>
      </c>
      <c r="BG224" s="209" t="str">
        <f>IFERROR(VLOOKUP(TableHandbook[[#This Row],[UDC]],TableSTRUVARTB[],7,FALSE),"")</f>
        <v/>
      </c>
      <c r="BH224" s="209" t="str">
        <f>IFERROR(VLOOKUP(TableHandbook[[#This Row],[UDC]],TableSTRUVARTM[],7,FALSE),"")</f>
        <v/>
      </c>
    </row>
    <row r="225" spans="1:60" x14ac:dyDescent="0.25">
      <c r="A225" s="296" t="s">
        <v>603</v>
      </c>
      <c r="B225" s="7">
        <v>3</v>
      </c>
      <c r="C225" s="7"/>
      <c r="D225" s="207" t="s">
        <v>1045</v>
      </c>
      <c r="E225" s="7">
        <v>25</v>
      </c>
      <c r="F225" s="311" t="s">
        <v>783</v>
      </c>
      <c r="G225" s="75" t="str">
        <f>IFERROR(IF(VLOOKUP(TableHandbook[[#This Row],[UDC]],TableAvailabilities[],2,FALSE)&gt;0,"Y",""),"")</f>
        <v>Y</v>
      </c>
      <c r="H225" s="75" t="str">
        <f>IFERROR(IF(VLOOKUP(TableHandbook[[#This Row],[UDC]],TableAvailabilities[],3,FALSE)&gt;0,"Y",""),"")</f>
        <v>Y</v>
      </c>
      <c r="I225" s="75" t="str">
        <f>IFERROR(IF(VLOOKUP(TableHandbook[[#This Row],[UDC]],TableAvailabilities[],4,FALSE)&gt;0,"Y",""),"")</f>
        <v/>
      </c>
      <c r="J225" s="75" t="str">
        <f>IFERROR(IF(VLOOKUP(TableHandbook[[#This Row],[UDC]],TableAvailabilities[],5,FALSE)&gt;0,"Y",""),"")</f>
        <v/>
      </c>
      <c r="K225" s="75" t="str">
        <f>IFERROR(IF(VLOOKUP(TableHandbook[[#This Row],[UDC]],TableAvailabilities[],6,FALSE)&gt;0,"Y",""),"")</f>
        <v/>
      </c>
      <c r="L225" s="75" t="str">
        <f>IFERROR(IF(VLOOKUP(TableHandbook[[#This Row],[UDC]],TableAvailabilities[],7,FALSE)&gt;0,"Y",""),"")</f>
        <v/>
      </c>
      <c r="M225" s="207"/>
      <c r="N225" s="209" t="str">
        <f>IFERROR(VLOOKUP(TableHandbook[[#This Row],[UDC]],TableBEDUC[],7,FALSE),"")</f>
        <v/>
      </c>
      <c r="O225" s="209" t="str">
        <f>IFERROR(VLOOKUP(TableHandbook[[#This Row],[UDC]],TableBEDEC[],7,FALSE),"")</f>
        <v/>
      </c>
      <c r="P225" s="211" t="str">
        <f>IFERROR(VLOOKUP(TableHandbook[[#This Row],[UDC]],TableBEDPR[],7,FALSE),"")</f>
        <v/>
      </c>
      <c r="Q225" s="209" t="str">
        <f>IFERROR(VLOOKUP(TableHandbook[[#This Row],[UDC]],TableSTRUCATHL[],7,FALSE),"")</f>
        <v/>
      </c>
      <c r="R225" s="209" t="str">
        <f>IFERROR(VLOOKUP(TableHandbook[[#This Row],[UDC]],TableSTRUENGLL[],7,FALSE),"")</f>
        <v/>
      </c>
      <c r="S225" s="209" t="str">
        <f>IFERROR(VLOOKUP(TableHandbook[[#This Row],[UDC]],TableSTRUHLTPE[],7,FALSE),"")</f>
        <v/>
      </c>
      <c r="T225" s="209" t="str">
        <f>IFERROR(VLOOKUP(TableHandbook[[#This Row],[UDC]],TableSTRUISTEM[],7,FALSE),"")</f>
        <v/>
      </c>
      <c r="U225" s="209" t="str">
        <f>IFERROR(VLOOKUP(TableHandbook[[#This Row],[UDC]],TableSTRULITNU[],7,FALSE),"")</f>
        <v/>
      </c>
      <c r="V225" s="209" t="str">
        <f>IFERROR(VLOOKUP(TableHandbook[[#This Row],[UDC]],TableSTRUTECHS[],7,FALSE),"")</f>
        <v/>
      </c>
      <c r="W225" s="211" t="str">
        <f>IFERROR(VLOOKUP(TableHandbook[[#This Row],[UDC]],TableBEDSC[],7,FALSE),"")</f>
        <v/>
      </c>
      <c r="X225" s="211" t="str">
        <f>IFERROR(VLOOKUP(TableHandbook[[#This Row],[UDC]],TableMJRUARDR1[],7,FALSE),"")</f>
        <v/>
      </c>
      <c r="Y225" s="209" t="str">
        <f>IFERROR(VLOOKUP(TableHandbook[[#This Row],[UDC]],TableMJRUARME1[],7,FALSE),"")</f>
        <v/>
      </c>
      <c r="Z225" s="209" t="str">
        <f>IFERROR(VLOOKUP(TableHandbook[[#This Row],[UDC]],TableMJRUARVA1[],7,FALSE),"")</f>
        <v/>
      </c>
      <c r="AA225" s="209" t="str">
        <f>IFERROR(VLOOKUP(TableHandbook[[#This Row],[UDC]],TableMJRUENGL1[],7,FALSE),"")</f>
        <v/>
      </c>
      <c r="AB225" s="209" t="str">
        <f>IFERROR(VLOOKUP(TableHandbook[[#This Row],[UDC]],TableMJRUHSEC1[],7,FALSE),"")</f>
        <v/>
      </c>
      <c r="AC225" s="209" t="str">
        <f>IFERROR(VLOOKUP(TableHandbook[[#This Row],[UDC]],TableMJRUHSGE1[],7,FALSE),"")</f>
        <v/>
      </c>
      <c r="AD225" s="209" t="str">
        <f>IFERROR(VLOOKUP(TableHandbook[[#This Row],[UDC]],TableMJRUHSHI1[],7,FALSE),"")</f>
        <v/>
      </c>
      <c r="AE225" s="209" t="str">
        <f>IFERROR(VLOOKUP(TableHandbook[[#This Row],[UDC]],TableMJRUHSPL1[],7,FALSE),"")</f>
        <v>AltCore</v>
      </c>
      <c r="AF225" s="209" t="str">
        <f>IFERROR(VLOOKUP(TableHandbook[[#This Row],[UDC]],TableMJRUMATH1[],7,FALSE),"")</f>
        <v/>
      </c>
      <c r="AG225" s="209" t="str">
        <f>IFERROR(VLOOKUP(TableHandbook[[#This Row],[UDC]],TableMJRUPHYSE[],7,FALSE),"")</f>
        <v/>
      </c>
      <c r="AH225" s="209" t="str">
        <f>IFERROR(VLOOKUP(TableHandbook[[#This Row],[UDC]],TableMJRUSCBI1[],7,FALSE),"")</f>
        <v/>
      </c>
      <c r="AI225" s="209" t="str">
        <f>IFERROR(VLOOKUP(TableHandbook[[#This Row],[UDC]],TableMJRUSCCH1[],7,FALSE),"")</f>
        <v/>
      </c>
      <c r="AJ225" s="209" t="str">
        <f>IFERROR(VLOOKUP(TableHandbook[[#This Row],[UDC]],TableMJRUSCHB1[],7,FALSE),"")</f>
        <v/>
      </c>
      <c r="AK225" s="209" t="str">
        <f>IFERROR(VLOOKUP(TableHandbook[[#This Row],[UDC]],TableMJRUSCPH1[],7,FALSE),"")</f>
        <v/>
      </c>
      <c r="AL225" s="209" t="str">
        <f>IFERROR(VLOOKUP(TableHandbook[[#This Row],[UDC]],TableMJRUSCPS1[],7,FALSE),"")</f>
        <v/>
      </c>
      <c r="AM225" s="211" t="str">
        <f>IFERROR(VLOOKUP(TableHandbook[[#This Row],[UDC]],TableSTRUBIOLB[],7,FALSE),"")</f>
        <v/>
      </c>
      <c r="AN225" s="209" t="str">
        <f>IFERROR(VLOOKUP(TableHandbook[[#This Row],[UDC]],TableSTRUBSCIM[],7,FALSE),"")</f>
        <v/>
      </c>
      <c r="AO225" s="209" t="str">
        <f>IFERROR(VLOOKUP(TableHandbook[[#This Row],[UDC]],TableSTRUCHEMB[],7,FALSE),"")</f>
        <v/>
      </c>
      <c r="AP225" s="209" t="str">
        <f>IFERROR(VLOOKUP(TableHandbook[[#This Row],[UDC]],TableSTRUECOB1[],7,FALSE),"")</f>
        <v/>
      </c>
      <c r="AQ225" s="209" t="str">
        <f>IFERROR(VLOOKUP(TableHandbook[[#This Row],[UDC]],TableSTRUENGLB[],7,FALSE),"")</f>
        <v/>
      </c>
      <c r="AR225" s="209" t="str">
        <f>IFERROR(VLOOKUP(TableHandbook[[#This Row],[UDC]],TableSTRUENGLM[],7,FALSE),"")</f>
        <v/>
      </c>
      <c r="AS225" s="209" t="str">
        <f>IFERROR(VLOOKUP(TableHandbook[[#This Row],[UDC]],TableSTRUGEOB1[],7,FALSE),"")</f>
        <v/>
      </c>
      <c r="AT225" s="209" t="str">
        <f>IFERROR(VLOOKUP(TableHandbook[[#This Row],[UDC]],TableSTRUGEOGM[],7,FALSE),"")</f>
        <v/>
      </c>
      <c r="AU225" s="209" t="str">
        <f>IFERROR(VLOOKUP(TableHandbook[[#This Row],[UDC]],TableSTRUHISB1[],7,FALSE),"")</f>
        <v/>
      </c>
      <c r="AV225" s="209" t="str">
        <f>IFERROR(VLOOKUP(TableHandbook[[#This Row],[UDC]],TableSTRUHISTM[],7,FALSE),"")</f>
        <v/>
      </c>
      <c r="AW225" s="209" t="str">
        <f>IFERROR(VLOOKUP(TableHandbook[[#This Row],[UDC]],TableSTRUHPEB1[],7,FALSE),"")</f>
        <v/>
      </c>
      <c r="AX225" s="209" t="str">
        <f>IFERROR(VLOOKUP(TableHandbook[[#This Row],[UDC]],TableSTRUHUMBB[],7,FALSE),"")</f>
        <v/>
      </c>
      <c r="AY225" s="209" t="str">
        <f>IFERROR(VLOOKUP(TableHandbook[[#This Row],[UDC]],TableSTRUMARTM[],7,FALSE),"")</f>
        <v/>
      </c>
      <c r="AZ225" s="209" t="str">
        <f>IFERROR(VLOOKUP(TableHandbook[[#This Row],[UDC]],TableSTRUMATHB[],7,FALSE),"")</f>
        <v/>
      </c>
      <c r="BA225" s="209" t="str">
        <f>IFERROR(VLOOKUP(TableHandbook[[#This Row],[UDC]],TableSTRUMATHM[],7,FALSE),"")</f>
        <v/>
      </c>
      <c r="BB225" s="209" t="str">
        <f>IFERROR(VLOOKUP(TableHandbook[[#This Row],[UDC]],TableSTRUPARTB[],7,FALSE),"")</f>
        <v/>
      </c>
      <c r="BC225" s="209" t="str">
        <f>IFERROR(VLOOKUP(TableHandbook[[#This Row],[UDC]],TableSTRUPARTM[],7,FALSE),"")</f>
        <v/>
      </c>
      <c r="BD225" s="209" t="str">
        <f>IFERROR(VLOOKUP(TableHandbook[[#This Row],[UDC]],TableSTRUPOLB1[],7,FALSE),"")</f>
        <v/>
      </c>
      <c r="BE225" s="209" t="str">
        <f>IFERROR(VLOOKUP(TableHandbook[[#This Row],[UDC]],TableSTRUPSYCB[],7,FALSE),"")</f>
        <v/>
      </c>
      <c r="BF225" s="209" t="str">
        <f>IFERROR(VLOOKUP(TableHandbook[[#This Row],[UDC]],TableSTRUPSYCM[],7,FALSE),"")</f>
        <v/>
      </c>
      <c r="BG225" s="209" t="str">
        <f>IFERROR(VLOOKUP(TableHandbook[[#This Row],[UDC]],TableSTRUVARTB[],7,FALSE),"")</f>
        <v/>
      </c>
      <c r="BH225" s="209" t="str">
        <f>IFERROR(VLOOKUP(TableHandbook[[#This Row],[UDC]],TableSTRUVARTM[],7,FALSE),"")</f>
        <v/>
      </c>
    </row>
    <row r="226" spans="1:60" x14ac:dyDescent="0.25">
      <c r="A226" s="6" t="s">
        <v>566</v>
      </c>
      <c r="B226" s="7">
        <v>1</v>
      </c>
      <c r="C226" s="7"/>
      <c r="D226" s="207" t="s">
        <v>1046</v>
      </c>
      <c r="E226" s="7">
        <v>25</v>
      </c>
      <c r="F226" s="84" t="s">
        <v>783</v>
      </c>
      <c r="G226" s="75" t="str">
        <f>IFERROR(IF(VLOOKUP(TableHandbook[[#This Row],[UDC]],TableAvailabilities[],2,FALSE)&gt;0,"Y",""),"")</f>
        <v>Y</v>
      </c>
      <c r="H226" s="75" t="str">
        <f>IFERROR(IF(VLOOKUP(TableHandbook[[#This Row],[UDC]],TableAvailabilities[],3,FALSE)&gt;0,"Y",""),"")</f>
        <v>Y</v>
      </c>
      <c r="I226" s="75" t="str">
        <f>IFERROR(IF(VLOOKUP(TableHandbook[[#This Row],[UDC]],TableAvailabilities[],4,FALSE)&gt;0,"Y",""),"")</f>
        <v/>
      </c>
      <c r="J226" s="75" t="str">
        <f>IFERROR(IF(VLOOKUP(TableHandbook[[#This Row],[UDC]],TableAvailabilities[],5,FALSE)&gt;0,"Y",""),"")</f>
        <v/>
      </c>
      <c r="K226" s="75" t="str">
        <f>IFERROR(IF(VLOOKUP(TableHandbook[[#This Row],[UDC]],TableAvailabilities[],6,FALSE)&gt;0,"Y",""),"")</f>
        <v/>
      </c>
      <c r="L226" s="75" t="str">
        <f>IFERROR(IF(VLOOKUP(TableHandbook[[#This Row],[UDC]],TableAvailabilities[],7,FALSE)&gt;0,"Y",""),"")</f>
        <v/>
      </c>
      <c r="M226" s="207"/>
      <c r="N226" s="209" t="str">
        <f>IFERROR(VLOOKUP(TableHandbook[[#This Row],[UDC]],TableBEDUC[],7,FALSE),"")</f>
        <v/>
      </c>
      <c r="O226" s="209" t="str">
        <f>IFERROR(VLOOKUP(TableHandbook[[#This Row],[UDC]],TableBEDEC[],7,FALSE),"")</f>
        <v/>
      </c>
      <c r="P226" s="211" t="str">
        <f>IFERROR(VLOOKUP(TableHandbook[[#This Row],[UDC]],TableBEDPR[],7,FALSE),"")</f>
        <v/>
      </c>
      <c r="Q226" s="209" t="str">
        <f>IFERROR(VLOOKUP(TableHandbook[[#This Row],[UDC]],TableSTRUCATHL[],7,FALSE),"")</f>
        <v/>
      </c>
      <c r="R226" s="209" t="str">
        <f>IFERROR(VLOOKUP(TableHandbook[[#This Row],[UDC]],TableSTRUENGLL[],7,FALSE),"")</f>
        <v/>
      </c>
      <c r="S226" s="209" t="str">
        <f>IFERROR(VLOOKUP(TableHandbook[[#This Row],[UDC]],TableSTRUHLTPE[],7,FALSE),"")</f>
        <v/>
      </c>
      <c r="T226" s="209" t="str">
        <f>IFERROR(VLOOKUP(TableHandbook[[#This Row],[UDC]],TableSTRUISTEM[],7,FALSE),"")</f>
        <v/>
      </c>
      <c r="U226" s="209" t="str">
        <f>IFERROR(VLOOKUP(TableHandbook[[#This Row],[UDC]],TableSTRULITNU[],7,FALSE),"")</f>
        <v/>
      </c>
      <c r="V226" s="209" t="str">
        <f>IFERROR(VLOOKUP(TableHandbook[[#This Row],[UDC]],TableSTRUTECHS[],7,FALSE),"")</f>
        <v/>
      </c>
      <c r="W226" s="211" t="str">
        <f>IFERROR(VLOOKUP(TableHandbook[[#This Row],[UDC]],TableBEDSC[],7,FALSE),"")</f>
        <v/>
      </c>
      <c r="X226" s="211" t="str">
        <f>IFERROR(VLOOKUP(TableHandbook[[#This Row],[UDC]],TableMJRUARDR1[],7,FALSE),"")</f>
        <v/>
      </c>
      <c r="Y226" s="209" t="str">
        <f>IFERROR(VLOOKUP(TableHandbook[[#This Row],[UDC]],TableMJRUARME1[],7,FALSE),"")</f>
        <v/>
      </c>
      <c r="Z226" s="209" t="str">
        <f>IFERROR(VLOOKUP(TableHandbook[[#This Row],[UDC]],TableMJRUARVA1[],7,FALSE),"")</f>
        <v/>
      </c>
      <c r="AA226" s="209" t="str">
        <f>IFERROR(VLOOKUP(TableHandbook[[#This Row],[UDC]],TableMJRUENGL1[],7,FALSE),"")</f>
        <v>AltCore</v>
      </c>
      <c r="AB226" s="209" t="str">
        <f>IFERROR(VLOOKUP(TableHandbook[[#This Row],[UDC]],TableMJRUHSEC1[],7,FALSE),"")</f>
        <v/>
      </c>
      <c r="AC226" s="209" t="str">
        <f>IFERROR(VLOOKUP(TableHandbook[[#This Row],[UDC]],TableMJRUHSGE1[],7,FALSE),"")</f>
        <v/>
      </c>
      <c r="AD226" s="209" t="str">
        <f>IFERROR(VLOOKUP(TableHandbook[[#This Row],[UDC]],TableMJRUHSHI1[],7,FALSE),"")</f>
        <v>Option</v>
      </c>
      <c r="AE226" s="209" t="str">
        <f>IFERROR(VLOOKUP(TableHandbook[[#This Row],[UDC]],TableMJRUHSPL1[],7,FALSE),"")</f>
        <v/>
      </c>
      <c r="AF226" s="209" t="str">
        <f>IFERROR(VLOOKUP(TableHandbook[[#This Row],[UDC]],TableMJRUMATH1[],7,FALSE),"")</f>
        <v/>
      </c>
      <c r="AG226" s="209" t="str">
        <f>IFERROR(VLOOKUP(TableHandbook[[#This Row],[UDC]],TableMJRUPHYSE[],7,FALSE),"")</f>
        <v/>
      </c>
      <c r="AH226" s="209" t="str">
        <f>IFERROR(VLOOKUP(TableHandbook[[#This Row],[UDC]],TableMJRUSCBI1[],7,FALSE),"")</f>
        <v/>
      </c>
      <c r="AI226" s="209" t="str">
        <f>IFERROR(VLOOKUP(TableHandbook[[#This Row],[UDC]],TableMJRUSCCH1[],7,FALSE),"")</f>
        <v/>
      </c>
      <c r="AJ226" s="209" t="str">
        <f>IFERROR(VLOOKUP(TableHandbook[[#This Row],[UDC]],TableMJRUSCHB1[],7,FALSE),"")</f>
        <v/>
      </c>
      <c r="AK226" s="209" t="str">
        <f>IFERROR(VLOOKUP(TableHandbook[[#This Row],[UDC]],TableMJRUSCPH1[],7,FALSE),"")</f>
        <v/>
      </c>
      <c r="AL226" s="209" t="str">
        <f>IFERROR(VLOOKUP(TableHandbook[[#This Row],[UDC]],TableMJRUSCPS1[],7,FALSE),"")</f>
        <v/>
      </c>
      <c r="AM226" s="211" t="str">
        <f>IFERROR(VLOOKUP(TableHandbook[[#This Row],[UDC]],TableSTRUBIOLB[],7,FALSE),"")</f>
        <v/>
      </c>
      <c r="AN226" s="209" t="str">
        <f>IFERROR(VLOOKUP(TableHandbook[[#This Row],[UDC]],TableSTRUBSCIM[],7,FALSE),"")</f>
        <v/>
      </c>
      <c r="AO226" s="209" t="str">
        <f>IFERROR(VLOOKUP(TableHandbook[[#This Row],[UDC]],TableSTRUCHEMB[],7,FALSE),"")</f>
        <v/>
      </c>
      <c r="AP226" s="209" t="str">
        <f>IFERROR(VLOOKUP(TableHandbook[[#This Row],[UDC]],TableSTRUECOB1[],7,FALSE),"")</f>
        <v/>
      </c>
      <c r="AQ226" s="209" t="str">
        <f>IFERROR(VLOOKUP(TableHandbook[[#This Row],[UDC]],TableSTRUENGLB[],7,FALSE),"")</f>
        <v/>
      </c>
      <c r="AR226" s="209" t="str">
        <f>IFERROR(VLOOKUP(TableHandbook[[#This Row],[UDC]],TableSTRUENGLM[],7,FALSE),"")</f>
        <v>Core</v>
      </c>
      <c r="AS226" s="209" t="str">
        <f>IFERROR(VLOOKUP(TableHandbook[[#This Row],[UDC]],TableSTRUGEOB1[],7,FALSE),"")</f>
        <v/>
      </c>
      <c r="AT226" s="209" t="str">
        <f>IFERROR(VLOOKUP(TableHandbook[[#This Row],[UDC]],TableSTRUGEOGM[],7,FALSE),"")</f>
        <v/>
      </c>
      <c r="AU226" s="209" t="str">
        <f>IFERROR(VLOOKUP(TableHandbook[[#This Row],[UDC]],TableSTRUHISB1[],7,FALSE),"")</f>
        <v/>
      </c>
      <c r="AV226" s="209" t="str">
        <f>IFERROR(VLOOKUP(TableHandbook[[#This Row],[UDC]],TableSTRUHISTM[],7,FALSE),"")</f>
        <v/>
      </c>
      <c r="AW226" s="209" t="str">
        <f>IFERROR(VLOOKUP(TableHandbook[[#This Row],[UDC]],TableSTRUHPEB1[],7,FALSE),"")</f>
        <v/>
      </c>
      <c r="AX226" s="209" t="str">
        <f>IFERROR(VLOOKUP(TableHandbook[[#This Row],[UDC]],TableSTRUHUMBB[],7,FALSE),"")</f>
        <v/>
      </c>
      <c r="AY226" s="209" t="str">
        <f>IFERROR(VLOOKUP(TableHandbook[[#This Row],[UDC]],TableSTRUMARTM[],7,FALSE),"")</f>
        <v/>
      </c>
      <c r="AZ226" s="209" t="str">
        <f>IFERROR(VLOOKUP(TableHandbook[[#This Row],[UDC]],TableSTRUMATHB[],7,FALSE),"")</f>
        <v/>
      </c>
      <c r="BA226" s="209" t="str">
        <f>IFERROR(VLOOKUP(TableHandbook[[#This Row],[UDC]],TableSTRUMATHM[],7,FALSE),"")</f>
        <v/>
      </c>
      <c r="BB226" s="209" t="str">
        <f>IFERROR(VLOOKUP(TableHandbook[[#This Row],[UDC]],TableSTRUPARTB[],7,FALSE),"")</f>
        <v/>
      </c>
      <c r="BC226" s="209" t="str">
        <f>IFERROR(VLOOKUP(TableHandbook[[#This Row],[UDC]],TableSTRUPARTM[],7,FALSE),"")</f>
        <v/>
      </c>
      <c r="BD226" s="209" t="str">
        <f>IFERROR(VLOOKUP(TableHandbook[[#This Row],[UDC]],TableSTRUPOLB1[],7,FALSE),"")</f>
        <v/>
      </c>
      <c r="BE226" s="209" t="str">
        <f>IFERROR(VLOOKUP(TableHandbook[[#This Row],[UDC]],TableSTRUPSYCB[],7,FALSE),"")</f>
        <v/>
      </c>
      <c r="BF226" s="209" t="str">
        <f>IFERROR(VLOOKUP(TableHandbook[[#This Row],[UDC]],TableSTRUPSYCM[],7,FALSE),"")</f>
        <v/>
      </c>
      <c r="BG226" s="209" t="str">
        <f>IFERROR(VLOOKUP(TableHandbook[[#This Row],[UDC]],TableSTRUVARTB[],7,FALSE),"")</f>
        <v/>
      </c>
      <c r="BH226" s="209" t="str">
        <f>IFERROR(VLOOKUP(TableHandbook[[#This Row],[UDC]],TableSTRUVARTM[],7,FALSE),"")</f>
        <v/>
      </c>
    </row>
    <row r="227" spans="1:60" x14ac:dyDescent="0.25">
      <c r="A227" s="6" t="s">
        <v>509</v>
      </c>
      <c r="B227" s="7">
        <v>2</v>
      </c>
      <c r="C227" s="7"/>
      <c r="D227" s="207" t="s">
        <v>1047</v>
      </c>
      <c r="E227" s="7">
        <v>25</v>
      </c>
      <c r="F227" s="84" t="s">
        <v>783</v>
      </c>
      <c r="G227" s="75" t="str">
        <f>IFERROR(IF(VLOOKUP(TableHandbook[[#This Row],[UDC]],TableAvailabilities[],2,FALSE)&gt;0,"Y",""),"")</f>
        <v>Y</v>
      </c>
      <c r="H227" s="75" t="str">
        <f>IFERROR(IF(VLOOKUP(TableHandbook[[#This Row],[UDC]],TableAvailabilities[],3,FALSE)&gt;0,"Y",""),"")</f>
        <v>Y</v>
      </c>
      <c r="I227" s="75" t="str">
        <f>IFERROR(IF(VLOOKUP(TableHandbook[[#This Row],[UDC]],TableAvailabilities[],4,FALSE)&gt;0,"Y",""),"")</f>
        <v/>
      </c>
      <c r="J227" s="75" t="str">
        <f>IFERROR(IF(VLOOKUP(TableHandbook[[#This Row],[UDC]],TableAvailabilities[],5,FALSE)&gt;0,"Y",""),"")</f>
        <v/>
      </c>
      <c r="K227" s="75" t="str">
        <f>IFERROR(IF(VLOOKUP(TableHandbook[[#This Row],[UDC]],TableAvailabilities[],6,FALSE)&gt;0,"Y",""),"")</f>
        <v/>
      </c>
      <c r="L227" s="75" t="str">
        <f>IFERROR(IF(VLOOKUP(TableHandbook[[#This Row],[UDC]],TableAvailabilities[],7,FALSE)&gt;0,"Y",""),"")</f>
        <v/>
      </c>
      <c r="M227" s="207"/>
      <c r="N227" s="209" t="str">
        <f>IFERROR(VLOOKUP(TableHandbook[[#This Row],[UDC]],TableBEDUC[],7,FALSE),"")</f>
        <v/>
      </c>
      <c r="O227" s="209" t="str">
        <f>IFERROR(VLOOKUP(TableHandbook[[#This Row],[UDC]],TableBEDEC[],7,FALSE),"")</f>
        <v/>
      </c>
      <c r="P227" s="211" t="str">
        <f>IFERROR(VLOOKUP(TableHandbook[[#This Row],[UDC]],TableBEDPR[],7,FALSE),"")</f>
        <v/>
      </c>
      <c r="Q227" s="209" t="str">
        <f>IFERROR(VLOOKUP(TableHandbook[[#This Row],[UDC]],TableSTRUCATHL[],7,FALSE),"")</f>
        <v/>
      </c>
      <c r="R227" s="209" t="str">
        <f>IFERROR(VLOOKUP(TableHandbook[[#This Row],[UDC]],TableSTRUENGLL[],7,FALSE),"")</f>
        <v/>
      </c>
      <c r="S227" s="209" t="str">
        <f>IFERROR(VLOOKUP(TableHandbook[[#This Row],[UDC]],TableSTRUHLTPE[],7,FALSE),"")</f>
        <v/>
      </c>
      <c r="T227" s="209" t="str">
        <f>IFERROR(VLOOKUP(TableHandbook[[#This Row],[UDC]],TableSTRUISTEM[],7,FALSE),"")</f>
        <v/>
      </c>
      <c r="U227" s="209" t="str">
        <f>IFERROR(VLOOKUP(TableHandbook[[#This Row],[UDC]],TableSTRULITNU[],7,FALSE),"")</f>
        <v/>
      </c>
      <c r="V227" s="209" t="str">
        <f>IFERROR(VLOOKUP(TableHandbook[[#This Row],[UDC]],TableSTRUTECHS[],7,FALSE),"")</f>
        <v/>
      </c>
      <c r="W227" s="211" t="str">
        <f>IFERROR(VLOOKUP(TableHandbook[[#This Row],[UDC]],TableBEDSC[],7,FALSE),"")</f>
        <v/>
      </c>
      <c r="X227" s="211" t="str">
        <f>IFERROR(VLOOKUP(TableHandbook[[#This Row],[UDC]],TableMJRUARDR1[],7,FALSE),"")</f>
        <v/>
      </c>
      <c r="Y227" s="209" t="str">
        <f>IFERROR(VLOOKUP(TableHandbook[[#This Row],[UDC]],TableMJRUARME1[],7,FALSE),"")</f>
        <v/>
      </c>
      <c r="Z227" s="209" t="str">
        <f>IFERROR(VLOOKUP(TableHandbook[[#This Row],[UDC]],TableMJRUARVA1[],7,FALSE),"")</f>
        <v/>
      </c>
      <c r="AA227" s="209" t="str">
        <f>IFERROR(VLOOKUP(TableHandbook[[#This Row],[UDC]],TableMJRUENGL1[],7,FALSE),"")</f>
        <v>Core</v>
      </c>
      <c r="AB227" s="209" t="str">
        <f>IFERROR(VLOOKUP(TableHandbook[[#This Row],[UDC]],TableMJRUHSEC1[],7,FALSE),"")</f>
        <v/>
      </c>
      <c r="AC227" s="209" t="str">
        <f>IFERROR(VLOOKUP(TableHandbook[[#This Row],[UDC]],TableMJRUHSGE1[],7,FALSE),"")</f>
        <v/>
      </c>
      <c r="AD227" s="209" t="str">
        <f>IFERROR(VLOOKUP(TableHandbook[[#This Row],[UDC]],TableMJRUHSHI1[],7,FALSE),"")</f>
        <v/>
      </c>
      <c r="AE227" s="209" t="str">
        <f>IFERROR(VLOOKUP(TableHandbook[[#This Row],[UDC]],TableMJRUHSPL1[],7,FALSE),"")</f>
        <v/>
      </c>
      <c r="AF227" s="209" t="str">
        <f>IFERROR(VLOOKUP(TableHandbook[[#This Row],[UDC]],TableMJRUMATH1[],7,FALSE),"")</f>
        <v/>
      </c>
      <c r="AG227" s="209" t="str">
        <f>IFERROR(VLOOKUP(TableHandbook[[#This Row],[UDC]],TableMJRUPHYSE[],7,FALSE),"")</f>
        <v/>
      </c>
      <c r="AH227" s="209" t="str">
        <f>IFERROR(VLOOKUP(TableHandbook[[#This Row],[UDC]],TableMJRUSCBI1[],7,FALSE),"")</f>
        <v/>
      </c>
      <c r="AI227" s="209" t="str">
        <f>IFERROR(VLOOKUP(TableHandbook[[#This Row],[UDC]],TableMJRUSCCH1[],7,FALSE),"")</f>
        <v/>
      </c>
      <c r="AJ227" s="209" t="str">
        <f>IFERROR(VLOOKUP(TableHandbook[[#This Row],[UDC]],TableMJRUSCHB1[],7,FALSE),"")</f>
        <v/>
      </c>
      <c r="AK227" s="209" t="str">
        <f>IFERROR(VLOOKUP(TableHandbook[[#This Row],[UDC]],TableMJRUSCPH1[],7,FALSE),"")</f>
        <v/>
      </c>
      <c r="AL227" s="209" t="str">
        <f>IFERROR(VLOOKUP(TableHandbook[[#This Row],[UDC]],TableMJRUSCPS1[],7,FALSE),"")</f>
        <v/>
      </c>
      <c r="AM227" s="211" t="str">
        <f>IFERROR(VLOOKUP(TableHandbook[[#This Row],[UDC]],TableSTRUBIOLB[],7,FALSE),"")</f>
        <v/>
      </c>
      <c r="AN227" s="209" t="str">
        <f>IFERROR(VLOOKUP(TableHandbook[[#This Row],[UDC]],TableSTRUBSCIM[],7,FALSE),"")</f>
        <v/>
      </c>
      <c r="AO227" s="209" t="str">
        <f>IFERROR(VLOOKUP(TableHandbook[[#This Row],[UDC]],TableSTRUCHEMB[],7,FALSE),"")</f>
        <v/>
      </c>
      <c r="AP227" s="209" t="str">
        <f>IFERROR(VLOOKUP(TableHandbook[[#This Row],[UDC]],TableSTRUECOB1[],7,FALSE),"")</f>
        <v/>
      </c>
      <c r="AQ227" s="209" t="str">
        <f>IFERROR(VLOOKUP(TableHandbook[[#This Row],[UDC]],TableSTRUENGLB[],7,FALSE),"")</f>
        <v/>
      </c>
      <c r="AR227" s="209" t="str">
        <f>IFERROR(VLOOKUP(TableHandbook[[#This Row],[UDC]],TableSTRUENGLM[],7,FALSE),"")</f>
        <v>Core</v>
      </c>
      <c r="AS227" s="209" t="str">
        <f>IFERROR(VLOOKUP(TableHandbook[[#This Row],[UDC]],TableSTRUGEOB1[],7,FALSE),"")</f>
        <v/>
      </c>
      <c r="AT227" s="209" t="str">
        <f>IFERROR(VLOOKUP(TableHandbook[[#This Row],[UDC]],TableSTRUGEOGM[],7,FALSE),"")</f>
        <v/>
      </c>
      <c r="AU227" s="209" t="str">
        <f>IFERROR(VLOOKUP(TableHandbook[[#This Row],[UDC]],TableSTRUHISB1[],7,FALSE),"")</f>
        <v/>
      </c>
      <c r="AV227" s="209" t="str">
        <f>IFERROR(VLOOKUP(TableHandbook[[#This Row],[UDC]],TableSTRUHISTM[],7,FALSE),"")</f>
        <v/>
      </c>
      <c r="AW227" s="209" t="str">
        <f>IFERROR(VLOOKUP(TableHandbook[[#This Row],[UDC]],TableSTRUHPEB1[],7,FALSE),"")</f>
        <v/>
      </c>
      <c r="AX227" s="209" t="str">
        <f>IFERROR(VLOOKUP(TableHandbook[[#This Row],[UDC]],TableSTRUHUMBB[],7,FALSE),"")</f>
        <v/>
      </c>
      <c r="AY227" s="209" t="str">
        <f>IFERROR(VLOOKUP(TableHandbook[[#This Row],[UDC]],TableSTRUMARTM[],7,FALSE),"")</f>
        <v/>
      </c>
      <c r="AZ227" s="209" t="str">
        <f>IFERROR(VLOOKUP(TableHandbook[[#This Row],[UDC]],TableSTRUMATHB[],7,FALSE),"")</f>
        <v/>
      </c>
      <c r="BA227" s="209" t="str">
        <f>IFERROR(VLOOKUP(TableHandbook[[#This Row],[UDC]],TableSTRUMATHM[],7,FALSE),"")</f>
        <v/>
      </c>
      <c r="BB227" s="209" t="str">
        <f>IFERROR(VLOOKUP(TableHandbook[[#This Row],[UDC]],TableSTRUPARTB[],7,FALSE),"")</f>
        <v/>
      </c>
      <c r="BC227" s="209" t="str">
        <f>IFERROR(VLOOKUP(TableHandbook[[#This Row],[UDC]],TableSTRUPARTM[],7,FALSE),"")</f>
        <v/>
      </c>
      <c r="BD227" s="209" t="str">
        <f>IFERROR(VLOOKUP(TableHandbook[[#This Row],[UDC]],TableSTRUPOLB1[],7,FALSE),"")</f>
        <v/>
      </c>
      <c r="BE227" s="209" t="str">
        <f>IFERROR(VLOOKUP(TableHandbook[[#This Row],[UDC]],TableSTRUPSYCB[],7,FALSE),"")</f>
        <v/>
      </c>
      <c r="BF227" s="209" t="str">
        <f>IFERROR(VLOOKUP(TableHandbook[[#This Row],[UDC]],TableSTRUPSYCM[],7,FALSE),"")</f>
        <v/>
      </c>
      <c r="BG227" s="209" t="str">
        <f>IFERROR(VLOOKUP(TableHandbook[[#This Row],[UDC]],TableSTRUVARTB[],7,FALSE),"")</f>
        <v/>
      </c>
      <c r="BH227" s="209" t="str">
        <f>IFERROR(VLOOKUP(TableHandbook[[#This Row],[UDC]],TableSTRUVARTM[],7,FALSE),"")</f>
        <v/>
      </c>
    </row>
    <row r="228" spans="1:60" x14ac:dyDescent="0.25">
      <c r="A228" s="6" t="s">
        <v>496</v>
      </c>
      <c r="B228" s="7">
        <v>1</v>
      </c>
      <c r="C228" s="7"/>
      <c r="D228" s="207" t="s">
        <v>1048</v>
      </c>
      <c r="E228" s="7">
        <v>25</v>
      </c>
      <c r="F228" s="84" t="s">
        <v>783</v>
      </c>
      <c r="G228" s="75" t="str">
        <f>IFERROR(IF(VLOOKUP(TableHandbook[[#This Row],[UDC]],TableAvailabilities[],2,FALSE)&gt;0,"Y",""),"")</f>
        <v/>
      </c>
      <c r="H228" s="75" t="str">
        <f>IFERROR(IF(VLOOKUP(TableHandbook[[#This Row],[UDC]],TableAvailabilities[],3,FALSE)&gt;0,"Y",""),"")</f>
        <v/>
      </c>
      <c r="I228" s="75" t="str">
        <f>IFERROR(IF(VLOOKUP(TableHandbook[[#This Row],[UDC]],TableAvailabilities[],4,FALSE)&gt;0,"Y",""),"")</f>
        <v/>
      </c>
      <c r="J228" s="75" t="str">
        <f>IFERROR(IF(VLOOKUP(TableHandbook[[#This Row],[UDC]],TableAvailabilities[],5,FALSE)&gt;0,"Y",""),"")</f>
        <v>Y</v>
      </c>
      <c r="K228" s="75" t="str">
        <f>IFERROR(IF(VLOOKUP(TableHandbook[[#This Row],[UDC]],TableAvailabilities[],6,FALSE)&gt;0,"Y",""),"")</f>
        <v>Y</v>
      </c>
      <c r="L228" s="75" t="str">
        <f>IFERROR(IF(VLOOKUP(TableHandbook[[#This Row],[UDC]],TableAvailabilities[],7,FALSE)&gt;0,"Y",""),"")</f>
        <v/>
      </c>
      <c r="M228" s="207"/>
      <c r="N228" s="209" t="str">
        <f>IFERROR(VLOOKUP(TableHandbook[[#This Row],[UDC]],TableBEDUC[],7,FALSE),"")</f>
        <v/>
      </c>
      <c r="O228" s="209" t="str">
        <f>IFERROR(VLOOKUP(TableHandbook[[#This Row],[UDC]],TableBEDEC[],7,FALSE),"")</f>
        <v/>
      </c>
      <c r="P228" s="211" t="str">
        <f>IFERROR(VLOOKUP(TableHandbook[[#This Row],[UDC]],TableBEDPR[],7,FALSE),"")</f>
        <v/>
      </c>
      <c r="Q228" s="209" t="str">
        <f>IFERROR(VLOOKUP(TableHandbook[[#This Row],[UDC]],TableSTRUCATHL[],7,FALSE),"")</f>
        <v/>
      </c>
      <c r="R228" s="209" t="str">
        <f>IFERROR(VLOOKUP(TableHandbook[[#This Row],[UDC]],TableSTRUENGLL[],7,FALSE),"")</f>
        <v/>
      </c>
      <c r="S228" s="209" t="str">
        <f>IFERROR(VLOOKUP(TableHandbook[[#This Row],[UDC]],TableSTRUHLTPE[],7,FALSE),"")</f>
        <v/>
      </c>
      <c r="T228" s="209" t="str">
        <f>IFERROR(VLOOKUP(TableHandbook[[#This Row],[UDC]],TableSTRUISTEM[],7,FALSE),"")</f>
        <v/>
      </c>
      <c r="U228" s="209" t="str">
        <f>IFERROR(VLOOKUP(TableHandbook[[#This Row],[UDC]],TableSTRULITNU[],7,FALSE),"")</f>
        <v/>
      </c>
      <c r="V228" s="209" t="str">
        <f>IFERROR(VLOOKUP(TableHandbook[[#This Row],[UDC]],TableSTRUTECHS[],7,FALSE),"")</f>
        <v/>
      </c>
      <c r="W228" s="211" t="str">
        <f>IFERROR(VLOOKUP(TableHandbook[[#This Row],[UDC]],TableBEDSC[],7,FALSE),"")</f>
        <v/>
      </c>
      <c r="X228" s="211" t="str">
        <f>IFERROR(VLOOKUP(TableHandbook[[#This Row],[UDC]],TableMJRUARDR1[],7,FALSE),"")</f>
        <v/>
      </c>
      <c r="Y228" s="209" t="str">
        <f>IFERROR(VLOOKUP(TableHandbook[[#This Row],[UDC]],TableMJRUARME1[],7,FALSE),"")</f>
        <v/>
      </c>
      <c r="Z228" s="209" t="str">
        <f>IFERROR(VLOOKUP(TableHandbook[[#This Row],[UDC]],TableMJRUARVA1[],7,FALSE),"")</f>
        <v/>
      </c>
      <c r="AA228" s="209" t="str">
        <f>IFERROR(VLOOKUP(TableHandbook[[#This Row],[UDC]],TableMJRUENGL1[],7,FALSE),"")</f>
        <v>Core</v>
      </c>
      <c r="AB228" s="209" t="str">
        <f>IFERROR(VLOOKUP(TableHandbook[[#This Row],[UDC]],TableMJRUHSEC1[],7,FALSE),"")</f>
        <v/>
      </c>
      <c r="AC228" s="209" t="str">
        <f>IFERROR(VLOOKUP(TableHandbook[[#This Row],[UDC]],TableMJRUHSGE1[],7,FALSE),"")</f>
        <v/>
      </c>
      <c r="AD228" s="209" t="str">
        <f>IFERROR(VLOOKUP(TableHandbook[[#This Row],[UDC]],TableMJRUHSHI1[],7,FALSE),"")</f>
        <v/>
      </c>
      <c r="AE228" s="209" t="str">
        <f>IFERROR(VLOOKUP(TableHandbook[[#This Row],[UDC]],TableMJRUHSPL1[],7,FALSE),"")</f>
        <v/>
      </c>
      <c r="AF228" s="209" t="str">
        <f>IFERROR(VLOOKUP(TableHandbook[[#This Row],[UDC]],TableMJRUMATH1[],7,FALSE),"")</f>
        <v/>
      </c>
      <c r="AG228" s="209" t="str">
        <f>IFERROR(VLOOKUP(TableHandbook[[#This Row],[UDC]],TableMJRUPHYSE[],7,FALSE),"")</f>
        <v/>
      </c>
      <c r="AH228" s="209" t="str">
        <f>IFERROR(VLOOKUP(TableHandbook[[#This Row],[UDC]],TableMJRUSCBI1[],7,FALSE),"")</f>
        <v/>
      </c>
      <c r="AI228" s="209" t="str">
        <f>IFERROR(VLOOKUP(TableHandbook[[#This Row],[UDC]],TableMJRUSCCH1[],7,FALSE),"")</f>
        <v/>
      </c>
      <c r="AJ228" s="209" t="str">
        <f>IFERROR(VLOOKUP(TableHandbook[[#This Row],[UDC]],TableMJRUSCHB1[],7,FALSE),"")</f>
        <v/>
      </c>
      <c r="AK228" s="209" t="str">
        <f>IFERROR(VLOOKUP(TableHandbook[[#This Row],[UDC]],TableMJRUSCPH1[],7,FALSE),"")</f>
        <v/>
      </c>
      <c r="AL228" s="209" t="str">
        <f>IFERROR(VLOOKUP(TableHandbook[[#This Row],[UDC]],TableMJRUSCPS1[],7,FALSE),"")</f>
        <v/>
      </c>
      <c r="AM228" s="211" t="str">
        <f>IFERROR(VLOOKUP(TableHandbook[[#This Row],[UDC]],TableSTRUBIOLB[],7,FALSE),"")</f>
        <v/>
      </c>
      <c r="AN228" s="209" t="str">
        <f>IFERROR(VLOOKUP(TableHandbook[[#This Row],[UDC]],TableSTRUBSCIM[],7,FALSE),"")</f>
        <v/>
      </c>
      <c r="AO228" s="209" t="str">
        <f>IFERROR(VLOOKUP(TableHandbook[[#This Row],[UDC]],TableSTRUCHEMB[],7,FALSE),"")</f>
        <v/>
      </c>
      <c r="AP228" s="209" t="str">
        <f>IFERROR(VLOOKUP(TableHandbook[[#This Row],[UDC]],TableSTRUECOB1[],7,FALSE),"")</f>
        <v/>
      </c>
      <c r="AQ228" s="209" t="str">
        <f>IFERROR(VLOOKUP(TableHandbook[[#This Row],[UDC]],TableSTRUENGLB[],7,FALSE),"")</f>
        <v/>
      </c>
      <c r="AR228" s="209" t="str">
        <f>IFERROR(VLOOKUP(TableHandbook[[#This Row],[UDC]],TableSTRUENGLM[],7,FALSE),"")</f>
        <v>Core</v>
      </c>
      <c r="AS228" s="209" t="str">
        <f>IFERROR(VLOOKUP(TableHandbook[[#This Row],[UDC]],TableSTRUGEOB1[],7,FALSE),"")</f>
        <v/>
      </c>
      <c r="AT228" s="209" t="str">
        <f>IFERROR(VLOOKUP(TableHandbook[[#This Row],[UDC]],TableSTRUGEOGM[],7,FALSE),"")</f>
        <v/>
      </c>
      <c r="AU228" s="209" t="str">
        <f>IFERROR(VLOOKUP(TableHandbook[[#This Row],[UDC]],TableSTRUHISB1[],7,FALSE),"")</f>
        <v/>
      </c>
      <c r="AV228" s="209" t="str">
        <f>IFERROR(VLOOKUP(TableHandbook[[#This Row],[UDC]],TableSTRUHISTM[],7,FALSE),"")</f>
        <v/>
      </c>
      <c r="AW228" s="209" t="str">
        <f>IFERROR(VLOOKUP(TableHandbook[[#This Row],[UDC]],TableSTRUHPEB1[],7,FALSE),"")</f>
        <v/>
      </c>
      <c r="AX228" s="209" t="str">
        <f>IFERROR(VLOOKUP(TableHandbook[[#This Row],[UDC]],TableSTRUHUMBB[],7,FALSE),"")</f>
        <v/>
      </c>
      <c r="AY228" s="209" t="str">
        <f>IFERROR(VLOOKUP(TableHandbook[[#This Row],[UDC]],TableSTRUMARTM[],7,FALSE),"")</f>
        <v/>
      </c>
      <c r="AZ228" s="209" t="str">
        <f>IFERROR(VLOOKUP(TableHandbook[[#This Row],[UDC]],TableSTRUMATHB[],7,FALSE),"")</f>
        <v/>
      </c>
      <c r="BA228" s="209" t="str">
        <f>IFERROR(VLOOKUP(TableHandbook[[#This Row],[UDC]],TableSTRUMATHM[],7,FALSE),"")</f>
        <v/>
      </c>
      <c r="BB228" s="209" t="str">
        <f>IFERROR(VLOOKUP(TableHandbook[[#This Row],[UDC]],TableSTRUPARTB[],7,FALSE),"")</f>
        <v/>
      </c>
      <c r="BC228" s="209" t="str">
        <f>IFERROR(VLOOKUP(TableHandbook[[#This Row],[UDC]],TableSTRUPARTM[],7,FALSE),"")</f>
        <v/>
      </c>
      <c r="BD228" s="209" t="str">
        <f>IFERROR(VLOOKUP(TableHandbook[[#This Row],[UDC]],TableSTRUPOLB1[],7,FALSE),"")</f>
        <v/>
      </c>
      <c r="BE228" s="209" t="str">
        <f>IFERROR(VLOOKUP(TableHandbook[[#This Row],[UDC]],TableSTRUPSYCB[],7,FALSE),"")</f>
        <v/>
      </c>
      <c r="BF228" s="209" t="str">
        <f>IFERROR(VLOOKUP(TableHandbook[[#This Row],[UDC]],TableSTRUPSYCM[],7,FALSE),"")</f>
        <v/>
      </c>
      <c r="BG228" s="209" t="str">
        <f>IFERROR(VLOOKUP(TableHandbook[[#This Row],[UDC]],TableSTRUVARTB[],7,FALSE),"")</f>
        <v/>
      </c>
      <c r="BH228" s="209" t="str">
        <f>IFERROR(VLOOKUP(TableHandbook[[#This Row],[UDC]],TableSTRUVARTM[],7,FALSE),"")</f>
        <v/>
      </c>
    </row>
    <row r="229" spans="1:60" x14ac:dyDescent="0.25">
      <c r="A229" s="6" t="s">
        <v>539</v>
      </c>
      <c r="B229" s="7">
        <v>1</v>
      </c>
      <c r="C229" s="7"/>
      <c r="D229" s="207" t="s">
        <v>1049</v>
      </c>
      <c r="E229" s="7">
        <v>25</v>
      </c>
      <c r="F229" s="84" t="s">
        <v>783</v>
      </c>
      <c r="G229" s="75" t="str">
        <f>IFERROR(IF(VLOOKUP(TableHandbook[[#This Row],[UDC]],TableAvailabilities[],2,FALSE)&gt;0,"Y",""),"")</f>
        <v>Y</v>
      </c>
      <c r="H229" s="75" t="str">
        <f>IFERROR(IF(VLOOKUP(TableHandbook[[#This Row],[UDC]],TableAvailabilities[],3,FALSE)&gt;0,"Y",""),"")</f>
        <v>Y</v>
      </c>
      <c r="I229" s="75" t="str">
        <f>IFERROR(IF(VLOOKUP(TableHandbook[[#This Row],[UDC]],TableAvailabilities[],4,FALSE)&gt;0,"Y",""),"")</f>
        <v/>
      </c>
      <c r="J229" s="75" t="str">
        <f>IFERROR(IF(VLOOKUP(TableHandbook[[#This Row],[UDC]],TableAvailabilities[],5,FALSE)&gt;0,"Y",""),"")</f>
        <v/>
      </c>
      <c r="K229" s="75" t="str">
        <f>IFERROR(IF(VLOOKUP(TableHandbook[[#This Row],[UDC]],TableAvailabilities[],6,FALSE)&gt;0,"Y",""),"")</f>
        <v/>
      </c>
      <c r="L229" s="75" t="str">
        <f>IFERROR(IF(VLOOKUP(TableHandbook[[#This Row],[UDC]],TableAvailabilities[],7,FALSE)&gt;0,"Y",""),"")</f>
        <v/>
      </c>
      <c r="M229" s="207"/>
      <c r="N229" s="209" t="str">
        <f>IFERROR(VLOOKUP(TableHandbook[[#This Row],[UDC]],TableBEDUC[],7,FALSE),"")</f>
        <v/>
      </c>
      <c r="O229" s="209" t="str">
        <f>IFERROR(VLOOKUP(TableHandbook[[#This Row],[UDC]],TableBEDEC[],7,FALSE),"")</f>
        <v/>
      </c>
      <c r="P229" s="211" t="str">
        <f>IFERROR(VLOOKUP(TableHandbook[[#This Row],[UDC]],TableBEDPR[],7,FALSE),"")</f>
        <v/>
      </c>
      <c r="Q229" s="209" t="str">
        <f>IFERROR(VLOOKUP(TableHandbook[[#This Row],[UDC]],TableSTRUCATHL[],7,FALSE),"")</f>
        <v/>
      </c>
      <c r="R229" s="209" t="str">
        <f>IFERROR(VLOOKUP(TableHandbook[[#This Row],[UDC]],TableSTRUENGLL[],7,FALSE),"")</f>
        <v/>
      </c>
      <c r="S229" s="209" t="str">
        <f>IFERROR(VLOOKUP(TableHandbook[[#This Row],[UDC]],TableSTRUHLTPE[],7,FALSE),"")</f>
        <v/>
      </c>
      <c r="T229" s="209" t="str">
        <f>IFERROR(VLOOKUP(TableHandbook[[#This Row],[UDC]],TableSTRUISTEM[],7,FALSE),"")</f>
        <v/>
      </c>
      <c r="U229" s="209" t="str">
        <f>IFERROR(VLOOKUP(TableHandbook[[#This Row],[UDC]],TableSTRULITNU[],7,FALSE),"")</f>
        <v/>
      </c>
      <c r="V229" s="209" t="str">
        <f>IFERROR(VLOOKUP(TableHandbook[[#This Row],[UDC]],TableSTRUTECHS[],7,FALSE),"")</f>
        <v/>
      </c>
      <c r="W229" s="211" t="str">
        <f>IFERROR(VLOOKUP(TableHandbook[[#This Row],[UDC]],TableBEDSC[],7,FALSE),"")</f>
        <v/>
      </c>
      <c r="X229" s="211" t="str">
        <f>IFERROR(VLOOKUP(TableHandbook[[#This Row],[UDC]],TableMJRUARDR1[],7,FALSE),"")</f>
        <v/>
      </c>
      <c r="Y229" s="209" t="str">
        <f>IFERROR(VLOOKUP(TableHandbook[[#This Row],[UDC]],TableMJRUARME1[],7,FALSE),"")</f>
        <v/>
      </c>
      <c r="Z229" s="209" t="str">
        <f>IFERROR(VLOOKUP(TableHandbook[[#This Row],[UDC]],TableMJRUARVA1[],7,FALSE),"")</f>
        <v/>
      </c>
      <c r="AA229" s="209" t="str">
        <f>IFERROR(VLOOKUP(TableHandbook[[#This Row],[UDC]],TableMJRUENGL1[],7,FALSE),"")</f>
        <v>Core</v>
      </c>
      <c r="AB229" s="209" t="str">
        <f>IFERROR(VLOOKUP(TableHandbook[[#This Row],[UDC]],TableMJRUHSEC1[],7,FALSE),"")</f>
        <v/>
      </c>
      <c r="AC229" s="209" t="str">
        <f>IFERROR(VLOOKUP(TableHandbook[[#This Row],[UDC]],TableMJRUHSGE1[],7,FALSE),"")</f>
        <v/>
      </c>
      <c r="AD229" s="209" t="str">
        <f>IFERROR(VLOOKUP(TableHandbook[[#This Row],[UDC]],TableMJRUHSHI1[],7,FALSE),"")</f>
        <v/>
      </c>
      <c r="AE229" s="209" t="str">
        <f>IFERROR(VLOOKUP(TableHandbook[[#This Row],[UDC]],TableMJRUHSPL1[],7,FALSE),"")</f>
        <v/>
      </c>
      <c r="AF229" s="209" t="str">
        <f>IFERROR(VLOOKUP(TableHandbook[[#This Row],[UDC]],TableMJRUMATH1[],7,FALSE),"")</f>
        <v/>
      </c>
      <c r="AG229" s="209" t="str">
        <f>IFERROR(VLOOKUP(TableHandbook[[#This Row],[UDC]],TableMJRUPHYSE[],7,FALSE),"")</f>
        <v/>
      </c>
      <c r="AH229" s="209" t="str">
        <f>IFERROR(VLOOKUP(TableHandbook[[#This Row],[UDC]],TableMJRUSCBI1[],7,FALSE),"")</f>
        <v/>
      </c>
      <c r="AI229" s="209" t="str">
        <f>IFERROR(VLOOKUP(TableHandbook[[#This Row],[UDC]],TableMJRUSCCH1[],7,FALSE),"")</f>
        <v/>
      </c>
      <c r="AJ229" s="209" t="str">
        <f>IFERROR(VLOOKUP(TableHandbook[[#This Row],[UDC]],TableMJRUSCHB1[],7,FALSE),"")</f>
        <v/>
      </c>
      <c r="AK229" s="209" t="str">
        <f>IFERROR(VLOOKUP(TableHandbook[[#This Row],[UDC]],TableMJRUSCPH1[],7,FALSE),"")</f>
        <v/>
      </c>
      <c r="AL229" s="209" t="str">
        <f>IFERROR(VLOOKUP(TableHandbook[[#This Row],[UDC]],TableMJRUSCPS1[],7,FALSE),"")</f>
        <v/>
      </c>
      <c r="AM229" s="211" t="str">
        <f>IFERROR(VLOOKUP(TableHandbook[[#This Row],[UDC]],TableSTRUBIOLB[],7,FALSE),"")</f>
        <v/>
      </c>
      <c r="AN229" s="209" t="str">
        <f>IFERROR(VLOOKUP(TableHandbook[[#This Row],[UDC]],TableSTRUBSCIM[],7,FALSE),"")</f>
        <v/>
      </c>
      <c r="AO229" s="209" t="str">
        <f>IFERROR(VLOOKUP(TableHandbook[[#This Row],[UDC]],TableSTRUCHEMB[],7,FALSE),"")</f>
        <v/>
      </c>
      <c r="AP229" s="209" t="str">
        <f>IFERROR(VLOOKUP(TableHandbook[[#This Row],[UDC]],TableSTRUECOB1[],7,FALSE),"")</f>
        <v/>
      </c>
      <c r="AQ229" s="209" t="str">
        <f>IFERROR(VLOOKUP(TableHandbook[[#This Row],[UDC]],TableSTRUENGLB[],7,FALSE),"")</f>
        <v/>
      </c>
      <c r="AR229" s="209" t="str">
        <f>IFERROR(VLOOKUP(TableHandbook[[#This Row],[UDC]],TableSTRUENGLM[],7,FALSE),"")</f>
        <v/>
      </c>
      <c r="AS229" s="209" t="str">
        <f>IFERROR(VLOOKUP(TableHandbook[[#This Row],[UDC]],TableSTRUGEOB1[],7,FALSE),"")</f>
        <v/>
      </c>
      <c r="AT229" s="209" t="str">
        <f>IFERROR(VLOOKUP(TableHandbook[[#This Row],[UDC]],TableSTRUGEOGM[],7,FALSE),"")</f>
        <v/>
      </c>
      <c r="AU229" s="209" t="str">
        <f>IFERROR(VLOOKUP(TableHandbook[[#This Row],[UDC]],TableSTRUHISB1[],7,FALSE),"")</f>
        <v/>
      </c>
      <c r="AV229" s="209" t="str">
        <f>IFERROR(VLOOKUP(TableHandbook[[#This Row],[UDC]],TableSTRUHISTM[],7,FALSE),"")</f>
        <v/>
      </c>
      <c r="AW229" s="209" t="str">
        <f>IFERROR(VLOOKUP(TableHandbook[[#This Row],[UDC]],TableSTRUHPEB1[],7,FALSE),"")</f>
        <v/>
      </c>
      <c r="AX229" s="209" t="str">
        <f>IFERROR(VLOOKUP(TableHandbook[[#This Row],[UDC]],TableSTRUHUMBB[],7,FALSE),"")</f>
        <v/>
      </c>
      <c r="AY229" s="209" t="str">
        <f>IFERROR(VLOOKUP(TableHandbook[[#This Row],[UDC]],TableSTRUMARTM[],7,FALSE),"")</f>
        <v/>
      </c>
      <c r="AZ229" s="209" t="str">
        <f>IFERROR(VLOOKUP(TableHandbook[[#This Row],[UDC]],TableSTRUMATHB[],7,FALSE),"")</f>
        <v/>
      </c>
      <c r="BA229" s="209" t="str">
        <f>IFERROR(VLOOKUP(TableHandbook[[#This Row],[UDC]],TableSTRUMATHM[],7,FALSE),"")</f>
        <v/>
      </c>
      <c r="BB229" s="209" t="str">
        <f>IFERROR(VLOOKUP(TableHandbook[[#This Row],[UDC]],TableSTRUPARTB[],7,FALSE),"")</f>
        <v/>
      </c>
      <c r="BC229" s="209" t="str">
        <f>IFERROR(VLOOKUP(TableHandbook[[#This Row],[UDC]],TableSTRUPARTM[],7,FALSE),"")</f>
        <v/>
      </c>
      <c r="BD229" s="209" t="str">
        <f>IFERROR(VLOOKUP(TableHandbook[[#This Row],[UDC]],TableSTRUPOLB1[],7,FALSE),"")</f>
        <v/>
      </c>
      <c r="BE229" s="209" t="str">
        <f>IFERROR(VLOOKUP(TableHandbook[[#This Row],[UDC]],TableSTRUPSYCB[],7,FALSE),"")</f>
        <v/>
      </c>
      <c r="BF229" s="209" t="str">
        <f>IFERROR(VLOOKUP(TableHandbook[[#This Row],[UDC]],TableSTRUPSYCM[],7,FALSE),"")</f>
        <v/>
      </c>
      <c r="BG229" s="209" t="str">
        <f>IFERROR(VLOOKUP(TableHandbook[[#This Row],[UDC]],TableSTRUVARTB[],7,FALSE),"")</f>
        <v/>
      </c>
      <c r="BH229" s="209" t="str">
        <f>IFERROR(VLOOKUP(TableHandbook[[#This Row],[UDC]],TableSTRUVARTM[],7,FALSE),"")</f>
        <v/>
      </c>
    </row>
    <row r="230" spans="1:60" x14ac:dyDescent="0.25">
      <c r="A230" s="6" t="s">
        <v>524</v>
      </c>
      <c r="B230" s="7">
        <v>1</v>
      </c>
      <c r="C230" s="7"/>
      <c r="D230" s="207" t="s">
        <v>1050</v>
      </c>
      <c r="E230" s="7">
        <v>25</v>
      </c>
      <c r="F230" s="84" t="s">
        <v>783</v>
      </c>
      <c r="G230" s="75" t="str">
        <f>IFERROR(IF(VLOOKUP(TableHandbook[[#This Row],[UDC]],TableAvailabilities[],2,FALSE)&gt;0,"Y",""),"")</f>
        <v/>
      </c>
      <c r="H230" s="75" t="str">
        <f>IFERROR(IF(VLOOKUP(TableHandbook[[#This Row],[UDC]],TableAvailabilities[],3,FALSE)&gt;0,"Y",""),"")</f>
        <v/>
      </c>
      <c r="I230" s="75" t="str">
        <f>IFERROR(IF(VLOOKUP(TableHandbook[[#This Row],[UDC]],TableAvailabilities[],4,FALSE)&gt;0,"Y",""),"")</f>
        <v/>
      </c>
      <c r="J230" s="75" t="str">
        <f>IFERROR(IF(VLOOKUP(TableHandbook[[#This Row],[UDC]],TableAvailabilities[],5,FALSE)&gt;0,"Y",""),"")</f>
        <v>Y</v>
      </c>
      <c r="K230" s="75" t="str">
        <f>IFERROR(IF(VLOOKUP(TableHandbook[[#This Row],[UDC]],TableAvailabilities[],6,FALSE)&gt;0,"Y",""),"")</f>
        <v>Y</v>
      </c>
      <c r="L230" s="75" t="str">
        <f>IFERROR(IF(VLOOKUP(TableHandbook[[#This Row],[UDC]],TableAvailabilities[],7,FALSE)&gt;0,"Y",""),"")</f>
        <v/>
      </c>
      <c r="M230" s="207"/>
      <c r="N230" s="209" t="str">
        <f>IFERROR(VLOOKUP(TableHandbook[[#This Row],[UDC]],TableBEDUC[],7,FALSE),"")</f>
        <v/>
      </c>
      <c r="O230" s="209" t="str">
        <f>IFERROR(VLOOKUP(TableHandbook[[#This Row],[UDC]],TableBEDEC[],7,FALSE),"")</f>
        <v/>
      </c>
      <c r="P230" s="211" t="str">
        <f>IFERROR(VLOOKUP(TableHandbook[[#This Row],[UDC]],TableBEDPR[],7,FALSE),"")</f>
        <v/>
      </c>
      <c r="Q230" s="209" t="str">
        <f>IFERROR(VLOOKUP(TableHandbook[[#This Row],[UDC]],TableSTRUCATHL[],7,FALSE),"")</f>
        <v/>
      </c>
      <c r="R230" s="209" t="str">
        <f>IFERROR(VLOOKUP(TableHandbook[[#This Row],[UDC]],TableSTRUENGLL[],7,FALSE),"")</f>
        <v/>
      </c>
      <c r="S230" s="209" t="str">
        <f>IFERROR(VLOOKUP(TableHandbook[[#This Row],[UDC]],TableSTRUHLTPE[],7,FALSE),"")</f>
        <v/>
      </c>
      <c r="T230" s="209" t="str">
        <f>IFERROR(VLOOKUP(TableHandbook[[#This Row],[UDC]],TableSTRUISTEM[],7,FALSE),"")</f>
        <v/>
      </c>
      <c r="U230" s="209" t="str">
        <f>IFERROR(VLOOKUP(TableHandbook[[#This Row],[UDC]],TableSTRULITNU[],7,FALSE),"")</f>
        <v/>
      </c>
      <c r="V230" s="209" t="str">
        <f>IFERROR(VLOOKUP(TableHandbook[[#This Row],[UDC]],TableSTRUTECHS[],7,FALSE),"")</f>
        <v/>
      </c>
      <c r="W230" s="211" t="str">
        <f>IFERROR(VLOOKUP(TableHandbook[[#This Row],[UDC]],TableBEDSC[],7,FALSE),"")</f>
        <v/>
      </c>
      <c r="X230" s="211" t="str">
        <f>IFERROR(VLOOKUP(TableHandbook[[#This Row],[UDC]],TableMJRUARDR1[],7,FALSE),"")</f>
        <v/>
      </c>
      <c r="Y230" s="209" t="str">
        <f>IFERROR(VLOOKUP(TableHandbook[[#This Row],[UDC]],TableMJRUARME1[],7,FALSE),"")</f>
        <v/>
      </c>
      <c r="Z230" s="209" t="str">
        <f>IFERROR(VLOOKUP(TableHandbook[[#This Row],[UDC]],TableMJRUARVA1[],7,FALSE),"")</f>
        <v/>
      </c>
      <c r="AA230" s="209" t="str">
        <f>IFERROR(VLOOKUP(TableHandbook[[#This Row],[UDC]],TableMJRUENGL1[],7,FALSE),"")</f>
        <v>Core</v>
      </c>
      <c r="AB230" s="209" t="str">
        <f>IFERROR(VLOOKUP(TableHandbook[[#This Row],[UDC]],TableMJRUHSEC1[],7,FALSE),"")</f>
        <v/>
      </c>
      <c r="AC230" s="209" t="str">
        <f>IFERROR(VLOOKUP(TableHandbook[[#This Row],[UDC]],TableMJRUHSGE1[],7,FALSE),"")</f>
        <v/>
      </c>
      <c r="AD230" s="209" t="str">
        <f>IFERROR(VLOOKUP(TableHandbook[[#This Row],[UDC]],TableMJRUHSHI1[],7,FALSE),"")</f>
        <v/>
      </c>
      <c r="AE230" s="209" t="str">
        <f>IFERROR(VLOOKUP(TableHandbook[[#This Row],[UDC]],TableMJRUHSPL1[],7,FALSE),"")</f>
        <v/>
      </c>
      <c r="AF230" s="209" t="str">
        <f>IFERROR(VLOOKUP(TableHandbook[[#This Row],[UDC]],TableMJRUMATH1[],7,FALSE),"")</f>
        <v/>
      </c>
      <c r="AG230" s="209" t="str">
        <f>IFERROR(VLOOKUP(TableHandbook[[#This Row],[UDC]],TableMJRUPHYSE[],7,FALSE),"")</f>
        <v/>
      </c>
      <c r="AH230" s="209" t="str">
        <f>IFERROR(VLOOKUP(TableHandbook[[#This Row],[UDC]],TableMJRUSCBI1[],7,FALSE),"")</f>
        <v/>
      </c>
      <c r="AI230" s="209" t="str">
        <f>IFERROR(VLOOKUP(TableHandbook[[#This Row],[UDC]],TableMJRUSCCH1[],7,FALSE),"")</f>
        <v/>
      </c>
      <c r="AJ230" s="209" t="str">
        <f>IFERROR(VLOOKUP(TableHandbook[[#This Row],[UDC]],TableMJRUSCHB1[],7,FALSE),"")</f>
        <v/>
      </c>
      <c r="AK230" s="209" t="str">
        <f>IFERROR(VLOOKUP(TableHandbook[[#This Row],[UDC]],TableMJRUSCPH1[],7,FALSE),"")</f>
        <v/>
      </c>
      <c r="AL230" s="209" t="str">
        <f>IFERROR(VLOOKUP(TableHandbook[[#This Row],[UDC]],TableMJRUSCPS1[],7,FALSE),"")</f>
        <v/>
      </c>
      <c r="AM230" s="211" t="str">
        <f>IFERROR(VLOOKUP(TableHandbook[[#This Row],[UDC]],TableSTRUBIOLB[],7,FALSE),"")</f>
        <v/>
      </c>
      <c r="AN230" s="209" t="str">
        <f>IFERROR(VLOOKUP(TableHandbook[[#This Row],[UDC]],TableSTRUBSCIM[],7,FALSE),"")</f>
        <v/>
      </c>
      <c r="AO230" s="209" t="str">
        <f>IFERROR(VLOOKUP(TableHandbook[[#This Row],[UDC]],TableSTRUCHEMB[],7,FALSE),"")</f>
        <v/>
      </c>
      <c r="AP230" s="209" t="str">
        <f>IFERROR(VLOOKUP(TableHandbook[[#This Row],[UDC]],TableSTRUECOB1[],7,FALSE),"")</f>
        <v/>
      </c>
      <c r="AQ230" s="209" t="str">
        <f>IFERROR(VLOOKUP(TableHandbook[[#This Row],[UDC]],TableSTRUENGLB[],7,FALSE),"")</f>
        <v/>
      </c>
      <c r="AR230" s="209" t="str">
        <f>IFERROR(VLOOKUP(TableHandbook[[#This Row],[UDC]],TableSTRUENGLM[],7,FALSE),"")</f>
        <v/>
      </c>
      <c r="AS230" s="209" t="str">
        <f>IFERROR(VLOOKUP(TableHandbook[[#This Row],[UDC]],TableSTRUGEOB1[],7,FALSE),"")</f>
        <v/>
      </c>
      <c r="AT230" s="209" t="str">
        <f>IFERROR(VLOOKUP(TableHandbook[[#This Row],[UDC]],TableSTRUGEOGM[],7,FALSE),"")</f>
        <v/>
      </c>
      <c r="AU230" s="209" t="str">
        <f>IFERROR(VLOOKUP(TableHandbook[[#This Row],[UDC]],TableSTRUHISB1[],7,FALSE),"")</f>
        <v/>
      </c>
      <c r="AV230" s="209" t="str">
        <f>IFERROR(VLOOKUP(TableHandbook[[#This Row],[UDC]],TableSTRUHISTM[],7,FALSE),"")</f>
        <v/>
      </c>
      <c r="AW230" s="209" t="str">
        <f>IFERROR(VLOOKUP(TableHandbook[[#This Row],[UDC]],TableSTRUHPEB1[],7,FALSE),"")</f>
        <v/>
      </c>
      <c r="AX230" s="209" t="str">
        <f>IFERROR(VLOOKUP(TableHandbook[[#This Row],[UDC]],TableSTRUHUMBB[],7,FALSE),"")</f>
        <v/>
      </c>
      <c r="AY230" s="209" t="str">
        <f>IFERROR(VLOOKUP(TableHandbook[[#This Row],[UDC]],TableSTRUMARTM[],7,FALSE),"")</f>
        <v/>
      </c>
      <c r="AZ230" s="209" t="str">
        <f>IFERROR(VLOOKUP(TableHandbook[[#This Row],[UDC]],TableSTRUMATHB[],7,FALSE),"")</f>
        <v/>
      </c>
      <c r="BA230" s="209" t="str">
        <f>IFERROR(VLOOKUP(TableHandbook[[#This Row],[UDC]],TableSTRUMATHM[],7,FALSE),"")</f>
        <v/>
      </c>
      <c r="BB230" s="209" t="str">
        <f>IFERROR(VLOOKUP(TableHandbook[[#This Row],[UDC]],TableSTRUPARTB[],7,FALSE),"")</f>
        <v/>
      </c>
      <c r="BC230" s="209" t="str">
        <f>IFERROR(VLOOKUP(TableHandbook[[#This Row],[UDC]],TableSTRUPARTM[],7,FALSE),"")</f>
        <v/>
      </c>
      <c r="BD230" s="209" t="str">
        <f>IFERROR(VLOOKUP(TableHandbook[[#This Row],[UDC]],TableSTRUPOLB1[],7,FALSE),"")</f>
        <v/>
      </c>
      <c r="BE230" s="209" t="str">
        <f>IFERROR(VLOOKUP(TableHandbook[[#This Row],[UDC]],TableSTRUPSYCB[],7,FALSE),"")</f>
        <v/>
      </c>
      <c r="BF230" s="209" t="str">
        <f>IFERROR(VLOOKUP(TableHandbook[[#This Row],[UDC]],TableSTRUPSYCM[],7,FALSE),"")</f>
        <v/>
      </c>
      <c r="BG230" s="209" t="str">
        <f>IFERROR(VLOOKUP(TableHandbook[[#This Row],[UDC]],TableSTRUVARTB[],7,FALSE),"")</f>
        <v/>
      </c>
      <c r="BH230" s="209" t="str">
        <f>IFERROR(VLOOKUP(TableHandbook[[#This Row],[UDC]],TableSTRUVARTM[],7,FALSE),"")</f>
        <v/>
      </c>
    </row>
    <row r="231" spans="1:60" x14ac:dyDescent="0.25">
      <c r="A231" s="6" t="s">
        <v>588</v>
      </c>
      <c r="B231" s="7">
        <v>1</v>
      </c>
      <c r="C231" s="7"/>
      <c r="D231" s="207" t="s">
        <v>1051</v>
      </c>
      <c r="E231" s="7">
        <v>25</v>
      </c>
      <c r="F231" s="84" t="s">
        <v>783</v>
      </c>
      <c r="G231" s="75" t="str">
        <f>IFERROR(IF(VLOOKUP(TableHandbook[[#This Row],[UDC]],TableAvailabilities[],2,FALSE)&gt;0,"Y",""),"")</f>
        <v>Y</v>
      </c>
      <c r="H231" s="75" t="str">
        <f>IFERROR(IF(VLOOKUP(TableHandbook[[#This Row],[UDC]],TableAvailabilities[],3,FALSE)&gt;0,"Y",""),"")</f>
        <v/>
      </c>
      <c r="I231" s="75" t="str">
        <f>IFERROR(IF(VLOOKUP(TableHandbook[[#This Row],[UDC]],TableAvailabilities[],4,FALSE)&gt;0,"Y",""),"")</f>
        <v/>
      </c>
      <c r="J231" s="75" t="str">
        <f>IFERROR(IF(VLOOKUP(TableHandbook[[#This Row],[UDC]],TableAvailabilities[],5,FALSE)&gt;0,"Y",""),"")</f>
        <v>Y</v>
      </c>
      <c r="K231" s="75" t="str">
        <f>IFERROR(IF(VLOOKUP(TableHandbook[[#This Row],[UDC]],TableAvailabilities[],6,FALSE)&gt;0,"Y",""),"")</f>
        <v/>
      </c>
      <c r="L231" s="75" t="str">
        <f>IFERROR(IF(VLOOKUP(TableHandbook[[#This Row],[UDC]],TableAvailabilities[],7,FALSE)&gt;0,"Y",""),"")</f>
        <v/>
      </c>
      <c r="M231" s="207" t="s">
        <v>1052</v>
      </c>
      <c r="N231" s="209" t="str">
        <f>IFERROR(VLOOKUP(TableHandbook[[#This Row],[UDC]],TableBEDUC[],7,FALSE),"")</f>
        <v/>
      </c>
      <c r="O231" s="209" t="str">
        <f>IFERROR(VLOOKUP(TableHandbook[[#This Row],[UDC]],TableBEDEC[],7,FALSE),"")</f>
        <v/>
      </c>
      <c r="P231" s="211" t="str">
        <f>IFERROR(VLOOKUP(TableHandbook[[#This Row],[UDC]],TableBEDPR[],7,FALSE),"")</f>
        <v/>
      </c>
      <c r="Q231" s="209" t="str">
        <f>IFERROR(VLOOKUP(TableHandbook[[#This Row],[UDC]],TableSTRUCATHL[],7,FALSE),"")</f>
        <v/>
      </c>
      <c r="R231" s="209" t="str">
        <f>IFERROR(VLOOKUP(TableHandbook[[#This Row],[UDC]],TableSTRUENGLL[],7,FALSE),"")</f>
        <v/>
      </c>
      <c r="S231" s="209" t="str">
        <f>IFERROR(VLOOKUP(TableHandbook[[#This Row],[UDC]],TableSTRUHLTPE[],7,FALSE),"")</f>
        <v/>
      </c>
      <c r="T231" s="209" t="str">
        <f>IFERROR(VLOOKUP(TableHandbook[[#This Row],[UDC]],TableSTRUISTEM[],7,FALSE),"")</f>
        <v/>
      </c>
      <c r="U231" s="209" t="str">
        <f>IFERROR(VLOOKUP(TableHandbook[[#This Row],[UDC]],TableSTRULITNU[],7,FALSE),"")</f>
        <v/>
      </c>
      <c r="V231" s="209" t="str">
        <f>IFERROR(VLOOKUP(TableHandbook[[#This Row],[UDC]],TableSTRUTECHS[],7,FALSE),"")</f>
        <v/>
      </c>
      <c r="W231" s="211" t="str">
        <f>IFERROR(VLOOKUP(TableHandbook[[#This Row],[UDC]],TableBEDSC[],7,FALSE),"")</f>
        <v/>
      </c>
      <c r="X231" s="211" t="str">
        <f>IFERROR(VLOOKUP(TableHandbook[[#This Row],[UDC]],TableMJRUARDR1[],7,FALSE),"")</f>
        <v>Option</v>
      </c>
      <c r="Y231" s="209" t="str">
        <f>IFERROR(VLOOKUP(TableHandbook[[#This Row],[UDC]],TableMJRUARME1[],7,FALSE),"")</f>
        <v>Option</v>
      </c>
      <c r="Z231" s="209" t="str">
        <f>IFERROR(VLOOKUP(TableHandbook[[#This Row],[UDC]],TableMJRUARVA1[],7,FALSE),"")</f>
        <v>Option</v>
      </c>
      <c r="AA231" s="209" t="str">
        <f>IFERROR(VLOOKUP(TableHandbook[[#This Row],[UDC]],TableMJRUENGL1[],7,FALSE),"")</f>
        <v>Option</v>
      </c>
      <c r="AB231" s="209" t="str">
        <f>IFERROR(VLOOKUP(TableHandbook[[#This Row],[UDC]],TableMJRUHSEC1[],7,FALSE),"")</f>
        <v>Option</v>
      </c>
      <c r="AC231" s="209" t="str">
        <f>IFERROR(VLOOKUP(TableHandbook[[#This Row],[UDC]],TableMJRUHSGE1[],7,FALSE),"")</f>
        <v>Option</v>
      </c>
      <c r="AD231" s="209" t="str">
        <f>IFERROR(VLOOKUP(TableHandbook[[#This Row],[UDC]],TableMJRUHSHI1[],7,FALSE),"")</f>
        <v>Option</v>
      </c>
      <c r="AE231" s="209" t="str">
        <f>IFERROR(VLOOKUP(TableHandbook[[#This Row],[UDC]],TableMJRUHSPL1[],7,FALSE),"")</f>
        <v>Option</v>
      </c>
      <c r="AF231" s="209" t="str">
        <f>IFERROR(VLOOKUP(TableHandbook[[#This Row],[UDC]],TableMJRUMATH1[],7,FALSE),"")</f>
        <v/>
      </c>
      <c r="AG231" s="209" t="str">
        <f>IFERROR(VLOOKUP(TableHandbook[[#This Row],[UDC]],TableMJRUPHYSE[],7,FALSE),"")</f>
        <v/>
      </c>
      <c r="AH231" s="209" t="str">
        <f>IFERROR(VLOOKUP(TableHandbook[[#This Row],[UDC]],TableMJRUSCBI1[],7,FALSE),"")</f>
        <v>Option</v>
      </c>
      <c r="AI231" s="209" t="str">
        <f>IFERROR(VLOOKUP(TableHandbook[[#This Row],[UDC]],TableMJRUSCCH1[],7,FALSE),"")</f>
        <v>Option</v>
      </c>
      <c r="AJ231" s="209" t="str">
        <f>IFERROR(VLOOKUP(TableHandbook[[#This Row],[UDC]],TableMJRUSCHB1[],7,FALSE),"")</f>
        <v>Option</v>
      </c>
      <c r="AK231" s="209" t="str">
        <f>IFERROR(VLOOKUP(TableHandbook[[#This Row],[UDC]],TableMJRUSCPH1[],7,FALSE),"")</f>
        <v/>
      </c>
      <c r="AL231" s="209" t="str">
        <f>IFERROR(VLOOKUP(TableHandbook[[#This Row],[UDC]],TableMJRUSCPS1[],7,FALSE),"")</f>
        <v>Option</v>
      </c>
      <c r="AM231" s="211" t="str">
        <f>IFERROR(VLOOKUP(TableHandbook[[#This Row],[UDC]],TableSTRUBIOLB[],7,FALSE),"")</f>
        <v/>
      </c>
      <c r="AN231" s="209" t="str">
        <f>IFERROR(VLOOKUP(TableHandbook[[#This Row],[UDC]],TableSTRUBSCIM[],7,FALSE),"")</f>
        <v/>
      </c>
      <c r="AO231" s="209" t="str">
        <f>IFERROR(VLOOKUP(TableHandbook[[#This Row],[UDC]],TableSTRUCHEMB[],7,FALSE),"")</f>
        <v/>
      </c>
      <c r="AP231" s="209" t="str">
        <f>IFERROR(VLOOKUP(TableHandbook[[#This Row],[UDC]],TableSTRUECOB1[],7,FALSE),"")</f>
        <v/>
      </c>
      <c r="AQ231" s="209" t="str">
        <f>IFERROR(VLOOKUP(TableHandbook[[#This Row],[UDC]],TableSTRUENGLB[],7,FALSE),"")</f>
        <v/>
      </c>
      <c r="AR231" s="209" t="str">
        <f>IFERROR(VLOOKUP(TableHandbook[[#This Row],[UDC]],TableSTRUENGLM[],7,FALSE),"")</f>
        <v/>
      </c>
      <c r="AS231" s="209" t="str">
        <f>IFERROR(VLOOKUP(TableHandbook[[#This Row],[UDC]],TableSTRUGEOB1[],7,FALSE),"")</f>
        <v/>
      </c>
      <c r="AT231" s="209" t="str">
        <f>IFERROR(VLOOKUP(TableHandbook[[#This Row],[UDC]],TableSTRUGEOGM[],7,FALSE),"")</f>
        <v/>
      </c>
      <c r="AU231" s="209" t="str">
        <f>IFERROR(VLOOKUP(TableHandbook[[#This Row],[UDC]],TableSTRUHISB1[],7,FALSE),"")</f>
        <v/>
      </c>
      <c r="AV231" s="209" t="str">
        <f>IFERROR(VLOOKUP(TableHandbook[[#This Row],[UDC]],TableSTRUHISTM[],7,FALSE),"")</f>
        <v/>
      </c>
      <c r="AW231" s="209" t="str">
        <f>IFERROR(VLOOKUP(TableHandbook[[#This Row],[UDC]],TableSTRUHPEB1[],7,FALSE),"")</f>
        <v/>
      </c>
      <c r="AX231" s="209" t="str">
        <f>IFERROR(VLOOKUP(TableHandbook[[#This Row],[UDC]],TableSTRUHUMBB[],7,FALSE),"")</f>
        <v/>
      </c>
      <c r="AY231" s="209" t="str">
        <f>IFERROR(VLOOKUP(TableHandbook[[#This Row],[UDC]],TableSTRUMARTM[],7,FALSE),"")</f>
        <v/>
      </c>
      <c r="AZ231" s="209" t="str">
        <f>IFERROR(VLOOKUP(TableHandbook[[#This Row],[UDC]],TableSTRUMATHB[],7,FALSE),"")</f>
        <v/>
      </c>
      <c r="BA231" s="209" t="str">
        <f>IFERROR(VLOOKUP(TableHandbook[[#This Row],[UDC]],TableSTRUMATHM[],7,FALSE),"")</f>
        <v/>
      </c>
      <c r="BB231" s="209" t="str">
        <f>IFERROR(VLOOKUP(TableHandbook[[#This Row],[UDC]],TableSTRUPARTB[],7,FALSE),"")</f>
        <v/>
      </c>
      <c r="BC231" s="209" t="str">
        <f>IFERROR(VLOOKUP(TableHandbook[[#This Row],[UDC]],TableSTRUPARTM[],7,FALSE),"")</f>
        <v/>
      </c>
      <c r="BD231" s="209" t="str">
        <f>IFERROR(VLOOKUP(TableHandbook[[#This Row],[UDC]],TableSTRUPOLB1[],7,FALSE),"")</f>
        <v/>
      </c>
      <c r="BE231" s="209" t="str">
        <f>IFERROR(VLOOKUP(TableHandbook[[#This Row],[UDC]],TableSTRUPSYCB[],7,FALSE),"")</f>
        <v/>
      </c>
      <c r="BF231" s="209" t="str">
        <f>IFERROR(VLOOKUP(TableHandbook[[#This Row],[UDC]],TableSTRUPSYCM[],7,FALSE),"")</f>
        <v/>
      </c>
      <c r="BG231" s="209" t="str">
        <f>IFERROR(VLOOKUP(TableHandbook[[#This Row],[UDC]],TableSTRUVARTB[],7,FALSE),"")</f>
        <v/>
      </c>
      <c r="BH231" s="209" t="str">
        <f>IFERROR(VLOOKUP(TableHandbook[[#This Row],[UDC]],TableSTRUVARTM[],7,FALSE),"")</f>
        <v/>
      </c>
    </row>
    <row r="232" spans="1:60" x14ac:dyDescent="0.25">
      <c r="A232" s="6" t="s">
        <v>501</v>
      </c>
      <c r="B232" s="7">
        <v>1</v>
      </c>
      <c r="C232" s="7"/>
      <c r="D232" s="207" t="s">
        <v>1053</v>
      </c>
      <c r="E232" s="7">
        <v>25</v>
      </c>
      <c r="F232" s="84" t="s">
        <v>783</v>
      </c>
      <c r="G232" s="75" t="str">
        <f>IFERROR(IF(VLOOKUP(TableHandbook[[#This Row],[UDC]],TableAvailabilities[],2,FALSE)&gt;0,"Y",""),"")</f>
        <v>Y</v>
      </c>
      <c r="H232" s="75" t="str">
        <f>IFERROR(IF(VLOOKUP(TableHandbook[[#This Row],[UDC]],TableAvailabilities[],3,FALSE)&gt;0,"Y",""),"")</f>
        <v/>
      </c>
      <c r="I232" s="75" t="str">
        <f>IFERROR(IF(VLOOKUP(TableHandbook[[#This Row],[UDC]],TableAvailabilities[],4,FALSE)&gt;0,"Y",""),"")</f>
        <v/>
      </c>
      <c r="J232" s="75" t="str">
        <f>IFERROR(IF(VLOOKUP(TableHandbook[[#This Row],[UDC]],TableAvailabilities[],5,FALSE)&gt;0,"Y",""),"")</f>
        <v>Y</v>
      </c>
      <c r="K232" s="75" t="str">
        <f>IFERROR(IF(VLOOKUP(TableHandbook[[#This Row],[UDC]],TableAvailabilities[],6,FALSE)&gt;0,"Y",""),"")</f>
        <v/>
      </c>
      <c r="L232" s="75" t="str">
        <f>IFERROR(IF(VLOOKUP(TableHandbook[[#This Row],[UDC]],TableAvailabilities[],7,FALSE)&gt;0,"Y",""),"")</f>
        <v/>
      </c>
      <c r="M232" s="207"/>
      <c r="N232" s="209" t="str">
        <f>IFERROR(VLOOKUP(TableHandbook[[#This Row],[UDC]],TableBEDUC[],7,FALSE),"")</f>
        <v/>
      </c>
      <c r="O232" s="209" t="str">
        <f>IFERROR(VLOOKUP(TableHandbook[[#This Row],[UDC]],TableBEDEC[],7,FALSE),"")</f>
        <v/>
      </c>
      <c r="P232" s="211" t="str">
        <f>IFERROR(VLOOKUP(TableHandbook[[#This Row],[UDC]],TableBEDPR[],7,FALSE),"")</f>
        <v/>
      </c>
      <c r="Q232" s="209" t="str">
        <f>IFERROR(VLOOKUP(TableHandbook[[#This Row],[UDC]],TableSTRUCATHL[],7,FALSE),"")</f>
        <v/>
      </c>
      <c r="R232" s="209" t="str">
        <f>IFERROR(VLOOKUP(TableHandbook[[#This Row],[UDC]],TableSTRUENGLL[],7,FALSE),"")</f>
        <v/>
      </c>
      <c r="S232" s="209" t="str">
        <f>IFERROR(VLOOKUP(TableHandbook[[#This Row],[UDC]],TableSTRUHLTPE[],7,FALSE),"")</f>
        <v/>
      </c>
      <c r="T232" s="209" t="str">
        <f>IFERROR(VLOOKUP(TableHandbook[[#This Row],[UDC]],TableSTRUISTEM[],7,FALSE),"")</f>
        <v/>
      </c>
      <c r="U232" s="209" t="str">
        <f>IFERROR(VLOOKUP(TableHandbook[[#This Row],[UDC]],TableSTRULITNU[],7,FALSE),"")</f>
        <v/>
      </c>
      <c r="V232" s="209" t="str">
        <f>IFERROR(VLOOKUP(TableHandbook[[#This Row],[UDC]],TableSTRUTECHS[],7,FALSE),"")</f>
        <v/>
      </c>
      <c r="W232" s="211" t="str">
        <f>IFERROR(VLOOKUP(TableHandbook[[#This Row],[UDC]],TableBEDSC[],7,FALSE),"")</f>
        <v/>
      </c>
      <c r="X232" s="211" t="str">
        <f>IFERROR(VLOOKUP(TableHandbook[[#This Row],[UDC]],TableMJRUARDR1[],7,FALSE),"")</f>
        <v/>
      </c>
      <c r="Y232" s="209" t="str">
        <f>IFERROR(VLOOKUP(TableHandbook[[#This Row],[UDC]],TableMJRUARME1[],7,FALSE),"")</f>
        <v/>
      </c>
      <c r="Z232" s="209" t="str">
        <f>IFERROR(VLOOKUP(TableHandbook[[#This Row],[UDC]],TableMJRUARVA1[],7,FALSE),"")</f>
        <v/>
      </c>
      <c r="AA232" s="209" t="str">
        <f>IFERROR(VLOOKUP(TableHandbook[[#This Row],[UDC]],TableMJRUENGL1[],7,FALSE),"")</f>
        <v/>
      </c>
      <c r="AB232" s="209" t="str">
        <f>IFERROR(VLOOKUP(TableHandbook[[#This Row],[UDC]],TableMJRUHSEC1[],7,FALSE),"")</f>
        <v/>
      </c>
      <c r="AC232" s="209" t="str">
        <f>IFERROR(VLOOKUP(TableHandbook[[#This Row],[UDC]],TableMJRUHSGE1[],7,FALSE),"")</f>
        <v/>
      </c>
      <c r="AD232" s="209" t="str">
        <f>IFERROR(VLOOKUP(TableHandbook[[#This Row],[UDC]],TableMJRUHSHI1[],7,FALSE),"")</f>
        <v/>
      </c>
      <c r="AE232" s="209" t="str">
        <f>IFERROR(VLOOKUP(TableHandbook[[#This Row],[UDC]],TableMJRUHSPL1[],7,FALSE),"")</f>
        <v/>
      </c>
      <c r="AF232" s="209" t="str">
        <f>IFERROR(VLOOKUP(TableHandbook[[#This Row],[UDC]],TableMJRUMATH1[],7,FALSE),"")</f>
        <v>Core</v>
      </c>
      <c r="AG232" s="209" t="str">
        <f>IFERROR(VLOOKUP(TableHandbook[[#This Row],[UDC]],TableMJRUPHYSE[],7,FALSE),"")</f>
        <v/>
      </c>
      <c r="AH232" s="209" t="str">
        <f>IFERROR(VLOOKUP(TableHandbook[[#This Row],[UDC]],TableMJRUSCBI1[],7,FALSE),"")</f>
        <v/>
      </c>
      <c r="AI232" s="209" t="str">
        <f>IFERROR(VLOOKUP(TableHandbook[[#This Row],[UDC]],TableMJRUSCCH1[],7,FALSE),"")</f>
        <v/>
      </c>
      <c r="AJ232" s="209" t="str">
        <f>IFERROR(VLOOKUP(TableHandbook[[#This Row],[UDC]],TableMJRUSCHB1[],7,FALSE),"")</f>
        <v/>
      </c>
      <c r="AK232" s="209" t="str">
        <f>IFERROR(VLOOKUP(TableHandbook[[#This Row],[UDC]],TableMJRUSCPH1[],7,FALSE),"")</f>
        <v>Core</v>
      </c>
      <c r="AL232" s="209" t="str">
        <f>IFERROR(VLOOKUP(TableHandbook[[#This Row],[UDC]],TableMJRUSCPS1[],7,FALSE),"")</f>
        <v/>
      </c>
      <c r="AM232" s="211" t="str">
        <f>IFERROR(VLOOKUP(TableHandbook[[#This Row],[UDC]],TableSTRUBIOLB[],7,FALSE),"")</f>
        <v/>
      </c>
      <c r="AN232" s="209" t="str">
        <f>IFERROR(VLOOKUP(TableHandbook[[#This Row],[UDC]],TableSTRUBSCIM[],7,FALSE),"")</f>
        <v/>
      </c>
      <c r="AO232" s="209" t="str">
        <f>IFERROR(VLOOKUP(TableHandbook[[#This Row],[UDC]],TableSTRUCHEMB[],7,FALSE),"")</f>
        <v/>
      </c>
      <c r="AP232" s="209" t="str">
        <f>IFERROR(VLOOKUP(TableHandbook[[#This Row],[UDC]],TableSTRUECOB1[],7,FALSE),"")</f>
        <v/>
      </c>
      <c r="AQ232" s="209" t="str">
        <f>IFERROR(VLOOKUP(TableHandbook[[#This Row],[UDC]],TableSTRUENGLB[],7,FALSE),"")</f>
        <v/>
      </c>
      <c r="AR232" s="209" t="str">
        <f>IFERROR(VLOOKUP(TableHandbook[[#This Row],[UDC]],TableSTRUENGLM[],7,FALSE),"")</f>
        <v/>
      </c>
      <c r="AS232" s="209" t="str">
        <f>IFERROR(VLOOKUP(TableHandbook[[#This Row],[UDC]],TableSTRUGEOB1[],7,FALSE),"")</f>
        <v/>
      </c>
      <c r="AT232" s="209" t="str">
        <f>IFERROR(VLOOKUP(TableHandbook[[#This Row],[UDC]],TableSTRUGEOGM[],7,FALSE),"")</f>
        <v/>
      </c>
      <c r="AU232" s="209" t="str">
        <f>IFERROR(VLOOKUP(TableHandbook[[#This Row],[UDC]],TableSTRUHISB1[],7,FALSE),"")</f>
        <v/>
      </c>
      <c r="AV232" s="209" t="str">
        <f>IFERROR(VLOOKUP(TableHandbook[[#This Row],[UDC]],TableSTRUHISTM[],7,FALSE),"")</f>
        <v/>
      </c>
      <c r="AW232" s="209" t="str">
        <f>IFERROR(VLOOKUP(TableHandbook[[#This Row],[UDC]],TableSTRUHPEB1[],7,FALSE),"")</f>
        <v/>
      </c>
      <c r="AX232" s="209" t="str">
        <f>IFERROR(VLOOKUP(TableHandbook[[#This Row],[UDC]],TableSTRUHUMBB[],7,FALSE),"")</f>
        <v/>
      </c>
      <c r="AY232" s="209" t="str">
        <f>IFERROR(VLOOKUP(TableHandbook[[#This Row],[UDC]],TableSTRUMARTM[],7,FALSE),"")</f>
        <v/>
      </c>
      <c r="AZ232" s="209" t="str">
        <f>IFERROR(VLOOKUP(TableHandbook[[#This Row],[UDC]],TableSTRUMATHB[],7,FALSE),"")</f>
        <v/>
      </c>
      <c r="BA232" s="209" t="str">
        <f>IFERROR(VLOOKUP(TableHandbook[[#This Row],[UDC]],TableSTRUMATHM[],7,FALSE),"")</f>
        <v>Core</v>
      </c>
      <c r="BB232" s="209" t="str">
        <f>IFERROR(VLOOKUP(TableHandbook[[#This Row],[UDC]],TableSTRUPARTB[],7,FALSE),"")</f>
        <v/>
      </c>
      <c r="BC232" s="209" t="str">
        <f>IFERROR(VLOOKUP(TableHandbook[[#This Row],[UDC]],TableSTRUPARTM[],7,FALSE),"")</f>
        <v/>
      </c>
      <c r="BD232" s="209" t="str">
        <f>IFERROR(VLOOKUP(TableHandbook[[#This Row],[UDC]],TableSTRUPOLB1[],7,FALSE),"")</f>
        <v/>
      </c>
      <c r="BE232" s="209" t="str">
        <f>IFERROR(VLOOKUP(TableHandbook[[#This Row],[UDC]],TableSTRUPSYCB[],7,FALSE),"")</f>
        <v/>
      </c>
      <c r="BF232" s="209" t="str">
        <f>IFERROR(VLOOKUP(TableHandbook[[#This Row],[UDC]],TableSTRUPSYCM[],7,FALSE),"")</f>
        <v/>
      </c>
      <c r="BG232" s="209" t="str">
        <f>IFERROR(VLOOKUP(TableHandbook[[#This Row],[UDC]],TableSTRUVARTB[],7,FALSE),"")</f>
        <v/>
      </c>
      <c r="BH232" s="209" t="str">
        <f>IFERROR(VLOOKUP(TableHandbook[[#This Row],[UDC]],TableSTRUVARTM[],7,FALSE),"")</f>
        <v/>
      </c>
    </row>
    <row r="233" spans="1:60" x14ac:dyDescent="0.25">
      <c r="A233" s="6" t="s">
        <v>446</v>
      </c>
      <c r="B233" s="7">
        <v>1</v>
      </c>
      <c r="C233" s="7"/>
      <c r="D233" s="207" t="s">
        <v>1054</v>
      </c>
      <c r="E233" s="7">
        <v>25</v>
      </c>
      <c r="F233" s="84" t="s">
        <v>783</v>
      </c>
      <c r="G233" s="75" t="str">
        <f>IFERROR(IF(VLOOKUP(TableHandbook[[#This Row],[UDC]],TableAvailabilities[],2,FALSE)&gt;0,"Y",""),"")</f>
        <v>Y</v>
      </c>
      <c r="H233" s="75" t="str">
        <f>IFERROR(IF(VLOOKUP(TableHandbook[[#This Row],[UDC]],TableAvailabilities[],3,FALSE)&gt;0,"Y",""),"")</f>
        <v/>
      </c>
      <c r="I233" s="75" t="str">
        <f>IFERROR(IF(VLOOKUP(TableHandbook[[#This Row],[UDC]],TableAvailabilities[],4,FALSE)&gt;0,"Y",""),"")</f>
        <v/>
      </c>
      <c r="J233" s="75" t="str">
        <f>IFERROR(IF(VLOOKUP(TableHandbook[[#This Row],[UDC]],TableAvailabilities[],5,FALSE)&gt;0,"Y",""),"")</f>
        <v>Y</v>
      </c>
      <c r="K233" s="75" t="str">
        <f>IFERROR(IF(VLOOKUP(TableHandbook[[#This Row],[UDC]],TableAvailabilities[],6,FALSE)&gt;0,"Y",""),"")</f>
        <v/>
      </c>
      <c r="L233" s="75" t="str">
        <f>IFERROR(IF(VLOOKUP(TableHandbook[[#This Row],[UDC]],TableAvailabilities[],7,FALSE)&gt;0,"Y",""),"")</f>
        <v/>
      </c>
      <c r="M233" s="207"/>
      <c r="N233" s="209" t="str">
        <f>IFERROR(VLOOKUP(TableHandbook[[#This Row],[UDC]],TableBEDUC[],7,FALSE),"")</f>
        <v/>
      </c>
      <c r="O233" s="209" t="str">
        <f>IFERROR(VLOOKUP(TableHandbook[[#This Row],[UDC]],TableBEDEC[],7,FALSE),"")</f>
        <v/>
      </c>
      <c r="P233" s="211" t="str">
        <f>IFERROR(VLOOKUP(TableHandbook[[#This Row],[UDC]],TableBEDPR[],7,FALSE),"")</f>
        <v/>
      </c>
      <c r="Q233" s="209" t="str">
        <f>IFERROR(VLOOKUP(TableHandbook[[#This Row],[UDC]],TableSTRUCATHL[],7,FALSE),"")</f>
        <v/>
      </c>
      <c r="R233" s="209" t="str">
        <f>IFERROR(VLOOKUP(TableHandbook[[#This Row],[UDC]],TableSTRUENGLL[],7,FALSE),"")</f>
        <v/>
      </c>
      <c r="S233" s="209" t="str">
        <f>IFERROR(VLOOKUP(TableHandbook[[#This Row],[UDC]],TableSTRUHLTPE[],7,FALSE),"")</f>
        <v/>
      </c>
      <c r="T233" s="209" t="str">
        <f>IFERROR(VLOOKUP(TableHandbook[[#This Row],[UDC]],TableSTRUISTEM[],7,FALSE),"")</f>
        <v/>
      </c>
      <c r="U233" s="209" t="str">
        <f>IFERROR(VLOOKUP(TableHandbook[[#This Row],[UDC]],TableSTRULITNU[],7,FALSE),"")</f>
        <v/>
      </c>
      <c r="V233" s="209" t="str">
        <f>IFERROR(VLOOKUP(TableHandbook[[#This Row],[UDC]],TableSTRUTECHS[],7,FALSE),"")</f>
        <v/>
      </c>
      <c r="W233" s="211" t="str">
        <f>IFERROR(VLOOKUP(TableHandbook[[#This Row],[UDC]],TableBEDSC[],7,FALSE),"")</f>
        <v/>
      </c>
      <c r="X233" s="211" t="str">
        <f>IFERROR(VLOOKUP(TableHandbook[[#This Row],[UDC]],TableMJRUARDR1[],7,FALSE),"")</f>
        <v/>
      </c>
      <c r="Y233" s="209" t="str">
        <f>IFERROR(VLOOKUP(TableHandbook[[#This Row],[UDC]],TableMJRUARME1[],7,FALSE),"")</f>
        <v/>
      </c>
      <c r="Z233" s="209" t="str">
        <f>IFERROR(VLOOKUP(TableHandbook[[#This Row],[UDC]],TableMJRUARVA1[],7,FALSE),"")</f>
        <v/>
      </c>
      <c r="AA233" s="209" t="str">
        <f>IFERROR(VLOOKUP(TableHandbook[[#This Row],[UDC]],TableMJRUENGL1[],7,FALSE),"")</f>
        <v/>
      </c>
      <c r="AB233" s="209" t="str">
        <f>IFERROR(VLOOKUP(TableHandbook[[#This Row],[UDC]],TableMJRUHSEC1[],7,FALSE),"")</f>
        <v/>
      </c>
      <c r="AC233" s="209" t="str">
        <f>IFERROR(VLOOKUP(TableHandbook[[#This Row],[UDC]],TableMJRUHSGE1[],7,FALSE),"")</f>
        <v/>
      </c>
      <c r="AD233" s="209" t="str">
        <f>IFERROR(VLOOKUP(TableHandbook[[#This Row],[UDC]],TableMJRUHSHI1[],7,FALSE),"")</f>
        <v/>
      </c>
      <c r="AE233" s="209" t="str">
        <f>IFERROR(VLOOKUP(TableHandbook[[#This Row],[UDC]],TableMJRUHSPL1[],7,FALSE),"")</f>
        <v/>
      </c>
      <c r="AF233" s="209" t="str">
        <f>IFERROR(VLOOKUP(TableHandbook[[#This Row],[UDC]],TableMJRUMATH1[],7,FALSE),"")</f>
        <v>Core</v>
      </c>
      <c r="AG233" s="209" t="str">
        <f>IFERROR(VLOOKUP(TableHandbook[[#This Row],[UDC]],TableMJRUPHYSE[],7,FALSE),"")</f>
        <v/>
      </c>
      <c r="AH233" s="209" t="str">
        <f>IFERROR(VLOOKUP(TableHandbook[[#This Row],[UDC]],TableMJRUSCBI1[],7,FALSE),"")</f>
        <v/>
      </c>
      <c r="AI233" s="209" t="str">
        <f>IFERROR(VLOOKUP(TableHandbook[[#This Row],[UDC]],TableMJRUSCCH1[],7,FALSE),"")</f>
        <v/>
      </c>
      <c r="AJ233" s="209" t="str">
        <f>IFERROR(VLOOKUP(TableHandbook[[#This Row],[UDC]],TableMJRUSCHB1[],7,FALSE),"")</f>
        <v/>
      </c>
      <c r="AK233" s="209" t="str">
        <f>IFERROR(VLOOKUP(TableHandbook[[#This Row],[UDC]],TableMJRUSCPH1[],7,FALSE),"")</f>
        <v>Core</v>
      </c>
      <c r="AL233" s="209" t="str">
        <f>IFERROR(VLOOKUP(TableHandbook[[#This Row],[UDC]],TableMJRUSCPS1[],7,FALSE),"")</f>
        <v/>
      </c>
      <c r="AM233" s="211" t="str">
        <f>IFERROR(VLOOKUP(TableHandbook[[#This Row],[UDC]],TableSTRUBIOLB[],7,FALSE),"")</f>
        <v/>
      </c>
      <c r="AN233" s="209" t="str">
        <f>IFERROR(VLOOKUP(TableHandbook[[#This Row],[UDC]],TableSTRUBSCIM[],7,FALSE),"")</f>
        <v/>
      </c>
      <c r="AO233" s="209" t="str">
        <f>IFERROR(VLOOKUP(TableHandbook[[#This Row],[UDC]],TableSTRUCHEMB[],7,FALSE),"")</f>
        <v/>
      </c>
      <c r="AP233" s="209" t="str">
        <f>IFERROR(VLOOKUP(TableHandbook[[#This Row],[UDC]],TableSTRUECOB1[],7,FALSE),"")</f>
        <v/>
      </c>
      <c r="AQ233" s="209" t="str">
        <f>IFERROR(VLOOKUP(TableHandbook[[#This Row],[UDC]],TableSTRUENGLB[],7,FALSE),"")</f>
        <v/>
      </c>
      <c r="AR233" s="209" t="str">
        <f>IFERROR(VLOOKUP(TableHandbook[[#This Row],[UDC]],TableSTRUENGLM[],7,FALSE),"")</f>
        <v/>
      </c>
      <c r="AS233" s="209" t="str">
        <f>IFERROR(VLOOKUP(TableHandbook[[#This Row],[UDC]],TableSTRUGEOB1[],7,FALSE),"")</f>
        <v/>
      </c>
      <c r="AT233" s="209" t="str">
        <f>IFERROR(VLOOKUP(TableHandbook[[#This Row],[UDC]],TableSTRUGEOGM[],7,FALSE),"")</f>
        <v/>
      </c>
      <c r="AU233" s="209" t="str">
        <f>IFERROR(VLOOKUP(TableHandbook[[#This Row],[UDC]],TableSTRUHISB1[],7,FALSE),"")</f>
        <v/>
      </c>
      <c r="AV233" s="209" t="str">
        <f>IFERROR(VLOOKUP(TableHandbook[[#This Row],[UDC]],TableSTRUHISTM[],7,FALSE),"")</f>
        <v/>
      </c>
      <c r="AW233" s="209" t="str">
        <f>IFERROR(VLOOKUP(TableHandbook[[#This Row],[UDC]],TableSTRUHPEB1[],7,FALSE),"")</f>
        <v/>
      </c>
      <c r="AX233" s="209" t="str">
        <f>IFERROR(VLOOKUP(TableHandbook[[#This Row],[UDC]],TableSTRUHUMBB[],7,FALSE),"")</f>
        <v/>
      </c>
      <c r="AY233" s="209" t="str">
        <f>IFERROR(VLOOKUP(TableHandbook[[#This Row],[UDC]],TableSTRUMARTM[],7,FALSE),"")</f>
        <v/>
      </c>
      <c r="AZ233" s="209" t="str">
        <f>IFERROR(VLOOKUP(TableHandbook[[#This Row],[UDC]],TableSTRUMATHB[],7,FALSE),"")</f>
        <v/>
      </c>
      <c r="BA233" s="209" t="str">
        <f>IFERROR(VLOOKUP(TableHandbook[[#This Row],[UDC]],TableSTRUMATHM[],7,FALSE),"")</f>
        <v>Core</v>
      </c>
      <c r="BB233" s="209" t="str">
        <f>IFERROR(VLOOKUP(TableHandbook[[#This Row],[UDC]],TableSTRUPARTB[],7,FALSE),"")</f>
        <v/>
      </c>
      <c r="BC233" s="209" t="str">
        <f>IFERROR(VLOOKUP(TableHandbook[[#This Row],[UDC]],TableSTRUPARTM[],7,FALSE),"")</f>
        <v/>
      </c>
      <c r="BD233" s="209" t="str">
        <f>IFERROR(VLOOKUP(TableHandbook[[#This Row],[UDC]],TableSTRUPOLB1[],7,FALSE),"")</f>
        <v/>
      </c>
      <c r="BE233" s="209" t="str">
        <f>IFERROR(VLOOKUP(TableHandbook[[#This Row],[UDC]],TableSTRUPSYCB[],7,FALSE),"")</f>
        <v/>
      </c>
      <c r="BF233" s="209" t="str">
        <f>IFERROR(VLOOKUP(TableHandbook[[#This Row],[UDC]],TableSTRUPSYCM[],7,FALSE),"")</f>
        <v/>
      </c>
      <c r="BG233" s="209" t="str">
        <f>IFERROR(VLOOKUP(TableHandbook[[#This Row],[UDC]],TableSTRUVARTB[],7,FALSE),"")</f>
        <v/>
      </c>
      <c r="BH233" s="209" t="str">
        <f>IFERROR(VLOOKUP(TableHandbook[[#This Row],[UDC]],TableSTRUVARTM[],7,FALSE),"")</f>
        <v/>
      </c>
    </row>
    <row r="234" spans="1:60" x14ac:dyDescent="0.25">
      <c r="A234" s="6" t="s">
        <v>748</v>
      </c>
      <c r="B234" s="7">
        <v>1</v>
      </c>
      <c r="C234" s="7"/>
      <c r="D234" s="207" t="s">
        <v>1055</v>
      </c>
      <c r="E234" s="7">
        <v>25</v>
      </c>
      <c r="F234" s="84" t="s">
        <v>783</v>
      </c>
      <c r="G234" s="75" t="str">
        <f>IFERROR(IF(VLOOKUP(TableHandbook[[#This Row],[UDC]],TableAvailabilities[],2,FALSE)&gt;0,"Y",""),"")</f>
        <v/>
      </c>
      <c r="H234" s="75" t="str">
        <f>IFERROR(IF(VLOOKUP(TableHandbook[[#This Row],[UDC]],TableAvailabilities[],3,FALSE)&gt;0,"Y",""),"")</f>
        <v/>
      </c>
      <c r="I234" s="75" t="str">
        <f>IFERROR(IF(VLOOKUP(TableHandbook[[#This Row],[UDC]],TableAvailabilities[],4,FALSE)&gt;0,"Y",""),"")</f>
        <v/>
      </c>
      <c r="J234" s="75" t="str">
        <f>IFERROR(IF(VLOOKUP(TableHandbook[[#This Row],[UDC]],TableAvailabilities[],5,FALSE)&gt;0,"Y",""),"")</f>
        <v>Y</v>
      </c>
      <c r="K234" s="75" t="str">
        <f>IFERROR(IF(VLOOKUP(TableHandbook[[#This Row],[UDC]],TableAvailabilities[],6,FALSE)&gt;0,"Y",""),"")</f>
        <v/>
      </c>
      <c r="L234" s="75" t="str">
        <f>IFERROR(IF(VLOOKUP(TableHandbook[[#This Row],[UDC]],TableAvailabilities[],7,FALSE)&gt;0,"Y",""),"")</f>
        <v/>
      </c>
      <c r="M234" s="207"/>
      <c r="N234" s="209" t="str">
        <f>IFERROR(VLOOKUP(TableHandbook[[#This Row],[UDC]],TableBEDUC[],7,FALSE),"")</f>
        <v/>
      </c>
      <c r="O234" s="209" t="str">
        <f>IFERROR(VLOOKUP(TableHandbook[[#This Row],[UDC]],TableBEDEC[],7,FALSE),"")</f>
        <v/>
      </c>
      <c r="P234" s="211" t="str">
        <f>IFERROR(VLOOKUP(TableHandbook[[#This Row],[UDC]],TableBEDPR[],7,FALSE),"")</f>
        <v/>
      </c>
      <c r="Q234" s="209" t="str">
        <f>IFERROR(VLOOKUP(TableHandbook[[#This Row],[UDC]],TableSTRUCATHL[],7,FALSE),"")</f>
        <v/>
      </c>
      <c r="R234" s="209" t="str">
        <f>IFERROR(VLOOKUP(TableHandbook[[#This Row],[UDC]],TableSTRUENGLL[],7,FALSE),"")</f>
        <v/>
      </c>
      <c r="S234" s="209" t="str">
        <f>IFERROR(VLOOKUP(TableHandbook[[#This Row],[UDC]],TableSTRUHLTPE[],7,FALSE),"")</f>
        <v/>
      </c>
      <c r="T234" s="209" t="str">
        <f>IFERROR(VLOOKUP(TableHandbook[[#This Row],[UDC]],TableSTRUISTEM[],7,FALSE),"")</f>
        <v/>
      </c>
      <c r="U234" s="209" t="str">
        <f>IFERROR(VLOOKUP(TableHandbook[[#This Row],[UDC]],TableSTRULITNU[],7,FALSE),"")</f>
        <v/>
      </c>
      <c r="V234" s="209" t="str">
        <f>IFERROR(VLOOKUP(TableHandbook[[#This Row],[UDC]],TableSTRUTECHS[],7,FALSE),"")</f>
        <v/>
      </c>
      <c r="W234" s="211" t="str">
        <f>IFERROR(VLOOKUP(TableHandbook[[#This Row],[UDC]],TableBEDSC[],7,FALSE),"")</f>
        <v/>
      </c>
      <c r="X234" s="211" t="str">
        <f>IFERROR(VLOOKUP(TableHandbook[[#This Row],[UDC]],TableMJRUARDR1[],7,FALSE),"")</f>
        <v/>
      </c>
      <c r="Y234" s="209" t="str">
        <f>IFERROR(VLOOKUP(TableHandbook[[#This Row],[UDC]],TableMJRUARME1[],7,FALSE),"")</f>
        <v/>
      </c>
      <c r="Z234" s="209" t="str">
        <f>IFERROR(VLOOKUP(TableHandbook[[#This Row],[UDC]],TableMJRUARVA1[],7,FALSE),"")</f>
        <v/>
      </c>
      <c r="AA234" s="209" t="str">
        <f>IFERROR(VLOOKUP(TableHandbook[[#This Row],[UDC]],TableMJRUENGL1[],7,FALSE),"")</f>
        <v/>
      </c>
      <c r="AB234" s="209" t="str">
        <f>IFERROR(VLOOKUP(TableHandbook[[#This Row],[UDC]],TableMJRUHSEC1[],7,FALSE),"")</f>
        <v/>
      </c>
      <c r="AC234" s="209" t="str">
        <f>IFERROR(VLOOKUP(TableHandbook[[#This Row],[UDC]],TableMJRUHSGE1[],7,FALSE),"")</f>
        <v/>
      </c>
      <c r="AD234" s="209" t="str">
        <f>IFERROR(VLOOKUP(TableHandbook[[#This Row],[UDC]],TableMJRUHSHI1[],7,FALSE),"")</f>
        <v/>
      </c>
      <c r="AE234" s="209" t="str">
        <f>IFERROR(VLOOKUP(TableHandbook[[#This Row],[UDC]],TableMJRUHSPL1[],7,FALSE),"")</f>
        <v/>
      </c>
      <c r="AF234" s="209" t="str">
        <f>IFERROR(VLOOKUP(TableHandbook[[#This Row],[UDC]],TableMJRUMATH1[],7,FALSE),"")</f>
        <v/>
      </c>
      <c r="AG234" s="209" t="str">
        <f>IFERROR(VLOOKUP(TableHandbook[[#This Row],[UDC]],TableMJRUPHYSE[],7,FALSE),"")</f>
        <v/>
      </c>
      <c r="AH234" s="209" t="str">
        <f>IFERROR(VLOOKUP(TableHandbook[[#This Row],[UDC]],TableMJRUSCBI1[],7,FALSE),"")</f>
        <v/>
      </c>
      <c r="AI234" s="209" t="str">
        <f>IFERROR(VLOOKUP(TableHandbook[[#This Row],[UDC]],TableMJRUSCCH1[],7,FALSE),"")</f>
        <v/>
      </c>
      <c r="AJ234" s="209" t="str">
        <f>IFERROR(VLOOKUP(TableHandbook[[#This Row],[UDC]],TableMJRUSCHB1[],7,FALSE),"")</f>
        <v/>
      </c>
      <c r="AK234" s="209" t="str">
        <f>IFERROR(VLOOKUP(TableHandbook[[#This Row],[UDC]],TableMJRUSCPH1[],7,FALSE),"")</f>
        <v/>
      </c>
      <c r="AL234" s="209" t="str">
        <f>IFERROR(VLOOKUP(TableHandbook[[#This Row],[UDC]],TableMJRUSCPS1[],7,FALSE),"")</f>
        <v/>
      </c>
      <c r="AM234" s="211" t="str">
        <f>IFERROR(VLOOKUP(TableHandbook[[#This Row],[UDC]],TableSTRUBIOLB[],7,FALSE),"")</f>
        <v/>
      </c>
      <c r="AN234" s="209" t="str">
        <f>IFERROR(VLOOKUP(TableHandbook[[#This Row],[UDC]],TableSTRUBSCIM[],7,FALSE),"")</f>
        <v/>
      </c>
      <c r="AO234" s="209" t="str">
        <f>IFERROR(VLOOKUP(TableHandbook[[#This Row],[UDC]],TableSTRUCHEMB[],7,FALSE),"")</f>
        <v/>
      </c>
      <c r="AP234" s="209" t="str">
        <f>IFERROR(VLOOKUP(TableHandbook[[#This Row],[UDC]],TableSTRUECOB1[],7,FALSE),"")</f>
        <v/>
      </c>
      <c r="AQ234" s="209" t="str">
        <f>IFERROR(VLOOKUP(TableHandbook[[#This Row],[UDC]],TableSTRUENGLB[],7,FALSE),"")</f>
        <v/>
      </c>
      <c r="AR234" s="209" t="str">
        <f>IFERROR(VLOOKUP(TableHandbook[[#This Row],[UDC]],TableSTRUENGLM[],7,FALSE),"")</f>
        <v/>
      </c>
      <c r="AS234" s="209" t="str">
        <f>IFERROR(VLOOKUP(TableHandbook[[#This Row],[UDC]],TableSTRUGEOB1[],7,FALSE),"")</f>
        <v/>
      </c>
      <c r="AT234" s="209" t="str">
        <f>IFERROR(VLOOKUP(TableHandbook[[#This Row],[UDC]],TableSTRUGEOGM[],7,FALSE),"")</f>
        <v/>
      </c>
      <c r="AU234" s="209" t="str">
        <f>IFERROR(VLOOKUP(TableHandbook[[#This Row],[UDC]],TableSTRUHISB1[],7,FALSE),"")</f>
        <v/>
      </c>
      <c r="AV234" s="209" t="str">
        <f>IFERROR(VLOOKUP(TableHandbook[[#This Row],[UDC]],TableSTRUHISTM[],7,FALSE),"")</f>
        <v/>
      </c>
      <c r="AW234" s="209" t="str">
        <f>IFERROR(VLOOKUP(TableHandbook[[#This Row],[UDC]],TableSTRUHPEB1[],7,FALSE),"")</f>
        <v/>
      </c>
      <c r="AX234" s="209" t="str">
        <f>IFERROR(VLOOKUP(TableHandbook[[#This Row],[UDC]],TableSTRUHUMBB[],7,FALSE),"")</f>
        <v/>
      </c>
      <c r="AY234" s="209" t="str">
        <f>IFERROR(VLOOKUP(TableHandbook[[#This Row],[UDC]],TableSTRUMARTM[],7,FALSE),"")</f>
        <v/>
      </c>
      <c r="AZ234" s="209" t="str">
        <f>IFERROR(VLOOKUP(TableHandbook[[#This Row],[UDC]],TableSTRUMATHB[],7,FALSE),"")</f>
        <v/>
      </c>
      <c r="BA234" s="209" t="str">
        <f>IFERROR(VLOOKUP(TableHandbook[[#This Row],[UDC]],TableSTRUMATHM[],7,FALSE),"")</f>
        <v>AltCore</v>
      </c>
      <c r="BB234" s="209" t="str">
        <f>IFERROR(VLOOKUP(TableHandbook[[#This Row],[UDC]],TableSTRUPARTB[],7,FALSE),"")</f>
        <v/>
      </c>
      <c r="BC234" s="209" t="str">
        <f>IFERROR(VLOOKUP(TableHandbook[[#This Row],[UDC]],TableSTRUPARTM[],7,FALSE),"")</f>
        <v/>
      </c>
      <c r="BD234" s="209" t="str">
        <f>IFERROR(VLOOKUP(TableHandbook[[#This Row],[UDC]],TableSTRUPOLB1[],7,FALSE),"")</f>
        <v/>
      </c>
      <c r="BE234" s="209" t="str">
        <f>IFERROR(VLOOKUP(TableHandbook[[#This Row],[UDC]],TableSTRUPSYCB[],7,FALSE),"")</f>
        <v/>
      </c>
      <c r="BF234" s="209" t="str">
        <f>IFERROR(VLOOKUP(TableHandbook[[#This Row],[UDC]],TableSTRUPSYCM[],7,FALSE),"")</f>
        <v/>
      </c>
      <c r="BG234" s="209" t="str">
        <f>IFERROR(VLOOKUP(TableHandbook[[#This Row],[UDC]],TableSTRUVARTB[],7,FALSE),"")</f>
        <v/>
      </c>
      <c r="BH234" s="209" t="str">
        <f>IFERROR(VLOOKUP(TableHandbook[[#This Row],[UDC]],TableSTRUVARTM[],7,FALSE),"")</f>
        <v/>
      </c>
    </row>
    <row r="235" spans="1:60" x14ac:dyDescent="0.25">
      <c r="A235" s="6" t="s">
        <v>571</v>
      </c>
      <c r="B235" s="7">
        <v>2</v>
      </c>
      <c r="C235" s="7"/>
      <c r="D235" s="207" t="s">
        <v>1056</v>
      </c>
      <c r="E235" s="7">
        <v>25</v>
      </c>
      <c r="F235" s="311" t="s">
        <v>446</v>
      </c>
      <c r="G235" s="75" t="str">
        <f>IFERROR(IF(VLOOKUP(TableHandbook[[#This Row],[UDC]],TableAvailabilities[],2,FALSE)&gt;0,"Y",""),"")</f>
        <v>Y</v>
      </c>
      <c r="H235" s="75" t="str">
        <f>IFERROR(IF(VLOOKUP(TableHandbook[[#This Row],[UDC]],TableAvailabilities[],3,FALSE)&gt;0,"Y",""),"")</f>
        <v/>
      </c>
      <c r="I235" s="75" t="str">
        <f>IFERROR(IF(VLOOKUP(TableHandbook[[#This Row],[UDC]],TableAvailabilities[],4,FALSE)&gt;0,"Y",""),"")</f>
        <v/>
      </c>
      <c r="J235" s="75" t="str">
        <f>IFERROR(IF(VLOOKUP(TableHandbook[[#This Row],[UDC]],TableAvailabilities[],5,FALSE)&gt;0,"Y",""),"")</f>
        <v/>
      </c>
      <c r="K235" s="75" t="str">
        <f>IFERROR(IF(VLOOKUP(TableHandbook[[#This Row],[UDC]],TableAvailabilities[],6,FALSE)&gt;0,"Y",""),"")</f>
        <v/>
      </c>
      <c r="L235" s="75" t="str">
        <f>IFERROR(IF(VLOOKUP(TableHandbook[[#This Row],[UDC]],TableAvailabilities[],7,FALSE)&gt;0,"Y",""),"")</f>
        <v/>
      </c>
      <c r="M235" s="207"/>
      <c r="N235" s="209" t="str">
        <f>IFERROR(VLOOKUP(TableHandbook[[#This Row],[UDC]],TableBEDUC[],7,FALSE),"")</f>
        <v/>
      </c>
      <c r="O235" s="209" t="str">
        <f>IFERROR(VLOOKUP(TableHandbook[[#This Row],[UDC]],TableBEDEC[],7,FALSE),"")</f>
        <v/>
      </c>
      <c r="P235" s="211" t="str">
        <f>IFERROR(VLOOKUP(TableHandbook[[#This Row],[UDC]],TableBEDPR[],7,FALSE),"")</f>
        <v/>
      </c>
      <c r="Q235" s="209" t="str">
        <f>IFERROR(VLOOKUP(TableHandbook[[#This Row],[UDC]],TableSTRUCATHL[],7,FALSE),"")</f>
        <v/>
      </c>
      <c r="R235" s="209" t="str">
        <f>IFERROR(VLOOKUP(TableHandbook[[#This Row],[UDC]],TableSTRUENGLL[],7,FALSE),"")</f>
        <v/>
      </c>
      <c r="S235" s="209" t="str">
        <f>IFERROR(VLOOKUP(TableHandbook[[#This Row],[UDC]],TableSTRUHLTPE[],7,FALSE),"")</f>
        <v/>
      </c>
      <c r="T235" s="209" t="str">
        <f>IFERROR(VLOOKUP(TableHandbook[[#This Row],[UDC]],TableSTRUISTEM[],7,FALSE),"")</f>
        <v/>
      </c>
      <c r="U235" s="209" t="str">
        <f>IFERROR(VLOOKUP(TableHandbook[[#This Row],[UDC]],TableSTRULITNU[],7,FALSE),"")</f>
        <v/>
      </c>
      <c r="V235" s="209" t="str">
        <f>IFERROR(VLOOKUP(TableHandbook[[#This Row],[UDC]],TableSTRUTECHS[],7,FALSE),"")</f>
        <v/>
      </c>
      <c r="W235" s="211" t="str">
        <f>IFERROR(VLOOKUP(TableHandbook[[#This Row],[UDC]],TableBEDSC[],7,FALSE),"")</f>
        <v/>
      </c>
      <c r="X235" s="211" t="str">
        <f>IFERROR(VLOOKUP(TableHandbook[[#This Row],[UDC]],TableMJRUARDR1[],7,FALSE),"")</f>
        <v/>
      </c>
      <c r="Y235" s="209" t="str">
        <f>IFERROR(VLOOKUP(TableHandbook[[#This Row],[UDC]],TableMJRUARME1[],7,FALSE),"")</f>
        <v/>
      </c>
      <c r="Z235" s="209" t="str">
        <f>IFERROR(VLOOKUP(TableHandbook[[#This Row],[UDC]],TableMJRUARVA1[],7,FALSE),"")</f>
        <v/>
      </c>
      <c r="AA235" s="209" t="str">
        <f>IFERROR(VLOOKUP(TableHandbook[[#This Row],[UDC]],TableMJRUENGL1[],7,FALSE),"")</f>
        <v/>
      </c>
      <c r="AB235" s="209" t="str">
        <f>IFERROR(VLOOKUP(TableHandbook[[#This Row],[UDC]],TableMJRUHSEC1[],7,FALSE),"")</f>
        <v/>
      </c>
      <c r="AC235" s="209" t="str">
        <f>IFERROR(VLOOKUP(TableHandbook[[#This Row],[UDC]],TableMJRUHSGE1[],7,FALSE),"")</f>
        <v/>
      </c>
      <c r="AD235" s="209" t="str">
        <f>IFERROR(VLOOKUP(TableHandbook[[#This Row],[UDC]],TableMJRUHSHI1[],7,FALSE),"")</f>
        <v/>
      </c>
      <c r="AE235" s="209" t="str">
        <f>IFERROR(VLOOKUP(TableHandbook[[#This Row],[UDC]],TableMJRUHSPL1[],7,FALSE),"")</f>
        <v/>
      </c>
      <c r="AF235" s="209" t="str">
        <f>IFERROR(VLOOKUP(TableHandbook[[#This Row],[UDC]],TableMJRUMATH1[],7,FALSE),"")</f>
        <v>AltCore</v>
      </c>
      <c r="AG235" s="209" t="str">
        <f>IFERROR(VLOOKUP(TableHandbook[[#This Row],[UDC]],TableMJRUPHYSE[],7,FALSE),"")</f>
        <v/>
      </c>
      <c r="AH235" s="209" t="str">
        <f>IFERROR(VLOOKUP(TableHandbook[[#This Row],[UDC]],TableMJRUSCBI1[],7,FALSE),"")</f>
        <v/>
      </c>
      <c r="AI235" s="209" t="str">
        <f>IFERROR(VLOOKUP(TableHandbook[[#This Row],[UDC]],TableMJRUSCCH1[],7,FALSE),"")</f>
        <v/>
      </c>
      <c r="AJ235" s="209" t="str">
        <f>IFERROR(VLOOKUP(TableHandbook[[#This Row],[UDC]],TableMJRUSCHB1[],7,FALSE),"")</f>
        <v/>
      </c>
      <c r="AK235" s="209" t="str">
        <f>IFERROR(VLOOKUP(TableHandbook[[#This Row],[UDC]],TableMJRUSCPH1[],7,FALSE),"")</f>
        <v/>
      </c>
      <c r="AL235" s="209" t="str">
        <f>IFERROR(VLOOKUP(TableHandbook[[#This Row],[UDC]],TableMJRUSCPS1[],7,FALSE),"")</f>
        <v/>
      </c>
      <c r="AM235" s="211" t="str">
        <f>IFERROR(VLOOKUP(TableHandbook[[#This Row],[UDC]],TableSTRUBIOLB[],7,FALSE),"")</f>
        <v/>
      </c>
      <c r="AN235" s="209" t="str">
        <f>IFERROR(VLOOKUP(TableHandbook[[#This Row],[UDC]],TableSTRUBSCIM[],7,FALSE),"")</f>
        <v/>
      </c>
      <c r="AO235" s="209" t="str">
        <f>IFERROR(VLOOKUP(TableHandbook[[#This Row],[UDC]],TableSTRUCHEMB[],7,FALSE),"")</f>
        <v/>
      </c>
      <c r="AP235" s="209" t="str">
        <f>IFERROR(VLOOKUP(TableHandbook[[#This Row],[UDC]],TableSTRUECOB1[],7,FALSE),"")</f>
        <v/>
      </c>
      <c r="AQ235" s="209" t="str">
        <f>IFERROR(VLOOKUP(TableHandbook[[#This Row],[UDC]],TableSTRUENGLB[],7,FALSE),"")</f>
        <v/>
      </c>
      <c r="AR235" s="209" t="str">
        <f>IFERROR(VLOOKUP(TableHandbook[[#This Row],[UDC]],TableSTRUENGLM[],7,FALSE),"")</f>
        <v/>
      </c>
      <c r="AS235" s="209" t="str">
        <f>IFERROR(VLOOKUP(TableHandbook[[#This Row],[UDC]],TableSTRUGEOB1[],7,FALSE),"")</f>
        <v/>
      </c>
      <c r="AT235" s="209" t="str">
        <f>IFERROR(VLOOKUP(TableHandbook[[#This Row],[UDC]],TableSTRUGEOGM[],7,FALSE),"")</f>
        <v/>
      </c>
      <c r="AU235" s="209" t="str">
        <f>IFERROR(VLOOKUP(TableHandbook[[#This Row],[UDC]],TableSTRUHISB1[],7,FALSE),"")</f>
        <v/>
      </c>
      <c r="AV235" s="209" t="str">
        <f>IFERROR(VLOOKUP(TableHandbook[[#This Row],[UDC]],TableSTRUHISTM[],7,FALSE),"")</f>
        <v/>
      </c>
      <c r="AW235" s="209" t="str">
        <f>IFERROR(VLOOKUP(TableHandbook[[#This Row],[UDC]],TableSTRUHPEB1[],7,FALSE),"")</f>
        <v/>
      </c>
      <c r="AX235" s="209" t="str">
        <f>IFERROR(VLOOKUP(TableHandbook[[#This Row],[UDC]],TableSTRUHUMBB[],7,FALSE),"")</f>
        <v/>
      </c>
      <c r="AY235" s="209" t="str">
        <f>IFERROR(VLOOKUP(TableHandbook[[#This Row],[UDC]],TableSTRUMARTM[],7,FALSE),"")</f>
        <v/>
      </c>
      <c r="AZ235" s="209" t="str">
        <f>IFERROR(VLOOKUP(TableHandbook[[#This Row],[UDC]],TableSTRUMATHB[],7,FALSE),"")</f>
        <v/>
      </c>
      <c r="BA235" s="209" t="str">
        <f>IFERROR(VLOOKUP(TableHandbook[[#This Row],[UDC]],TableSTRUMATHM[],7,FALSE),"")</f>
        <v/>
      </c>
      <c r="BB235" s="209" t="str">
        <f>IFERROR(VLOOKUP(TableHandbook[[#This Row],[UDC]],TableSTRUPARTB[],7,FALSE),"")</f>
        <v/>
      </c>
      <c r="BC235" s="209" t="str">
        <f>IFERROR(VLOOKUP(TableHandbook[[#This Row],[UDC]],TableSTRUPARTM[],7,FALSE),"")</f>
        <v/>
      </c>
      <c r="BD235" s="209" t="str">
        <f>IFERROR(VLOOKUP(TableHandbook[[#This Row],[UDC]],TableSTRUPOLB1[],7,FALSE),"")</f>
        <v/>
      </c>
      <c r="BE235" s="209" t="str">
        <f>IFERROR(VLOOKUP(TableHandbook[[#This Row],[UDC]],TableSTRUPSYCB[],7,FALSE),"")</f>
        <v/>
      </c>
      <c r="BF235" s="209" t="str">
        <f>IFERROR(VLOOKUP(TableHandbook[[#This Row],[UDC]],TableSTRUPSYCM[],7,FALSE),"")</f>
        <v/>
      </c>
      <c r="BG235" s="209" t="str">
        <f>IFERROR(VLOOKUP(TableHandbook[[#This Row],[UDC]],TableSTRUVARTB[],7,FALSE),"")</f>
        <v/>
      </c>
      <c r="BH235" s="209" t="str">
        <f>IFERROR(VLOOKUP(TableHandbook[[#This Row],[UDC]],TableSTRUVARTM[],7,FALSE),"")</f>
        <v/>
      </c>
    </row>
    <row r="236" spans="1:60" x14ac:dyDescent="0.25">
      <c r="A236" s="296" t="s">
        <v>492</v>
      </c>
      <c r="B236" s="7">
        <v>2</v>
      </c>
      <c r="C236" s="7"/>
      <c r="D236" s="207" t="s">
        <v>1057</v>
      </c>
      <c r="E236" s="7">
        <v>25</v>
      </c>
      <c r="F236" s="311" t="s">
        <v>1058</v>
      </c>
      <c r="G236" s="75" t="str">
        <f>IFERROR(IF(VLOOKUP(TableHandbook[[#This Row],[UDC]],TableAvailabilities[],2,FALSE)&gt;0,"Y",""),"")</f>
        <v/>
      </c>
      <c r="H236" s="75" t="str">
        <f>IFERROR(IF(VLOOKUP(TableHandbook[[#This Row],[UDC]],TableAvailabilities[],3,FALSE)&gt;0,"Y",""),"")</f>
        <v/>
      </c>
      <c r="I236" s="75" t="str">
        <f>IFERROR(IF(VLOOKUP(TableHandbook[[#This Row],[UDC]],TableAvailabilities[],4,FALSE)&gt;0,"Y",""),"")</f>
        <v/>
      </c>
      <c r="J236" s="75" t="str">
        <f>IFERROR(IF(VLOOKUP(TableHandbook[[#This Row],[UDC]],TableAvailabilities[],5,FALSE)&gt;0,"Y",""),"")</f>
        <v>Y</v>
      </c>
      <c r="K236" s="75" t="str">
        <f>IFERROR(IF(VLOOKUP(TableHandbook[[#This Row],[UDC]],TableAvailabilities[],6,FALSE)&gt;0,"Y",""),"")</f>
        <v/>
      </c>
      <c r="L236" s="75" t="str">
        <f>IFERROR(IF(VLOOKUP(TableHandbook[[#This Row],[UDC]],TableAvailabilities[],7,FALSE)&gt;0,"Y",""),"")</f>
        <v/>
      </c>
      <c r="M236" s="207"/>
      <c r="N236" s="209" t="str">
        <f>IFERROR(VLOOKUP(TableHandbook[[#This Row],[UDC]],TableBEDUC[],7,FALSE),"")</f>
        <v/>
      </c>
      <c r="O236" s="209" t="str">
        <f>IFERROR(VLOOKUP(TableHandbook[[#This Row],[UDC]],TableBEDEC[],7,FALSE),"")</f>
        <v/>
      </c>
      <c r="P236" s="211" t="str">
        <f>IFERROR(VLOOKUP(TableHandbook[[#This Row],[UDC]],TableBEDPR[],7,FALSE),"")</f>
        <v/>
      </c>
      <c r="Q236" s="209" t="str">
        <f>IFERROR(VLOOKUP(TableHandbook[[#This Row],[UDC]],TableSTRUCATHL[],7,FALSE),"")</f>
        <v/>
      </c>
      <c r="R236" s="209" t="str">
        <f>IFERROR(VLOOKUP(TableHandbook[[#This Row],[UDC]],TableSTRUENGLL[],7,FALSE),"")</f>
        <v/>
      </c>
      <c r="S236" s="209" t="str">
        <f>IFERROR(VLOOKUP(TableHandbook[[#This Row],[UDC]],TableSTRUHLTPE[],7,FALSE),"")</f>
        <v/>
      </c>
      <c r="T236" s="209" t="str">
        <f>IFERROR(VLOOKUP(TableHandbook[[#This Row],[UDC]],TableSTRUISTEM[],7,FALSE),"")</f>
        <v/>
      </c>
      <c r="U236" s="209" t="str">
        <f>IFERROR(VLOOKUP(TableHandbook[[#This Row],[UDC]],TableSTRULITNU[],7,FALSE),"")</f>
        <v/>
      </c>
      <c r="V236" s="209" t="str">
        <f>IFERROR(VLOOKUP(TableHandbook[[#This Row],[UDC]],TableSTRUTECHS[],7,FALSE),"")</f>
        <v/>
      </c>
      <c r="W236" s="211" t="str">
        <f>IFERROR(VLOOKUP(TableHandbook[[#This Row],[UDC]],TableBEDSC[],7,FALSE),"")</f>
        <v/>
      </c>
      <c r="X236" s="211" t="str">
        <f>IFERROR(VLOOKUP(TableHandbook[[#This Row],[UDC]],TableMJRUARDR1[],7,FALSE),"")</f>
        <v/>
      </c>
      <c r="Y236" s="209" t="str">
        <f>IFERROR(VLOOKUP(TableHandbook[[#This Row],[UDC]],TableMJRUARME1[],7,FALSE),"")</f>
        <v/>
      </c>
      <c r="Z236" s="209" t="str">
        <f>IFERROR(VLOOKUP(TableHandbook[[#This Row],[UDC]],TableMJRUARVA1[],7,FALSE),"")</f>
        <v/>
      </c>
      <c r="AA236" s="209" t="str">
        <f>IFERROR(VLOOKUP(TableHandbook[[#This Row],[UDC]],TableMJRUENGL1[],7,FALSE),"")</f>
        <v/>
      </c>
      <c r="AB236" s="209" t="str">
        <f>IFERROR(VLOOKUP(TableHandbook[[#This Row],[UDC]],TableMJRUHSEC1[],7,FALSE),"")</f>
        <v/>
      </c>
      <c r="AC236" s="209" t="str">
        <f>IFERROR(VLOOKUP(TableHandbook[[#This Row],[UDC]],TableMJRUHSGE1[],7,FALSE),"")</f>
        <v/>
      </c>
      <c r="AD236" s="209" t="str">
        <f>IFERROR(VLOOKUP(TableHandbook[[#This Row],[UDC]],TableMJRUHSHI1[],7,FALSE),"")</f>
        <v/>
      </c>
      <c r="AE236" s="209" t="str">
        <f>IFERROR(VLOOKUP(TableHandbook[[#This Row],[UDC]],TableMJRUHSPL1[],7,FALSE),"")</f>
        <v/>
      </c>
      <c r="AF236" s="209" t="str">
        <f>IFERROR(VLOOKUP(TableHandbook[[#This Row],[UDC]],TableMJRUMATH1[],7,FALSE),"")</f>
        <v/>
      </c>
      <c r="AG236" s="209" t="str">
        <f>IFERROR(VLOOKUP(TableHandbook[[#This Row],[UDC]],TableMJRUPHYSE[],7,FALSE),"")</f>
        <v/>
      </c>
      <c r="AH236" s="209" t="str">
        <f>IFERROR(VLOOKUP(TableHandbook[[#This Row],[UDC]],TableMJRUSCBI1[],7,FALSE),"")</f>
        <v/>
      </c>
      <c r="AI236" s="209" t="str">
        <f>IFERROR(VLOOKUP(TableHandbook[[#This Row],[UDC]],TableMJRUSCCH1[],7,FALSE),"")</f>
        <v/>
      </c>
      <c r="AJ236" s="209" t="str">
        <f>IFERROR(VLOOKUP(TableHandbook[[#This Row],[UDC]],TableMJRUSCHB1[],7,FALSE),"")</f>
        <v/>
      </c>
      <c r="AK236" s="209" t="str">
        <f>IFERROR(VLOOKUP(TableHandbook[[#This Row],[UDC]],TableMJRUSCPH1[],7,FALSE),"")</f>
        <v>Core</v>
      </c>
      <c r="AL236" s="209" t="str">
        <f>IFERROR(VLOOKUP(TableHandbook[[#This Row],[UDC]],TableMJRUSCPS1[],7,FALSE),"")</f>
        <v/>
      </c>
      <c r="AM236" s="211" t="str">
        <f>IFERROR(VLOOKUP(TableHandbook[[#This Row],[UDC]],TableSTRUBIOLB[],7,FALSE),"")</f>
        <v/>
      </c>
      <c r="AN236" s="209" t="str">
        <f>IFERROR(VLOOKUP(TableHandbook[[#This Row],[UDC]],TableSTRUBSCIM[],7,FALSE),"")</f>
        <v/>
      </c>
      <c r="AO236" s="209" t="str">
        <f>IFERROR(VLOOKUP(TableHandbook[[#This Row],[UDC]],TableSTRUCHEMB[],7,FALSE),"")</f>
        <v/>
      </c>
      <c r="AP236" s="209" t="str">
        <f>IFERROR(VLOOKUP(TableHandbook[[#This Row],[UDC]],TableSTRUECOB1[],7,FALSE),"")</f>
        <v/>
      </c>
      <c r="AQ236" s="209" t="str">
        <f>IFERROR(VLOOKUP(TableHandbook[[#This Row],[UDC]],TableSTRUENGLB[],7,FALSE),"")</f>
        <v/>
      </c>
      <c r="AR236" s="209" t="str">
        <f>IFERROR(VLOOKUP(TableHandbook[[#This Row],[UDC]],TableSTRUENGLM[],7,FALSE),"")</f>
        <v/>
      </c>
      <c r="AS236" s="209" t="str">
        <f>IFERROR(VLOOKUP(TableHandbook[[#This Row],[UDC]],TableSTRUGEOB1[],7,FALSE),"")</f>
        <v/>
      </c>
      <c r="AT236" s="209" t="str">
        <f>IFERROR(VLOOKUP(TableHandbook[[#This Row],[UDC]],TableSTRUGEOGM[],7,FALSE),"")</f>
        <v/>
      </c>
      <c r="AU236" s="209" t="str">
        <f>IFERROR(VLOOKUP(TableHandbook[[#This Row],[UDC]],TableSTRUHISB1[],7,FALSE),"")</f>
        <v/>
      </c>
      <c r="AV236" s="209" t="str">
        <f>IFERROR(VLOOKUP(TableHandbook[[#This Row],[UDC]],TableSTRUHISTM[],7,FALSE),"")</f>
        <v/>
      </c>
      <c r="AW236" s="209" t="str">
        <f>IFERROR(VLOOKUP(TableHandbook[[#This Row],[UDC]],TableSTRUHPEB1[],7,FALSE),"")</f>
        <v/>
      </c>
      <c r="AX236" s="209" t="str">
        <f>IFERROR(VLOOKUP(TableHandbook[[#This Row],[UDC]],TableSTRUHUMBB[],7,FALSE),"")</f>
        <v/>
      </c>
      <c r="AY236" s="209" t="str">
        <f>IFERROR(VLOOKUP(TableHandbook[[#This Row],[UDC]],TableSTRUMARTM[],7,FALSE),"")</f>
        <v/>
      </c>
      <c r="AZ236" s="209" t="str">
        <f>IFERROR(VLOOKUP(TableHandbook[[#This Row],[UDC]],TableSTRUMATHB[],7,FALSE),"")</f>
        <v/>
      </c>
      <c r="BA236" s="209" t="str">
        <f>IFERROR(VLOOKUP(TableHandbook[[#This Row],[UDC]],TableSTRUMATHM[],7,FALSE),"")</f>
        <v>AltCore</v>
      </c>
      <c r="BB236" s="209" t="str">
        <f>IFERROR(VLOOKUP(TableHandbook[[#This Row],[UDC]],TableSTRUPARTB[],7,FALSE),"")</f>
        <v/>
      </c>
      <c r="BC236" s="209" t="str">
        <f>IFERROR(VLOOKUP(TableHandbook[[#This Row],[UDC]],TableSTRUPARTM[],7,FALSE),"")</f>
        <v/>
      </c>
      <c r="BD236" s="209" t="str">
        <f>IFERROR(VLOOKUP(TableHandbook[[#This Row],[UDC]],TableSTRUPOLB1[],7,FALSE),"")</f>
        <v/>
      </c>
      <c r="BE236" s="209" t="str">
        <f>IFERROR(VLOOKUP(TableHandbook[[#This Row],[UDC]],TableSTRUPSYCB[],7,FALSE),"")</f>
        <v/>
      </c>
      <c r="BF236" s="209" t="str">
        <f>IFERROR(VLOOKUP(TableHandbook[[#This Row],[UDC]],TableSTRUPSYCM[],7,FALSE),"")</f>
        <v/>
      </c>
      <c r="BG236" s="209" t="str">
        <f>IFERROR(VLOOKUP(TableHandbook[[#This Row],[UDC]],TableSTRUVARTB[],7,FALSE),"")</f>
        <v/>
      </c>
      <c r="BH236" s="209" t="str">
        <f>IFERROR(VLOOKUP(TableHandbook[[#This Row],[UDC]],TableSTRUVARTM[],7,FALSE),"")</f>
        <v/>
      </c>
    </row>
    <row r="237" spans="1:60" x14ac:dyDescent="0.25">
      <c r="A237" s="296" t="s">
        <v>584</v>
      </c>
      <c r="B237" s="7">
        <v>1</v>
      </c>
      <c r="C237" s="7"/>
      <c r="D237" s="207" t="s">
        <v>1059</v>
      </c>
      <c r="E237" s="7">
        <v>25</v>
      </c>
      <c r="F237" s="311" t="s">
        <v>1060</v>
      </c>
      <c r="G237" s="75" t="str">
        <f>IFERROR(IF(VLOOKUP(TableHandbook[[#This Row],[UDC]],TableAvailabilities[],2,FALSE)&gt;0,"Y",""),"")</f>
        <v>Y</v>
      </c>
      <c r="H237" s="75" t="str">
        <f>IFERROR(IF(VLOOKUP(TableHandbook[[#This Row],[UDC]],TableAvailabilities[],3,FALSE)&gt;0,"Y",""),"")</f>
        <v/>
      </c>
      <c r="I237" s="75" t="str">
        <f>IFERROR(IF(VLOOKUP(TableHandbook[[#This Row],[UDC]],TableAvailabilities[],4,FALSE)&gt;0,"Y",""),"")</f>
        <v/>
      </c>
      <c r="J237" s="75" t="str">
        <f>IFERROR(IF(VLOOKUP(TableHandbook[[#This Row],[UDC]],TableAvailabilities[],5,FALSE)&gt;0,"Y",""),"")</f>
        <v/>
      </c>
      <c r="K237" s="75" t="str">
        <f>IFERROR(IF(VLOOKUP(TableHandbook[[#This Row],[UDC]],TableAvailabilities[],6,FALSE)&gt;0,"Y",""),"")</f>
        <v/>
      </c>
      <c r="L237" s="75" t="str">
        <f>IFERROR(IF(VLOOKUP(TableHandbook[[#This Row],[UDC]],TableAvailabilities[],7,FALSE)&gt;0,"Y",""),"")</f>
        <v/>
      </c>
      <c r="M237" s="207"/>
      <c r="N237" s="209" t="str">
        <f>IFERROR(VLOOKUP(TableHandbook[[#This Row],[UDC]],TableBEDUC[],7,FALSE),"")</f>
        <v/>
      </c>
      <c r="O237" s="209" t="str">
        <f>IFERROR(VLOOKUP(TableHandbook[[#This Row],[UDC]],TableBEDEC[],7,FALSE),"")</f>
        <v/>
      </c>
      <c r="P237" s="211" t="str">
        <f>IFERROR(VLOOKUP(TableHandbook[[#This Row],[UDC]],TableBEDPR[],7,FALSE),"")</f>
        <v/>
      </c>
      <c r="Q237" s="209" t="str">
        <f>IFERROR(VLOOKUP(TableHandbook[[#This Row],[UDC]],TableSTRUCATHL[],7,FALSE),"")</f>
        <v/>
      </c>
      <c r="R237" s="209" t="str">
        <f>IFERROR(VLOOKUP(TableHandbook[[#This Row],[UDC]],TableSTRUENGLL[],7,FALSE),"")</f>
        <v/>
      </c>
      <c r="S237" s="209" t="str">
        <f>IFERROR(VLOOKUP(TableHandbook[[#This Row],[UDC]],TableSTRUHLTPE[],7,FALSE),"")</f>
        <v/>
      </c>
      <c r="T237" s="209" t="str">
        <f>IFERROR(VLOOKUP(TableHandbook[[#This Row],[UDC]],TableSTRUISTEM[],7,FALSE),"")</f>
        <v/>
      </c>
      <c r="U237" s="209" t="str">
        <f>IFERROR(VLOOKUP(TableHandbook[[#This Row],[UDC]],TableSTRULITNU[],7,FALSE),"")</f>
        <v/>
      </c>
      <c r="V237" s="209" t="str">
        <f>IFERROR(VLOOKUP(TableHandbook[[#This Row],[UDC]],TableSTRUTECHS[],7,FALSE),"")</f>
        <v/>
      </c>
      <c r="W237" s="211" t="str">
        <f>IFERROR(VLOOKUP(TableHandbook[[#This Row],[UDC]],TableBEDSC[],7,FALSE),"")</f>
        <v/>
      </c>
      <c r="X237" s="211" t="str">
        <f>IFERROR(VLOOKUP(TableHandbook[[#This Row],[UDC]],TableMJRUARDR1[],7,FALSE),"")</f>
        <v/>
      </c>
      <c r="Y237" s="209" t="str">
        <f>IFERROR(VLOOKUP(TableHandbook[[#This Row],[UDC]],TableMJRUARME1[],7,FALSE),"")</f>
        <v/>
      </c>
      <c r="Z237" s="209" t="str">
        <f>IFERROR(VLOOKUP(TableHandbook[[#This Row],[UDC]],TableMJRUARVA1[],7,FALSE),"")</f>
        <v/>
      </c>
      <c r="AA237" s="209" t="str">
        <f>IFERROR(VLOOKUP(TableHandbook[[#This Row],[UDC]],TableMJRUENGL1[],7,FALSE),"")</f>
        <v/>
      </c>
      <c r="AB237" s="209" t="str">
        <f>IFERROR(VLOOKUP(TableHandbook[[#This Row],[UDC]],TableMJRUHSEC1[],7,FALSE),"")</f>
        <v/>
      </c>
      <c r="AC237" s="209" t="str">
        <f>IFERROR(VLOOKUP(TableHandbook[[#This Row],[UDC]],TableMJRUHSGE1[],7,FALSE),"")</f>
        <v/>
      </c>
      <c r="AD237" s="209" t="str">
        <f>IFERROR(VLOOKUP(TableHandbook[[#This Row],[UDC]],TableMJRUHSHI1[],7,FALSE),"")</f>
        <v/>
      </c>
      <c r="AE237" s="209" t="str">
        <f>IFERROR(VLOOKUP(TableHandbook[[#This Row],[UDC]],TableMJRUHSPL1[],7,FALSE),"")</f>
        <v/>
      </c>
      <c r="AF237" s="209" t="str">
        <f>IFERROR(VLOOKUP(TableHandbook[[#This Row],[UDC]],TableMJRUMATH1[],7,FALSE),"")</f>
        <v>AltCore</v>
      </c>
      <c r="AG237" s="209" t="str">
        <f>IFERROR(VLOOKUP(TableHandbook[[#This Row],[UDC]],TableMJRUPHYSE[],7,FALSE),"")</f>
        <v/>
      </c>
      <c r="AH237" s="209" t="str">
        <f>IFERROR(VLOOKUP(TableHandbook[[#This Row],[UDC]],TableMJRUSCBI1[],7,FALSE),"")</f>
        <v/>
      </c>
      <c r="AI237" s="209" t="str">
        <f>IFERROR(VLOOKUP(TableHandbook[[#This Row],[UDC]],TableMJRUSCCH1[],7,FALSE),"")</f>
        <v/>
      </c>
      <c r="AJ237" s="209" t="str">
        <f>IFERROR(VLOOKUP(TableHandbook[[#This Row],[UDC]],TableMJRUSCHB1[],7,FALSE),"")</f>
        <v/>
      </c>
      <c r="AK237" s="209" t="str">
        <f>IFERROR(VLOOKUP(TableHandbook[[#This Row],[UDC]],TableMJRUSCPH1[],7,FALSE),"")</f>
        <v/>
      </c>
      <c r="AL237" s="209" t="str">
        <f>IFERROR(VLOOKUP(TableHandbook[[#This Row],[UDC]],TableMJRUSCPS1[],7,FALSE),"")</f>
        <v/>
      </c>
      <c r="AM237" s="211" t="str">
        <f>IFERROR(VLOOKUP(TableHandbook[[#This Row],[UDC]],TableSTRUBIOLB[],7,FALSE),"")</f>
        <v/>
      </c>
      <c r="AN237" s="209" t="str">
        <f>IFERROR(VLOOKUP(TableHandbook[[#This Row],[UDC]],TableSTRUBSCIM[],7,FALSE),"")</f>
        <v/>
      </c>
      <c r="AO237" s="209" t="str">
        <f>IFERROR(VLOOKUP(TableHandbook[[#This Row],[UDC]],TableSTRUCHEMB[],7,FALSE),"")</f>
        <v/>
      </c>
      <c r="AP237" s="209" t="str">
        <f>IFERROR(VLOOKUP(TableHandbook[[#This Row],[UDC]],TableSTRUECOB1[],7,FALSE),"")</f>
        <v/>
      </c>
      <c r="AQ237" s="209" t="str">
        <f>IFERROR(VLOOKUP(TableHandbook[[#This Row],[UDC]],TableSTRUENGLB[],7,FALSE),"")</f>
        <v/>
      </c>
      <c r="AR237" s="209" t="str">
        <f>IFERROR(VLOOKUP(TableHandbook[[#This Row],[UDC]],TableSTRUENGLM[],7,FALSE),"")</f>
        <v/>
      </c>
      <c r="AS237" s="209" t="str">
        <f>IFERROR(VLOOKUP(TableHandbook[[#This Row],[UDC]],TableSTRUGEOB1[],7,FALSE),"")</f>
        <v/>
      </c>
      <c r="AT237" s="209" t="str">
        <f>IFERROR(VLOOKUP(TableHandbook[[#This Row],[UDC]],TableSTRUGEOGM[],7,FALSE),"")</f>
        <v/>
      </c>
      <c r="AU237" s="209" t="str">
        <f>IFERROR(VLOOKUP(TableHandbook[[#This Row],[UDC]],TableSTRUHISB1[],7,FALSE),"")</f>
        <v/>
      </c>
      <c r="AV237" s="209" t="str">
        <f>IFERROR(VLOOKUP(TableHandbook[[#This Row],[UDC]],TableSTRUHISTM[],7,FALSE),"")</f>
        <v/>
      </c>
      <c r="AW237" s="209" t="str">
        <f>IFERROR(VLOOKUP(TableHandbook[[#This Row],[UDC]],TableSTRUHPEB1[],7,FALSE),"")</f>
        <v/>
      </c>
      <c r="AX237" s="209" t="str">
        <f>IFERROR(VLOOKUP(TableHandbook[[#This Row],[UDC]],TableSTRUHUMBB[],7,FALSE),"")</f>
        <v/>
      </c>
      <c r="AY237" s="209" t="str">
        <f>IFERROR(VLOOKUP(TableHandbook[[#This Row],[UDC]],TableSTRUMARTM[],7,FALSE),"")</f>
        <v/>
      </c>
      <c r="AZ237" s="209" t="str">
        <f>IFERROR(VLOOKUP(TableHandbook[[#This Row],[UDC]],TableSTRUMATHB[],7,FALSE),"")</f>
        <v/>
      </c>
      <c r="BA237" s="209" t="str">
        <f>IFERROR(VLOOKUP(TableHandbook[[#This Row],[UDC]],TableSTRUMATHM[],7,FALSE),"")</f>
        <v/>
      </c>
      <c r="BB237" s="209" t="str">
        <f>IFERROR(VLOOKUP(TableHandbook[[#This Row],[UDC]],TableSTRUPARTB[],7,FALSE),"")</f>
        <v/>
      </c>
      <c r="BC237" s="209" t="str">
        <f>IFERROR(VLOOKUP(TableHandbook[[#This Row],[UDC]],TableSTRUPARTM[],7,FALSE),"")</f>
        <v/>
      </c>
      <c r="BD237" s="209" t="str">
        <f>IFERROR(VLOOKUP(TableHandbook[[#This Row],[UDC]],TableSTRUPOLB1[],7,FALSE),"")</f>
        <v/>
      </c>
      <c r="BE237" s="209" t="str">
        <f>IFERROR(VLOOKUP(TableHandbook[[#This Row],[UDC]],TableSTRUPSYCB[],7,FALSE),"")</f>
        <v/>
      </c>
      <c r="BF237" s="209" t="str">
        <f>IFERROR(VLOOKUP(TableHandbook[[#This Row],[UDC]],TableSTRUPSYCM[],7,FALSE),"")</f>
        <v/>
      </c>
      <c r="BG237" s="209" t="str">
        <f>IFERROR(VLOOKUP(TableHandbook[[#This Row],[UDC]],TableSTRUVARTB[],7,FALSE),"")</f>
        <v/>
      </c>
      <c r="BH237" s="209" t="str">
        <f>IFERROR(VLOOKUP(TableHandbook[[#This Row],[UDC]],TableSTRUVARTM[],7,FALSE),"")</f>
        <v/>
      </c>
    </row>
    <row r="238" spans="1:60" x14ac:dyDescent="0.25">
      <c r="A238" s="6" t="s">
        <v>558</v>
      </c>
      <c r="B238" s="7">
        <v>1</v>
      </c>
      <c r="C238" s="7"/>
      <c r="D238" s="207" t="s">
        <v>1061</v>
      </c>
      <c r="E238" s="7">
        <v>25</v>
      </c>
      <c r="F238" s="311" t="s">
        <v>1062</v>
      </c>
      <c r="G238" s="75" t="str">
        <f>IFERROR(IF(VLOOKUP(TableHandbook[[#This Row],[UDC]],TableAvailabilities[],2,FALSE)&gt;0,"Y",""),"")</f>
        <v>Y</v>
      </c>
      <c r="H238" s="75" t="str">
        <f>IFERROR(IF(VLOOKUP(TableHandbook[[#This Row],[UDC]],TableAvailabilities[],3,FALSE)&gt;0,"Y",""),"")</f>
        <v/>
      </c>
      <c r="I238" s="75" t="str">
        <f>IFERROR(IF(VLOOKUP(TableHandbook[[#This Row],[UDC]],TableAvailabilities[],4,FALSE)&gt;0,"Y",""),"")</f>
        <v/>
      </c>
      <c r="J238" s="75" t="str">
        <f>IFERROR(IF(VLOOKUP(TableHandbook[[#This Row],[UDC]],TableAvailabilities[],5,FALSE)&gt;0,"Y",""),"")</f>
        <v/>
      </c>
      <c r="K238" s="75" t="str">
        <f>IFERROR(IF(VLOOKUP(TableHandbook[[#This Row],[UDC]],TableAvailabilities[],6,FALSE)&gt;0,"Y",""),"")</f>
        <v/>
      </c>
      <c r="L238" s="75" t="str">
        <f>IFERROR(IF(VLOOKUP(TableHandbook[[#This Row],[UDC]],TableAvailabilities[],7,FALSE)&gt;0,"Y",""),"")</f>
        <v/>
      </c>
      <c r="M238" s="207"/>
      <c r="N238" s="209" t="str">
        <f>IFERROR(VLOOKUP(TableHandbook[[#This Row],[UDC]],TableBEDUC[],7,FALSE),"")</f>
        <v/>
      </c>
      <c r="O238" s="209" t="str">
        <f>IFERROR(VLOOKUP(TableHandbook[[#This Row],[UDC]],TableBEDEC[],7,FALSE),"")</f>
        <v/>
      </c>
      <c r="P238" s="211" t="str">
        <f>IFERROR(VLOOKUP(TableHandbook[[#This Row],[UDC]],TableBEDPR[],7,FALSE),"")</f>
        <v/>
      </c>
      <c r="Q238" s="209" t="str">
        <f>IFERROR(VLOOKUP(TableHandbook[[#This Row],[UDC]],TableSTRUCATHL[],7,FALSE),"")</f>
        <v/>
      </c>
      <c r="R238" s="209" t="str">
        <f>IFERROR(VLOOKUP(TableHandbook[[#This Row],[UDC]],TableSTRUENGLL[],7,FALSE),"")</f>
        <v/>
      </c>
      <c r="S238" s="209" t="str">
        <f>IFERROR(VLOOKUP(TableHandbook[[#This Row],[UDC]],TableSTRUHLTPE[],7,FALSE),"")</f>
        <v/>
      </c>
      <c r="T238" s="209" t="str">
        <f>IFERROR(VLOOKUP(TableHandbook[[#This Row],[UDC]],TableSTRUISTEM[],7,FALSE),"")</f>
        <v/>
      </c>
      <c r="U238" s="209" t="str">
        <f>IFERROR(VLOOKUP(TableHandbook[[#This Row],[UDC]],TableSTRULITNU[],7,FALSE),"")</f>
        <v/>
      </c>
      <c r="V238" s="209" t="str">
        <f>IFERROR(VLOOKUP(TableHandbook[[#This Row],[UDC]],TableSTRUTECHS[],7,FALSE),"")</f>
        <v/>
      </c>
      <c r="W238" s="211" t="str">
        <f>IFERROR(VLOOKUP(TableHandbook[[#This Row],[UDC]],TableBEDSC[],7,FALSE),"")</f>
        <v/>
      </c>
      <c r="X238" s="211" t="str">
        <f>IFERROR(VLOOKUP(TableHandbook[[#This Row],[UDC]],TableMJRUARDR1[],7,FALSE),"")</f>
        <v/>
      </c>
      <c r="Y238" s="209" t="str">
        <f>IFERROR(VLOOKUP(TableHandbook[[#This Row],[UDC]],TableMJRUARME1[],7,FALSE),"")</f>
        <v/>
      </c>
      <c r="Z238" s="209" t="str">
        <f>IFERROR(VLOOKUP(TableHandbook[[#This Row],[UDC]],TableMJRUARVA1[],7,FALSE),"")</f>
        <v/>
      </c>
      <c r="AA238" s="209" t="str">
        <f>IFERROR(VLOOKUP(TableHandbook[[#This Row],[UDC]],TableMJRUENGL1[],7,FALSE),"")</f>
        <v/>
      </c>
      <c r="AB238" s="209" t="str">
        <f>IFERROR(VLOOKUP(TableHandbook[[#This Row],[UDC]],TableMJRUHSEC1[],7,FALSE),"")</f>
        <v/>
      </c>
      <c r="AC238" s="209" t="str">
        <f>IFERROR(VLOOKUP(TableHandbook[[#This Row],[UDC]],TableMJRUHSGE1[],7,FALSE),"")</f>
        <v/>
      </c>
      <c r="AD238" s="209" t="str">
        <f>IFERROR(VLOOKUP(TableHandbook[[#This Row],[UDC]],TableMJRUHSHI1[],7,FALSE),"")</f>
        <v/>
      </c>
      <c r="AE238" s="209" t="str">
        <f>IFERROR(VLOOKUP(TableHandbook[[#This Row],[UDC]],TableMJRUHSPL1[],7,FALSE),"")</f>
        <v/>
      </c>
      <c r="AF238" s="209" t="str">
        <f>IFERROR(VLOOKUP(TableHandbook[[#This Row],[UDC]],TableMJRUMATH1[],7,FALSE),"")</f>
        <v>Core</v>
      </c>
      <c r="AG238" s="209" t="str">
        <f>IFERROR(VLOOKUP(TableHandbook[[#This Row],[UDC]],TableMJRUPHYSE[],7,FALSE),"")</f>
        <v/>
      </c>
      <c r="AH238" s="209" t="str">
        <f>IFERROR(VLOOKUP(TableHandbook[[#This Row],[UDC]],TableMJRUSCBI1[],7,FALSE),"")</f>
        <v/>
      </c>
      <c r="AI238" s="209" t="str">
        <f>IFERROR(VLOOKUP(TableHandbook[[#This Row],[UDC]],TableMJRUSCCH1[],7,FALSE),"")</f>
        <v/>
      </c>
      <c r="AJ238" s="209" t="str">
        <f>IFERROR(VLOOKUP(TableHandbook[[#This Row],[UDC]],TableMJRUSCHB1[],7,FALSE),"")</f>
        <v/>
      </c>
      <c r="AK238" s="209" t="str">
        <f>IFERROR(VLOOKUP(TableHandbook[[#This Row],[UDC]],TableMJRUSCPH1[],7,FALSE),"")</f>
        <v>Core</v>
      </c>
      <c r="AL238" s="209" t="str">
        <f>IFERROR(VLOOKUP(TableHandbook[[#This Row],[UDC]],TableMJRUSCPS1[],7,FALSE),"")</f>
        <v/>
      </c>
      <c r="AM238" s="211" t="str">
        <f>IFERROR(VLOOKUP(TableHandbook[[#This Row],[UDC]],TableSTRUBIOLB[],7,FALSE),"")</f>
        <v/>
      </c>
      <c r="AN238" s="209" t="str">
        <f>IFERROR(VLOOKUP(TableHandbook[[#This Row],[UDC]],TableSTRUBSCIM[],7,FALSE),"")</f>
        <v/>
      </c>
      <c r="AO238" s="209" t="str">
        <f>IFERROR(VLOOKUP(TableHandbook[[#This Row],[UDC]],TableSTRUCHEMB[],7,FALSE),"")</f>
        <v/>
      </c>
      <c r="AP238" s="209" t="str">
        <f>IFERROR(VLOOKUP(TableHandbook[[#This Row],[UDC]],TableSTRUECOB1[],7,FALSE),"")</f>
        <v/>
      </c>
      <c r="AQ238" s="209" t="str">
        <f>IFERROR(VLOOKUP(TableHandbook[[#This Row],[UDC]],TableSTRUENGLB[],7,FALSE),"")</f>
        <v/>
      </c>
      <c r="AR238" s="209" t="str">
        <f>IFERROR(VLOOKUP(TableHandbook[[#This Row],[UDC]],TableSTRUENGLM[],7,FALSE),"")</f>
        <v/>
      </c>
      <c r="AS238" s="209" t="str">
        <f>IFERROR(VLOOKUP(TableHandbook[[#This Row],[UDC]],TableSTRUGEOB1[],7,FALSE),"")</f>
        <v/>
      </c>
      <c r="AT238" s="209" t="str">
        <f>IFERROR(VLOOKUP(TableHandbook[[#This Row],[UDC]],TableSTRUGEOGM[],7,FALSE),"")</f>
        <v/>
      </c>
      <c r="AU238" s="209" t="str">
        <f>IFERROR(VLOOKUP(TableHandbook[[#This Row],[UDC]],TableSTRUHISB1[],7,FALSE),"")</f>
        <v/>
      </c>
      <c r="AV238" s="209" t="str">
        <f>IFERROR(VLOOKUP(TableHandbook[[#This Row],[UDC]],TableSTRUHISTM[],7,FALSE),"")</f>
        <v/>
      </c>
      <c r="AW238" s="209" t="str">
        <f>IFERROR(VLOOKUP(TableHandbook[[#This Row],[UDC]],TableSTRUHPEB1[],7,FALSE),"")</f>
        <v/>
      </c>
      <c r="AX238" s="209" t="str">
        <f>IFERROR(VLOOKUP(TableHandbook[[#This Row],[UDC]],TableSTRUHUMBB[],7,FALSE),"")</f>
        <v/>
      </c>
      <c r="AY238" s="209" t="str">
        <f>IFERROR(VLOOKUP(TableHandbook[[#This Row],[UDC]],TableSTRUMARTM[],7,FALSE),"")</f>
        <v/>
      </c>
      <c r="AZ238" s="209" t="str">
        <f>IFERROR(VLOOKUP(TableHandbook[[#This Row],[UDC]],TableSTRUMATHB[],7,FALSE),"")</f>
        <v/>
      </c>
      <c r="BA238" s="209" t="str">
        <f>IFERROR(VLOOKUP(TableHandbook[[#This Row],[UDC]],TableSTRUMATHM[],7,FALSE),"")</f>
        <v>Core</v>
      </c>
      <c r="BB238" s="209" t="str">
        <f>IFERROR(VLOOKUP(TableHandbook[[#This Row],[UDC]],TableSTRUPARTB[],7,FALSE),"")</f>
        <v/>
      </c>
      <c r="BC238" s="209" t="str">
        <f>IFERROR(VLOOKUP(TableHandbook[[#This Row],[UDC]],TableSTRUPARTM[],7,FALSE),"")</f>
        <v/>
      </c>
      <c r="BD238" s="209" t="str">
        <f>IFERROR(VLOOKUP(TableHandbook[[#This Row],[UDC]],TableSTRUPOLB1[],7,FALSE),"")</f>
        <v/>
      </c>
      <c r="BE238" s="209" t="str">
        <f>IFERROR(VLOOKUP(TableHandbook[[#This Row],[UDC]],TableSTRUPSYCB[],7,FALSE),"")</f>
        <v/>
      </c>
      <c r="BF238" s="209" t="str">
        <f>IFERROR(VLOOKUP(TableHandbook[[#This Row],[UDC]],TableSTRUPSYCM[],7,FALSE),"")</f>
        <v/>
      </c>
      <c r="BG238" s="209" t="str">
        <f>IFERROR(VLOOKUP(TableHandbook[[#This Row],[UDC]],TableSTRUVARTB[],7,FALSE),"")</f>
        <v/>
      </c>
      <c r="BH238" s="209" t="str">
        <f>IFERROR(VLOOKUP(TableHandbook[[#This Row],[UDC]],TableSTRUVARTM[],7,FALSE),"")</f>
        <v/>
      </c>
    </row>
    <row r="239" spans="1:60" x14ac:dyDescent="0.25">
      <c r="A239" s="6" t="s">
        <v>742</v>
      </c>
      <c r="B239" s="7">
        <v>1</v>
      </c>
      <c r="C239" s="7"/>
      <c r="D239" s="207" t="s">
        <v>1063</v>
      </c>
      <c r="E239" s="7">
        <v>25</v>
      </c>
      <c r="F239" s="309" t="s">
        <v>1064</v>
      </c>
      <c r="G239" s="75" t="str">
        <f>IFERROR(IF(VLOOKUP(TableHandbook[[#This Row],[UDC]],TableAvailabilities[],2,FALSE)&gt;0,"Y",""),"")</f>
        <v/>
      </c>
      <c r="H239" s="75" t="str">
        <f>IFERROR(IF(VLOOKUP(TableHandbook[[#This Row],[UDC]],TableAvailabilities[],3,FALSE)&gt;0,"Y",""),"")</f>
        <v/>
      </c>
      <c r="I239" s="75" t="str">
        <f>IFERROR(IF(VLOOKUP(TableHandbook[[#This Row],[UDC]],TableAvailabilities[],4,FALSE)&gt;0,"Y",""),"")</f>
        <v/>
      </c>
      <c r="J239" s="75" t="str">
        <f>IFERROR(IF(VLOOKUP(TableHandbook[[#This Row],[UDC]],TableAvailabilities[],5,FALSE)&gt;0,"Y",""),"")</f>
        <v>Y</v>
      </c>
      <c r="K239" s="75" t="str">
        <f>IFERROR(IF(VLOOKUP(TableHandbook[[#This Row],[UDC]],TableAvailabilities[],6,FALSE)&gt;0,"Y",""),"")</f>
        <v/>
      </c>
      <c r="L239" s="75" t="str">
        <f>IFERROR(IF(VLOOKUP(TableHandbook[[#This Row],[UDC]],TableAvailabilities[],7,FALSE)&gt;0,"Y",""),"")</f>
        <v/>
      </c>
      <c r="M239" s="309" t="s">
        <v>1065</v>
      </c>
      <c r="N239" s="209" t="str">
        <f>IFERROR(VLOOKUP(TableHandbook[[#This Row],[UDC]],TableBEDUC[],7,FALSE),"")</f>
        <v/>
      </c>
      <c r="O239" s="209" t="str">
        <f>IFERROR(VLOOKUP(TableHandbook[[#This Row],[UDC]],TableBEDEC[],7,FALSE),"")</f>
        <v/>
      </c>
      <c r="P239" s="211" t="str">
        <f>IFERROR(VLOOKUP(TableHandbook[[#This Row],[UDC]],TableBEDPR[],7,FALSE),"")</f>
        <v/>
      </c>
      <c r="Q239" s="209" t="str">
        <f>IFERROR(VLOOKUP(TableHandbook[[#This Row],[UDC]],TableSTRUCATHL[],7,FALSE),"")</f>
        <v/>
      </c>
      <c r="R239" s="209" t="str">
        <f>IFERROR(VLOOKUP(TableHandbook[[#This Row],[UDC]],TableSTRUENGLL[],7,FALSE),"")</f>
        <v/>
      </c>
      <c r="S239" s="209" t="str">
        <f>IFERROR(VLOOKUP(TableHandbook[[#This Row],[UDC]],TableSTRUHLTPE[],7,FALSE),"")</f>
        <v/>
      </c>
      <c r="T239" s="209" t="str">
        <f>IFERROR(VLOOKUP(TableHandbook[[#This Row],[UDC]],TableSTRUISTEM[],7,FALSE),"")</f>
        <v/>
      </c>
      <c r="U239" s="209" t="str">
        <f>IFERROR(VLOOKUP(TableHandbook[[#This Row],[UDC]],TableSTRULITNU[],7,FALSE),"")</f>
        <v/>
      </c>
      <c r="V239" s="209" t="str">
        <f>IFERROR(VLOOKUP(TableHandbook[[#This Row],[UDC]],TableSTRUTECHS[],7,FALSE),"")</f>
        <v/>
      </c>
      <c r="W239" s="211" t="str">
        <f>IFERROR(VLOOKUP(TableHandbook[[#This Row],[UDC]],TableBEDSC[],7,FALSE),"")</f>
        <v/>
      </c>
      <c r="X239" s="211" t="str">
        <f>IFERROR(VLOOKUP(TableHandbook[[#This Row],[UDC]],TableMJRUARDR1[],7,FALSE),"")</f>
        <v/>
      </c>
      <c r="Y239" s="209" t="str">
        <f>IFERROR(VLOOKUP(TableHandbook[[#This Row],[UDC]],TableMJRUARME1[],7,FALSE),"")</f>
        <v/>
      </c>
      <c r="Z239" s="209" t="str">
        <f>IFERROR(VLOOKUP(TableHandbook[[#This Row],[UDC]],TableMJRUARVA1[],7,FALSE),"")</f>
        <v/>
      </c>
      <c r="AA239" s="209" t="str">
        <f>IFERROR(VLOOKUP(TableHandbook[[#This Row],[UDC]],TableMJRUENGL1[],7,FALSE),"")</f>
        <v/>
      </c>
      <c r="AB239" s="209" t="str">
        <f>IFERROR(VLOOKUP(TableHandbook[[#This Row],[UDC]],TableMJRUHSEC1[],7,FALSE),"")</f>
        <v/>
      </c>
      <c r="AC239" s="209" t="str">
        <f>IFERROR(VLOOKUP(TableHandbook[[#This Row],[UDC]],TableMJRUHSGE1[],7,FALSE),"")</f>
        <v/>
      </c>
      <c r="AD239" s="209" t="str">
        <f>IFERROR(VLOOKUP(TableHandbook[[#This Row],[UDC]],TableMJRUHSHI1[],7,FALSE),"")</f>
        <v/>
      </c>
      <c r="AE239" s="209" t="str">
        <f>IFERROR(VLOOKUP(TableHandbook[[#This Row],[UDC]],TableMJRUHSPL1[],7,FALSE),"")</f>
        <v/>
      </c>
      <c r="AF239" s="209" t="str">
        <f>IFERROR(VLOOKUP(TableHandbook[[#This Row],[UDC]],TableMJRUMATH1[],7,FALSE),"")</f>
        <v/>
      </c>
      <c r="AG239" s="209" t="str">
        <f>IFERROR(VLOOKUP(TableHandbook[[#This Row],[UDC]],TableMJRUPHYSE[],7,FALSE),"")</f>
        <v/>
      </c>
      <c r="AH239" s="209" t="str">
        <f>IFERROR(VLOOKUP(TableHandbook[[#This Row],[UDC]],TableMJRUSCBI1[],7,FALSE),"")</f>
        <v/>
      </c>
      <c r="AI239" s="209" t="str">
        <f>IFERROR(VLOOKUP(TableHandbook[[#This Row],[UDC]],TableMJRUSCCH1[],7,FALSE),"")</f>
        <v/>
      </c>
      <c r="AJ239" s="209" t="str">
        <f>IFERROR(VLOOKUP(TableHandbook[[#This Row],[UDC]],TableMJRUSCHB1[],7,FALSE),"")</f>
        <v/>
      </c>
      <c r="AK239" s="209" t="str">
        <f>IFERROR(VLOOKUP(TableHandbook[[#This Row],[UDC]],TableMJRUSCPH1[],7,FALSE),"")</f>
        <v/>
      </c>
      <c r="AL239" s="209" t="str">
        <f>IFERROR(VLOOKUP(TableHandbook[[#This Row],[UDC]],TableMJRUSCPS1[],7,FALSE),"")</f>
        <v/>
      </c>
      <c r="AM239" s="211" t="str">
        <f>IFERROR(VLOOKUP(TableHandbook[[#This Row],[UDC]],TableSTRUBIOLB[],7,FALSE),"")</f>
        <v/>
      </c>
      <c r="AN239" s="209" t="str">
        <f>IFERROR(VLOOKUP(TableHandbook[[#This Row],[UDC]],TableSTRUBSCIM[],7,FALSE),"")</f>
        <v/>
      </c>
      <c r="AO239" s="209" t="str">
        <f>IFERROR(VLOOKUP(TableHandbook[[#This Row],[UDC]],TableSTRUCHEMB[],7,FALSE),"")</f>
        <v/>
      </c>
      <c r="AP239" s="209" t="str">
        <f>IFERROR(VLOOKUP(TableHandbook[[#This Row],[UDC]],TableSTRUECOB1[],7,FALSE),"")</f>
        <v/>
      </c>
      <c r="AQ239" s="209" t="str">
        <f>IFERROR(VLOOKUP(TableHandbook[[#This Row],[UDC]],TableSTRUENGLB[],7,FALSE),"")</f>
        <v/>
      </c>
      <c r="AR239" s="209" t="str">
        <f>IFERROR(VLOOKUP(TableHandbook[[#This Row],[UDC]],TableSTRUENGLM[],7,FALSE),"")</f>
        <v/>
      </c>
      <c r="AS239" s="209" t="str">
        <f>IFERROR(VLOOKUP(TableHandbook[[#This Row],[UDC]],TableSTRUGEOB1[],7,FALSE),"")</f>
        <v/>
      </c>
      <c r="AT239" s="209" t="str">
        <f>IFERROR(VLOOKUP(TableHandbook[[#This Row],[UDC]],TableSTRUGEOGM[],7,FALSE),"")</f>
        <v/>
      </c>
      <c r="AU239" s="209" t="str">
        <f>IFERROR(VLOOKUP(TableHandbook[[#This Row],[UDC]],TableSTRUHISB1[],7,FALSE),"")</f>
        <v/>
      </c>
      <c r="AV239" s="209" t="str">
        <f>IFERROR(VLOOKUP(TableHandbook[[#This Row],[UDC]],TableSTRUHISTM[],7,FALSE),"")</f>
        <v/>
      </c>
      <c r="AW239" s="209" t="str">
        <f>IFERROR(VLOOKUP(TableHandbook[[#This Row],[UDC]],TableSTRUHPEB1[],7,FALSE),"")</f>
        <v/>
      </c>
      <c r="AX239" s="209" t="str">
        <f>IFERROR(VLOOKUP(TableHandbook[[#This Row],[UDC]],TableSTRUHUMBB[],7,FALSE),"")</f>
        <v>Core</v>
      </c>
      <c r="AY239" s="209" t="str">
        <f>IFERROR(VLOOKUP(TableHandbook[[#This Row],[UDC]],TableSTRUMARTM[],7,FALSE),"")</f>
        <v/>
      </c>
      <c r="AZ239" s="209" t="str">
        <f>IFERROR(VLOOKUP(TableHandbook[[#This Row],[UDC]],TableSTRUMATHB[],7,FALSE),"")</f>
        <v/>
      </c>
      <c r="BA239" s="209" t="str">
        <f>IFERROR(VLOOKUP(TableHandbook[[#This Row],[UDC]],TableSTRUMATHM[],7,FALSE),"")</f>
        <v/>
      </c>
      <c r="BB239" s="209" t="str">
        <f>IFERROR(VLOOKUP(TableHandbook[[#This Row],[UDC]],TableSTRUPARTB[],7,FALSE),"")</f>
        <v/>
      </c>
      <c r="BC239" s="209" t="str">
        <f>IFERROR(VLOOKUP(TableHandbook[[#This Row],[UDC]],TableSTRUPARTM[],7,FALSE),"")</f>
        <v/>
      </c>
      <c r="BD239" s="209" t="str">
        <f>IFERROR(VLOOKUP(TableHandbook[[#This Row],[UDC]],TableSTRUPOLB1[],7,FALSE),"")</f>
        <v/>
      </c>
      <c r="BE239" s="209" t="str">
        <f>IFERROR(VLOOKUP(TableHandbook[[#This Row],[UDC]],TableSTRUPSYCB[],7,FALSE),"")</f>
        <v/>
      </c>
      <c r="BF239" s="209" t="str">
        <f>IFERROR(VLOOKUP(TableHandbook[[#This Row],[UDC]],TableSTRUPSYCM[],7,FALSE),"")</f>
        <v/>
      </c>
      <c r="BG239" s="209" t="str">
        <f>IFERROR(VLOOKUP(TableHandbook[[#This Row],[UDC]],TableSTRUVARTB[],7,FALSE),"")</f>
        <v/>
      </c>
      <c r="BH239" s="209" t="str">
        <f>IFERROR(VLOOKUP(TableHandbook[[#This Row],[UDC]],TableSTRUVARTM[],7,FALSE),"")</f>
        <v/>
      </c>
    </row>
    <row r="240" spans="1:60" x14ac:dyDescent="0.25">
      <c r="A240" s="6" t="s">
        <v>533</v>
      </c>
      <c r="B240" s="7">
        <v>1</v>
      </c>
      <c r="C240" s="7"/>
      <c r="D240" s="207" t="s">
        <v>1066</v>
      </c>
      <c r="E240" s="7">
        <v>25</v>
      </c>
      <c r="F240" s="311" t="s">
        <v>1067</v>
      </c>
      <c r="G240" s="75" t="str">
        <f>IFERROR(IF(VLOOKUP(TableHandbook[[#This Row],[UDC]],TableAvailabilities[],2,FALSE)&gt;0,"Y",""),"")</f>
        <v/>
      </c>
      <c r="H240" s="75" t="str">
        <f>IFERROR(IF(VLOOKUP(TableHandbook[[#This Row],[UDC]],TableAvailabilities[],3,FALSE)&gt;0,"Y",""),"")</f>
        <v/>
      </c>
      <c r="I240" s="75" t="str">
        <f>IFERROR(IF(VLOOKUP(TableHandbook[[#This Row],[UDC]],TableAvailabilities[],4,FALSE)&gt;0,"Y",""),"")</f>
        <v/>
      </c>
      <c r="J240" s="75" t="str">
        <f>IFERROR(IF(VLOOKUP(TableHandbook[[#This Row],[UDC]],TableAvailabilities[],5,FALSE)&gt;0,"Y",""),"")</f>
        <v>Y</v>
      </c>
      <c r="K240" s="75" t="str">
        <f>IFERROR(IF(VLOOKUP(TableHandbook[[#This Row],[UDC]],TableAvailabilities[],6,FALSE)&gt;0,"Y",""),"")</f>
        <v/>
      </c>
      <c r="L240" s="75" t="str">
        <f>IFERROR(IF(VLOOKUP(TableHandbook[[#This Row],[UDC]],TableAvailabilities[],7,FALSE)&gt;0,"Y",""),"")</f>
        <v/>
      </c>
      <c r="M240" s="207"/>
      <c r="N240" s="209" t="str">
        <f>IFERROR(VLOOKUP(TableHandbook[[#This Row],[UDC]],TableBEDUC[],7,FALSE),"")</f>
        <v/>
      </c>
      <c r="O240" s="209" t="str">
        <f>IFERROR(VLOOKUP(TableHandbook[[#This Row],[UDC]],TableBEDEC[],7,FALSE),"")</f>
        <v/>
      </c>
      <c r="P240" s="211" t="str">
        <f>IFERROR(VLOOKUP(TableHandbook[[#This Row],[UDC]],TableBEDPR[],7,FALSE),"")</f>
        <v/>
      </c>
      <c r="Q240" s="209" t="str">
        <f>IFERROR(VLOOKUP(TableHandbook[[#This Row],[UDC]],TableSTRUCATHL[],7,FALSE),"")</f>
        <v/>
      </c>
      <c r="R240" s="209" t="str">
        <f>IFERROR(VLOOKUP(TableHandbook[[#This Row],[UDC]],TableSTRUENGLL[],7,FALSE),"")</f>
        <v/>
      </c>
      <c r="S240" s="209" t="str">
        <f>IFERROR(VLOOKUP(TableHandbook[[#This Row],[UDC]],TableSTRUHLTPE[],7,FALSE),"")</f>
        <v/>
      </c>
      <c r="T240" s="209" t="str">
        <f>IFERROR(VLOOKUP(TableHandbook[[#This Row],[UDC]],TableSTRUISTEM[],7,FALSE),"")</f>
        <v/>
      </c>
      <c r="U240" s="209" t="str">
        <f>IFERROR(VLOOKUP(TableHandbook[[#This Row],[UDC]],TableSTRULITNU[],7,FALSE),"")</f>
        <v/>
      </c>
      <c r="V240" s="209" t="str">
        <f>IFERROR(VLOOKUP(TableHandbook[[#This Row],[UDC]],TableSTRUTECHS[],7,FALSE),"")</f>
        <v/>
      </c>
      <c r="W240" s="211" t="str">
        <f>IFERROR(VLOOKUP(TableHandbook[[#This Row],[UDC]],TableBEDSC[],7,FALSE),"")</f>
        <v/>
      </c>
      <c r="X240" s="211" t="str">
        <f>IFERROR(VLOOKUP(TableHandbook[[#This Row],[UDC]],TableMJRUARDR1[],7,FALSE),"")</f>
        <v/>
      </c>
      <c r="Y240" s="209" t="str">
        <f>IFERROR(VLOOKUP(TableHandbook[[#This Row],[UDC]],TableMJRUARME1[],7,FALSE),"")</f>
        <v/>
      </c>
      <c r="Z240" s="209" t="str">
        <f>IFERROR(VLOOKUP(TableHandbook[[#This Row],[UDC]],TableMJRUARVA1[],7,FALSE),"")</f>
        <v/>
      </c>
      <c r="AA240" s="209" t="str">
        <f>IFERROR(VLOOKUP(TableHandbook[[#This Row],[UDC]],TableMJRUENGL1[],7,FALSE),"")</f>
        <v/>
      </c>
      <c r="AB240" s="209" t="str">
        <f>IFERROR(VLOOKUP(TableHandbook[[#This Row],[UDC]],TableMJRUHSEC1[],7,FALSE),"")</f>
        <v/>
      </c>
      <c r="AC240" s="209" t="str">
        <f>IFERROR(VLOOKUP(TableHandbook[[#This Row],[UDC]],TableMJRUHSGE1[],7,FALSE),"")</f>
        <v/>
      </c>
      <c r="AD240" s="209" t="str">
        <f>IFERROR(VLOOKUP(TableHandbook[[#This Row],[UDC]],TableMJRUHSHI1[],7,FALSE),"")</f>
        <v/>
      </c>
      <c r="AE240" s="209" t="str">
        <f>IFERROR(VLOOKUP(TableHandbook[[#This Row],[UDC]],TableMJRUHSPL1[],7,FALSE),"")</f>
        <v/>
      </c>
      <c r="AF240" s="209" t="str">
        <f>IFERROR(VLOOKUP(TableHandbook[[#This Row],[UDC]],TableMJRUMATH1[],7,FALSE),"")</f>
        <v/>
      </c>
      <c r="AG240" s="209" t="str">
        <f>IFERROR(VLOOKUP(TableHandbook[[#This Row],[UDC]],TableMJRUPHYSE[],7,FALSE),"")</f>
        <v/>
      </c>
      <c r="AH240" s="209" t="str">
        <f>IFERROR(VLOOKUP(TableHandbook[[#This Row],[UDC]],TableMJRUSCBI1[],7,FALSE),"")</f>
        <v/>
      </c>
      <c r="AI240" s="209" t="str">
        <f>IFERROR(VLOOKUP(TableHandbook[[#This Row],[UDC]],TableMJRUSCCH1[],7,FALSE),"")</f>
        <v/>
      </c>
      <c r="AJ240" s="209" t="str">
        <f>IFERROR(VLOOKUP(TableHandbook[[#This Row],[UDC]],TableMJRUSCHB1[],7,FALSE),"")</f>
        <v>Core</v>
      </c>
      <c r="AK240" s="209" t="str">
        <f>IFERROR(VLOOKUP(TableHandbook[[#This Row],[UDC]],TableMJRUSCPH1[],7,FALSE),"")</f>
        <v/>
      </c>
      <c r="AL240" s="209" t="str">
        <f>IFERROR(VLOOKUP(TableHandbook[[#This Row],[UDC]],TableMJRUSCPS1[],7,FALSE),"")</f>
        <v/>
      </c>
      <c r="AM240" s="211" t="str">
        <f>IFERROR(VLOOKUP(TableHandbook[[#This Row],[UDC]],TableSTRUBIOLB[],7,FALSE),"")</f>
        <v/>
      </c>
      <c r="AN240" s="209" t="str">
        <f>IFERROR(VLOOKUP(TableHandbook[[#This Row],[UDC]],TableSTRUBSCIM[],7,FALSE),"")</f>
        <v/>
      </c>
      <c r="AO240" s="209" t="str">
        <f>IFERROR(VLOOKUP(TableHandbook[[#This Row],[UDC]],TableSTRUCHEMB[],7,FALSE),"")</f>
        <v/>
      </c>
      <c r="AP240" s="209" t="str">
        <f>IFERROR(VLOOKUP(TableHandbook[[#This Row],[UDC]],TableSTRUECOB1[],7,FALSE),"")</f>
        <v/>
      </c>
      <c r="AQ240" s="209" t="str">
        <f>IFERROR(VLOOKUP(TableHandbook[[#This Row],[UDC]],TableSTRUENGLB[],7,FALSE),"")</f>
        <v/>
      </c>
      <c r="AR240" s="209" t="str">
        <f>IFERROR(VLOOKUP(TableHandbook[[#This Row],[UDC]],TableSTRUENGLM[],7,FALSE),"")</f>
        <v/>
      </c>
      <c r="AS240" s="209" t="str">
        <f>IFERROR(VLOOKUP(TableHandbook[[#This Row],[UDC]],TableSTRUGEOB1[],7,FALSE),"")</f>
        <v/>
      </c>
      <c r="AT240" s="209" t="str">
        <f>IFERROR(VLOOKUP(TableHandbook[[#This Row],[UDC]],TableSTRUGEOGM[],7,FALSE),"")</f>
        <v/>
      </c>
      <c r="AU240" s="209" t="str">
        <f>IFERROR(VLOOKUP(TableHandbook[[#This Row],[UDC]],TableSTRUHISB1[],7,FALSE),"")</f>
        <v/>
      </c>
      <c r="AV240" s="209" t="str">
        <f>IFERROR(VLOOKUP(TableHandbook[[#This Row],[UDC]],TableSTRUHISTM[],7,FALSE),"")</f>
        <v/>
      </c>
      <c r="AW240" s="209" t="str">
        <f>IFERROR(VLOOKUP(TableHandbook[[#This Row],[UDC]],TableSTRUHPEB1[],7,FALSE),"")</f>
        <v/>
      </c>
      <c r="AX240" s="209" t="str">
        <f>IFERROR(VLOOKUP(TableHandbook[[#This Row],[UDC]],TableSTRUHUMBB[],7,FALSE),"")</f>
        <v/>
      </c>
      <c r="AY240" s="209" t="str">
        <f>IFERROR(VLOOKUP(TableHandbook[[#This Row],[UDC]],TableSTRUMARTM[],7,FALSE),"")</f>
        <v/>
      </c>
      <c r="AZ240" s="209" t="str">
        <f>IFERROR(VLOOKUP(TableHandbook[[#This Row],[UDC]],TableSTRUMATHB[],7,FALSE),"")</f>
        <v/>
      </c>
      <c r="BA240" s="209" t="str">
        <f>IFERROR(VLOOKUP(TableHandbook[[#This Row],[UDC]],TableSTRUMATHM[],7,FALSE),"")</f>
        <v/>
      </c>
      <c r="BB240" s="209" t="str">
        <f>IFERROR(VLOOKUP(TableHandbook[[#This Row],[UDC]],TableSTRUPARTB[],7,FALSE),"")</f>
        <v/>
      </c>
      <c r="BC240" s="209" t="str">
        <f>IFERROR(VLOOKUP(TableHandbook[[#This Row],[UDC]],TableSTRUPARTM[],7,FALSE),"")</f>
        <v/>
      </c>
      <c r="BD240" s="209" t="str">
        <f>IFERROR(VLOOKUP(TableHandbook[[#This Row],[UDC]],TableSTRUPOLB1[],7,FALSE),"")</f>
        <v/>
      </c>
      <c r="BE240" s="209" t="str">
        <f>IFERROR(VLOOKUP(TableHandbook[[#This Row],[UDC]],TableSTRUPSYCB[],7,FALSE),"")</f>
        <v/>
      </c>
      <c r="BF240" s="209" t="str">
        <f>IFERROR(VLOOKUP(TableHandbook[[#This Row],[UDC]],TableSTRUPSYCM[],7,FALSE),"")</f>
        <v/>
      </c>
      <c r="BG240" s="209" t="str">
        <f>IFERROR(VLOOKUP(TableHandbook[[#This Row],[UDC]],TableSTRUVARTB[],7,FALSE),"")</f>
        <v/>
      </c>
      <c r="BH240" s="209" t="str">
        <f>IFERROR(VLOOKUP(TableHandbook[[#This Row],[UDC]],TableSTRUVARTM[],7,FALSE),"")</f>
        <v/>
      </c>
    </row>
    <row r="241" spans="1:60" x14ac:dyDescent="0.25">
      <c r="A241" s="296" t="s">
        <v>540</v>
      </c>
      <c r="B241" s="7">
        <v>1</v>
      </c>
      <c r="C241" s="7"/>
      <c r="D241" s="207" t="s">
        <v>1068</v>
      </c>
      <c r="E241" s="7">
        <v>25</v>
      </c>
      <c r="F241" s="311" t="s">
        <v>1069</v>
      </c>
      <c r="G241" s="75" t="str">
        <f>IFERROR(IF(VLOOKUP(TableHandbook[[#This Row],[UDC]],TableAvailabilities[],2,FALSE)&gt;0,"Y",""),"")</f>
        <v>Y</v>
      </c>
      <c r="H241" s="75" t="str">
        <f>IFERROR(IF(VLOOKUP(TableHandbook[[#This Row],[UDC]],TableAvailabilities[],3,FALSE)&gt;0,"Y",""),"")</f>
        <v/>
      </c>
      <c r="I241" s="75" t="str">
        <f>IFERROR(IF(VLOOKUP(TableHandbook[[#This Row],[UDC]],TableAvailabilities[],4,FALSE)&gt;0,"Y",""),"")</f>
        <v/>
      </c>
      <c r="J241" s="75" t="str">
        <f>IFERROR(IF(VLOOKUP(TableHandbook[[#This Row],[UDC]],TableAvailabilities[],5,FALSE)&gt;0,"Y",""),"")</f>
        <v>Y</v>
      </c>
      <c r="K241" s="75" t="str">
        <f>IFERROR(IF(VLOOKUP(TableHandbook[[#This Row],[UDC]],TableAvailabilities[],6,FALSE)&gt;0,"Y",""),"")</f>
        <v/>
      </c>
      <c r="L241" s="75" t="str">
        <f>IFERROR(IF(VLOOKUP(TableHandbook[[#This Row],[UDC]],TableAvailabilities[],7,FALSE)&gt;0,"Y",""),"")</f>
        <v/>
      </c>
      <c r="M241" s="207"/>
      <c r="N241" s="209" t="str">
        <f>IFERROR(VLOOKUP(TableHandbook[[#This Row],[UDC]],TableBEDUC[],7,FALSE),"")</f>
        <v/>
      </c>
      <c r="O241" s="209" t="str">
        <f>IFERROR(VLOOKUP(TableHandbook[[#This Row],[UDC]],TableBEDEC[],7,FALSE),"")</f>
        <v/>
      </c>
      <c r="P241" s="211" t="str">
        <f>IFERROR(VLOOKUP(TableHandbook[[#This Row],[UDC]],TableBEDPR[],7,FALSE),"")</f>
        <v/>
      </c>
      <c r="Q241" s="209" t="str">
        <f>IFERROR(VLOOKUP(TableHandbook[[#This Row],[UDC]],TableSTRUCATHL[],7,FALSE),"")</f>
        <v/>
      </c>
      <c r="R241" s="209" t="str">
        <f>IFERROR(VLOOKUP(TableHandbook[[#This Row],[UDC]],TableSTRUENGLL[],7,FALSE),"")</f>
        <v/>
      </c>
      <c r="S241" s="209" t="str">
        <f>IFERROR(VLOOKUP(TableHandbook[[#This Row],[UDC]],TableSTRUHLTPE[],7,FALSE),"")</f>
        <v/>
      </c>
      <c r="T241" s="209" t="str">
        <f>IFERROR(VLOOKUP(TableHandbook[[#This Row],[UDC]],TableSTRUISTEM[],7,FALSE),"")</f>
        <v/>
      </c>
      <c r="U241" s="209" t="str">
        <f>IFERROR(VLOOKUP(TableHandbook[[#This Row],[UDC]],TableSTRULITNU[],7,FALSE),"")</f>
        <v/>
      </c>
      <c r="V241" s="209" t="str">
        <f>IFERROR(VLOOKUP(TableHandbook[[#This Row],[UDC]],TableSTRUTECHS[],7,FALSE),"")</f>
        <v/>
      </c>
      <c r="W241" s="211" t="str">
        <f>IFERROR(VLOOKUP(TableHandbook[[#This Row],[UDC]],TableBEDSC[],7,FALSE),"")</f>
        <v/>
      </c>
      <c r="X241" s="211" t="str">
        <f>IFERROR(VLOOKUP(TableHandbook[[#This Row],[UDC]],TableMJRUARDR1[],7,FALSE),"")</f>
        <v/>
      </c>
      <c r="Y241" s="209" t="str">
        <f>IFERROR(VLOOKUP(TableHandbook[[#This Row],[UDC]],TableMJRUARME1[],7,FALSE),"")</f>
        <v/>
      </c>
      <c r="Z241" s="209" t="str">
        <f>IFERROR(VLOOKUP(TableHandbook[[#This Row],[UDC]],TableMJRUARVA1[],7,FALSE),"")</f>
        <v/>
      </c>
      <c r="AA241" s="209" t="str">
        <f>IFERROR(VLOOKUP(TableHandbook[[#This Row],[UDC]],TableMJRUENGL1[],7,FALSE),"")</f>
        <v/>
      </c>
      <c r="AB241" s="209" t="str">
        <f>IFERROR(VLOOKUP(TableHandbook[[#This Row],[UDC]],TableMJRUHSEC1[],7,FALSE),"")</f>
        <v>Core</v>
      </c>
      <c r="AC241" s="209" t="str">
        <f>IFERROR(VLOOKUP(TableHandbook[[#This Row],[UDC]],TableMJRUHSGE1[],7,FALSE),"")</f>
        <v/>
      </c>
      <c r="AD241" s="209" t="str">
        <f>IFERROR(VLOOKUP(TableHandbook[[#This Row],[UDC]],TableMJRUHSHI1[],7,FALSE),"")</f>
        <v/>
      </c>
      <c r="AE241" s="209" t="str">
        <f>IFERROR(VLOOKUP(TableHandbook[[#This Row],[UDC]],TableMJRUHSPL1[],7,FALSE),"")</f>
        <v/>
      </c>
      <c r="AF241" s="209" t="str">
        <f>IFERROR(VLOOKUP(TableHandbook[[#This Row],[UDC]],TableMJRUMATH1[],7,FALSE),"")</f>
        <v/>
      </c>
      <c r="AG241" s="209" t="str">
        <f>IFERROR(VLOOKUP(TableHandbook[[#This Row],[UDC]],TableMJRUPHYSE[],7,FALSE),"")</f>
        <v/>
      </c>
      <c r="AH241" s="209" t="str">
        <f>IFERROR(VLOOKUP(TableHandbook[[#This Row],[UDC]],TableMJRUSCBI1[],7,FALSE),"")</f>
        <v/>
      </c>
      <c r="AI241" s="209" t="str">
        <f>IFERROR(VLOOKUP(TableHandbook[[#This Row],[UDC]],TableMJRUSCCH1[],7,FALSE),"")</f>
        <v/>
      </c>
      <c r="AJ241" s="209" t="str">
        <f>IFERROR(VLOOKUP(TableHandbook[[#This Row],[UDC]],TableMJRUSCHB1[],7,FALSE),"")</f>
        <v/>
      </c>
      <c r="AK241" s="209" t="str">
        <f>IFERROR(VLOOKUP(TableHandbook[[#This Row],[UDC]],TableMJRUSCPH1[],7,FALSE),"")</f>
        <v/>
      </c>
      <c r="AL241" s="209" t="str">
        <f>IFERROR(VLOOKUP(TableHandbook[[#This Row],[UDC]],TableMJRUSCPS1[],7,FALSE),"")</f>
        <v/>
      </c>
      <c r="AM241" s="211" t="str">
        <f>IFERROR(VLOOKUP(TableHandbook[[#This Row],[UDC]],TableSTRUBIOLB[],7,FALSE),"")</f>
        <v/>
      </c>
      <c r="AN241" s="209" t="str">
        <f>IFERROR(VLOOKUP(TableHandbook[[#This Row],[UDC]],TableSTRUBSCIM[],7,FALSE),"")</f>
        <v/>
      </c>
      <c r="AO241" s="209" t="str">
        <f>IFERROR(VLOOKUP(TableHandbook[[#This Row],[UDC]],TableSTRUCHEMB[],7,FALSE),"")</f>
        <v/>
      </c>
      <c r="AP241" s="209" t="str">
        <f>IFERROR(VLOOKUP(TableHandbook[[#This Row],[UDC]],TableSTRUECOB1[],7,FALSE),"")</f>
        <v/>
      </c>
      <c r="AQ241" s="209" t="str">
        <f>IFERROR(VLOOKUP(TableHandbook[[#This Row],[UDC]],TableSTRUENGLB[],7,FALSE),"")</f>
        <v/>
      </c>
      <c r="AR241" s="209" t="str">
        <f>IFERROR(VLOOKUP(TableHandbook[[#This Row],[UDC]],TableSTRUENGLM[],7,FALSE),"")</f>
        <v/>
      </c>
      <c r="AS241" s="209" t="str">
        <f>IFERROR(VLOOKUP(TableHandbook[[#This Row],[UDC]],TableSTRUGEOB1[],7,FALSE),"")</f>
        <v/>
      </c>
      <c r="AT241" s="209" t="str">
        <f>IFERROR(VLOOKUP(TableHandbook[[#This Row],[UDC]],TableSTRUGEOGM[],7,FALSE),"")</f>
        <v/>
      </c>
      <c r="AU241" s="209" t="str">
        <f>IFERROR(VLOOKUP(TableHandbook[[#This Row],[UDC]],TableSTRUHISB1[],7,FALSE),"")</f>
        <v/>
      </c>
      <c r="AV241" s="209" t="str">
        <f>IFERROR(VLOOKUP(TableHandbook[[#This Row],[UDC]],TableSTRUHISTM[],7,FALSE),"")</f>
        <v/>
      </c>
      <c r="AW241" s="209" t="str">
        <f>IFERROR(VLOOKUP(TableHandbook[[#This Row],[UDC]],TableSTRUHPEB1[],7,FALSE),"")</f>
        <v/>
      </c>
      <c r="AX241" s="209" t="str">
        <f>IFERROR(VLOOKUP(TableHandbook[[#This Row],[UDC]],TableSTRUHUMBB[],7,FALSE),"")</f>
        <v/>
      </c>
      <c r="AY241" s="209" t="str">
        <f>IFERROR(VLOOKUP(TableHandbook[[#This Row],[UDC]],TableSTRUMARTM[],7,FALSE),"")</f>
        <v/>
      </c>
      <c r="AZ241" s="209" t="str">
        <f>IFERROR(VLOOKUP(TableHandbook[[#This Row],[UDC]],TableSTRUMATHB[],7,FALSE),"")</f>
        <v/>
      </c>
      <c r="BA241" s="209" t="str">
        <f>IFERROR(VLOOKUP(TableHandbook[[#This Row],[UDC]],TableSTRUMATHM[],7,FALSE),"")</f>
        <v/>
      </c>
      <c r="BB241" s="209" t="str">
        <f>IFERROR(VLOOKUP(TableHandbook[[#This Row],[UDC]],TableSTRUPARTB[],7,FALSE),"")</f>
        <v/>
      </c>
      <c r="BC241" s="209" t="str">
        <f>IFERROR(VLOOKUP(TableHandbook[[#This Row],[UDC]],TableSTRUPARTM[],7,FALSE),"")</f>
        <v/>
      </c>
      <c r="BD241" s="209" t="str">
        <f>IFERROR(VLOOKUP(TableHandbook[[#This Row],[UDC]],TableSTRUPOLB1[],7,FALSE),"")</f>
        <v/>
      </c>
      <c r="BE241" s="209" t="str">
        <f>IFERROR(VLOOKUP(TableHandbook[[#This Row],[UDC]],TableSTRUPSYCB[],7,FALSE),"")</f>
        <v/>
      </c>
      <c r="BF241" s="209" t="str">
        <f>IFERROR(VLOOKUP(TableHandbook[[#This Row],[UDC]],TableSTRUPSYCM[],7,FALSE),"")</f>
        <v/>
      </c>
      <c r="BG241" s="209" t="str">
        <f>IFERROR(VLOOKUP(TableHandbook[[#This Row],[UDC]],TableSTRUVARTB[],7,FALSE),"")</f>
        <v/>
      </c>
      <c r="BH241" s="209" t="str">
        <f>IFERROR(VLOOKUP(TableHandbook[[#This Row],[UDC]],TableSTRUVARTM[],7,FALSE),"")</f>
        <v/>
      </c>
    </row>
    <row r="242" spans="1:60" x14ac:dyDescent="0.25">
      <c r="A242" s="296" t="s">
        <v>335</v>
      </c>
      <c r="B242" s="7">
        <v>1</v>
      </c>
      <c r="C242" s="7"/>
      <c r="D242" s="207" t="s">
        <v>392</v>
      </c>
      <c r="E242" s="7">
        <v>375</v>
      </c>
      <c r="F242" s="84"/>
      <c r="G242" s="75" t="str">
        <f>IFERROR(IF(VLOOKUP(TableHandbook[[#This Row],[UDC]],TableAvailabilities[],2,FALSE)&gt;0,"Y",""),"")</f>
        <v/>
      </c>
      <c r="H242" s="75" t="str">
        <f>IFERROR(IF(VLOOKUP(TableHandbook[[#This Row],[UDC]],TableAvailabilities[],3,FALSE)&gt;0,"Y",""),"")</f>
        <v/>
      </c>
      <c r="I242" s="75" t="str">
        <f>IFERROR(IF(VLOOKUP(TableHandbook[[#This Row],[UDC]],TableAvailabilities[],4,FALSE)&gt;0,"Y",""),"")</f>
        <v/>
      </c>
      <c r="J242" s="75" t="str">
        <f>IFERROR(IF(VLOOKUP(TableHandbook[[#This Row],[UDC]],TableAvailabilities[],5,FALSE)&gt;0,"Y",""),"")</f>
        <v/>
      </c>
      <c r="K242" s="75" t="str">
        <f>IFERROR(IF(VLOOKUP(TableHandbook[[#This Row],[UDC]],TableAvailabilities[],6,FALSE)&gt;0,"Y",""),"")</f>
        <v/>
      </c>
      <c r="L242" s="75" t="str">
        <f>IFERROR(IF(VLOOKUP(TableHandbook[[#This Row],[UDC]],TableAvailabilities[],7,FALSE)&gt;0,"Y",""),"")</f>
        <v/>
      </c>
      <c r="M242" s="207"/>
      <c r="N242" s="209" t="str">
        <f>IFERROR(VLOOKUP(TableHandbook[[#This Row],[UDC]],TableBEDUC[],7,FALSE),"")</f>
        <v/>
      </c>
      <c r="O242" s="209" t="str">
        <f>IFERROR(VLOOKUP(TableHandbook[[#This Row],[UDC]],TableBEDEC[],7,FALSE),"")</f>
        <v/>
      </c>
      <c r="P242" s="211" t="str">
        <f>IFERROR(VLOOKUP(TableHandbook[[#This Row],[UDC]],TableBEDPR[],7,FALSE),"")</f>
        <v/>
      </c>
      <c r="Q242" s="209" t="str">
        <f>IFERROR(VLOOKUP(TableHandbook[[#This Row],[UDC]],TableSTRUCATHL[],7,FALSE),"")</f>
        <v/>
      </c>
      <c r="R242" s="209" t="str">
        <f>IFERROR(VLOOKUP(TableHandbook[[#This Row],[UDC]],TableSTRUENGLL[],7,FALSE),"")</f>
        <v/>
      </c>
      <c r="S242" s="209" t="str">
        <f>IFERROR(VLOOKUP(TableHandbook[[#This Row],[UDC]],TableSTRUHLTPE[],7,FALSE),"")</f>
        <v/>
      </c>
      <c r="T242" s="209" t="str">
        <f>IFERROR(VLOOKUP(TableHandbook[[#This Row],[UDC]],TableSTRUISTEM[],7,FALSE),"")</f>
        <v/>
      </c>
      <c r="U242" s="209" t="str">
        <f>IFERROR(VLOOKUP(TableHandbook[[#This Row],[UDC]],TableSTRULITNU[],7,FALSE),"")</f>
        <v/>
      </c>
      <c r="V242" s="209" t="str">
        <f>IFERROR(VLOOKUP(TableHandbook[[#This Row],[UDC]],TableSTRUTECHS[],7,FALSE),"")</f>
        <v/>
      </c>
      <c r="W242" s="211" t="str">
        <f>IFERROR(VLOOKUP(TableHandbook[[#This Row],[UDC]],TableBEDSC[],7,FALSE),"")</f>
        <v>AltCore</v>
      </c>
      <c r="X242" s="211" t="str">
        <f>IFERROR(VLOOKUP(TableHandbook[[#This Row],[UDC]],TableMJRUARDR1[],7,FALSE),"")</f>
        <v/>
      </c>
      <c r="Y242" s="209" t="str">
        <f>IFERROR(VLOOKUP(TableHandbook[[#This Row],[UDC]],TableMJRUARME1[],7,FALSE),"")</f>
        <v/>
      </c>
      <c r="Z242" s="209" t="str">
        <f>IFERROR(VLOOKUP(TableHandbook[[#This Row],[UDC]],TableMJRUARVA1[],7,FALSE),"")</f>
        <v/>
      </c>
      <c r="AA242" s="209" t="str">
        <f>IFERROR(VLOOKUP(TableHandbook[[#This Row],[UDC]],TableMJRUENGL1[],7,FALSE),"")</f>
        <v/>
      </c>
      <c r="AB242" s="209" t="str">
        <f>IFERROR(VLOOKUP(TableHandbook[[#This Row],[UDC]],TableMJRUHSEC1[],7,FALSE),"")</f>
        <v/>
      </c>
      <c r="AC242" s="209" t="str">
        <f>IFERROR(VLOOKUP(TableHandbook[[#This Row],[UDC]],TableMJRUHSGE1[],7,FALSE),"")</f>
        <v/>
      </c>
      <c r="AD242" s="209" t="str">
        <f>IFERROR(VLOOKUP(TableHandbook[[#This Row],[UDC]],TableMJRUHSHI1[],7,FALSE),"")</f>
        <v/>
      </c>
      <c r="AE242" s="209" t="str">
        <f>IFERROR(VLOOKUP(TableHandbook[[#This Row],[UDC]],TableMJRUHSPL1[],7,FALSE),"")</f>
        <v/>
      </c>
      <c r="AF242" s="209" t="str">
        <f>IFERROR(VLOOKUP(TableHandbook[[#This Row],[UDC]],TableMJRUMATH1[],7,FALSE),"")</f>
        <v/>
      </c>
      <c r="AG242" s="209" t="str">
        <f>IFERROR(VLOOKUP(TableHandbook[[#This Row],[UDC]],TableMJRUPHYSE[],7,FALSE),"")</f>
        <v/>
      </c>
      <c r="AH242" s="209" t="str">
        <f>IFERROR(VLOOKUP(TableHandbook[[#This Row],[UDC]],TableMJRUSCBI1[],7,FALSE),"")</f>
        <v/>
      </c>
      <c r="AI242" s="209" t="str">
        <f>IFERROR(VLOOKUP(TableHandbook[[#This Row],[UDC]],TableMJRUSCCH1[],7,FALSE),"")</f>
        <v/>
      </c>
      <c r="AJ242" s="209" t="str">
        <f>IFERROR(VLOOKUP(TableHandbook[[#This Row],[UDC]],TableMJRUSCHB1[],7,FALSE),"")</f>
        <v/>
      </c>
      <c r="AK242" s="209" t="str">
        <f>IFERROR(VLOOKUP(TableHandbook[[#This Row],[UDC]],TableMJRUSCPH1[],7,FALSE),"")</f>
        <v/>
      </c>
      <c r="AL242" s="209" t="str">
        <f>IFERROR(VLOOKUP(TableHandbook[[#This Row],[UDC]],TableMJRUSCPS1[],7,FALSE),"")</f>
        <v/>
      </c>
      <c r="AM242" s="211" t="str">
        <f>IFERROR(VLOOKUP(TableHandbook[[#This Row],[UDC]],TableSTRUBIOLB[],7,FALSE),"")</f>
        <v/>
      </c>
      <c r="AN242" s="209" t="str">
        <f>IFERROR(VLOOKUP(TableHandbook[[#This Row],[UDC]],TableSTRUBSCIM[],7,FALSE),"")</f>
        <v/>
      </c>
      <c r="AO242" s="209" t="str">
        <f>IFERROR(VLOOKUP(TableHandbook[[#This Row],[UDC]],TableSTRUCHEMB[],7,FALSE),"")</f>
        <v/>
      </c>
      <c r="AP242" s="209" t="str">
        <f>IFERROR(VLOOKUP(TableHandbook[[#This Row],[UDC]],TableSTRUECOB1[],7,FALSE),"")</f>
        <v/>
      </c>
      <c r="AQ242" s="209" t="str">
        <f>IFERROR(VLOOKUP(TableHandbook[[#This Row],[UDC]],TableSTRUENGLB[],7,FALSE),"")</f>
        <v/>
      </c>
      <c r="AR242" s="209" t="str">
        <f>IFERROR(VLOOKUP(TableHandbook[[#This Row],[UDC]],TableSTRUENGLM[],7,FALSE),"")</f>
        <v/>
      </c>
      <c r="AS242" s="209" t="str">
        <f>IFERROR(VLOOKUP(TableHandbook[[#This Row],[UDC]],TableSTRUGEOB1[],7,FALSE),"")</f>
        <v/>
      </c>
      <c r="AT242" s="209" t="str">
        <f>IFERROR(VLOOKUP(TableHandbook[[#This Row],[UDC]],TableSTRUGEOGM[],7,FALSE),"")</f>
        <v/>
      </c>
      <c r="AU242" s="209" t="str">
        <f>IFERROR(VLOOKUP(TableHandbook[[#This Row],[UDC]],TableSTRUHISB1[],7,FALSE),"")</f>
        <v/>
      </c>
      <c r="AV242" s="209" t="str">
        <f>IFERROR(VLOOKUP(TableHandbook[[#This Row],[UDC]],TableSTRUHISTM[],7,FALSE),"")</f>
        <v/>
      </c>
      <c r="AW242" s="209" t="str">
        <f>IFERROR(VLOOKUP(TableHandbook[[#This Row],[UDC]],TableSTRUHPEB1[],7,FALSE),"")</f>
        <v/>
      </c>
      <c r="AX242" s="209" t="str">
        <f>IFERROR(VLOOKUP(TableHandbook[[#This Row],[UDC]],TableSTRUHUMBB[],7,FALSE),"")</f>
        <v/>
      </c>
      <c r="AY242" s="209" t="str">
        <f>IFERROR(VLOOKUP(TableHandbook[[#This Row],[UDC]],TableSTRUMARTM[],7,FALSE),"")</f>
        <v/>
      </c>
      <c r="AZ242" s="209" t="str">
        <f>IFERROR(VLOOKUP(TableHandbook[[#This Row],[UDC]],TableSTRUMATHB[],7,FALSE),"")</f>
        <v/>
      </c>
      <c r="BA242" s="209" t="str">
        <f>IFERROR(VLOOKUP(TableHandbook[[#This Row],[UDC]],TableSTRUMATHM[],7,FALSE),"")</f>
        <v/>
      </c>
      <c r="BB242" s="209" t="str">
        <f>IFERROR(VLOOKUP(TableHandbook[[#This Row],[UDC]],TableSTRUPARTB[],7,FALSE),"")</f>
        <v/>
      </c>
      <c r="BC242" s="209" t="str">
        <f>IFERROR(VLOOKUP(TableHandbook[[#This Row],[UDC]],TableSTRUPARTM[],7,FALSE),"")</f>
        <v/>
      </c>
      <c r="BD242" s="209" t="str">
        <f>IFERROR(VLOOKUP(TableHandbook[[#This Row],[UDC]],TableSTRUPOLB1[],7,FALSE),"")</f>
        <v/>
      </c>
      <c r="BE242" s="209" t="str">
        <f>IFERROR(VLOOKUP(TableHandbook[[#This Row],[UDC]],TableSTRUPSYCB[],7,FALSE),"")</f>
        <v/>
      </c>
      <c r="BF242" s="209" t="str">
        <f>IFERROR(VLOOKUP(TableHandbook[[#This Row],[UDC]],TableSTRUPSYCM[],7,FALSE),"")</f>
        <v/>
      </c>
      <c r="BG242" s="209" t="str">
        <f>IFERROR(VLOOKUP(TableHandbook[[#This Row],[UDC]],TableSTRUVARTB[],7,FALSE),"")</f>
        <v/>
      </c>
      <c r="BH242" s="209" t="str">
        <f>IFERROR(VLOOKUP(TableHandbook[[#This Row],[UDC]],TableSTRUVARTM[],7,FALSE),"")</f>
        <v/>
      </c>
    </row>
    <row r="243" spans="1:60" x14ac:dyDescent="0.25">
      <c r="A243" s="296" t="s">
        <v>337</v>
      </c>
      <c r="B243" s="7">
        <v>1</v>
      </c>
      <c r="C243" s="7"/>
      <c r="D243" s="207" t="s">
        <v>393</v>
      </c>
      <c r="E243" s="7">
        <v>375</v>
      </c>
      <c r="F243" s="84"/>
      <c r="G243" s="75" t="str">
        <f>IFERROR(IF(VLOOKUP(TableHandbook[[#This Row],[UDC]],TableAvailabilities[],2,FALSE)&gt;0,"Y",""),"")</f>
        <v/>
      </c>
      <c r="H243" s="75" t="str">
        <f>IFERROR(IF(VLOOKUP(TableHandbook[[#This Row],[UDC]],TableAvailabilities[],3,FALSE)&gt;0,"Y",""),"")</f>
        <v/>
      </c>
      <c r="I243" s="75" t="str">
        <f>IFERROR(IF(VLOOKUP(TableHandbook[[#This Row],[UDC]],TableAvailabilities[],4,FALSE)&gt;0,"Y",""),"")</f>
        <v/>
      </c>
      <c r="J243" s="75" t="str">
        <f>IFERROR(IF(VLOOKUP(TableHandbook[[#This Row],[UDC]],TableAvailabilities[],5,FALSE)&gt;0,"Y",""),"")</f>
        <v/>
      </c>
      <c r="K243" s="75" t="str">
        <f>IFERROR(IF(VLOOKUP(TableHandbook[[#This Row],[UDC]],TableAvailabilities[],6,FALSE)&gt;0,"Y",""),"")</f>
        <v/>
      </c>
      <c r="L243" s="75" t="str">
        <f>IFERROR(IF(VLOOKUP(TableHandbook[[#This Row],[UDC]],TableAvailabilities[],7,FALSE)&gt;0,"Y",""),"")</f>
        <v/>
      </c>
      <c r="M243" s="207"/>
      <c r="N243" s="209" t="str">
        <f>IFERROR(VLOOKUP(TableHandbook[[#This Row],[UDC]],TableBEDUC[],7,FALSE),"")</f>
        <v/>
      </c>
      <c r="O243" s="209" t="str">
        <f>IFERROR(VLOOKUP(TableHandbook[[#This Row],[UDC]],TableBEDEC[],7,FALSE),"")</f>
        <v/>
      </c>
      <c r="P243" s="211" t="str">
        <f>IFERROR(VLOOKUP(TableHandbook[[#This Row],[UDC]],TableBEDPR[],7,FALSE),"")</f>
        <v/>
      </c>
      <c r="Q243" s="209" t="str">
        <f>IFERROR(VLOOKUP(TableHandbook[[#This Row],[UDC]],TableSTRUCATHL[],7,FALSE),"")</f>
        <v/>
      </c>
      <c r="R243" s="209" t="str">
        <f>IFERROR(VLOOKUP(TableHandbook[[#This Row],[UDC]],TableSTRUENGLL[],7,FALSE),"")</f>
        <v/>
      </c>
      <c r="S243" s="209" t="str">
        <f>IFERROR(VLOOKUP(TableHandbook[[#This Row],[UDC]],TableSTRUHLTPE[],7,FALSE),"")</f>
        <v/>
      </c>
      <c r="T243" s="209" t="str">
        <f>IFERROR(VLOOKUP(TableHandbook[[#This Row],[UDC]],TableSTRUISTEM[],7,FALSE),"")</f>
        <v/>
      </c>
      <c r="U243" s="209" t="str">
        <f>IFERROR(VLOOKUP(TableHandbook[[#This Row],[UDC]],TableSTRULITNU[],7,FALSE),"")</f>
        <v/>
      </c>
      <c r="V243" s="209" t="str">
        <f>IFERROR(VLOOKUP(TableHandbook[[#This Row],[UDC]],TableSTRUTECHS[],7,FALSE),"")</f>
        <v/>
      </c>
      <c r="W243" s="211" t="str">
        <f>IFERROR(VLOOKUP(TableHandbook[[#This Row],[UDC]],TableBEDSC[],7,FALSE),"")</f>
        <v>AltCore</v>
      </c>
      <c r="X243" s="211" t="str">
        <f>IFERROR(VLOOKUP(TableHandbook[[#This Row],[UDC]],TableMJRUARDR1[],7,FALSE),"")</f>
        <v/>
      </c>
      <c r="Y243" s="209" t="str">
        <f>IFERROR(VLOOKUP(TableHandbook[[#This Row],[UDC]],TableMJRUARME1[],7,FALSE),"")</f>
        <v/>
      </c>
      <c r="Z243" s="209" t="str">
        <f>IFERROR(VLOOKUP(TableHandbook[[#This Row],[UDC]],TableMJRUARVA1[],7,FALSE),"")</f>
        <v/>
      </c>
      <c r="AA243" s="209" t="str">
        <f>IFERROR(VLOOKUP(TableHandbook[[#This Row],[UDC]],TableMJRUENGL1[],7,FALSE),"")</f>
        <v/>
      </c>
      <c r="AB243" s="209" t="str">
        <f>IFERROR(VLOOKUP(TableHandbook[[#This Row],[UDC]],TableMJRUHSEC1[],7,FALSE),"")</f>
        <v/>
      </c>
      <c r="AC243" s="209" t="str">
        <f>IFERROR(VLOOKUP(TableHandbook[[#This Row],[UDC]],TableMJRUHSGE1[],7,FALSE),"")</f>
        <v/>
      </c>
      <c r="AD243" s="209" t="str">
        <f>IFERROR(VLOOKUP(TableHandbook[[#This Row],[UDC]],TableMJRUHSHI1[],7,FALSE),"")</f>
        <v/>
      </c>
      <c r="AE243" s="209" t="str">
        <f>IFERROR(VLOOKUP(TableHandbook[[#This Row],[UDC]],TableMJRUHSPL1[],7,FALSE),"")</f>
        <v/>
      </c>
      <c r="AF243" s="209" t="str">
        <f>IFERROR(VLOOKUP(TableHandbook[[#This Row],[UDC]],TableMJRUMATH1[],7,FALSE),"")</f>
        <v/>
      </c>
      <c r="AG243" s="209" t="str">
        <f>IFERROR(VLOOKUP(TableHandbook[[#This Row],[UDC]],TableMJRUPHYSE[],7,FALSE),"")</f>
        <v/>
      </c>
      <c r="AH243" s="209" t="str">
        <f>IFERROR(VLOOKUP(TableHandbook[[#This Row],[UDC]],TableMJRUSCBI1[],7,FALSE),"")</f>
        <v/>
      </c>
      <c r="AI243" s="209" t="str">
        <f>IFERROR(VLOOKUP(TableHandbook[[#This Row],[UDC]],TableMJRUSCCH1[],7,FALSE),"")</f>
        <v/>
      </c>
      <c r="AJ243" s="209" t="str">
        <f>IFERROR(VLOOKUP(TableHandbook[[#This Row],[UDC]],TableMJRUSCHB1[],7,FALSE),"")</f>
        <v/>
      </c>
      <c r="AK243" s="209" t="str">
        <f>IFERROR(VLOOKUP(TableHandbook[[#This Row],[UDC]],TableMJRUSCPH1[],7,FALSE),"")</f>
        <v/>
      </c>
      <c r="AL243" s="209" t="str">
        <f>IFERROR(VLOOKUP(TableHandbook[[#This Row],[UDC]],TableMJRUSCPS1[],7,FALSE),"")</f>
        <v/>
      </c>
      <c r="AM243" s="211" t="str">
        <f>IFERROR(VLOOKUP(TableHandbook[[#This Row],[UDC]],TableSTRUBIOLB[],7,FALSE),"")</f>
        <v/>
      </c>
      <c r="AN243" s="209" t="str">
        <f>IFERROR(VLOOKUP(TableHandbook[[#This Row],[UDC]],TableSTRUBSCIM[],7,FALSE),"")</f>
        <v/>
      </c>
      <c r="AO243" s="209" t="str">
        <f>IFERROR(VLOOKUP(TableHandbook[[#This Row],[UDC]],TableSTRUCHEMB[],7,FALSE),"")</f>
        <v/>
      </c>
      <c r="AP243" s="209" t="str">
        <f>IFERROR(VLOOKUP(TableHandbook[[#This Row],[UDC]],TableSTRUECOB1[],7,FALSE),"")</f>
        <v/>
      </c>
      <c r="AQ243" s="209" t="str">
        <f>IFERROR(VLOOKUP(TableHandbook[[#This Row],[UDC]],TableSTRUENGLB[],7,FALSE),"")</f>
        <v/>
      </c>
      <c r="AR243" s="209" t="str">
        <f>IFERROR(VLOOKUP(TableHandbook[[#This Row],[UDC]],TableSTRUENGLM[],7,FALSE),"")</f>
        <v/>
      </c>
      <c r="AS243" s="209" t="str">
        <f>IFERROR(VLOOKUP(TableHandbook[[#This Row],[UDC]],TableSTRUGEOB1[],7,FALSE),"")</f>
        <v/>
      </c>
      <c r="AT243" s="209" t="str">
        <f>IFERROR(VLOOKUP(TableHandbook[[#This Row],[UDC]],TableSTRUGEOGM[],7,FALSE),"")</f>
        <v/>
      </c>
      <c r="AU243" s="209" t="str">
        <f>IFERROR(VLOOKUP(TableHandbook[[#This Row],[UDC]],TableSTRUHISB1[],7,FALSE),"")</f>
        <v/>
      </c>
      <c r="AV243" s="209" t="str">
        <f>IFERROR(VLOOKUP(TableHandbook[[#This Row],[UDC]],TableSTRUHISTM[],7,FALSE),"")</f>
        <v/>
      </c>
      <c r="AW243" s="209" t="str">
        <f>IFERROR(VLOOKUP(TableHandbook[[#This Row],[UDC]],TableSTRUHPEB1[],7,FALSE),"")</f>
        <v/>
      </c>
      <c r="AX243" s="209" t="str">
        <f>IFERROR(VLOOKUP(TableHandbook[[#This Row],[UDC]],TableSTRUHUMBB[],7,FALSE),"")</f>
        <v/>
      </c>
      <c r="AY243" s="209" t="str">
        <f>IFERROR(VLOOKUP(TableHandbook[[#This Row],[UDC]],TableSTRUMARTM[],7,FALSE),"")</f>
        <v/>
      </c>
      <c r="AZ243" s="209" t="str">
        <f>IFERROR(VLOOKUP(TableHandbook[[#This Row],[UDC]],TableSTRUMATHB[],7,FALSE),"")</f>
        <v/>
      </c>
      <c r="BA243" s="209" t="str">
        <f>IFERROR(VLOOKUP(TableHandbook[[#This Row],[UDC]],TableSTRUMATHM[],7,FALSE),"")</f>
        <v/>
      </c>
      <c r="BB243" s="209" t="str">
        <f>IFERROR(VLOOKUP(TableHandbook[[#This Row],[UDC]],TableSTRUPARTB[],7,FALSE),"")</f>
        <v/>
      </c>
      <c r="BC243" s="209" t="str">
        <f>IFERROR(VLOOKUP(TableHandbook[[#This Row],[UDC]],TableSTRUPARTM[],7,FALSE),"")</f>
        <v/>
      </c>
      <c r="BD243" s="209" t="str">
        <f>IFERROR(VLOOKUP(TableHandbook[[#This Row],[UDC]],TableSTRUPOLB1[],7,FALSE),"")</f>
        <v/>
      </c>
      <c r="BE243" s="209" t="str">
        <f>IFERROR(VLOOKUP(TableHandbook[[#This Row],[UDC]],TableSTRUPSYCB[],7,FALSE),"")</f>
        <v/>
      </c>
      <c r="BF243" s="209" t="str">
        <f>IFERROR(VLOOKUP(TableHandbook[[#This Row],[UDC]],TableSTRUPSYCM[],7,FALSE),"")</f>
        <v/>
      </c>
      <c r="BG243" s="209" t="str">
        <f>IFERROR(VLOOKUP(TableHandbook[[#This Row],[UDC]],TableSTRUVARTB[],7,FALSE),"")</f>
        <v/>
      </c>
      <c r="BH243" s="209" t="str">
        <f>IFERROR(VLOOKUP(TableHandbook[[#This Row],[UDC]],TableSTRUVARTM[],7,FALSE),"")</f>
        <v/>
      </c>
    </row>
    <row r="244" spans="1:60" x14ac:dyDescent="0.25">
      <c r="A244" s="296" t="s">
        <v>338</v>
      </c>
      <c r="B244" s="7">
        <v>1</v>
      </c>
      <c r="C244" s="7"/>
      <c r="D244" s="207" t="s">
        <v>394</v>
      </c>
      <c r="E244" s="7">
        <v>375</v>
      </c>
      <c r="F244" s="84"/>
      <c r="G244" s="75" t="str">
        <f>IFERROR(IF(VLOOKUP(TableHandbook[[#This Row],[UDC]],TableAvailabilities[],2,FALSE)&gt;0,"Y",""),"")</f>
        <v/>
      </c>
      <c r="H244" s="75" t="str">
        <f>IFERROR(IF(VLOOKUP(TableHandbook[[#This Row],[UDC]],TableAvailabilities[],3,FALSE)&gt;0,"Y",""),"")</f>
        <v/>
      </c>
      <c r="I244" s="75" t="str">
        <f>IFERROR(IF(VLOOKUP(TableHandbook[[#This Row],[UDC]],TableAvailabilities[],4,FALSE)&gt;0,"Y",""),"")</f>
        <v/>
      </c>
      <c r="J244" s="75" t="str">
        <f>IFERROR(IF(VLOOKUP(TableHandbook[[#This Row],[UDC]],TableAvailabilities[],5,FALSE)&gt;0,"Y",""),"")</f>
        <v/>
      </c>
      <c r="K244" s="75" t="str">
        <f>IFERROR(IF(VLOOKUP(TableHandbook[[#This Row],[UDC]],TableAvailabilities[],6,FALSE)&gt;0,"Y",""),"")</f>
        <v/>
      </c>
      <c r="L244" s="75" t="str">
        <f>IFERROR(IF(VLOOKUP(TableHandbook[[#This Row],[UDC]],TableAvailabilities[],7,FALSE)&gt;0,"Y",""),"")</f>
        <v/>
      </c>
      <c r="M244" s="207"/>
      <c r="N244" s="209" t="str">
        <f>IFERROR(VLOOKUP(TableHandbook[[#This Row],[UDC]],TableBEDUC[],7,FALSE),"")</f>
        <v/>
      </c>
      <c r="O244" s="209" t="str">
        <f>IFERROR(VLOOKUP(TableHandbook[[#This Row],[UDC]],TableBEDEC[],7,FALSE),"")</f>
        <v/>
      </c>
      <c r="P244" s="211" t="str">
        <f>IFERROR(VLOOKUP(TableHandbook[[#This Row],[UDC]],TableBEDPR[],7,FALSE),"")</f>
        <v/>
      </c>
      <c r="Q244" s="209" t="str">
        <f>IFERROR(VLOOKUP(TableHandbook[[#This Row],[UDC]],TableSTRUCATHL[],7,FALSE),"")</f>
        <v/>
      </c>
      <c r="R244" s="209" t="str">
        <f>IFERROR(VLOOKUP(TableHandbook[[#This Row],[UDC]],TableSTRUENGLL[],7,FALSE),"")</f>
        <v/>
      </c>
      <c r="S244" s="209" t="str">
        <f>IFERROR(VLOOKUP(TableHandbook[[#This Row],[UDC]],TableSTRUHLTPE[],7,FALSE),"")</f>
        <v/>
      </c>
      <c r="T244" s="209" t="str">
        <f>IFERROR(VLOOKUP(TableHandbook[[#This Row],[UDC]],TableSTRUISTEM[],7,FALSE),"")</f>
        <v/>
      </c>
      <c r="U244" s="209" t="str">
        <f>IFERROR(VLOOKUP(TableHandbook[[#This Row],[UDC]],TableSTRULITNU[],7,FALSE),"")</f>
        <v/>
      </c>
      <c r="V244" s="209" t="str">
        <f>IFERROR(VLOOKUP(TableHandbook[[#This Row],[UDC]],TableSTRUTECHS[],7,FALSE),"")</f>
        <v/>
      </c>
      <c r="W244" s="211" t="str">
        <f>IFERROR(VLOOKUP(TableHandbook[[#This Row],[UDC]],TableBEDSC[],7,FALSE),"")</f>
        <v>AltCore</v>
      </c>
      <c r="X244" s="211" t="str">
        <f>IFERROR(VLOOKUP(TableHandbook[[#This Row],[UDC]],TableMJRUARDR1[],7,FALSE),"")</f>
        <v/>
      </c>
      <c r="Y244" s="209" t="str">
        <f>IFERROR(VLOOKUP(TableHandbook[[#This Row],[UDC]],TableMJRUARME1[],7,FALSE),"")</f>
        <v/>
      </c>
      <c r="Z244" s="209" t="str">
        <f>IFERROR(VLOOKUP(TableHandbook[[#This Row],[UDC]],TableMJRUARVA1[],7,FALSE),"")</f>
        <v/>
      </c>
      <c r="AA244" s="209" t="str">
        <f>IFERROR(VLOOKUP(TableHandbook[[#This Row],[UDC]],TableMJRUENGL1[],7,FALSE),"")</f>
        <v/>
      </c>
      <c r="AB244" s="209" t="str">
        <f>IFERROR(VLOOKUP(TableHandbook[[#This Row],[UDC]],TableMJRUHSEC1[],7,FALSE),"")</f>
        <v/>
      </c>
      <c r="AC244" s="209" t="str">
        <f>IFERROR(VLOOKUP(TableHandbook[[#This Row],[UDC]],TableMJRUHSGE1[],7,FALSE),"")</f>
        <v/>
      </c>
      <c r="AD244" s="209" t="str">
        <f>IFERROR(VLOOKUP(TableHandbook[[#This Row],[UDC]],TableMJRUHSHI1[],7,FALSE),"")</f>
        <v/>
      </c>
      <c r="AE244" s="209" t="str">
        <f>IFERROR(VLOOKUP(TableHandbook[[#This Row],[UDC]],TableMJRUHSPL1[],7,FALSE),"")</f>
        <v/>
      </c>
      <c r="AF244" s="209" t="str">
        <f>IFERROR(VLOOKUP(TableHandbook[[#This Row],[UDC]],TableMJRUMATH1[],7,FALSE),"")</f>
        <v/>
      </c>
      <c r="AG244" s="209" t="str">
        <f>IFERROR(VLOOKUP(TableHandbook[[#This Row],[UDC]],TableMJRUPHYSE[],7,FALSE),"")</f>
        <v/>
      </c>
      <c r="AH244" s="209" t="str">
        <f>IFERROR(VLOOKUP(TableHandbook[[#This Row],[UDC]],TableMJRUSCBI1[],7,FALSE),"")</f>
        <v/>
      </c>
      <c r="AI244" s="209" t="str">
        <f>IFERROR(VLOOKUP(TableHandbook[[#This Row],[UDC]],TableMJRUSCCH1[],7,FALSE),"")</f>
        <v/>
      </c>
      <c r="AJ244" s="209" t="str">
        <f>IFERROR(VLOOKUP(TableHandbook[[#This Row],[UDC]],TableMJRUSCHB1[],7,FALSE),"")</f>
        <v/>
      </c>
      <c r="AK244" s="209" t="str">
        <f>IFERROR(VLOOKUP(TableHandbook[[#This Row],[UDC]],TableMJRUSCPH1[],7,FALSE),"")</f>
        <v/>
      </c>
      <c r="AL244" s="209" t="str">
        <f>IFERROR(VLOOKUP(TableHandbook[[#This Row],[UDC]],TableMJRUSCPS1[],7,FALSE),"")</f>
        <v/>
      </c>
      <c r="AM244" s="211" t="str">
        <f>IFERROR(VLOOKUP(TableHandbook[[#This Row],[UDC]],TableSTRUBIOLB[],7,FALSE),"")</f>
        <v/>
      </c>
      <c r="AN244" s="209" t="str">
        <f>IFERROR(VLOOKUP(TableHandbook[[#This Row],[UDC]],TableSTRUBSCIM[],7,FALSE),"")</f>
        <v/>
      </c>
      <c r="AO244" s="209" t="str">
        <f>IFERROR(VLOOKUP(TableHandbook[[#This Row],[UDC]],TableSTRUCHEMB[],7,FALSE),"")</f>
        <v/>
      </c>
      <c r="AP244" s="209" t="str">
        <f>IFERROR(VLOOKUP(TableHandbook[[#This Row],[UDC]],TableSTRUECOB1[],7,FALSE),"")</f>
        <v/>
      </c>
      <c r="AQ244" s="209" t="str">
        <f>IFERROR(VLOOKUP(TableHandbook[[#This Row],[UDC]],TableSTRUENGLB[],7,FALSE),"")</f>
        <v/>
      </c>
      <c r="AR244" s="209" t="str">
        <f>IFERROR(VLOOKUP(TableHandbook[[#This Row],[UDC]],TableSTRUENGLM[],7,FALSE),"")</f>
        <v/>
      </c>
      <c r="AS244" s="209" t="str">
        <f>IFERROR(VLOOKUP(TableHandbook[[#This Row],[UDC]],TableSTRUGEOB1[],7,FALSE),"")</f>
        <v/>
      </c>
      <c r="AT244" s="209" t="str">
        <f>IFERROR(VLOOKUP(TableHandbook[[#This Row],[UDC]],TableSTRUGEOGM[],7,FALSE),"")</f>
        <v/>
      </c>
      <c r="AU244" s="209" t="str">
        <f>IFERROR(VLOOKUP(TableHandbook[[#This Row],[UDC]],TableSTRUHISB1[],7,FALSE),"")</f>
        <v/>
      </c>
      <c r="AV244" s="209" t="str">
        <f>IFERROR(VLOOKUP(TableHandbook[[#This Row],[UDC]],TableSTRUHISTM[],7,FALSE),"")</f>
        <v/>
      </c>
      <c r="AW244" s="209" t="str">
        <f>IFERROR(VLOOKUP(TableHandbook[[#This Row],[UDC]],TableSTRUHPEB1[],7,FALSE),"")</f>
        <v/>
      </c>
      <c r="AX244" s="209" t="str">
        <f>IFERROR(VLOOKUP(TableHandbook[[#This Row],[UDC]],TableSTRUHUMBB[],7,FALSE),"")</f>
        <v/>
      </c>
      <c r="AY244" s="209" t="str">
        <f>IFERROR(VLOOKUP(TableHandbook[[#This Row],[UDC]],TableSTRUMARTM[],7,FALSE),"")</f>
        <v/>
      </c>
      <c r="AZ244" s="209" t="str">
        <f>IFERROR(VLOOKUP(TableHandbook[[#This Row],[UDC]],TableSTRUMATHB[],7,FALSE),"")</f>
        <v/>
      </c>
      <c r="BA244" s="209" t="str">
        <f>IFERROR(VLOOKUP(TableHandbook[[#This Row],[UDC]],TableSTRUMATHM[],7,FALSE),"")</f>
        <v/>
      </c>
      <c r="BB244" s="209" t="str">
        <f>IFERROR(VLOOKUP(TableHandbook[[#This Row],[UDC]],TableSTRUPARTB[],7,FALSE),"")</f>
        <v/>
      </c>
      <c r="BC244" s="209" t="str">
        <f>IFERROR(VLOOKUP(TableHandbook[[#This Row],[UDC]],TableSTRUPARTM[],7,FALSE),"")</f>
        <v/>
      </c>
      <c r="BD244" s="209" t="str">
        <f>IFERROR(VLOOKUP(TableHandbook[[#This Row],[UDC]],TableSTRUPOLB1[],7,FALSE),"")</f>
        <v/>
      </c>
      <c r="BE244" s="209" t="str">
        <f>IFERROR(VLOOKUP(TableHandbook[[#This Row],[UDC]],TableSTRUPSYCB[],7,FALSE),"")</f>
        <v/>
      </c>
      <c r="BF244" s="209" t="str">
        <f>IFERROR(VLOOKUP(TableHandbook[[#This Row],[UDC]],TableSTRUPSYCM[],7,FALSE),"")</f>
        <v/>
      </c>
      <c r="BG244" s="209" t="str">
        <f>IFERROR(VLOOKUP(TableHandbook[[#This Row],[UDC]],TableSTRUVARTB[],7,FALSE),"")</f>
        <v/>
      </c>
      <c r="BH244" s="209" t="str">
        <f>IFERROR(VLOOKUP(TableHandbook[[#This Row],[UDC]],TableSTRUVARTM[],7,FALSE),"")</f>
        <v/>
      </c>
    </row>
    <row r="245" spans="1:60" x14ac:dyDescent="0.25">
      <c r="A245" s="296" t="s">
        <v>339</v>
      </c>
      <c r="B245" s="7">
        <v>1</v>
      </c>
      <c r="C245" s="7"/>
      <c r="D245" s="207" t="s">
        <v>203</v>
      </c>
      <c r="E245" s="7">
        <v>375</v>
      </c>
      <c r="F245" s="84"/>
      <c r="G245" s="75" t="str">
        <f>IFERROR(IF(VLOOKUP(TableHandbook[[#This Row],[UDC]],TableAvailabilities[],2,FALSE)&gt;0,"Y",""),"")</f>
        <v/>
      </c>
      <c r="H245" s="75" t="str">
        <f>IFERROR(IF(VLOOKUP(TableHandbook[[#This Row],[UDC]],TableAvailabilities[],3,FALSE)&gt;0,"Y",""),"")</f>
        <v/>
      </c>
      <c r="I245" s="75" t="str">
        <f>IFERROR(IF(VLOOKUP(TableHandbook[[#This Row],[UDC]],TableAvailabilities[],4,FALSE)&gt;0,"Y",""),"")</f>
        <v/>
      </c>
      <c r="J245" s="75" t="str">
        <f>IFERROR(IF(VLOOKUP(TableHandbook[[#This Row],[UDC]],TableAvailabilities[],5,FALSE)&gt;0,"Y",""),"")</f>
        <v/>
      </c>
      <c r="K245" s="75" t="str">
        <f>IFERROR(IF(VLOOKUP(TableHandbook[[#This Row],[UDC]],TableAvailabilities[],6,FALSE)&gt;0,"Y",""),"")</f>
        <v/>
      </c>
      <c r="L245" s="75" t="str">
        <f>IFERROR(IF(VLOOKUP(TableHandbook[[#This Row],[UDC]],TableAvailabilities[],7,FALSE)&gt;0,"Y",""),"")</f>
        <v/>
      </c>
      <c r="M245" s="207"/>
      <c r="N245" s="209" t="str">
        <f>IFERROR(VLOOKUP(TableHandbook[[#This Row],[UDC]],TableBEDUC[],7,FALSE),"")</f>
        <v/>
      </c>
      <c r="O245" s="209" t="str">
        <f>IFERROR(VLOOKUP(TableHandbook[[#This Row],[UDC]],TableBEDEC[],7,FALSE),"")</f>
        <v/>
      </c>
      <c r="P245" s="211" t="str">
        <f>IFERROR(VLOOKUP(TableHandbook[[#This Row],[UDC]],TableBEDPR[],7,FALSE),"")</f>
        <v/>
      </c>
      <c r="Q245" s="209" t="str">
        <f>IFERROR(VLOOKUP(TableHandbook[[#This Row],[UDC]],TableSTRUCATHL[],7,FALSE),"")</f>
        <v/>
      </c>
      <c r="R245" s="209" t="str">
        <f>IFERROR(VLOOKUP(TableHandbook[[#This Row],[UDC]],TableSTRUENGLL[],7,FALSE),"")</f>
        <v/>
      </c>
      <c r="S245" s="209" t="str">
        <f>IFERROR(VLOOKUP(TableHandbook[[#This Row],[UDC]],TableSTRUHLTPE[],7,FALSE),"")</f>
        <v/>
      </c>
      <c r="T245" s="209" t="str">
        <f>IFERROR(VLOOKUP(TableHandbook[[#This Row],[UDC]],TableSTRUISTEM[],7,FALSE),"")</f>
        <v/>
      </c>
      <c r="U245" s="209" t="str">
        <f>IFERROR(VLOOKUP(TableHandbook[[#This Row],[UDC]],TableSTRULITNU[],7,FALSE),"")</f>
        <v/>
      </c>
      <c r="V245" s="209" t="str">
        <f>IFERROR(VLOOKUP(TableHandbook[[#This Row],[UDC]],TableSTRUTECHS[],7,FALSE),"")</f>
        <v/>
      </c>
      <c r="W245" s="211" t="str">
        <f>IFERROR(VLOOKUP(TableHandbook[[#This Row],[UDC]],TableBEDSC[],7,FALSE),"")</f>
        <v>AltCore</v>
      </c>
      <c r="X245" s="211" t="str">
        <f>IFERROR(VLOOKUP(TableHandbook[[#This Row],[UDC]],TableMJRUARDR1[],7,FALSE),"")</f>
        <v/>
      </c>
      <c r="Y245" s="209" t="str">
        <f>IFERROR(VLOOKUP(TableHandbook[[#This Row],[UDC]],TableMJRUARME1[],7,FALSE),"")</f>
        <v/>
      </c>
      <c r="Z245" s="209" t="str">
        <f>IFERROR(VLOOKUP(TableHandbook[[#This Row],[UDC]],TableMJRUARVA1[],7,FALSE),"")</f>
        <v/>
      </c>
      <c r="AA245" s="209" t="str">
        <f>IFERROR(VLOOKUP(TableHandbook[[#This Row],[UDC]],TableMJRUENGL1[],7,FALSE),"")</f>
        <v/>
      </c>
      <c r="AB245" s="209" t="str">
        <f>IFERROR(VLOOKUP(TableHandbook[[#This Row],[UDC]],TableMJRUHSEC1[],7,FALSE),"")</f>
        <v/>
      </c>
      <c r="AC245" s="209" t="str">
        <f>IFERROR(VLOOKUP(TableHandbook[[#This Row],[UDC]],TableMJRUHSGE1[],7,FALSE),"")</f>
        <v/>
      </c>
      <c r="AD245" s="209" t="str">
        <f>IFERROR(VLOOKUP(TableHandbook[[#This Row],[UDC]],TableMJRUHSHI1[],7,FALSE),"")</f>
        <v/>
      </c>
      <c r="AE245" s="209" t="str">
        <f>IFERROR(VLOOKUP(TableHandbook[[#This Row],[UDC]],TableMJRUHSPL1[],7,FALSE),"")</f>
        <v/>
      </c>
      <c r="AF245" s="209" t="str">
        <f>IFERROR(VLOOKUP(TableHandbook[[#This Row],[UDC]],TableMJRUMATH1[],7,FALSE),"")</f>
        <v/>
      </c>
      <c r="AG245" s="209" t="str">
        <f>IFERROR(VLOOKUP(TableHandbook[[#This Row],[UDC]],TableMJRUPHYSE[],7,FALSE),"")</f>
        <v/>
      </c>
      <c r="AH245" s="209" t="str">
        <f>IFERROR(VLOOKUP(TableHandbook[[#This Row],[UDC]],TableMJRUSCBI1[],7,FALSE),"")</f>
        <v/>
      </c>
      <c r="AI245" s="209" t="str">
        <f>IFERROR(VLOOKUP(TableHandbook[[#This Row],[UDC]],TableMJRUSCCH1[],7,FALSE),"")</f>
        <v/>
      </c>
      <c r="AJ245" s="209" t="str">
        <f>IFERROR(VLOOKUP(TableHandbook[[#This Row],[UDC]],TableMJRUSCHB1[],7,FALSE),"")</f>
        <v/>
      </c>
      <c r="AK245" s="209" t="str">
        <f>IFERROR(VLOOKUP(TableHandbook[[#This Row],[UDC]],TableMJRUSCPH1[],7,FALSE),"")</f>
        <v/>
      </c>
      <c r="AL245" s="209" t="str">
        <f>IFERROR(VLOOKUP(TableHandbook[[#This Row],[UDC]],TableMJRUSCPS1[],7,FALSE),"")</f>
        <v/>
      </c>
      <c r="AM245" s="211" t="str">
        <f>IFERROR(VLOOKUP(TableHandbook[[#This Row],[UDC]],TableSTRUBIOLB[],7,FALSE),"")</f>
        <v/>
      </c>
      <c r="AN245" s="209" t="str">
        <f>IFERROR(VLOOKUP(TableHandbook[[#This Row],[UDC]],TableSTRUBSCIM[],7,FALSE),"")</f>
        <v/>
      </c>
      <c r="AO245" s="209" t="str">
        <f>IFERROR(VLOOKUP(TableHandbook[[#This Row],[UDC]],TableSTRUCHEMB[],7,FALSE),"")</f>
        <v/>
      </c>
      <c r="AP245" s="209" t="str">
        <f>IFERROR(VLOOKUP(TableHandbook[[#This Row],[UDC]],TableSTRUECOB1[],7,FALSE),"")</f>
        <v/>
      </c>
      <c r="AQ245" s="209" t="str">
        <f>IFERROR(VLOOKUP(TableHandbook[[#This Row],[UDC]],TableSTRUENGLB[],7,FALSE),"")</f>
        <v/>
      </c>
      <c r="AR245" s="209" t="str">
        <f>IFERROR(VLOOKUP(TableHandbook[[#This Row],[UDC]],TableSTRUENGLM[],7,FALSE),"")</f>
        <v/>
      </c>
      <c r="AS245" s="209" t="str">
        <f>IFERROR(VLOOKUP(TableHandbook[[#This Row],[UDC]],TableSTRUGEOB1[],7,FALSE),"")</f>
        <v/>
      </c>
      <c r="AT245" s="209" t="str">
        <f>IFERROR(VLOOKUP(TableHandbook[[#This Row],[UDC]],TableSTRUGEOGM[],7,FALSE),"")</f>
        <v/>
      </c>
      <c r="AU245" s="209" t="str">
        <f>IFERROR(VLOOKUP(TableHandbook[[#This Row],[UDC]],TableSTRUHISB1[],7,FALSE),"")</f>
        <v/>
      </c>
      <c r="AV245" s="209" t="str">
        <f>IFERROR(VLOOKUP(TableHandbook[[#This Row],[UDC]],TableSTRUHISTM[],7,FALSE),"")</f>
        <v/>
      </c>
      <c r="AW245" s="209" t="str">
        <f>IFERROR(VLOOKUP(TableHandbook[[#This Row],[UDC]],TableSTRUHPEB1[],7,FALSE),"")</f>
        <v/>
      </c>
      <c r="AX245" s="209" t="str">
        <f>IFERROR(VLOOKUP(TableHandbook[[#This Row],[UDC]],TableSTRUHUMBB[],7,FALSE),"")</f>
        <v/>
      </c>
      <c r="AY245" s="209" t="str">
        <f>IFERROR(VLOOKUP(TableHandbook[[#This Row],[UDC]],TableSTRUMARTM[],7,FALSE),"")</f>
        <v/>
      </c>
      <c r="AZ245" s="209" t="str">
        <f>IFERROR(VLOOKUP(TableHandbook[[#This Row],[UDC]],TableSTRUMATHB[],7,FALSE),"")</f>
        <v/>
      </c>
      <c r="BA245" s="209" t="str">
        <f>IFERROR(VLOOKUP(TableHandbook[[#This Row],[UDC]],TableSTRUMATHM[],7,FALSE),"")</f>
        <v/>
      </c>
      <c r="BB245" s="209" t="str">
        <f>IFERROR(VLOOKUP(TableHandbook[[#This Row],[UDC]],TableSTRUPARTB[],7,FALSE),"")</f>
        <v/>
      </c>
      <c r="BC245" s="209" t="str">
        <f>IFERROR(VLOOKUP(TableHandbook[[#This Row],[UDC]],TableSTRUPARTM[],7,FALSE),"")</f>
        <v/>
      </c>
      <c r="BD245" s="209" t="str">
        <f>IFERROR(VLOOKUP(TableHandbook[[#This Row],[UDC]],TableSTRUPOLB1[],7,FALSE),"")</f>
        <v/>
      </c>
      <c r="BE245" s="209" t="str">
        <f>IFERROR(VLOOKUP(TableHandbook[[#This Row],[UDC]],TableSTRUPSYCB[],7,FALSE),"")</f>
        <v/>
      </c>
      <c r="BF245" s="209" t="str">
        <f>IFERROR(VLOOKUP(TableHandbook[[#This Row],[UDC]],TableSTRUPSYCM[],7,FALSE),"")</f>
        <v/>
      </c>
      <c r="BG245" s="209" t="str">
        <f>IFERROR(VLOOKUP(TableHandbook[[#This Row],[UDC]],TableSTRUVARTB[],7,FALSE),"")</f>
        <v/>
      </c>
      <c r="BH245" s="209" t="str">
        <f>IFERROR(VLOOKUP(TableHandbook[[#This Row],[UDC]],TableSTRUVARTM[],7,FALSE),"")</f>
        <v/>
      </c>
    </row>
    <row r="246" spans="1:60" x14ac:dyDescent="0.25">
      <c r="A246" s="296" t="s">
        <v>340</v>
      </c>
      <c r="B246" s="7">
        <v>1</v>
      </c>
      <c r="C246" s="7"/>
      <c r="D246" s="207" t="s">
        <v>377</v>
      </c>
      <c r="E246" s="7">
        <v>375</v>
      </c>
      <c r="F246" s="84"/>
      <c r="G246" s="75" t="str">
        <f>IFERROR(IF(VLOOKUP(TableHandbook[[#This Row],[UDC]],TableAvailabilities[],2,FALSE)&gt;0,"Y",""),"")</f>
        <v/>
      </c>
      <c r="H246" s="75" t="str">
        <f>IFERROR(IF(VLOOKUP(TableHandbook[[#This Row],[UDC]],TableAvailabilities[],3,FALSE)&gt;0,"Y",""),"")</f>
        <v/>
      </c>
      <c r="I246" s="75" t="str">
        <f>IFERROR(IF(VLOOKUP(TableHandbook[[#This Row],[UDC]],TableAvailabilities[],4,FALSE)&gt;0,"Y",""),"")</f>
        <v/>
      </c>
      <c r="J246" s="75" t="str">
        <f>IFERROR(IF(VLOOKUP(TableHandbook[[#This Row],[UDC]],TableAvailabilities[],5,FALSE)&gt;0,"Y",""),"")</f>
        <v/>
      </c>
      <c r="K246" s="75" t="str">
        <f>IFERROR(IF(VLOOKUP(TableHandbook[[#This Row],[UDC]],TableAvailabilities[],6,FALSE)&gt;0,"Y",""),"")</f>
        <v/>
      </c>
      <c r="L246" s="75" t="str">
        <f>IFERROR(IF(VLOOKUP(TableHandbook[[#This Row],[UDC]],TableAvailabilities[],7,FALSE)&gt;0,"Y",""),"")</f>
        <v/>
      </c>
      <c r="M246" s="207"/>
      <c r="N246" s="209" t="str">
        <f>IFERROR(VLOOKUP(TableHandbook[[#This Row],[UDC]],TableBEDUC[],7,FALSE),"")</f>
        <v/>
      </c>
      <c r="O246" s="209" t="str">
        <f>IFERROR(VLOOKUP(TableHandbook[[#This Row],[UDC]],TableBEDEC[],7,FALSE),"")</f>
        <v/>
      </c>
      <c r="P246" s="211" t="str">
        <f>IFERROR(VLOOKUP(TableHandbook[[#This Row],[UDC]],TableBEDPR[],7,FALSE),"")</f>
        <v/>
      </c>
      <c r="Q246" s="209" t="str">
        <f>IFERROR(VLOOKUP(TableHandbook[[#This Row],[UDC]],TableSTRUCATHL[],7,FALSE),"")</f>
        <v/>
      </c>
      <c r="R246" s="209" t="str">
        <f>IFERROR(VLOOKUP(TableHandbook[[#This Row],[UDC]],TableSTRUENGLL[],7,FALSE),"")</f>
        <v/>
      </c>
      <c r="S246" s="209" t="str">
        <f>IFERROR(VLOOKUP(TableHandbook[[#This Row],[UDC]],TableSTRUHLTPE[],7,FALSE),"")</f>
        <v/>
      </c>
      <c r="T246" s="209" t="str">
        <f>IFERROR(VLOOKUP(TableHandbook[[#This Row],[UDC]],TableSTRUISTEM[],7,FALSE),"")</f>
        <v/>
      </c>
      <c r="U246" s="209" t="str">
        <f>IFERROR(VLOOKUP(TableHandbook[[#This Row],[UDC]],TableSTRULITNU[],7,FALSE),"")</f>
        <v/>
      </c>
      <c r="V246" s="209" t="str">
        <f>IFERROR(VLOOKUP(TableHandbook[[#This Row],[UDC]],TableSTRUTECHS[],7,FALSE),"")</f>
        <v/>
      </c>
      <c r="W246" s="211" t="str">
        <f>IFERROR(VLOOKUP(TableHandbook[[#This Row],[UDC]],TableBEDSC[],7,FALSE),"")</f>
        <v>AltCore</v>
      </c>
      <c r="X246" s="211" t="str">
        <f>IFERROR(VLOOKUP(TableHandbook[[#This Row],[UDC]],TableMJRUARDR1[],7,FALSE),"")</f>
        <v/>
      </c>
      <c r="Y246" s="209" t="str">
        <f>IFERROR(VLOOKUP(TableHandbook[[#This Row],[UDC]],TableMJRUARME1[],7,FALSE),"")</f>
        <v/>
      </c>
      <c r="Z246" s="209" t="str">
        <f>IFERROR(VLOOKUP(TableHandbook[[#This Row],[UDC]],TableMJRUARVA1[],7,FALSE),"")</f>
        <v/>
      </c>
      <c r="AA246" s="209" t="str">
        <f>IFERROR(VLOOKUP(TableHandbook[[#This Row],[UDC]],TableMJRUENGL1[],7,FALSE),"")</f>
        <v/>
      </c>
      <c r="AB246" s="209" t="str">
        <f>IFERROR(VLOOKUP(TableHandbook[[#This Row],[UDC]],TableMJRUHSEC1[],7,FALSE),"")</f>
        <v/>
      </c>
      <c r="AC246" s="209" t="str">
        <f>IFERROR(VLOOKUP(TableHandbook[[#This Row],[UDC]],TableMJRUHSGE1[],7,FALSE),"")</f>
        <v/>
      </c>
      <c r="AD246" s="209" t="str">
        <f>IFERROR(VLOOKUP(TableHandbook[[#This Row],[UDC]],TableMJRUHSHI1[],7,FALSE),"")</f>
        <v/>
      </c>
      <c r="AE246" s="209" t="str">
        <f>IFERROR(VLOOKUP(TableHandbook[[#This Row],[UDC]],TableMJRUHSPL1[],7,FALSE),"")</f>
        <v/>
      </c>
      <c r="AF246" s="209" t="str">
        <f>IFERROR(VLOOKUP(TableHandbook[[#This Row],[UDC]],TableMJRUMATH1[],7,FALSE),"")</f>
        <v/>
      </c>
      <c r="AG246" s="209" t="str">
        <f>IFERROR(VLOOKUP(TableHandbook[[#This Row],[UDC]],TableMJRUPHYSE[],7,FALSE),"")</f>
        <v/>
      </c>
      <c r="AH246" s="209" t="str">
        <f>IFERROR(VLOOKUP(TableHandbook[[#This Row],[UDC]],TableMJRUSCBI1[],7,FALSE),"")</f>
        <v/>
      </c>
      <c r="AI246" s="209" t="str">
        <f>IFERROR(VLOOKUP(TableHandbook[[#This Row],[UDC]],TableMJRUSCCH1[],7,FALSE),"")</f>
        <v/>
      </c>
      <c r="AJ246" s="209" t="str">
        <f>IFERROR(VLOOKUP(TableHandbook[[#This Row],[UDC]],TableMJRUSCHB1[],7,FALSE),"")</f>
        <v/>
      </c>
      <c r="AK246" s="209" t="str">
        <f>IFERROR(VLOOKUP(TableHandbook[[#This Row],[UDC]],TableMJRUSCPH1[],7,FALSE),"")</f>
        <v/>
      </c>
      <c r="AL246" s="209" t="str">
        <f>IFERROR(VLOOKUP(TableHandbook[[#This Row],[UDC]],TableMJRUSCPS1[],7,FALSE),"")</f>
        <v/>
      </c>
      <c r="AM246" s="211" t="str">
        <f>IFERROR(VLOOKUP(TableHandbook[[#This Row],[UDC]],TableSTRUBIOLB[],7,FALSE),"")</f>
        <v/>
      </c>
      <c r="AN246" s="209" t="str">
        <f>IFERROR(VLOOKUP(TableHandbook[[#This Row],[UDC]],TableSTRUBSCIM[],7,FALSE),"")</f>
        <v/>
      </c>
      <c r="AO246" s="209" t="str">
        <f>IFERROR(VLOOKUP(TableHandbook[[#This Row],[UDC]],TableSTRUCHEMB[],7,FALSE),"")</f>
        <v/>
      </c>
      <c r="AP246" s="209" t="str">
        <f>IFERROR(VLOOKUP(TableHandbook[[#This Row],[UDC]],TableSTRUECOB1[],7,FALSE),"")</f>
        <v/>
      </c>
      <c r="AQ246" s="209" t="str">
        <f>IFERROR(VLOOKUP(TableHandbook[[#This Row],[UDC]],TableSTRUENGLB[],7,FALSE),"")</f>
        <v/>
      </c>
      <c r="AR246" s="209" t="str">
        <f>IFERROR(VLOOKUP(TableHandbook[[#This Row],[UDC]],TableSTRUENGLM[],7,FALSE),"")</f>
        <v/>
      </c>
      <c r="AS246" s="209" t="str">
        <f>IFERROR(VLOOKUP(TableHandbook[[#This Row],[UDC]],TableSTRUGEOB1[],7,FALSE),"")</f>
        <v/>
      </c>
      <c r="AT246" s="209" t="str">
        <f>IFERROR(VLOOKUP(TableHandbook[[#This Row],[UDC]],TableSTRUGEOGM[],7,FALSE),"")</f>
        <v/>
      </c>
      <c r="AU246" s="209" t="str">
        <f>IFERROR(VLOOKUP(TableHandbook[[#This Row],[UDC]],TableSTRUHISB1[],7,FALSE),"")</f>
        <v/>
      </c>
      <c r="AV246" s="209" t="str">
        <f>IFERROR(VLOOKUP(TableHandbook[[#This Row],[UDC]],TableSTRUHISTM[],7,FALSE),"")</f>
        <v/>
      </c>
      <c r="AW246" s="209" t="str">
        <f>IFERROR(VLOOKUP(TableHandbook[[#This Row],[UDC]],TableSTRUHPEB1[],7,FALSE),"")</f>
        <v/>
      </c>
      <c r="AX246" s="209" t="str">
        <f>IFERROR(VLOOKUP(TableHandbook[[#This Row],[UDC]],TableSTRUHUMBB[],7,FALSE),"")</f>
        <v/>
      </c>
      <c r="AY246" s="209" t="str">
        <f>IFERROR(VLOOKUP(TableHandbook[[#This Row],[UDC]],TableSTRUMARTM[],7,FALSE),"")</f>
        <v/>
      </c>
      <c r="AZ246" s="209" t="str">
        <f>IFERROR(VLOOKUP(TableHandbook[[#This Row],[UDC]],TableSTRUMATHB[],7,FALSE),"")</f>
        <v/>
      </c>
      <c r="BA246" s="209" t="str">
        <f>IFERROR(VLOOKUP(TableHandbook[[#This Row],[UDC]],TableSTRUMATHM[],7,FALSE),"")</f>
        <v/>
      </c>
      <c r="BB246" s="209" t="str">
        <f>IFERROR(VLOOKUP(TableHandbook[[#This Row],[UDC]],TableSTRUPARTB[],7,FALSE),"")</f>
        <v/>
      </c>
      <c r="BC246" s="209" t="str">
        <f>IFERROR(VLOOKUP(TableHandbook[[#This Row],[UDC]],TableSTRUPARTM[],7,FALSE),"")</f>
        <v/>
      </c>
      <c r="BD246" s="209" t="str">
        <f>IFERROR(VLOOKUP(TableHandbook[[#This Row],[UDC]],TableSTRUPOLB1[],7,FALSE),"")</f>
        <v/>
      </c>
      <c r="BE246" s="209" t="str">
        <f>IFERROR(VLOOKUP(TableHandbook[[#This Row],[UDC]],TableSTRUPSYCB[],7,FALSE),"")</f>
        <v/>
      </c>
      <c r="BF246" s="209" t="str">
        <f>IFERROR(VLOOKUP(TableHandbook[[#This Row],[UDC]],TableSTRUPSYCM[],7,FALSE),"")</f>
        <v/>
      </c>
      <c r="BG246" s="209" t="str">
        <f>IFERROR(VLOOKUP(TableHandbook[[#This Row],[UDC]],TableSTRUVARTB[],7,FALSE),"")</f>
        <v/>
      </c>
      <c r="BH246" s="209" t="str">
        <f>IFERROR(VLOOKUP(TableHandbook[[#This Row],[UDC]],TableSTRUVARTM[],7,FALSE),"")</f>
        <v/>
      </c>
    </row>
    <row r="247" spans="1:60" x14ac:dyDescent="0.25">
      <c r="A247" s="296" t="s">
        <v>341</v>
      </c>
      <c r="B247" s="7">
        <v>1</v>
      </c>
      <c r="C247" s="7"/>
      <c r="D247" s="207" t="s">
        <v>210</v>
      </c>
      <c r="E247" s="7">
        <v>375</v>
      </c>
      <c r="F247" s="84"/>
      <c r="G247" s="75" t="str">
        <f>IFERROR(IF(VLOOKUP(TableHandbook[[#This Row],[UDC]],TableAvailabilities[],2,FALSE)&gt;0,"Y",""),"")</f>
        <v/>
      </c>
      <c r="H247" s="75" t="str">
        <f>IFERROR(IF(VLOOKUP(TableHandbook[[#This Row],[UDC]],TableAvailabilities[],3,FALSE)&gt;0,"Y",""),"")</f>
        <v/>
      </c>
      <c r="I247" s="75" t="str">
        <f>IFERROR(IF(VLOOKUP(TableHandbook[[#This Row],[UDC]],TableAvailabilities[],4,FALSE)&gt;0,"Y",""),"")</f>
        <v/>
      </c>
      <c r="J247" s="75" t="str">
        <f>IFERROR(IF(VLOOKUP(TableHandbook[[#This Row],[UDC]],TableAvailabilities[],5,FALSE)&gt;0,"Y",""),"")</f>
        <v/>
      </c>
      <c r="K247" s="75" t="str">
        <f>IFERROR(IF(VLOOKUP(TableHandbook[[#This Row],[UDC]],TableAvailabilities[],6,FALSE)&gt;0,"Y",""),"")</f>
        <v/>
      </c>
      <c r="L247" s="75" t="str">
        <f>IFERROR(IF(VLOOKUP(TableHandbook[[#This Row],[UDC]],TableAvailabilities[],7,FALSE)&gt;0,"Y",""),"")</f>
        <v/>
      </c>
      <c r="M247" s="207"/>
      <c r="N247" s="209" t="str">
        <f>IFERROR(VLOOKUP(TableHandbook[[#This Row],[UDC]],TableBEDUC[],7,FALSE),"")</f>
        <v/>
      </c>
      <c r="O247" s="209" t="str">
        <f>IFERROR(VLOOKUP(TableHandbook[[#This Row],[UDC]],TableBEDEC[],7,FALSE),"")</f>
        <v/>
      </c>
      <c r="P247" s="211" t="str">
        <f>IFERROR(VLOOKUP(TableHandbook[[#This Row],[UDC]],TableBEDPR[],7,FALSE),"")</f>
        <v/>
      </c>
      <c r="Q247" s="209" t="str">
        <f>IFERROR(VLOOKUP(TableHandbook[[#This Row],[UDC]],TableSTRUCATHL[],7,FALSE),"")</f>
        <v/>
      </c>
      <c r="R247" s="209" t="str">
        <f>IFERROR(VLOOKUP(TableHandbook[[#This Row],[UDC]],TableSTRUENGLL[],7,FALSE),"")</f>
        <v/>
      </c>
      <c r="S247" s="209" t="str">
        <f>IFERROR(VLOOKUP(TableHandbook[[#This Row],[UDC]],TableSTRUHLTPE[],7,FALSE),"")</f>
        <v/>
      </c>
      <c r="T247" s="209" t="str">
        <f>IFERROR(VLOOKUP(TableHandbook[[#This Row],[UDC]],TableSTRUISTEM[],7,FALSE),"")</f>
        <v/>
      </c>
      <c r="U247" s="209" t="str">
        <f>IFERROR(VLOOKUP(TableHandbook[[#This Row],[UDC]],TableSTRULITNU[],7,FALSE),"")</f>
        <v/>
      </c>
      <c r="V247" s="209" t="str">
        <f>IFERROR(VLOOKUP(TableHandbook[[#This Row],[UDC]],TableSTRUTECHS[],7,FALSE),"")</f>
        <v/>
      </c>
      <c r="W247" s="211" t="str">
        <f>IFERROR(VLOOKUP(TableHandbook[[#This Row],[UDC]],TableBEDSC[],7,FALSE),"")</f>
        <v>AltCore</v>
      </c>
      <c r="X247" s="211" t="str">
        <f>IFERROR(VLOOKUP(TableHandbook[[#This Row],[UDC]],TableMJRUARDR1[],7,FALSE),"")</f>
        <v/>
      </c>
      <c r="Y247" s="209" t="str">
        <f>IFERROR(VLOOKUP(TableHandbook[[#This Row],[UDC]],TableMJRUARME1[],7,FALSE),"")</f>
        <v/>
      </c>
      <c r="Z247" s="209" t="str">
        <f>IFERROR(VLOOKUP(TableHandbook[[#This Row],[UDC]],TableMJRUARVA1[],7,FALSE),"")</f>
        <v/>
      </c>
      <c r="AA247" s="209" t="str">
        <f>IFERROR(VLOOKUP(TableHandbook[[#This Row],[UDC]],TableMJRUENGL1[],7,FALSE),"")</f>
        <v/>
      </c>
      <c r="AB247" s="209" t="str">
        <f>IFERROR(VLOOKUP(TableHandbook[[#This Row],[UDC]],TableMJRUHSEC1[],7,FALSE),"")</f>
        <v/>
      </c>
      <c r="AC247" s="209" t="str">
        <f>IFERROR(VLOOKUP(TableHandbook[[#This Row],[UDC]],TableMJRUHSGE1[],7,FALSE),"")</f>
        <v/>
      </c>
      <c r="AD247" s="209" t="str">
        <f>IFERROR(VLOOKUP(TableHandbook[[#This Row],[UDC]],TableMJRUHSHI1[],7,FALSE),"")</f>
        <v/>
      </c>
      <c r="AE247" s="209" t="str">
        <f>IFERROR(VLOOKUP(TableHandbook[[#This Row],[UDC]],TableMJRUHSPL1[],7,FALSE),"")</f>
        <v/>
      </c>
      <c r="AF247" s="209" t="str">
        <f>IFERROR(VLOOKUP(TableHandbook[[#This Row],[UDC]],TableMJRUMATH1[],7,FALSE),"")</f>
        <v/>
      </c>
      <c r="AG247" s="209" t="str">
        <f>IFERROR(VLOOKUP(TableHandbook[[#This Row],[UDC]],TableMJRUPHYSE[],7,FALSE),"")</f>
        <v/>
      </c>
      <c r="AH247" s="209" t="str">
        <f>IFERROR(VLOOKUP(TableHandbook[[#This Row],[UDC]],TableMJRUSCBI1[],7,FALSE),"")</f>
        <v/>
      </c>
      <c r="AI247" s="209" t="str">
        <f>IFERROR(VLOOKUP(TableHandbook[[#This Row],[UDC]],TableMJRUSCCH1[],7,FALSE),"")</f>
        <v/>
      </c>
      <c r="AJ247" s="209" t="str">
        <f>IFERROR(VLOOKUP(TableHandbook[[#This Row],[UDC]],TableMJRUSCHB1[],7,FALSE),"")</f>
        <v/>
      </c>
      <c r="AK247" s="209" t="str">
        <f>IFERROR(VLOOKUP(TableHandbook[[#This Row],[UDC]],TableMJRUSCPH1[],7,FALSE),"")</f>
        <v/>
      </c>
      <c r="AL247" s="209" t="str">
        <f>IFERROR(VLOOKUP(TableHandbook[[#This Row],[UDC]],TableMJRUSCPS1[],7,FALSE),"")</f>
        <v/>
      </c>
      <c r="AM247" s="211" t="str">
        <f>IFERROR(VLOOKUP(TableHandbook[[#This Row],[UDC]],TableSTRUBIOLB[],7,FALSE),"")</f>
        <v/>
      </c>
      <c r="AN247" s="209" t="str">
        <f>IFERROR(VLOOKUP(TableHandbook[[#This Row],[UDC]],TableSTRUBSCIM[],7,FALSE),"")</f>
        <v/>
      </c>
      <c r="AO247" s="209" t="str">
        <f>IFERROR(VLOOKUP(TableHandbook[[#This Row],[UDC]],TableSTRUCHEMB[],7,FALSE),"")</f>
        <v/>
      </c>
      <c r="AP247" s="209" t="str">
        <f>IFERROR(VLOOKUP(TableHandbook[[#This Row],[UDC]],TableSTRUECOB1[],7,FALSE),"")</f>
        <v/>
      </c>
      <c r="AQ247" s="209" t="str">
        <f>IFERROR(VLOOKUP(TableHandbook[[#This Row],[UDC]],TableSTRUENGLB[],7,FALSE),"")</f>
        <v/>
      </c>
      <c r="AR247" s="209" t="str">
        <f>IFERROR(VLOOKUP(TableHandbook[[#This Row],[UDC]],TableSTRUENGLM[],7,FALSE),"")</f>
        <v/>
      </c>
      <c r="AS247" s="209" t="str">
        <f>IFERROR(VLOOKUP(TableHandbook[[#This Row],[UDC]],TableSTRUGEOB1[],7,FALSE),"")</f>
        <v/>
      </c>
      <c r="AT247" s="209" t="str">
        <f>IFERROR(VLOOKUP(TableHandbook[[#This Row],[UDC]],TableSTRUGEOGM[],7,FALSE),"")</f>
        <v/>
      </c>
      <c r="AU247" s="209" t="str">
        <f>IFERROR(VLOOKUP(TableHandbook[[#This Row],[UDC]],TableSTRUHISB1[],7,FALSE),"")</f>
        <v/>
      </c>
      <c r="AV247" s="209" t="str">
        <f>IFERROR(VLOOKUP(TableHandbook[[#This Row],[UDC]],TableSTRUHISTM[],7,FALSE),"")</f>
        <v/>
      </c>
      <c r="AW247" s="209" t="str">
        <f>IFERROR(VLOOKUP(TableHandbook[[#This Row],[UDC]],TableSTRUHPEB1[],7,FALSE),"")</f>
        <v/>
      </c>
      <c r="AX247" s="209" t="str">
        <f>IFERROR(VLOOKUP(TableHandbook[[#This Row],[UDC]],TableSTRUHUMBB[],7,FALSE),"")</f>
        <v/>
      </c>
      <c r="AY247" s="209" t="str">
        <f>IFERROR(VLOOKUP(TableHandbook[[#This Row],[UDC]],TableSTRUMARTM[],7,FALSE),"")</f>
        <v/>
      </c>
      <c r="AZ247" s="209" t="str">
        <f>IFERROR(VLOOKUP(TableHandbook[[#This Row],[UDC]],TableSTRUMATHB[],7,FALSE),"")</f>
        <v/>
      </c>
      <c r="BA247" s="209" t="str">
        <f>IFERROR(VLOOKUP(TableHandbook[[#This Row],[UDC]],TableSTRUMATHM[],7,FALSE),"")</f>
        <v/>
      </c>
      <c r="BB247" s="209" t="str">
        <f>IFERROR(VLOOKUP(TableHandbook[[#This Row],[UDC]],TableSTRUPARTB[],7,FALSE),"")</f>
        <v/>
      </c>
      <c r="BC247" s="209" t="str">
        <f>IFERROR(VLOOKUP(TableHandbook[[#This Row],[UDC]],TableSTRUPARTM[],7,FALSE),"")</f>
        <v/>
      </c>
      <c r="BD247" s="209" t="str">
        <f>IFERROR(VLOOKUP(TableHandbook[[#This Row],[UDC]],TableSTRUPOLB1[],7,FALSE),"")</f>
        <v/>
      </c>
      <c r="BE247" s="209" t="str">
        <f>IFERROR(VLOOKUP(TableHandbook[[#This Row],[UDC]],TableSTRUPSYCB[],7,FALSE),"")</f>
        <v/>
      </c>
      <c r="BF247" s="209" t="str">
        <f>IFERROR(VLOOKUP(TableHandbook[[#This Row],[UDC]],TableSTRUPSYCM[],7,FALSE),"")</f>
        <v/>
      </c>
      <c r="BG247" s="209" t="str">
        <f>IFERROR(VLOOKUP(TableHandbook[[#This Row],[UDC]],TableSTRUVARTB[],7,FALSE),"")</f>
        <v/>
      </c>
      <c r="BH247" s="209" t="str">
        <f>IFERROR(VLOOKUP(TableHandbook[[#This Row],[UDC]],TableSTRUVARTM[],7,FALSE),"")</f>
        <v/>
      </c>
    </row>
    <row r="248" spans="1:60" x14ac:dyDescent="0.25">
      <c r="A248" s="296" t="s">
        <v>342</v>
      </c>
      <c r="B248" s="7">
        <v>1</v>
      </c>
      <c r="C248" s="7"/>
      <c r="D248" s="207" t="s">
        <v>378</v>
      </c>
      <c r="E248" s="7">
        <v>375</v>
      </c>
      <c r="F248" s="84"/>
      <c r="G248" s="75" t="str">
        <f>IFERROR(IF(VLOOKUP(TableHandbook[[#This Row],[UDC]],TableAvailabilities[],2,FALSE)&gt;0,"Y",""),"")</f>
        <v/>
      </c>
      <c r="H248" s="75" t="str">
        <f>IFERROR(IF(VLOOKUP(TableHandbook[[#This Row],[UDC]],TableAvailabilities[],3,FALSE)&gt;0,"Y",""),"")</f>
        <v/>
      </c>
      <c r="I248" s="75" t="str">
        <f>IFERROR(IF(VLOOKUP(TableHandbook[[#This Row],[UDC]],TableAvailabilities[],4,FALSE)&gt;0,"Y",""),"")</f>
        <v/>
      </c>
      <c r="J248" s="75" t="str">
        <f>IFERROR(IF(VLOOKUP(TableHandbook[[#This Row],[UDC]],TableAvailabilities[],5,FALSE)&gt;0,"Y",""),"")</f>
        <v/>
      </c>
      <c r="K248" s="75" t="str">
        <f>IFERROR(IF(VLOOKUP(TableHandbook[[#This Row],[UDC]],TableAvailabilities[],6,FALSE)&gt;0,"Y",""),"")</f>
        <v/>
      </c>
      <c r="L248" s="75" t="str">
        <f>IFERROR(IF(VLOOKUP(TableHandbook[[#This Row],[UDC]],TableAvailabilities[],7,FALSE)&gt;0,"Y",""),"")</f>
        <v/>
      </c>
      <c r="M248" s="207"/>
      <c r="N248" s="209" t="str">
        <f>IFERROR(VLOOKUP(TableHandbook[[#This Row],[UDC]],TableBEDUC[],7,FALSE),"")</f>
        <v/>
      </c>
      <c r="O248" s="209" t="str">
        <f>IFERROR(VLOOKUP(TableHandbook[[#This Row],[UDC]],TableBEDEC[],7,FALSE),"")</f>
        <v/>
      </c>
      <c r="P248" s="211" t="str">
        <f>IFERROR(VLOOKUP(TableHandbook[[#This Row],[UDC]],TableBEDPR[],7,FALSE),"")</f>
        <v/>
      </c>
      <c r="Q248" s="209" t="str">
        <f>IFERROR(VLOOKUP(TableHandbook[[#This Row],[UDC]],TableSTRUCATHL[],7,FALSE),"")</f>
        <v/>
      </c>
      <c r="R248" s="209" t="str">
        <f>IFERROR(VLOOKUP(TableHandbook[[#This Row],[UDC]],TableSTRUENGLL[],7,FALSE),"")</f>
        <v/>
      </c>
      <c r="S248" s="209" t="str">
        <f>IFERROR(VLOOKUP(TableHandbook[[#This Row],[UDC]],TableSTRUHLTPE[],7,FALSE),"")</f>
        <v/>
      </c>
      <c r="T248" s="209" t="str">
        <f>IFERROR(VLOOKUP(TableHandbook[[#This Row],[UDC]],TableSTRUISTEM[],7,FALSE),"")</f>
        <v/>
      </c>
      <c r="U248" s="209" t="str">
        <f>IFERROR(VLOOKUP(TableHandbook[[#This Row],[UDC]],TableSTRULITNU[],7,FALSE),"")</f>
        <v/>
      </c>
      <c r="V248" s="209" t="str">
        <f>IFERROR(VLOOKUP(TableHandbook[[#This Row],[UDC]],TableSTRUTECHS[],7,FALSE),"")</f>
        <v/>
      </c>
      <c r="W248" s="211" t="str">
        <f>IFERROR(VLOOKUP(TableHandbook[[#This Row],[UDC]],TableBEDSC[],7,FALSE),"")</f>
        <v>AltCore</v>
      </c>
      <c r="X248" s="211" t="str">
        <f>IFERROR(VLOOKUP(TableHandbook[[#This Row],[UDC]],TableMJRUARDR1[],7,FALSE),"")</f>
        <v/>
      </c>
      <c r="Y248" s="209" t="str">
        <f>IFERROR(VLOOKUP(TableHandbook[[#This Row],[UDC]],TableMJRUARME1[],7,FALSE),"")</f>
        <v/>
      </c>
      <c r="Z248" s="209" t="str">
        <f>IFERROR(VLOOKUP(TableHandbook[[#This Row],[UDC]],TableMJRUARVA1[],7,FALSE),"")</f>
        <v/>
      </c>
      <c r="AA248" s="209" t="str">
        <f>IFERROR(VLOOKUP(TableHandbook[[#This Row],[UDC]],TableMJRUENGL1[],7,FALSE),"")</f>
        <v/>
      </c>
      <c r="AB248" s="209" t="str">
        <f>IFERROR(VLOOKUP(TableHandbook[[#This Row],[UDC]],TableMJRUHSEC1[],7,FALSE),"")</f>
        <v/>
      </c>
      <c r="AC248" s="209" t="str">
        <f>IFERROR(VLOOKUP(TableHandbook[[#This Row],[UDC]],TableMJRUHSGE1[],7,FALSE),"")</f>
        <v/>
      </c>
      <c r="AD248" s="209" t="str">
        <f>IFERROR(VLOOKUP(TableHandbook[[#This Row],[UDC]],TableMJRUHSHI1[],7,FALSE),"")</f>
        <v/>
      </c>
      <c r="AE248" s="209" t="str">
        <f>IFERROR(VLOOKUP(TableHandbook[[#This Row],[UDC]],TableMJRUHSPL1[],7,FALSE),"")</f>
        <v/>
      </c>
      <c r="AF248" s="209" t="str">
        <f>IFERROR(VLOOKUP(TableHandbook[[#This Row],[UDC]],TableMJRUMATH1[],7,FALSE),"")</f>
        <v/>
      </c>
      <c r="AG248" s="209" t="str">
        <f>IFERROR(VLOOKUP(TableHandbook[[#This Row],[UDC]],TableMJRUPHYSE[],7,FALSE),"")</f>
        <v/>
      </c>
      <c r="AH248" s="209" t="str">
        <f>IFERROR(VLOOKUP(TableHandbook[[#This Row],[UDC]],TableMJRUSCBI1[],7,FALSE),"")</f>
        <v/>
      </c>
      <c r="AI248" s="209" t="str">
        <f>IFERROR(VLOOKUP(TableHandbook[[#This Row],[UDC]],TableMJRUSCCH1[],7,FALSE),"")</f>
        <v/>
      </c>
      <c r="AJ248" s="209" t="str">
        <f>IFERROR(VLOOKUP(TableHandbook[[#This Row],[UDC]],TableMJRUSCHB1[],7,FALSE),"")</f>
        <v/>
      </c>
      <c r="AK248" s="209" t="str">
        <f>IFERROR(VLOOKUP(TableHandbook[[#This Row],[UDC]],TableMJRUSCPH1[],7,FALSE),"")</f>
        <v/>
      </c>
      <c r="AL248" s="209" t="str">
        <f>IFERROR(VLOOKUP(TableHandbook[[#This Row],[UDC]],TableMJRUSCPS1[],7,FALSE),"")</f>
        <v/>
      </c>
      <c r="AM248" s="211" t="str">
        <f>IFERROR(VLOOKUP(TableHandbook[[#This Row],[UDC]],TableSTRUBIOLB[],7,FALSE),"")</f>
        <v/>
      </c>
      <c r="AN248" s="209" t="str">
        <f>IFERROR(VLOOKUP(TableHandbook[[#This Row],[UDC]],TableSTRUBSCIM[],7,FALSE),"")</f>
        <v/>
      </c>
      <c r="AO248" s="209" t="str">
        <f>IFERROR(VLOOKUP(TableHandbook[[#This Row],[UDC]],TableSTRUCHEMB[],7,FALSE),"")</f>
        <v/>
      </c>
      <c r="AP248" s="209" t="str">
        <f>IFERROR(VLOOKUP(TableHandbook[[#This Row],[UDC]],TableSTRUECOB1[],7,FALSE),"")</f>
        <v/>
      </c>
      <c r="AQ248" s="209" t="str">
        <f>IFERROR(VLOOKUP(TableHandbook[[#This Row],[UDC]],TableSTRUENGLB[],7,FALSE),"")</f>
        <v/>
      </c>
      <c r="AR248" s="209" t="str">
        <f>IFERROR(VLOOKUP(TableHandbook[[#This Row],[UDC]],TableSTRUENGLM[],7,FALSE),"")</f>
        <v/>
      </c>
      <c r="AS248" s="209" t="str">
        <f>IFERROR(VLOOKUP(TableHandbook[[#This Row],[UDC]],TableSTRUGEOB1[],7,FALSE),"")</f>
        <v/>
      </c>
      <c r="AT248" s="209" t="str">
        <f>IFERROR(VLOOKUP(TableHandbook[[#This Row],[UDC]],TableSTRUGEOGM[],7,FALSE),"")</f>
        <v/>
      </c>
      <c r="AU248" s="209" t="str">
        <f>IFERROR(VLOOKUP(TableHandbook[[#This Row],[UDC]],TableSTRUHISB1[],7,FALSE),"")</f>
        <v/>
      </c>
      <c r="AV248" s="209" t="str">
        <f>IFERROR(VLOOKUP(TableHandbook[[#This Row],[UDC]],TableSTRUHISTM[],7,FALSE),"")</f>
        <v/>
      </c>
      <c r="AW248" s="209" t="str">
        <f>IFERROR(VLOOKUP(TableHandbook[[#This Row],[UDC]],TableSTRUHPEB1[],7,FALSE),"")</f>
        <v/>
      </c>
      <c r="AX248" s="209" t="str">
        <f>IFERROR(VLOOKUP(TableHandbook[[#This Row],[UDC]],TableSTRUHUMBB[],7,FALSE),"")</f>
        <v/>
      </c>
      <c r="AY248" s="209" t="str">
        <f>IFERROR(VLOOKUP(TableHandbook[[#This Row],[UDC]],TableSTRUMARTM[],7,FALSE),"")</f>
        <v/>
      </c>
      <c r="AZ248" s="209" t="str">
        <f>IFERROR(VLOOKUP(TableHandbook[[#This Row],[UDC]],TableSTRUMATHB[],7,FALSE),"")</f>
        <v/>
      </c>
      <c r="BA248" s="209" t="str">
        <f>IFERROR(VLOOKUP(TableHandbook[[#This Row],[UDC]],TableSTRUMATHM[],7,FALSE),"")</f>
        <v/>
      </c>
      <c r="BB248" s="209" t="str">
        <f>IFERROR(VLOOKUP(TableHandbook[[#This Row],[UDC]],TableSTRUPARTB[],7,FALSE),"")</f>
        <v/>
      </c>
      <c r="BC248" s="209" t="str">
        <f>IFERROR(VLOOKUP(TableHandbook[[#This Row],[UDC]],TableSTRUPARTM[],7,FALSE),"")</f>
        <v/>
      </c>
      <c r="BD248" s="209" t="str">
        <f>IFERROR(VLOOKUP(TableHandbook[[#This Row],[UDC]],TableSTRUPOLB1[],7,FALSE),"")</f>
        <v/>
      </c>
      <c r="BE248" s="209" t="str">
        <f>IFERROR(VLOOKUP(TableHandbook[[#This Row],[UDC]],TableSTRUPSYCB[],7,FALSE),"")</f>
        <v/>
      </c>
      <c r="BF248" s="209" t="str">
        <f>IFERROR(VLOOKUP(TableHandbook[[#This Row],[UDC]],TableSTRUPSYCM[],7,FALSE),"")</f>
        <v/>
      </c>
      <c r="BG248" s="209" t="str">
        <f>IFERROR(VLOOKUP(TableHandbook[[#This Row],[UDC]],TableSTRUVARTB[],7,FALSE),"")</f>
        <v/>
      </c>
      <c r="BH248" s="209" t="str">
        <f>IFERROR(VLOOKUP(TableHandbook[[#This Row],[UDC]],TableSTRUVARTM[],7,FALSE),"")</f>
        <v/>
      </c>
    </row>
    <row r="249" spans="1:60" ht="26.25" x14ac:dyDescent="0.25">
      <c r="A249" s="296" t="s">
        <v>343</v>
      </c>
      <c r="B249" s="7">
        <v>1</v>
      </c>
      <c r="C249" s="7"/>
      <c r="D249" s="207" t="s">
        <v>380</v>
      </c>
      <c r="E249" s="7">
        <v>375</v>
      </c>
      <c r="F249" s="84"/>
      <c r="G249" s="75" t="str">
        <f>IFERROR(IF(VLOOKUP(TableHandbook[[#This Row],[UDC]],TableAvailabilities[],2,FALSE)&gt;0,"Y",""),"")</f>
        <v/>
      </c>
      <c r="H249" s="75" t="str">
        <f>IFERROR(IF(VLOOKUP(TableHandbook[[#This Row],[UDC]],TableAvailabilities[],3,FALSE)&gt;0,"Y",""),"")</f>
        <v/>
      </c>
      <c r="I249" s="75" t="str">
        <f>IFERROR(IF(VLOOKUP(TableHandbook[[#This Row],[UDC]],TableAvailabilities[],4,FALSE)&gt;0,"Y",""),"")</f>
        <v/>
      </c>
      <c r="J249" s="75" t="str">
        <f>IFERROR(IF(VLOOKUP(TableHandbook[[#This Row],[UDC]],TableAvailabilities[],5,FALSE)&gt;0,"Y",""),"")</f>
        <v/>
      </c>
      <c r="K249" s="75" t="str">
        <f>IFERROR(IF(VLOOKUP(TableHandbook[[#This Row],[UDC]],TableAvailabilities[],6,FALSE)&gt;0,"Y",""),"")</f>
        <v/>
      </c>
      <c r="L249" s="75" t="str">
        <f>IFERROR(IF(VLOOKUP(TableHandbook[[#This Row],[UDC]],TableAvailabilities[],7,FALSE)&gt;0,"Y",""),"")</f>
        <v/>
      </c>
      <c r="M249" s="207"/>
      <c r="N249" s="209" t="str">
        <f>IFERROR(VLOOKUP(TableHandbook[[#This Row],[UDC]],TableBEDUC[],7,FALSE),"")</f>
        <v/>
      </c>
      <c r="O249" s="209" t="str">
        <f>IFERROR(VLOOKUP(TableHandbook[[#This Row],[UDC]],TableBEDEC[],7,FALSE),"")</f>
        <v/>
      </c>
      <c r="P249" s="211" t="str">
        <f>IFERROR(VLOOKUP(TableHandbook[[#This Row],[UDC]],TableBEDPR[],7,FALSE),"")</f>
        <v/>
      </c>
      <c r="Q249" s="209" t="str">
        <f>IFERROR(VLOOKUP(TableHandbook[[#This Row],[UDC]],TableSTRUCATHL[],7,FALSE),"")</f>
        <v/>
      </c>
      <c r="R249" s="209" t="str">
        <f>IFERROR(VLOOKUP(TableHandbook[[#This Row],[UDC]],TableSTRUENGLL[],7,FALSE),"")</f>
        <v/>
      </c>
      <c r="S249" s="209" t="str">
        <f>IFERROR(VLOOKUP(TableHandbook[[#This Row],[UDC]],TableSTRUHLTPE[],7,FALSE),"")</f>
        <v/>
      </c>
      <c r="T249" s="209" t="str">
        <f>IFERROR(VLOOKUP(TableHandbook[[#This Row],[UDC]],TableSTRUISTEM[],7,FALSE),"")</f>
        <v/>
      </c>
      <c r="U249" s="209" t="str">
        <f>IFERROR(VLOOKUP(TableHandbook[[#This Row],[UDC]],TableSTRULITNU[],7,FALSE),"")</f>
        <v/>
      </c>
      <c r="V249" s="209" t="str">
        <f>IFERROR(VLOOKUP(TableHandbook[[#This Row],[UDC]],TableSTRUTECHS[],7,FALSE),"")</f>
        <v/>
      </c>
      <c r="W249" s="211" t="str">
        <f>IFERROR(VLOOKUP(TableHandbook[[#This Row],[UDC]],TableBEDSC[],7,FALSE),"")</f>
        <v>AltCore</v>
      </c>
      <c r="X249" s="211" t="str">
        <f>IFERROR(VLOOKUP(TableHandbook[[#This Row],[UDC]],TableMJRUARDR1[],7,FALSE),"")</f>
        <v/>
      </c>
      <c r="Y249" s="209" t="str">
        <f>IFERROR(VLOOKUP(TableHandbook[[#This Row],[UDC]],TableMJRUARME1[],7,FALSE),"")</f>
        <v/>
      </c>
      <c r="Z249" s="209" t="str">
        <f>IFERROR(VLOOKUP(TableHandbook[[#This Row],[UDC]],TableMJRUARVA1[],7,FALSE),"")</f>
        <v/>
      </c>
      <c r="AA249" s="209" t="str">
        <f>IFERROR(VLOOKUP(TableHandbook[[#This Row],[UDC]],TableMJRUENGL1[],7,FALSE),"")</f>
        <v/>
      </c>
      <c r="AB249" s="209" t="str">
        <f>IFERROR(VLOOKUP(TableHandbook[[#This Row],[UDC]],TableMJRUHSEC1[],7,FALSE),"")</f>
        <v/>
      </c>
      <c r="AC249" s="209" t="str">
        <f>IFERROR(VLOOKUP(TableHandbook[[#This Row],[UDC]],TableMJRUHSGE1[],7,FALSE),"")</f>
        <v/>
      </c>
      <c r="AD249" s="209" t="str">
        <f>IFERROR(VLOOKUP(TableHandbook[[#This Row],[UDC]],TableMJRUHSHI1[],7,FALSE),"")</f>
        <v/>
      </c>
      <c r="AE249" s="209" t="str">
        <f>IFERROR(VLOOKUP(TableHandbook[[#This Row],[UDC]],TableMJRUHSPL1[],7,FALSE),"")</f>
        <v/>
      </c>
      <c r="AF249" s="209" t="str">
        <f>IFERROR(VLOOKUP(TableHandbook[[#This Row],[UDC]],TableMJRUMATH1[],7,FALSE),"")</f>
        <v/>
      </c>
      <c r="AG249" s="209" t="str">
        <f>IFERROR(VLOOKUP(TableHandbook[[#This Row],[UDC]],TableMJRUPHYSE[],7,FALSE),"")</f>
        <v/>
      </c>
      <c r="AH249" s="209" t="str">
        <f>IFERROR(VLOOKUP(TableHandbook[[#This Row],[UDC]],TableMJRUSCBI1[],7,FALSE),"")</f>
        <v/>
      </c>
      <c r="AI249" s="209" t="str">
        <f>IFERROR(VLOOKUP(TableHandbook[[#This Row],[UDC]],TableMJRUSCCH1[],7,FALSE),"")</f>
        <v/>
      </c>
      <c r="AJ249" s="209" t="str">
        <f>IFERROR(VLOOKUP(TableHandbook[[#This Row],[UDC]],TableMJRUSCHB1[],7,FALSE),"")</f>
        <v/>
      </c>
      <c r="AK249" s="209" t="str">
        <f>IFERROR(VLOOKUP(TableHandbook[[#This Row],[UDC]],TableMJRUSCPH1[],7,FALSE),"")</f>
        <v/>
      </c>
      <c r="AL249" s="209" t="str">
        <f>IFERROR(VLOOKUP(TableHandbook[[#This Row],[UDC]],TableMJRUSCPS1[],7,FALSE),"")</f>
        <v/>
      </c>
      <c r="AM249" s="211" t="str">
        <f>IFERROR(VLOOKUP(TableHandbook[[#This Row],[UDC]],TableSTRUBIOLB[],7,FALSE),"")</f>
        <v/>
      </c>
      <c r="AN249" s="209" t="str">
        <f>IFERROR(VLOOKUP(TableHandbook[[#This Row],[UDC]],TableSTRUBSCIM[],7,FALSE),"")</f>
        <v/>
      </c>
      <c r="AO249" s="209" t="str">
        <f>IFERROR(VLOOKUP(TableHandbook[[#This Row],[UDC]],TableSTRUCHEMB[],7,FALSE),"")</f>
        <v/>
      </c>
      <c r="AP249" s="209" t="str">
        <f>IFERROR(VLOOKUP(TableHandbook[[#This Row],[UDC]],TableSTRUECOB1[],7,FALSE),"")</f>
        <v/>
      </c>
      <c r="AQ249" s="209" t="str">
        <f>IFERROR(VLOOKUP(TableHandbook[[#This Row],[UDC]],TableSTRUENGLB[],7,FALSE),"")</f>
        <v/>
      </c>
      <c r="AR249" s="209" t="str">
        <f>IFERROR(VLOOKUP(TableHandbook[[#This Row],[UDC]],TableSTRUENGLM[],7,FALSE),"")</f>
        <v/>
      </c>
      <c r="AS249" s="209" t="str">
        <f>IFERROR(VLOOKUP(TableHandbook[[#This Row],[UDC]],TableSTRUGEOB1[],7,FALSE),"")</f>
        <v/>
      </c>
      <c r="AT249" s="209" t="str">
        <f>IFERROR(VLOOKUP(TableHandbook[[#This Row],[UDC]],TableSTRUGEOGM[],7,FALSE),"")</f>
        <v/>
      </c>
      <c r="AU249" s="209" t="str">
        <f>IFERROR(VLOOKUP(TableHandbook[[#This Row],[UDC]],TableSTRUHISB1[],7,FALSE),"")</f>
        <v/>
      </c>
      <c r="AV249" s="209" t="str">
        <f>IFERROR(VLOOKUP(TableHandbook[[#This Row],[UDC]],TableSTRUHISTM[],7,FALSE),"")</f>
        <v/>
      </c>
      <c r="AW249" s="209" t="str">
        <f>IFERROR(VLOOKUP(TableHandbook[[#This Row],[UDC]],TableSTRUHPEB1[],7,FALSE),"")</f>
        <v/>
      </c>
      <c r="AX249" s="209" t="str">
        <f>IFERROR(VLOOKUP(TableHandbook[[#This Row],[UDC]],TableSTRUHUMBB[],7,FALSE),"")</f>
        <v/>
      </c>
      <c r="AY249" s="209" t="str">
        <f>IFERROR(VLOOKUP(TableHandbook[[#This Row],[UDC]],TableSTRUMARTM[],7,FALSE),"")</f>
        <v/>
      </c>
      <c r="AZ249" s="209" t="str">
        <f>IFERROR(VLOOKUP(TableHandbook[[#This Row],[UDC]],TableSTRUMATHB[],7,FALSE),"")</f>
        <v/>
      </c>
      <c r="BA249" s="209" t="str">
        <f>IFERROR(VLOOKUP(TableHandbook[[#This Row],[UDC]],TableSTRUMATHM[],7,FALSE),"")</f>
        <v/>
      </c>
      <c r="BB249" s="209" t="str">
        <f>IFERROR(VLOOKUP(TableHandbook[[#This Row],[UDC]],TableSTRUPARTB[],7,FALSE),"")</f>
        <v/>
      </c>
      <c r="BC249" s="209" t="str">
        <f>IFERROR(VLOOKUP(TableHandbook[[#This Row],[UDC]],TableSTRUPARTM[],7,FALSE),"")</f>
        <v/>
      </c>
      <c r="BD249" s="209" t="str">
        <f>IFERROR(VLOOKUP(TableHandbook[[#This Row],[UDC]],TableSTRUPOLB1[],7,FALSE),"")</f>
        <v/>
      </c>
      <c r="BE249" s="209" t="str">
        <f>IFERROR(VLOOKUP(TableHandbook[[#This Row],[UDC]],TableSTRUPSYCB[],7,FALSE),"")</f>
        <v/>
      </c>
      <c r="BF249" s="209" t="str">
        <f>IFERROR(VLOOKUP(TableHandbook[[#This Row],[UDC]],TableSTRUPSYCM[],7,FALSE),"")</f>
        <v/>
      </c>
      <c r="BG249" s="209" t="str">
        <f>IFERROR(VLOOKUP(TableHandbook[[#This Row],[UDC]],TableSTRUVARTB[],7,FALSE),"")</f>
        <v/>
      </c>
      <c r="BH249" s="209" t="str">
        <f>IFERROR(VLOOKUP(TableHandbook[[#This Row],[UDC]],TableSTRUVARTM[],7,FALSE),"")</f>
        <v/>
      </c>
    </row>
    <row r="250" spans="1:60" x14ac:dyDescent="0.25">
      <c r="A250" s="296" t="s">
        <v>344</v>
      </c>
      <c r="B250" s="7">
        <v>1</v>
      </c>
      <c r="C250" s="7"/>
      <c r="D250" s="207" t="s">
        <v>382</v>
      </c>
      <c r="E250" s="7">
        <v>375</v>
      </c>
      <c r="F250" s="84"/>
      <c r="G250" s="75" t="str">
        <f>IFERROR(IF(VLOOKUP(TableHandbook[[#This Row],[UDC]],TableAvailabilities[],2,FALSE)&gt;0,"Y",""),"")</f>
        <v/>
      </c>
      <c r="H250" s="75" t="str">
        <f>IFERROR(IF(VLOOKUP(TableHandbook[[#This Row],[UDC]],TableAvailabilities[],3,FALSE)&gt;0,"Y",""),"")</f>
        <v/>
      </c>
      <c r="I250" s="75" t="str">
        <f>IFERROR(IF(VLOOKUP(TableHandbook[[#This Row],[UDC]],TableAvailabilities[],4,FALSE)&gt;0,"Y",""),"")</f>
        <v/>
      </c>
      <c r="J250" s="75" t="str">
        <f>IFERROR(IF(VLOOKUP(TableHandbook[[#This Row],[UDC]],TableAvailabilities[],5,FALSE)&gt;0,"Y",""),"")</f>
        <v/>
      </c>
      <c r="K250" s="75" t="str">
        <f>IFERROR(IF(VLOOKUP(TableHandbook[[#This Row],[UDC]],TableAvailabilities[],6,FALSE)&gt;0,"Y",""),"")</f>
        <v/>
      </c>
      <c r="L250" s="75" t="str">
        <f>IFERROR(IF(VLOOKUP(TableHandbook[[#This Row],[UDC]],TableAvailabilities[],7,FALSE)&gt;0,"Y",""),"")</f>
        <v/>
      </c>
      <c r="M250" s="207"/>
      <c r="N250" s="209" t="str">
        <f>IFERROR(VLOOKUP(TableHandbook[[#This Row],[UDC]],TableBEDUC[],7,FALSE),"")</f>
        <v/>
      </c>
      <c r="O250" s="209" t="str">
        <f>IFERROR(VLOOKUP(TableHandbook[[#This Row],[UDC]],TableBEDEC[],7,FALSE),"")</f>
        <v/>
      </c>
      <c r="P250" s="211" t="str">
        <f>IFERROR(VLOOKUP(TableHandbook[[#This Row],[UDC]],TableBEDPR[],7,FALSE),"")</f>
        <v/>
      </c>
      <c r="Q250" s="209" t="str">
        <f>IFERROR(VLOOKUP(TableHandbook[[#This Row],[UDC]],TableSTRUCATHL[],7,FALSE),"")</f>
        <v/>
      </c>
      <c r="R250" s="209" t="str">
        <f>IFERROR(VLOOKUP(TableHandbook[[#This Row],[UDC]],TableSTRUENGLL[],7,FALSE),"")</f>
        <v/>
      </c>
      <c r="S250" s="209" t="str">
        <f>IFERROR(VLOOKUP(TableHandbook[[#This Row],[UDC]],TableSTRUHLTPE[],7,FALSE),"")</f>
        <v/>
      </c>
      <c r="T250" s="209" t="str">
        <f>IFERROR(VLOOKUP(TableHandbook[[#This Row],[UDC]],TableSTRUISTEM[],7,FALSE),"")</f>
        <v/>
      </c>
      <c r="U250" s="209" t="str">
        <f>IFERROR(VLOOKUP(TableHandbook[[#This Row],[UDC]],TableSTRULITNU[],7,FALSE),"")</f>
        <v/>
      </c>
      <c r="V250" s="209" t="str">
        <f>IFERROR(VLOOKUP(TableHandbook[[#This Row],[UDC]],TableSTRUTECHS[],7,FALSE),"")</f>
        <v/>
      </c>
      <c r="W250" s="211" t="str">
        <f>IFERROR(VLOOKUP(TableHandbook[[#This Row],[UDC]],TableBEDSC[],7,FALSE),"")</f>
        <v>AltCore</v>
      </c>
      <c r="X250" s="211" t="str">
        <f>IFERROR(VLOOKUP(TableHandbook[[#This Row],[UDC]],TableMJRUARDR1[],7,FALSE),"")</f>
        <v/>
      </c>
      <c r="Y250" s="209" t="str">
        <f>IFERROR(VLOOKUP(TableHandbook[[#This Row],[UDC]],TableMJRUARME1[],7,FALSE),"")</f>
        <v/>
      </c>
      <c r="Z250" s="209" t="str">
        <f>IFERROR(VLOOKUP(TableHandbook[[#This Row],[UDC]],TableMJRUARVA1[],7,FALSE),"")</f>
        <v/>
      </c>
      <c r="AA250" s="209" t="str">
        <f>IFERROR(VLOOKUP(TableHandbook[[#This Row],[UDC]],TableMJRUENGL1[],7,FALSE),"")</f>
        <v/>
      </c>
      <c r="AB250" s="209" t="str">
        <f>IFERROR(VLOOKUP(TableHandbook[[#This Row],[UDC]],TableMJRUHSEC1[],7,FALSE),"")</f>
        <v/>
      </c>
      <c r="AC250" s="209" t="str">
        <f>IFERROR(VLOOKUP(TableHandbook[[#This Row],[UDC]],TableMJRUHSGE1[],7,FALSE),"")</f>
        <v/>
      </c>
      <c r="AD250" s="209" t="str">
        <f>IFERROR(VLOOKUP(TableHandbook[[#This Row],[UDC]],TableMJRUHSHI1[],7,FALSE),"")</f>
        <v/>
      </c>
      <c r="AE250" s="209" t="str">
        <f>IFERROR(VLOOKUP(TableHandbook[[#This Row],[UDC]],TableMJRUHSPL1[],7,FALSE),"")</f>
        <v/>
      </c>
      <c r="AF250" s="209" t="str">
        <f>IFERROR(VLOOKUP(TableHandbook[[#This Row],[UDC]],TableMJRUMATH1[],7,FALSE),"")</f>
        <v/>
      </c>
      <c r="AG250" s="209" t="str">
        <f>IFERROR(VLOOKUP(TableHandbook[[#This Row],[UDC]],TableMJRUPHYSE[],7,FALSE),"")</f>
        <v/>
      </c>
      <c r="AH250" s="209" t="str">
        <f>IFERROR(VLOOKUP(TableHandbook[[#This Row],[UDC]],TableMJRUSCBI1[],7,FALSE),"")</f>
        <v/>
      </c>
      <c r="AI250" s="209" t="str">
        <f>IFERROR(VLOOKUP(TableHandbook[[#This Row],[UDC]],TableMJRUSCCH1[],7,FALSE),"")</f>
        <v/>
      </c>
      <c r="AJ250" s="209" t="str">
        <f>IFERROR(VLOOKUP(TableHandbook[[#This Row],[UDC]],TableMJRUSCHB1[],7,FALSE),"")</f>
        <v/>
      </c>
      <c r="AK250" s="209" t="str">
        <f>IFERROR(VLOOKUP(TableHandbook[[#This Row],[UDC]],TableMJRUSCPH1[],7,FALSE),"")</f>
        <v/>
      </c>
      <c r="AL250" s="209" t="str">
        <f>IFERROR(VLOOKUP(TableHandbook[[#This Row],[UDC]],TableMJRUSCPS1[],7,FALSE),"")</f>
        <v/>
      </c>
      <c r="AM250" s="211" t="str">
        <f>IFERROR(VLOOKUP(TableHandbook[[#This Row],[UDC]],TableSTRUBIOLB[],7,FALSE),"")</f>
        <v/>
      </c>
      <c r="AN250" s="209" t="str">
        <f>IFERROR(VLOOKUP(TableHandbook[[#This Row],[UDC]],TableSTRUBSCIM[],7,FALSE),"")</f>
        <v/>
      </c>
      <c r="AO250" s="209" t="str">
        <f>IFERROR(VLOOKUP(TableHandbook[[#This Row],[UDC]],TableSTRUCHEMB[],7,FALSE),"")</f>
        <v/>
      </c>
      <c r="AP250" s="209" t="str">
        <f>IFERROR(VLOOKUP(TableHandbook[[#This Row],[UDC]],TableSTRUECOB1[],7,FALSE),"")</f>
        <v/>
      </c>
      <c r="AQ250" s="209" t="str">
        <f>IFERROR(VLOOKUP(TableHandbook[[#This Row],[UDC]],TableSTRUENGLB[],7,FALSE),"")</f>
        <v/>
      </c>
      <c r="AR250" s="209" t="str">
        <f>IFERROR(VLOOKUP(TableHandbook[[#This Row],[UDC]],TableSTRUENGLM[],7,FALSE),"")</f>
        <v/>
      </c>
      <c r="AS250" s="209" t="str">
        <f>IFERROR(VLOOKUP(TableHandbook[[#This Row],[UDC]],TableSTRUGEOB1[],7,FALSE),"")</f>
        <v/>
      </c>
      <c r="AT250" s="209" t="str">
        <f>IFERROR(VLOOKUP(TableHandbook[[#This Row],[UDC]],TableSTRUGEOGM[],7,FALSE),"")</f>
        <v/>
      </c>
      <c r="AU250" s="209" t="str">
        <f>IFERROR(VLOOKUP(TableHandbook[[#This Row],[UDC]],TableSTRUHISB1[],7,FALSE),"")</f>
        <v/>
      </c>
      <c r="AV250" s="209" t="str">
        <f>IFERROR(VLOOKUP(TableHandbook[[#This Row],[UDC]],TableSTRUHISTM[],7,FALSE),"")</f>
        <v/>
      </c>
      <c r="AW250" s="209" t="str">
        <f>IFERROR(VLOOKUP(TableHandbook[[#This Row],[UDC]],TableSTRUHPEB1[],7,FALSE),"")</f>
        <v/>
      </c>
      <c r="AX250" s="209" t="str">
        <f>IFERROR(VLOOKUP(TableHandbook[[#This Row],[UDC]],TableSTRUHUMBB[],7,FALSE),"")</f>
        <v/>
      </c>
      <c r="AY250" s="209" t="str">
        <f>IFERROR(VLOOKUP(TableHandbook[[#This Row],[UDC]],TableSTRUMARTM[],7,FALSE),"")</f>
        <v/>
      </c>
      <c r="AZ250" s="209" t="str">
        <f>IFERROR(VLOOKUP(TableHandbook[[#This Row],[UDC]],TableSTRUMATHB[],7,FALSE),"")</f>
        <v/>
      </c>
      <c r="BA250" s="209" t="str">
        <f>IFERROR(VLOOKUP(TableHandbook[[#This Row],[UDC]],TableSTRUMATHM[],7,FALSE),"")</f>
        <v/>
      </c>
      <c r="BB250" s="209" t="str">
        <f>IFERROR(VLOOKUP(TableHandbook[[#This Row],[UDC]],TableSTRUPARTB[],7,FALSE),"")</f>
        <v/>
      </c>
      <c r="BC250" s="209" t="str">
        <f>IFERROR(VLOOKUP(TableHandbook[[#This Row],[UDC]],TableSTRUPARTM[],7,FALSE),"")</f>
        <v/>
      </c>
      <c r="BD250" s="209" t="str">
        <f>IFERROR(VLOOKUP(TableHandbook[[#This Row],[UDC]],TableSTRUPOLB1[],7,FALSE),"")</f>
        <v/>
      </c>
      <c r="BE250" s="209" t="str">
        <f>IFERROR(VLOOKUP(TableHandbook[[#This Row],[UDC]],TableSTRUPSYCB[],7,FALSE),"")</f>
        <v/>
      </c>
      <c r="BF250" s="209" t="str">
        <f>IFERROR(VLOOKUP(TableHandbook[[#This Row],[UDC]],TableSTRUPSYCM[],7,FALSE),"")</f>
        <v/>
      </c>
      <c r="BG250" s="209" t="str">
        <f>IFERROR(VLOOKUP(TableHandbook[[#This Row],[UDC]],TableSTRUVARTB[],7,FALSE),"")</f>
        <v/>
      </c>
      <c r="BH250" s="209" t="str">
        <f>IFERROR(VLOOKUP(TableHandbook[[#This Row],[UDC]],TableSTRUVARTM[],7,FALSE),"")</f>
        <v/>
      </c>
    </row>
    <row r="251" spans="1:60" x14ac:dyDescent="0.25">
      <c r="A251" s="296" t="s">
        <v>345</v>
      </c>
      <c r="B251" s="7">
        <v>1</v>
      </c>
      <c r="C251" s="7"/>
      <c r="D251" s="207" t="s">
        <v>207</v>
      </c>
      <c r="E251" s="7">
        <v>375</v>
      </c>
      <c r="F251" s="84"/>
      <c r="G251" s="75" t="str">
        <f>IFERROR(IF(VLOOKUP(TableHandbook[[#This Row],[UDC]],TableAvailabilities[],2,FALSE)&gt;0,"Y",""),"")</f>
        <v/>
      </c>
      <c r="H251" s="75" t="str">
        <f>IFERROR(IF(VLOOKUP(TableHandbook[[#This Row],[UDC]],TableAvailabilities[],3,FALSE)&gt;0,"Y",""),"")</f>
        <v/>
      </c>
      <c r="I251" s="75" t="str">
        <f>IFERROR(IF(VLOOKUP(TableHandbook[[#This Row],[UDC]],TableAvailabilities[],4,FALSE)&gt;0,"Y",""),"")</f>
        <v/>
      </c>
      <c r="J251" s="75" t="str">
        <f>IFERROR(IF(VLOOKUP(TableHandbook[[#This Row],[UDC]],TableAvailabilities[],5,FALSE)&gt;0,"Y",""),"")</f>
        <v/>
      </c>
      <c r="K251" s="75" t="str">
        <f>IFERROR(IF(VLOOKUP(TableHandbook[[#This Row],[UDC]],TableAvailabilities[],6,FALSE)&gt;0,"Y",""),"")</f>
        <v/>
      </c>
      <c r="L251" s="75" t="str">
        <f>IFERROR(IF(VLOOKUP(TableHandbook[[#This Row],[UDC]],TableAvailabilities[],7,FALSE)&gt;0,"Y",""),"")</f>
        <v/>
      </c>
      <c r="M251" s="207"/>
      <c r="N251" s="209" t="str">
        <f>IFERROR(VLOOKUP(TableHandbook[[#This Row],[UDC]],TableBEDUC[],7,FALSE),"")</f>
        <v/>
      </c>
      <c r="O251" s="209" t="str">
        <f>IFERROR(VLOOKUP(TableHandbook[[#This Row],[UDC]],TableBEDEC[],7,FALSE),"")</f>
        <v/>
      </c>
      <c r="P251" s="211" t="str">
        <f>IFERROR(VLOOKUP(TableHandbook[[#This Row],[UDC]],TableBEDPR[],7,FALSE),"")</f>
        <v/>
      </c>
      <c r="Q251" s="209" t="str">
        <f>IFERROR(VLOOKUP(TableHandbook[[#This Row],[UDC]],TableSTRUCATHL[],7,FALSE),"")</f>
        <v/>
      </c>
      <c r="R251" s="209" t="str">
        <f>IFERROR(VLOOKUP(TableHandbook[[#This Row],[UDC]],TableSTRUENGLL[],7,FALSE),"")</f>
        <v/>
      </c>
      <c r="S251" s="209" t="str">
        <f>IFERROR(VLOOKUP(TableHandbook[[#This Row],[UDC]],TableSTRUHLTPE[],7,FALSE),"")</f>
        <v/>
      </c>
      <c r="T251" s="209" t="str">
        <f>IFERROR(VLOOKUP(TableHandbook[[#This Row],[UDC]],TableSTRUISTEM[],7,FALSE),"")</f>
        <v/>
      </c>
      <c r="U251" s="209" t="str">
        <f>IFERROR(VLOOKUP(TableHandbook[[#This Row],[UDC]],TableSTRULITNU[],7,FALSE),"")</f>
        <v/>
      </c>
      <c r="V251" s="209" t="str">
        <f>IFERROR(VLOOKUP(TableHandbook[[#This Row],[UDC]],TableSTRUTECHS[],7,FALSE),"")</f>
        <v/>
      </c>
      <c r="W251" s="211" t="str">
        <f>IFERROR(VLOOKUP(TableHandbook[[#This Row],[UDC]],TableBEDSC[],7,FALSE),"")</f>
        <v>AltCore</v>
      </c>
      <c r="X251" s="211" t="str">
        <f>IFERROR(VLOOKUP(TableHandbook[[#This Row],[UDC]],TableMJRUARDR1[],7,FALSE),"")</f>
        <v/>
      </c>
      <c r="Y251" s="209" t="str">
        <f>IFERROR(VLOOKUP(TableHandbook[[#This Row],[UDC]],TableMJRUARME1[],7,FALSE),"")</f>
        <v/>
      </c>
      <c r="Z251" s="209" t="str">
        <f>IFERROR(VLOOKUP(TableHandbook[[#This Row],[UDC]],TableMJRUARVA1[],7,FALSE),"")</f>
        <v/>
      </c>
      <c r="AA251" s="209" t="str">
        <f>IFERROR(VLOOKUP(TableHandbook[[#This Row],[UDC]],TableMJRUENGL1[],7,FALSE),"")</f>
        <v/>
      </c>
      <c r="AB251" s="209" t="str">
        <f>IFERROR(VLOOKUP(TableHandbook[[#This Row],[UDC]],TableMJRUHSEC1[],7,FALSE),"")</f>
        <v/>
      </c>
      <c r="AC251" s="209" t="str">
        <f>IFERROR(VLOOKUP(TableHandbook[[#This Row],[UDC]],TableMJRUHSGE1[],7,FALSE),"")</f>
        <v/>
      </c>
      <c r="AD251" s="209" t="str">
        <f>IFERROR(VLOOKUP(TableHandbook[[#This Row],[UDC]],TableMJRUHSHI1[],7,FALSE),"")</f>
        <v/>
      </c>
      <c r="AE251" s="209" t="str">
        <f>IFERROR(VLOOKUP(TableHandbook[[#This Row],[UDC]],TableMJRUHSPL1[],7,FALSE),"")</f>
        <v/>
      </c>
      <c r="AF251" s="209" t="str">
        <f>IFERROR(VLOOKUP(TableHandbook[[#This Row],[UDC]],TableMJRUMATH1[],7,FALSE),"")</f>
        <v/>
      </c>
      <c r="AG251" s="209" t="str">
        <f>IFERROR(VLOOKUP(TableHandbook[[#This Row],[UDC]],TableMJRUPHYSE[],7,FALSE),"")</f>
        <v/>
      </c>
      <c r="AH251" s="209" t="str">
        <f>IFERROR(VLOOKUP(TableHandbook[[#This Row],[UDC]],TableMJRUSCBI1[],7,FALSE),"")</f>
        <v/>
      </c>
      <c r="AI251" s="209" t="str">
        <f>IFERROR(VLOOKUP(TableHandbook[[#This Row],[UDC]],TableMJRUSCCH1[],7,FALSE),"")</f>
        <v/>
      </c>
      <c r="AJ251" s="209" t="str">
        <f>IFERROR(VLOOKUP(TableHandbook[[#This Row],[UDC]],TableMJRUSCHB1[],7,FALSE),"")</f>
        <v/>
      </c>
      <c r="AK251" s="209" t="str">
        <f>IFERROR(VLOOKUP(TableHandbook[[#This Row],[UDC]],TableMJRUSCPH1[],7,FALSE),"")</f>
        <v/>
      </c>
      <c r="AL251" s="209" t="str">
        <f>IFERROR(VLOOKUP(TableHandbook[[#This Row],[UDC]],TableMJRUSCPS1[],7,FALSE),"")</f>
        <v/>
      </c>
      <c r="AM251" s="211" t="str">
        <f>IFERROR(VLOOKUP(TableHandbook[[#This Row],[UDC]],TableSTRUBIOLB[],7,FALSE),"")</f>
        <v/>
      </c>
      <c r="AN251" s="209" t="str">
        <f>IFERROR(VLOOKUP(TableHandbook[[#This Row],[UDC]],TableSTRUBSCIM[],7,FALSE),"")</f>
        <v/>
      </c>
      <c r="AO251" s="209" t="str">
        <f>IFERROR(VLOOKUP(TableHandbook[[#This Row],[UDC]],TableSTRUCHEMB[],7,FALSE),"")</f>
        <v/>
      </c>
      <c r="AP251" s="209" t="str">
        <f>IFERROR(VLOOKUP(TableHandbook[[#This Row],[UDC]],TableSTRUECOB1[],7,FALSE),"")</f>
        <v/>
      </c>
      <c r="AQ251" s="209" t="str">
        <f>IFERROR(VLOOKUP(TableHandbook[[#This Row],[UDC]],TableSTRUENGLB[],7,FALSE),"")</f>
        <v/>
      </c>
      <c r="AR251" s="209" t="str">
        <f>IFERROR(VLOOKUP(TableHandbook[[#This Row],[UDC]],TableSTRUENGLM[],7,FALSE),"")</f>
        <v/>
      </c>
      <c r="AS251" s="209" t="str">
        <f>IFERROR(VLOOKUP(TableHandbook[[#This Row],[UDC]],TableSTRUGEOB1[],7,FALSE),"")</f>
        <v/>
      </c>
      <c r="AT251" s="209" t="str">
        <f>IFERROR(VLOOKUP(TableHandbook[[#This Row],[UDC]],TableSTRUGEOGM[],7,FALSE),"")</f>
        <v/>
      </c>
      <c r="AU251" s="209" t="str">
        <f>IFERROR(VLOOKUP(TableHandbook[[#This Row],[UDC]],TableSTRUHISB1[],7,FALSE),"")</f>
        <v/>
      </c>
      <c r="AV251" s="209" t="str">
        <f>IFERROR(VLOOKUP(TableHandbook[[#This Row],[UDC]],TableSTRUHISTM[],7,FALSE),"")</f>
        <v/>
      </c>
      <c r="AW251" s="209" t="str">
        <f>IFERROR(VLOOKUP(TableHandbook[[#This Row],[UDC]],TableSTRUHPEB1[],7,FALSE),"")</f>
        <v/>
      </c>
      <c r="AX251" s="209" t="str">
        <f>IFERROR(VLOOKUP(TableHandbook[[#This Row],[UDC]],TableSTRUHUMBB[],7,FALSE),"")</f>
        <v/>
      </c>
      <c r="AY251" s="209" t="str">
        <f>IFERROR(VLOOKUP(TableHandbook[[#This Row],[UDC]],TableSTRUMARTM[],7,FALSE),"")</f>
        <v/>
      </c>
      <c r="AZ251" s="209" t="str">
        <f>IFERROR(VLOOKUP(TableHandbook[[#This Row],[UDC]],TableSTRUMATHB[],7,FALSE),"")</f>
        <v/>
      </c>
      <c r="BA251" s="209" t="str">
        <f>IFERROR(VLOOKUP(TableHandbook[[#This Row],[UDC]],TableSTRUMATHM[],7,FALSE),"")</f>
        <v/>
      </c>
      <c r="BB251" s="209" t="str">
        <f>IFERROR(VLOOKUP(TableHandbook[[#This Row],[UDC]],TableSTRUPARTB[],7,FALSE),"")</f>
        <v/>
      </c>
      <c r="BC251" s="209" t="str">
        <f>IFERROR(VLOOKUP(TableHandbook[[#This Row],[UDC]],TableSTRUPARTM[],7,FALSE),"")</f>
        <v/>
      </c>
      <c r="BD251" s="209" t="str">
        <f>IFERROR(VLOOKUP(TableHandbook[[#This Row],[UDC]],TableSTRUPOLB1[],7,FALSE),"")</f>
        <v/>
      </c>
      <c r="BE251" s="209" t="str">
        <f>IFERROR(VLOOKUP(TableHandbook[[#This Row],[UDC]],TableSTRUPSYCB[],7,FALSE),"")</f>
        <v/>
      </c>
      <c r="BF251" s="209" t="str">
        <f>IFERROR(VLOOKUP(TableHandbook[[#This Row],[UDC]],TableSTRUPSYCM[],7,FALSE),"")</f>
        <v/>
      </c>
      <c r="BG251" s="209" t="str">
        <f>IFERROR(VLOOKUP(TableHandbook[[#This Row],[UDC]],TableSTRUVARTB[],7,FALSE),"")</f>
        <v/>
      </c>
      <c r="BH251" s="209" t="str">
        <f>IFERROR(VLOOKUP(TableHandbook[[#This Row],[UDC]],TableSTRUVARTM[],7,FALSE),"")</f>
        <v/>
      </c>
    </row>
    <row r="252" spans="1:60" x14ac:dyDescent="0.25">
      <c r="A252" s="296" t="s">
        <v>346</v>
      </c>
      <c r="B252" s="7">
        <v>1</v>
      </c>
      <c r="C252" s="7"/>
      <c r="D252" s="207" t="s">
        <v>385</v>
      </c>
      <c r="E252" s="7">
        <v>375</v>
      </c>
      <c r="F252" s="84"/>
      <c r="G252" s="75" t="str">
        <f>IFERROR(IF(VLOOKUP(TableHandbook[[#This Row],[UDC]],TableAvailabilities[],2,FALSE)&gt;0,"Y",""),"")</f>
        <v/>
      </c>
      <c r="H252" s="75" t="str">
        <f>IFERROR(IF(VLOOKUP(TableHandbook[[#This Row],[UDC]],TableAvailabilities[],3,FALSE)&gt;0,"Y",""),"")</f>
        <v/>
      </c>
      <c r="I252" s="75" t="str">
        <f>IFERROR(IF(VLOOKUP(TableHandbook[[#This Row],[UDC]],TableAvailabilities[],4,FALSE)&gt;0,"Y",""),"")</f>
        <v/>
      </c>
      <c r="J252" s="75" t="str">
        <f>IFERROR(IF(VLOOKUP(TableHandbook[[#This Row],[UDC]],TableAvailabilities[],5,FALSE)&gt;0,"Y",""),"")</f>
        <v/>
      </c>
      <c r="K252" s="75" t="str">
        <f>IFERROR(IF(VLOOKUP(TableHandbook[[#This Row],[UDC]],TableAvailabilities[],6,FALSE)&gt;0,"Y",""),"")</f>
        <v/>
      </c>
      <c r="L252" s="75" t="str">
        <f>IFERROR(IF(VLOOKUP(TableHandbook[[#This Row],[UDC]],TableAvailabilities[],7,FALSE)&gt;0,"Y",""),"")</f>
        <v/>
      </c>
      <c r="M252" s="207"/>
      <c r="N252" s="209" t="str">
        <f>IFERROR(VLOOKUP(TableHandbook[[#This Row],[UDC]],TableBEDUC[],7,FALSE),"")</f>
        <v/>
      </c>
      <c r="O252" s="209" t="str">
        <f>IFERROR(VLOOKUP(TableHandbook[[#This Row],[UDC]],TableBEDEC[],7,FALSE),"")</f>
        <v/>
      </c>
      <c r="P252" s="211" t="str">
        <f>IFERROR(VLOOKUP(TableHandbook[[#This Row],[UDC]],TableBEDPR[],7,FALSE),"")</f>
        <v/>
      </c>
      <c r="Q252" s="209" t="str">
        <f>IFERROR(VLOOKUP(TableHandbook[[#This Row],[UDC]],TableSTRUCATHL[],7,FALSE),"")</f>
        <v/>
      </c>
      <c r="R252" s="209" t="str">
        <f>IFERROR(VLOOKUP(TableHandbook[[#This Row],[UDC]],TableSTRUENGLL[],7,FALSE),"")</f>
        <v/>
      </c>
      <c r="S252" s="209" t="str">
        <f>IFERROR(VLOOKUP(TableHandbook[[#This Row],[UDC]],TableSTRUHLTPE[],7,FALSE),"")</f>
        <v/>
      </c>
      <c r="T252" s="209" t="str">
        <f>IFERROR(VLOOKUP(TableHandbook[[#This Row],[UDC]],TableSTRUISTEM[],7,FALSE),"")</f>
        <v/>
      </c>
      <c r="U252" s="209" t="str">
        <f>IFERROR(VLOOKUP(TableHandbook[[#This Row],[UDC]],TableSTRULITNU[],7,FALSE),"")</f>
        <v/>
      </c>
      <c r="V252" s="209" t="str">
        <f>IFERROR(VLOOKUP(TableHandbook[[#This Row],[UDC]],TableSTRUTECHS[],7,FALSE),"")</f>
        <v/>
      </c>
      <c r="W252" s="211" t="str">
        <f>IFERROR(VLOOKUP(TableHandbook[[#This Row],[UDC]],TableBEDSC[],7,FALSE),"")</f>
        <v>AltCore</v>
      </c>
      <c r="X252" s="211" t="str">
        <f>IFERROR(VLOOKUP(TableHandbook[[#This Row],[UDC]],TableMJRUARDR1[],7,FALSE),"")</f>
        <v/>
      </c>
      <c r="Y252" s="209" t="str">
        <f>IFERROR(VLOOKUP(TableHandbook[[#This Row],[UDC]],TableMJRUARME1[],7,FALSE),"")</f>
        <v/>
      </c>
      <c r="Z252" s="209" t="str">
        <f>IFERROR(VLOOKUP(TableHandbook[[#This Row],[UDC]],TableMJRUARVA1[],7,FALSE),"")</f>
        <v/>
      </c>
      <c r="AA252" s="209" t="str">
        <f>IFERROR(VLOOKUP(TableHandbook[[#This Row],[UDC]],TableMJRUENGL1[],7,FALSE),"")</f>
        <v/>
      </c>
      <c r="AB252" s="209" t="str">
        <f>IFERROR(VLOOKUP(TableHandbook[[#This Row],[UDC]],TableMJRUHSEC1[],7,FALSE),"")</f>
        <v/>
      </c>
      <c r="AC252" s="209" t="str">
        <f>IFERROR(VLOOKUP(TableHandbook[[#This Row],[UDC]],TableMJRUHSGE1[],7,FALSE),"")</f>
        <v/>
      </c>
      <c r="AD252" s="209" t="str">
        <f>IFERROR(VLOOKUP(TableHandbook[[#This Row],[UDC]],TableMJRUHSHI1[],7,FALSE),"")</f>
        <v/>
      </c>
      <c r="AE252" s="209" t="str">
        <f>IFERROR(VLOOKUP(TableHandbook[[#This Row],[UDC]],TableMJRUHSPL1[],7,FALSE),"")</f>
        <v/>
      </c>
      <c r="AF252" s="209" t="str">
        <f>IFERROR(VLOOKUP(TableHandbook[[#This Row],[UDC]],TableMJRUMATH1[],7,FALSE),"")</f>
        <v/>
      </c>
      <c r="AG252" s="209" t="str">
        <f>IFERROR(VLOOKUP(TableHandbook[[#This Row],[UDC]],TableMJRUPHYSE[],7,FALSE),"")</f>
        <v/>
      </c>
      <c r="AH252" s="209" t="str">
        <f>IFERROR(VLOOKUP(TableHandbook[[#This Row],[UDC]],TableMJRUSCBI1[],7,FALSE),"")</f>
        <v/>
      </c>
      <c r="AI252" s="209" t="str">
        <f>IFERROR(VLOOKUP(TableHandbook[[#This Row],[UDC]],TableMJRUSCCH1[],7,FALSE),"")</f>
        <v/>
      </c>
      <c r="AJ252" s="209" t="str">
        <f>IFERROR(VLOOKUP(TableHandbook[[#This Row],[UDC]],TableMJRUSCHB1[],7,FALSE),"")</f>
        <v/>
      </c>
      <c r="AK252" s="209" t="str">
        <f>IFERROR(VLOOKUP(TableHandbook[[#This Row],[UDC]],TableMJRUSCPH1[],7,FALSE),"")</f>
        <v/>
      </c>
      <c r="AL252" s="209" t="str">
        <f>IFERROR(VLOOKUP(TableHandbook[[#This Row],[UDC]],TableMJRUSCPS1[],7,FALSE),"")</f>
        <v/>
      </c>
      <c r="AM252" s="211" t="str">
        <f>IFERROR(VLOOKUP(TableHandbook[[#This Row],[UDC]],TableSTRUBIOLB[],7,FALSE),"")</f>
        <v/>
      </c>
      <c r="AN252" s="209" t="str">
        <f>IFERROR(VLOOKUP(TableHandbook[[#This Row],[UDC]],TableSTRUBSCIM[],7,FALSE),"")</f>
        <v/>
      </c>
      <c r="AO252" s="209" t="str">
        <f>IFERROR(VLOOKUP(TableHandbook[[#This Row],[UDC]],TableSTRUCHEMB[],7,FALSE),"")</f>
        <v/>
      </c>
      <c r="AP252" s="209" t="str">
        <f>IFERROR(VLOOKUP(TableHandbook[[#This Row],[UDC]],TableSTRUECOB1[],7,FALSE),"")</f>
        <v/>
      </c>
      <c r="AQ252" s="209" t="str">
        <f>IFERROR(VLOOKUP(TableHandbook[[#This Row],[UDC]],TableSTRUENGLB[],7,FALSE),"")</f>
        <v/>
      </c>
      <c r="AR252" s="209" t="str">
        <f>IFERROR(VLOOKUP(TableHandbook[[#This Row],[UDC]],TableSTRUENGLM[],7,FALSE),"")</f>
        <v/>
      </c>
      <c r="AS252" s="209" t="str">
        <f>IFERROR(VLOOKUP(TableHandbook[[#This Row],[UDC]],TableSTRUGEOB1[],7,FALSE),"")</f>
        <v/>
      </c>
      <c r="AT252" s="209" t="str">
        <f>IFERROR(VLOOKUP(TableHandbook[[#This Row],[UDC]],TableSTRUGEOGM[],7,FALSE),"")</f>
        <v/>
      </c>
      <c r="AU252" s="209" t="str">
        <f>IFERROR(VLOOKUP(TableHandbook[[#This Row],[UDC]],TableSTRUHISB1[],7,FALSE),"")</f>
        <v/>
      </c>
      <c r="AV252" s="209" t="str">
        <f>IFERROR(VLOOKUP(TableHandbook[[#This Row],[UDC]],TableSTRUHISTM[],7,FALSE),"")</f>
        <v/>
      </c>
      <c r="AW252" s="209" t="str">
        <f>IFERROR(VLOOKUP(TableHandbook[[#This Row],[UDC]],TableSTRUHPEB1[],7,FALSE),"")</f>
        <v/>
      </c>
      <c r="AX252" s="209" t="str">
        <f>IFERROR(VLOOKUP(TableHandbook[[#This Row],[UDC]],TableSTRUHUMBB[],7,FALSE),"")</f>
        <v/>
      </c>
      <c r="AY252" s="209" t="str">
        <f>IFERROR(VLOOKUP(TableHandbook[[#This Row],[UDC]],TableSTRUMARTM[],7,FALSE),"")</f>
        <v/>
      </c>
      <c r="AZ252" s="209" t="str">
        <f>IFERROR(VLOOKUP(TableHandbook[[#This Row],[UDC]],TableSTRUMATHB[],7,FALSE),"")</f>
        <v/>
      </c>
      <c r="BA252" s="209" t="str">
        <f>IFERROR(VLOOKUP(TableHandbook[[#This Row],[UDC]],TableSTRUMATHM[],7,FALSE),"")</f>
        <v/>
      </c>
      <c r="BB252" s="209" t="str">
        <f>IFERROR(VLOOKUP(TableHandbook[[#This Row],[UDC]],TableSTRUPARTB[],7,FALSE),"")</f>
        <v/>
      </c>
      <c r="BC252" s="209" t="str">
        <f>IFERROR(VLOOKUP(TableHandbook[[#This Row],[UDC]],TableSTRUPARTM[],7,FALSE),"")</f>
        <v/>
      </c>
      <c r="BD252" s="209" t="str">
        <f>IFERROR(VLOOKUP(TableHandbook[[#This Row],[UDC]],TableSTRUPOLB1[],7,FALSE),"")</f>
        <v/>
      </c>
      <c r="BE252" s="209" t="str">
        <f>IFERROR(VLOOKUP(TableHandbook[[#This Row],[UDC]],TableSTRUPSYCB[],7,FALSE),"")</f>
        <v/>
      </c>
      <c r="BF252" s="209" t="str">
        <f>IFERROR(VLOOKUP(TableHandbook[[#This Row],[UDC]],TableSTRUPSYCM[],7,FALSE),"")</f>
        <v/>
      </c>
      <c r="BG252" s="209" t="str">
        <f>IFERROR(VLOOKUP(TableHandbook[[#This Row],[UDC]],TableSTRUVARTB[],7,FALSE),"")</f>
        <v/>
      </c>
      <c r="BH252" s="209" t="str">
        <f>IFERROR(VLOOKUP(TableHandbook[[#This Row],[UDC]],TableSTRUVARTM[],7,FALSE),"")</f>
        <v/>
      </c>
    </row>
    <row r="253" spans="1:60" x14ac:dyDescent="0.25">
      <c r="A253" s="296" t="s">
        <v>347</v>
      </c>
      <c r="B253" s="7">
        <v>1</v>
      </c>
      <c r="C253" s="7"/>
      <c r="D253" s="207" t="s">
        <v>387</v>
      </c>
      <c r="E253" s="7">
        <v>375</v>
      </c>
      <c r="F253" s="84"/>
      <c r="G253" s="75" t="str">
        <f>IFERROR(IF(VLOOKUP(TableHandbook[[#This Row],[UDC]],TableAvailabilities[],2,FALSE)&gt;0,"Y",""),"")</f>
        <v/>
      </c>
      <c r="H253" s="75" t="str">
        <f>IFERROR(IF(VLOOKUP(TableHandbook[[#This Row],[UDC]],TableAvailabilities[],3,FALSE)&gt;0,"Y",""),"")</f>
        <v/>
      </c>
      <c r="I253" s="75" t="str">
        <f>IFERROR(IF(VLOOKUP(TableHandbook[[#This Row],[UDC]],TableAvailabilities[],4,FALSE)&gt;0,"Y",""),"")</f>
        <v/>
      </c>
      <c r="J253" s="75" t="str">
        <f>IFERROR(IF(VLOOKUP(TableHandbook[[#This Row],[UDC]],TableAvailabilities[],5,FALSE)&gt;0,"Y",""),"")</f>
        <v/>
      </c>
      <c r="K253" s="75" t="str">
        <f>IFERROR(IF(VLOOKUP(TableHandbook[[#This Row],[UDC]],TableAvailabilities[],6,FALSE)&gt;0,"Y",""),"")</f>
        <v/>
      </c>
      <c r="L253" s="75" t="str">
        <f>IFERROR(IF(VLOOKUP(TableHandbook[[#This Row],[UDC]],TableAvailabilities[],7,FALSE)&gt;0,"Y",""),"")</f>
        <v/>
      </c>
      <c r="M253" s="207"/>
      <c r="N253" s="209" t="str">
        <f>IFERROR(VLOOKUP(TableHandbook[[#This Row],[UDC]],TableBEDUC[],7,FALSE),"")</f>
        <v/>
      </c>
      <c r="O253" s="209" t="str">
        <f>IFERROR(VLOOKUP(TableHandbook[[#This Row],[UDC]],TableBEDEC[],7,FALSE),"")</f>
        <v/>
      </c>
      <c r="P253" s="211" t="str">
        <f>IFERROR(VLOOKUP(TableHandbook[[#This Row],[UDC]],TableBEDPR[],7,FALSE),"")</f>
        <v/>
      </c>
      <c r="Q253" s="209" t="str">
        <f>IFERROR(VLOOKUP(TableHandbook[[#This Row],[UDC]],TableSTRUCATHL[],7,FALSE),"")</f>
        <v/>
      </c>
      <c r="R253" s="209" t="str">
        <f>IFERROR(VLOOKUP(TableHandbook[[#This Row],[UDC]],TableSTRUENGLL[],7,FALSE),"")</f>
        <v/>
      </c>
      <c r="S253" s="209" t="str">
        <f>IFERROR(VLOOKUP(TableHandbook[[#This Row],[UDC]],TableSTRUHLTPE[],7,FALSE),"")</f>
        <v/>
      </c>
      <c r="T253" s="209" t="str">
        <f>IFERROR(VLOOKUP(TableHandbook[[#This Row],[UDC]],TableSTRUISTEM[],7,FALSE),"")</f>
        <v/>
      </c>
      <c r="U253" s="209" t="str">
        <f>IFERROR(VLOOKUP(TableHandbook[[#This Row],[UDC]],TableSTRULITNU[],7,FALSE),"")</f>
        <v/>
      </c>
      <c r="V253" s="209" t="str">
        <f>IFERROR(VLOOKUP(TableHandbook[[#This Row],[UDC]],TableSTRUTECHS[],7,FALSE),"")</f>
        <v/>
      </c>
      <c r="W253" s="211" t="str">
        <f>IFERROR(VLOOKUP(TableHandbook[[#This Row],[UDC]],TableBEDSC[],7,FALSE),"")</f>
        <v>AltCore</v>
      </c>
      <c r="X253" s="211" t="str">
        <f>IFERROR(VLOOKUP(TableHandbook[[#This Row],[UDC]],TableMJRUARDR1[],7,FALSE),"")</f>
        <v/>
      </c>
      <c r="Y253" s="209" t="str">
        <f>IFERROR(VLOOKUP(TableHandbook[[#This Row],[UDC]],TableMJRUARME1[],7,FALSE),"")</f>
        <v/>
      </c>
      <c r="Z253" s="209" t="str">
        <f>IFERROR(VLOOKUP(TableHandbook[[#This Row],[UDC]],TableMJRUARVA1[],7,FALSE),"")</f>
        <v/>
      </c>
      <c r="AA253" s="209" t="str">
        <f>IFERROR(VLOOKUP(TableHandbook[[#This Row],[UDC]],TableMJRUENGL1[],7,FALSE),"")</f>
        <v/>
      </c>
      <c r="AB253" s="209" t="str">
        <f>IFERROR(VLOOKUP(TableHandbook[[#This Row],[UDC]],TableMJRUHSEC1[],7,FALSE),"")</f>
        <v/>
      </c>
      <c r="AC253" s="209" t="str">
        <f>IFERROR(VLOOKUP(TableHandbook[[#This Row],[UDC]],TableMJRUHSGE1[],7,FALSE),"")</f>
        <v/>
      </c>
      <c r="AD253" s="209" t="str">
        <f>IFERROR(VLOOKUP(TableHandbook[[#This Row],[UDC]],TableMJRUHSHI1[],7,FALSE),"")</f>
        <v/>
      </c>
      <c r="AE253" s="209" t="str">
        <f>IFERROR(VLOOKUP(TableHandbook[[#This Row],[UDC]],TableMJRUHSPL1[],7,FALSE),"")</f>
        <v/>
      </c>
      <c r="AF253" s="209" t="str">
        <f>IFERROR(VLOOKUP(TableHandbook[[#This Row],[UDC]],TableMJRUMATH1[],7,FALSE),"")</f>
        <v/>
      </c>
      <c r="AG253" s="209" t="str">
        <f>IFERROR(VLOOKUP(TableHandbook[[#This Row],[UDC]],TableMJRUPHYSE[],7,FALSE),"")</f>
        <v/>
      </c>
      <c r="AH253" s="209" t="str">
        <f>IFERROR(VLOOKUP(TableHandbook[[#This Row],[UDC]],TableMJRUSCBI1[],7,FALSE),"")</f>
        <v/>
      </c>
      <c r="AI253" s="209" t="str">
        <f>IFERROR(VLOOKUP(TableHandbook[[#This Row],[UDC]],TableMJRUSCCH1[],7,FALSE),"")</f>
        <v/>
      </c>
      <c r="AJ253" s="209" t="str">
        <f>IFERROR(VLOOKUP(TableHandbook[[#This Row],[UDC]],TableMJRUSCHB1[],7,FALSE),"")</f>
        <v/>
      </c>
      <c r="AK253" s="209" t="str">
        <f>IFERROR(VLOOKUP(TableHandbook[[#This Row],[UDC]],TableMJRUSCPH1[],7,FALSE),"")</f>
        <v/>
      </c>
      <c r="AL253" s="209" t="str">
        <f>IFERROR(VLOOKUP(TableHandbook[[#This Row],[UDC]],TableMJRUSCPS1[],7,FALSE),"")</f>
        <v/>
      </c>
      <c r="AM253" s="211" t="str">
        <f>IFERROR(VLOOKUP(TableHandbook[[#This Row],[UDC]],TableSTRUBIOLB[],7,FALSE),"")</f>
        <v/>
      </c>
      <c r="AN253" s="209" t="str">
        <f>IFERROR(VLOOKUP(TableHandbook[[#This Row],[UDC]],TableSTRUBSCIM[],7,FALSE),"")</f>
        <v/>
      </c>
      <c r="AO253" s="209" t="str">
        <f>IFERROR(VLOOKUP(TableHandbook[[#This Row],[UDC]],TableSTRUCHEMB[],7,FALSE),"")</f>
        <v/>
      </c>
      <c r="AP253" s="209" t="str">
        <f>IFERROR(VLOOKUP(TableHandbook[[#This Row],[UDC]],TableSTRUECOB1[],7,FALSE),"")</f>
        <v/>
      </c>
      <c r="AQ253" s="209" t="str">
        <f>IFERROR(VLOOKUP(TableHandbook[[#This Row],[UDC]],TableSTRUENGLB[],7,FALSE),"")</f>
        <v/>
      </c>
      <c r="AR253" s="209" t="str">
        <f>IFERROR(VLOOKUP(TableHandbook[[#This Row],[UDC]],TableSTRUENGLM[],7,FALSE),"")</f>
        <v/>
      </c>
      <c r="AS253" s="209" t="str">
        <f>IFERROR(VLOOKUP(TableHandbook[[#This Row],[UDC]],TableSTRUGEOB1[],7,FALSE),"")</f>
        <v/>
      </c>
      <c r="AT253" s="209" t="str">
        <f>IFERROR(VLOOKUP(TableHandbook[[#This Row],[UDC]],TableSTRUGEOGM[],7,FALSE),"")</f>
        <v/>
      </c>
      <c r="AU253" s="209" t="str">
        <f>IFERROR(VLOOKUP(TableHandbook[[#This Row],[UDC]],TableSTRUHISB1[],7,FALSE),"")</f>
        <v/>
      </c>
      <c r="AV253" s="209" t="str">
        <f>IFERROR(VLOOKUP(TableHandbook[[#This Row],[UDC]],TableSTRUHISTM[],7,FALSE),"")</f>
        <v/>
      </c>
      <c r="AW253" s="209" t="str">
        <f>IFERROR(VLOOKUP(TableHandbook[[#This Row],[UDC]],TableSTRUHPEB1[],7,FALSE),"")</f>
        <v/>
      </c>
      <c r="AX253" s="209" t="str">
        <f>IFERROR(VLOOKUP(TableHandbook[[#This Row],[UDC]],TableSTRUHUMBB[],7,FALSE),"")</f>
        <v/>
      </c>
      <c r="AY253" s="209" t="str">
        <f>IFERROR(VLOOKUP(TableHandbook[[#This Row],[UDC]],TableSTRUMARTM[],7,FALSE),"")</f>
        <v/>
      </c>
      <c r="AZ253" s="209" t="str">
        <f>IFERROR(VLOOKUP(TableHandbook[[#This Row],[UDC]],TableSTRUMATHB[],7,FALSE),"")</f>
        <v/>
      </c>
      <c r="BA253" s="209" t="str">
        <f>IFERROR(VLOOKUP(TableHandbook[[#This Row],[UDC]],TableSTRUMATHM[],7,FALSE),"")</f>
        <v/>
      </c>
      <c r="BB253" s="209" t="str">
        <f>IFERROR(VLOOKUP(TableHandbook[[#This Row],[UDC]],TableSTRUPARTB[],7,FALSE),"")</f>
        <v/>
      </c>
      <c r="BC253" s="209" t="str">
        <f>IFERROR(VLOOKUP(TableHandbook[[#This Row],[UDC]],TableSTRUPARTM[],7,FALSE),"")</f>
        <v/>
      </c>
      <c r="BD253" s="209" t="str">
        <f>IFERROR(VLOOKUP(TableHandbook[[#This Row],[UDC]],TableSTRUPOLB1[],7,FALSE),"")</f>
        <v/>
      </c>
      <c r="BE253" s="209" t="str">
        <f>IFERROR(VLOOKUP(TableHandbook[[#This Row],[UDC]],TableSTRUPSYCB[],7,FALSE),"")</f>
        <v/>
      </c>
      <c r="BF253" s="209" t="str">
        <f>IFERROR(VLOOKUP(TableHandbook[[#This Row],[UDC]],TableSTRUPSYCM[],7,FALSE),"")</f>
        <v/>
      </c>
      <c r="BG253" s="209" t="str">
        <f>IFERROR(VLOOKUP(TableHandbook[[#This Row],[UDC]],TableSTRUVARTB[],7,FALSE),"")</f>
        <v/>
      </c>
      <c r="BH253" s="209" t="str">
        <f>IFERROR(VLOOKUP(TableHandbook[[#This Row],[UDC]],TableSTRUVARTM[],7,FALSE),"")</f>
        <v/>
      </c>
    </row>
    <row r="254" spans="1:60" x14ac:dyDescent="0.25">
      <c r="A254" s="296" t="s">
        <v>348</v>
      </c>
      <c r="B254" s="7">
        <v>1</v>
      </c>
      <c r="C254" s="7"/>
      <c r="D254" s="207" t="s">
        <v>388</v>
      </c>
      <c r="E254" s="7">
        <v>375</v>
      </c>
      <c r="F254" s="84"/>
      <c r="G254" s="75" t="str">
        <f>IFERROR(IF(VLOOKUP(TableHandbook[[#This Row],[UDC]],TableAvailabilities[],2,FALSE)&gt;0,"Y",""),"")</f>
        <v/>
      </c>
      <c r="H254" s="75" t="str">
        <f>IFERROR(IF(VLOOKUP(TableHandbook[[#This Row],[UDC]],TableAvailabilities[],3,FALSE)&gt;0,"Y",""),"")</f>
        <v/>
      </c>
      <c r="I254" s="75" t="str">
        <f>IFERROR(IF(VLOOKUP(TableHandbook[[#This Row],[UDC]],TableAvailabilities[],4,FALSE)&gt;0,"Y",""),"")</f>
        <v/>
      </c>
      <c r="J254" s="75" t="str">
        <f>IFERROR(IF(VLOOKUP(TableHandbook[[#This Row],[UDC]],TableAvailabilities[],5,FALSE)&gt;0,"Y",""),"")</f>
        <v/>
      </c>
      <c r="K254" s="75" t="str">
        <f>IFERROR(IF(VLOOKUP(TableHandbook[[#This Row],[UDC]],TableAvailabilities[],6,FALSE)&gt;0,"Y",""),"")</f>
        <v/>
      </c>
      <c r="L254" s="75" t="str">
        <f>IFERROR(IF(VLOOKUP(TableHandbook[[#This Row],[UDC]],TableAvailabilities[],7,FALSE)&gt;0,"Y",""),"")</f>
        <v/>
      </c>
      <c r="M254" s="207"/>
      <c r="N254" s="209" t="str">
        <f>IFERROR(VLOOKUP(TableHandbook[[#This Row],[UDC]],TableBEDUC[],7,FALSE),"")</f>
        <v/>
      </c>
      <c r="O254" s="209" t="str">
        <f>IFERROR(VLOOKUP(TableHandbook[[#This Row],[UDC]],TableBEDEC[],7,FALSE),"")</f>
        <v/>
      </c>
      <c r="P254" s="211" t="str">
        <f>IFERROR(VLOOKUP(TableHandbook[[#This Row],[UDC]],TableBEDPR[],7,FALSE),"")</f>
        <v/>
      </c>
      <c r="Q254" s="209" t="str">
        <f>IFERROR(VLOOKUP(TableHandbook[[#This Row],[UDC]],TableSTRUCATHL[],7,FALSE),"")</f>
        <v/>
      </c>
      <c r="R254" s="209" t="str">
        <f>IFERROR(VLOOKUP(TableHandbook[[#This Row],[UDC]],TableSTRUENGLL[],7,FALSE),"")</f>
        <v/>
      </c>
      <c r="S254" s="209" t="str">
        <f>IFERROR(VLOOKUP(TableHandbook[[#This Row],[UDC]],TableSTRUHLTPE[],7,FALSE),"")</f>
        <v/>
      </c>
      <c r="T254" s="209" t="str">
        <f>IFERROR(VLOOKUP(TableHandbook[[#This Row],[UDC]],TableSTRUISTEM[],7,FALSE),"")</f>
        <v/>
      </c>
      <c r="U254" s="209" t="str">
        <f>IFERROR(VLOOKUP(TableHandbook[[#This Row],[UDC]],TableSTRULITNU[],7,FALSE),"")</f>
        <v/>
      </c>
      <c r="V254" s="209" t="str">
        <f>IFERROR(VLOOKUP(TableHandbook[[#This Row],[UDC]],TableSTRUTECHS[],7,FALSE),"")</f>
        <v/>
      </c>
      <c r="W254" s="211" t="str">
        <f>IFERROR(VLOOKUP(TableHandbook[[#This Row],[UDC]],TableBEDSC[],7,FALSE),"")</f>
        <v>AltCore</v>
      </c>
      <c r="X254" s="211" t="str">
        <f>IFERROR(VLOOKUP(TableHandbook[[#This Row],[UDC]],TableMJRUARDR1[],7,FALSE),"")</f>
        <v/>
      </c>
      <c r="Y254" s="209" t="str">
        <f>IFERROR(VLOOKUP(TableHandbook[[#This Row],[UDC]],TableMJRUARME1[],7,FALSE),"")</f>
        <v/>
      </c>
      <c r="Z254" s="209" t="str">
        <f>IFERROR(VLOOKUP(TableHandbook[[#This Row],[UDC]],TableMJRUARVA1[],7,FALSE),"")</f>
        <v/>
      </c>
      <c r="AA254" s="209" t="str">
        <f>IFERROR(VLOOKUP(TableHandbook[[#This Row],[UDC]],TableMJRUENGL1[],7,FALSE),"")</f>
        <v/>
      </c>
      <c r="AB254" s="209" t="str">
        <f>IFERROR(VLOOKUP(TableHandbook[[#This Row],[UDC]],TableMJRUHSEC1[],7,FALSE),"")</f>
        <v/>
      </c>
      <c r="AC254" s="209" t="str">
        <f>IFERROR(VLOOKUP(TableHandbook[[#This Row],[UDC]],TableMJRUHSGE1[],7,FALSE),"")</f>
        <v/>
      </c>
      <c r="AD254" s="209" t="str">
        <f>IFERROR(VLOOKUP(TableHandbook[[#This Row],[UDC]],TableMJRUHSHI1[],7,FALSE),"")</f>
        <v/>
      </c>
      <c r="AE254" s="209" t="str">
        <f>IFERROR(VLOOKUP(TableHandbook[[#This Row],[UDC]],TableMJRUHSPL1[],7,FALSE),"")</f>
        <v/>
      </c>
      <c r="AF254" s="209" t="str">
        <f>IFERROR(VLOOKUP(TableHandbook[[#This Row],[UDC]],TableMJRUMATH1[],7,FALSE),"")</f>
        <v/>
      </c>
      <c r="AG254" s="209" t="str">
        <f>IFERROR(VLOOKUP(TableHandbook[[#This Row],[UDC]],TableMJRUPHYSE[],7,FALSE),"")</f>
        <v/>
      </c>
      <c r="AH254" s="209" t="str">
        <f>IFERROR(VLOOKUP(TableHandbook[[#This Row],[UDC]],TableMJRUSCBI1[],7,FALSE),"")</f>
        <v/>
      </c>
      <c r="AI254" s="209" t="str">
        <f>IFERROR(VLOOKUP(TableHandbook[[#This Row],[UDC]],TableMJRUSCCH1[],7,FALSE),"")</f>
        <v/>
      </c>
      <c r="AJ254" s="209" t="str">
        <f>IFERROR(VLOOKUP(TableHandbook[[#This Row],[UDC]],TableMJRUSCHB1[],7,FALSE),"")</f>
        <v/>
      </c>
      <c r="AK254" s="209" t="str">
        <f>IFERROR(VLOOKUP(TableHandbook[[#This Row],[UDC]],TableMJRUSCPH1[],7,FALSE),"")</f>
        <v/>
      </c>
      <c r="AL254" s="209" t="str">
        <f>IFERROR(VLOOKUP(TableHandbook[[#This Row],[UDC]],TableMJRUSCPS1[],7,FALSE),"")</f>
        <v/>
      </c>
      <c r="AM254" s="211" t="str">
        <f>IFERROR(VLOOKUP(TableHandbook[[#This Row],[UDC]],TableSTRUBIOLB[],7,FALSE),"")</f>
        <v/>
      </c>
      <c r="AN254" s="209" t="str">
        <f>IFERROR(VLOOKUP(TableHandbook[[#This Row],[UDC]],TableSTRUBSCIM[],7,FALSE),"")</f>
        <v/>
      </c>
      <c r="AO254" s="209" t="str">
        <f>IFERROR(VLOOKUP(TableHandbook[[#This Row],[UDC]],TableSTRUCHEMB[],7,FALSE),"")</f>
        <v/>
      </c>
      <c r="AP254" s="209" t="str">
        <f>IFERROR(VLOOKUP(TableHandbook[[#This Row],[UDC]],TableSTRUECOB1[],7,FALSE),"")</f>
        <v/>
      </c>
      <c r="AQ254" s="209" t="str">
        <f>IFERROR(VLOOKUP(TableHandbook[[#This Row],[UDC]],TableSTRUENGLB[],7,FALSE),"")</f>
        <v/>
      </c>
      <c r="AR254" s="209" t="str">
        <f>IFERROR(VLOOKUP(TableHandbook[[#This Row],[UDC]],TableSTRUENGLM[],7,FALSE),"")</f>
        <v/>
      </c>
      <c r="AS254" s="209" t="str">
        <f>IFERROR(VLOOKUP(TableHandbook[[#This Row],[UDC]],TableSTRUGEOB1[],7,FALSE),"")</f>
        <v/>
      </c>
      <c r="AT254" s="209" t="str">
        <f>IFERROR(VLOOKUP(TableHandbook[[#This Row],[UDC]],TableSTRUGEOGM[],7,FALSE),"")</f>
        <v/>
      </c>
      <c r="AU254" s="209" t="str">
        <f>IFERROR(VLOOKUP(TableHandbook[[#This Row],[UDC]],TableSTRUHISB1[],7,FALSE),"")</f>
        <v/>
      </c>
      <c r="AV254" s="209" t="str">
        <f>IFERROR(VLOOKUP(TableHandbook[[#This Row],[UDC]],TableSTRUHISTM[],7,FALSE),"")</f>
        <v/>
      </c>
      <c r="AW254" s="209" t="str">
        <f>IFERROR(VLOOKUP(TableHandbook[[#This Row],[UDC]],TableSTRUHPEB1[],7,FALSE),"")</f>
        <v/>
      </c>
      <c r="AX254" s="209" t="str">
        <f>IFERROR(VLOOKUP(TableHandbook[[#This Row],[UDC]],TableSTRUHUMBB[],7,FALSE),"")</f>
        <v/>
      </c>
      <c r="AY254" s="209" t="str">
        <f>IFERROR(VLOOKUP(TableHandbook[[#This Row],[UDC]],TableSTRUMARTM[],7,FALSE),"")</f>
        <v/>
      </c>
      <c r="AZ254" s="209" t="str">
        <f>IFERROR(VLOOKUP(TableHandbook[[#This Row],[UDC]],TableSTRUMATHB[],7,FALSE),"")</f>
        <v/>
      </c>
      <c r="BA254" s="209" t="str">
        <f>IFERROR(VLOOKUP(TableHandbook[[#This Row],[UDC]],TableSTRUMATHM[],7,FALSE),"")</f>
        <v/>
      </c>
      <c r="BB254" s="209" t="str">
        <f>IFERROR(VLOOKUP(TableHandbook[[#This Row],[UDC]],TableSTRUPARTB[],7,FALSE),"")</f>
        <v/>
      </c>
      <c r="BC254" s="209" t="str">
        <f>IFERROR(VLOOKUP(TableHandbook[[#This Row],[UDC]],TableSTRUPARTM[],7,FALSE),"")</f>
        <v/>
      </c>
      <c r="BD254" s="209" t="str">
        <f>IFERROR(VLOOKUP(TableHandbook[[#This Row],[UDC]],TableSTRUPOLB1[],7,FALSE),"")</f>
        <v/>
      </c>
      <c r="BE254" s="209" t="str">
        <f>IFERROR(VLOOKUP(TableHandbook[[#This Row],[UDC]],TableSTRUPSYCB[],7,FALSE),"")</f>
        <v/>
      </c>
      <c r="BF254" s="209" t="str">
        <f>IFERROR(VLOOKUP(TableHandbook[[#This Row],[UDC]],TableSTRUPSYCM[],7,FALSE),"")</f>
        <v/>
      </c>
      <c r="BG254" s="209" t="str">
        <f>IFERROR(VLOOKUP(TableHandbook[[#This Row],[UDC]],TableSTRUVARTB[],7,FALSE),"")</f>
        <v/>
      </c>
      <c r="BH254" s="209" t="str">
        <f>IFERROR(VLOOKUP(TableHandbook[[#This Row],[UDC]],TableSTRUVARTM[],7,FALSE),"")</f>
        <v/>
      </c>
    </row>
    <row r="255" spans="1:60" x14ac:dyDescent="0.25">
      <c r="A255" s="296" t="s">
        <v>336</v>
      </c>
      <c r="B255" s="7">
        <v>1</v>
      </c>
      <c r="C255" s="7"/>
      <c r="D255" s="207" t="s">
        <v>389</v>
      </c>
      <c r="E255" s="7">
        <v>375</v>
      </c>
      <c r="F255" s="84"/>
      <c r="G255" s="75" t="str">
        <f>IFERROR(IF(VLOOKUP(TableHandbook[[#This Row],[UDC]],TableAvailabilities[],2,FALSE)&gt;0,"Y",""),"")</f>
        <v/>
      </c>
      <c r="H255" s="75" t="str">
        <f>IFERROR(IF(VLOOKUP(TableHandbook[[#This Row],[UDC]],TableAvailabilities[],3,FALSE)&gt;0,"Y",""),"")</f>
        <v/>
      </c>
      <c r="I255" s="75" t="str">
        <f>IFERROR(IF(VLOOKUP(TableHandbook[[#This Row],[UDC]],TableAvailabilities[],4,FALSE)&gt;0,"Y",""),"")</f>
        <v/>
      </c>
      <c r="J255" s="75" t="str">
        <f>IFERROR(IF(VLOOKUP(TableHandbook[[#This Row],[UDC]],TableAvailabilities[],5,FALSE)&gt;0,"Y",""),"")</f>
        <v/>
      </c>
      <c r="K255" s="75" t="str">
        <f>IFERROR(IF(VLOOKUP(TableHandbook[[#This Row],[UDC]],TableAvailabilities[],6,FALSE)&gt;0,"Y",""),"")</f>
        <v/>
      </c>
      <c r="L255" s="75" t="str">
        <f>IFERROR(IF(VLOOKUP(TableHandbook[[#This Row],[UDC]],TableAvailabilities[],7,FALSE)&gt;0,"Y",""),"")</f>
        <v/>
      </c>
      <c r="M255" s="207"/>
      <c r="N255" s="209" t="str">
        <f>IFERROR(VLOOKUP(TableHandbook[[#This Row],[UDC]],TableBEDUC[],7,FALSE),"")</f>
        <v/>
      </c>
      <c r="O255" s="209" t="str">
        <f>IFERROR(VLOOKUP(TableHandbook[[#This Row],[UDC]],TableBEDEC[],7,FALSE),"")</f>
        <v/>
      </c>
      <c r="P255" s="211" t="str">
        <f>IFERROR(VLOOKUP(TableHandbook[[#This Row],[UDC]],TableBEDPR[],7,FALSE),"")</f>
        <v/>
      </c>
      <c r="Q255" s="209" t="str">
        <f>IFERROR(VLOOKUP(TableHandbook[[#This Row],[UDC]],TableSTRUCATHL[],7,FALSE),"")</f>
        <v/>
      </c>
      <c r="R255" s="209" t="str">
        <f>IFERROR(VLOOKUP(TableHandbook[[#This Row],[UDC]],TableSTRUENGLL[],7,FALSE),"")</f>
        <v/>
      </c>
      <c r="S255" s="209" t="str">
        <f>IFERROR(VLOOKUP(TableHandbook[[#This Row],[UDC]],TableSTRUHLTPE[],7,FALSE),"")</f>
        <v/>
      </c>
      <c r="T255" s="209" t="str">
        <f>IFERROR(VLOOKUP(TableHandbook[[#This Row],[UDC]],TableSTRUISTEM[],7,FALSE),"")</f>
        <v/>
      </c>
      <c r="U255" s="209" t="str">
        <f>IFERROR(VLOOKUP(TableHandbook[[#This Row],[UDC]],TableSTRULITNU[],7,FALSE),"")</f>
        <v/>
      </c>
      <c r="V255" s="209" t="str">
        <f>IFERROR(VLOOKUP(TableHandbook[[#This Row],[UDC]],TableSTRUTECHS[],7,FALSE),"")</f>
        <v/>
      </c>
      <c r="W255" s="211" t="str">
        <f>IFERROR(VLOOKUP(TableHandbook[[#This Row],[UDC]],TableBEDSC[],7,FALSE),"")</f>
        <v>AltCore</v>
      </c>
      <c r="X255" s="211" t="str">
        <f>IFERROR(VLOOKUP(TableHandbook[[#This Row],[UDC]],TableMJRUARDR1[],7,FALSE),"")</f>
        <v/>
      </c>
      <c r="Y255" s="209" t="str">
        <f>IFERROR(VLOOKUP(TableHandbook[[#This Row],[UDC]],TableMJRUARME1[],7,FALSE),"")</f>
        <v/>
      </c>
      <c r="Z255" s="209" t="str">
        <f>IFERROR(VLOOKUP(TableHandbook[[#This Row],[UDC]],TableMJRUARVA1[],7,FALSE),"")</f>
        <v/>
      </c>
      <c r="AA255" s="209" t="str">
        <f>IFERROR(VLOOKUP(TableHandbook[[#This Row],[UDC]],TableMJRUENGL1[],7,FALSE),"")</f>
        <v/>
      </c>
      <c r="AB255" s="209" t="str">
        <f>IFERROR(VLOOKUP(TableHandbook[[#This Row],[UDC]],TableMJRUHSEC1[],7,FALSE),"")</f>
        <v/>
      </c>
      <c r="AC255" s="209" t="str">
        <f>IFERROR(VLOOKUP(TableHandbook[[#This Row],[UDC]],TableMJRUHSGE1[],7,FALSE),"")</f>
        <v/>
      </c>
      <c r="AD255" s="209" t="str">
        <f>IFERROR(VLOOKUP(TableHandbook[[#This Row],[UDC]],TableMJRUHSHI1[],7,FALSE),"")</f>
        <v/>
      </c>
      <c r="AE255" s="209" t="str">
        <f>IFERROR(VLOOKUP(TableHandbook[[#This Row],[UDC]],TableMJRUHSPL1[],7,FALSE),"")</f>
        <v/>
      </c>
      <c r="AF255" s="209" t="str">
        <f>IFERROR(VLOOKUP(TableHandbook[[#This Row],[UDC]],TableMJRUMATH1[],7,FALSE),"")</f>
        <v/>
      </c>
      <c r="AG255" s="209" t="str">
        <f>IFERROR(VLOOKUP(TableHandbook[[#This Row],[UDC]],TableMJRUPHYSE[],7,FALSE),"")</f>
        <v/>
      </c>
      <c r="AH255" s="209" t="str">
        <f>IFERROR(VLOOKUP(TableHandbook[[#This Row],[UDC]],TableMJRUSCBI1[],7,FALSE),"")</f>
        <v/>
      </c>
      <c r="AI255" s="209" t="str">
        <f>IFERROR(VLOOKUP(TableHandbook[[#This Row],[UDC]],TableMJRUSCCH1[],7,FALSE),"")</f>
        <v/>
      </c>
      <c r="AJ255" s="209" t="str">
        <f>IFERROR(VLOOKUP(TableHandbook[[#This Row],[UDC]],TableMJRUSCHB1[],7,FALSE),"")</f>
        <v/>
      </c>
      <c r="AK255" s="209" t="str">
        <f>IFERROR(VLOOKUP(TableHandbook[[#This Row],[UDC]],TableMJRUSCPH1[],7,FALSE),"")</f>
        <v/>
      </c>
      <c r="AL255" s="209" t="str">
        <f>IFERROR(VLOOKUP(TableHandbook[[#This Row],[UDC]],TableMJRUSCPS1[],7,FALSE),"")</f>
        <v/>
      </c>
      <c r="AM255" s="211" t="str">
        <f>IFERROR(VLOOKUP(TableHandbook[[#This Row],[UDC]],TableSTRUBIOLB[],7,FALSE),"")</f>
        <v/>
      </c>
      <c r="AN255" s="209" t="str">
        <f>IFERROR(VLOOKUP(TableHandbook[[#This Row],[UDC]],TableSTRUBSCIM[],7,FALSE),"")</f>
        <v/>
      </c>
      <c r="AO255" s="209" t="str">
        <f>IFERROR(VLOOKUP(TableHandbook[[#This Row],[UDC]],TableSTRUCHEMB[],7,FALSE),"")</f>
        <v/>
      </c>
      <c r="AP255" s="209" t="str">
        <f>IFERROR(VLOOKUP(TableHandbook[[#This Row],[UDC]],TableSTRUECOB1[],7,FALSE),"")</f>
        <v/>
      </c>
      <c r="AQ255" s="209" t="str">
        <f>IFERROR(VLOOKUP(TableHandbook[[#This Row],[UDC]],TableSTRUENGLB[],7,FALSE),"")</f>
        <v/>
      </c>
      <c r="AR255" s="209" t="str">
        <f>IFERROR(VLOOKUP(TableHandbook[[#This Row],[UDC]],TableSTRUENGLM[],7,FALSE),"")</f>
        <v/>
      </c>
      <c r="AS255" s="209" t="str">
        <f>IFERROR(VLOOKUP(TableHandbook[[#This Row],[UDC]],TableSTRUGEOB1[],7,FALSE),"")</f>
        <v/>
      </c>
      <c r="AT255" s="209" t="str">
        <f>IFERROR(VLOOKUP(TableHandbook[[#This Row],[UDC]],TableSTRUGEOGM[],7,FALSE),"")</f>
        <v/>
      </c>
      <c r="AU255" s="209" t="str">
        <f>IFERROR(VLOOKUP(TableHandbook[[#This Row],[UDC]],TableSTRUHISB1[],7,FALSE),"")</f>
        <v/>
      </c>
      <c r="AV255" s="209" t="str">
        <f>IFERROR(VLOOKUP(TableHandbook[[#This Row],[UDC]],TableSTRUHISTM[],7,FALSE),"")</f>
        <v/>
      </c>
      <c r="AW255" s="209" t="str">
        <f>IFERROR(VLOOKUP(TableHandbook[[#This Row],[UDC]],TableSTRUHPEB1[],7,FALSE),"")</f>
        <v/>
      </c>
      <c r="AX255" s="209" t="str">
        <f>IFERROR(VLOOKUP(TableHandbook[[#This Row],[UDC]],TableSTRUHUMBB[],7,FALSE),"")</f>
        <v/>
      </c>
      <c r="AY255" s="209" t="str">
        <f>IFERROR(VLOOKUP(TableHandbook[[#This Row],[UDC]],TableSTRUMARTM[],7,FALSE),"")</f>
        <v/>
      </c>
      <c r="AZ255" s="209" t="str">
        <f>IFERROR(VLOOKUP(TableHandbook[[#This Row],[UDC]],TableSTRUMATHB[],7,FALSE),"")</f>
        <v/>
      </c>
      <c r="BA255" s="209" t="str">
        <f>IFERROR(VLOOKUP(TableHandbook[[#This Row],[UDC]],TableSTRUMATHM[],7,FALSE),"")</f>
        <v/>
      </c>
      <c r="BB255" s="209" t="str">
        <f>IFERROR(VLOOKUP(TableHandbook[[#This Row],[UDC]],TableSTRUPARTB[],7,FALSE),"")</f>
        <v/>
      </c>
      <c r="BC255" s="209" t="str">
        <f>IFERROR(VLOOKUP(TableHandbook[[#This Row],[UDC]],TableSTRUPARTM[],7,FALSE),"")</f>
        <v/>
      </c>
      <c r="BD255" s="209" t="str">
        <f>IFERROR(VLOOKUP(TableHandbook[[#This Row],[UDC]],TableSTRUPOLB1[],7,FALSE),"")</f>
        <v/>
      </c>
      <c r="BE255" s="209" t="str">
        <f>IFERROR(VLOOKUP(TableHandbook[[#This Row],[UDC]],TableSTRUPSYCB[],7,FALSE),"")</f>
        <v/>
      </c>
      <c r="BF255" s="209" t="str">
        <f>IFERROR(VLOOKUP(TableHandbook[[#This Row],[UDC]],TableSTRUPSYCM[],7,FALSE),"")</f>
        <v/>
      </c>
      <c r="BG255" s="209" t="str">
        <f>IFERROR(VLOOKUP(TableHandbook[[#This Row],[UDC]],TableSTRUVARTB[],7,FALSE),"")</f>
        <v/>
      </c>
      <c r="BH255" s="209" t="str">
        <f>IFERROR(VLOOKUP(TableHandbook[[#This Row],[UDC]],TableSTRUVARTM[],7,FALSE),"")</f>
        <v/>
      </c>
    </row>
    <row r="256" spans="1:60" x14ac:dyDescent="0.25">
      <c r="A256" s="296" t="s">
        <v>349</v>
      </c>
      <c r="B256" s="7">
        <v>1</v>
      </c>
      <c r="C256" s="7"/>
      <c r="D256" s="207" t="s">
        <v>390</v>
      </c>
      <c r="E256" s="7">
        <v>375</v>
      </c>
      <c r="F256" s="84"/>
      <c r="G256" s="75" t="str">
        <f>IFERROR(IF(VLOOKUP(TableHandbook[[#This Row],[UDC]],TableAvailabilities[],2,FALSE)&gt;0,"Y",""),"")</f>
        <v/>
      </c>
      <c r="H256" s="75" t="str">
        <f>IFERROR(IF(VLOOKUP(TableHandbook[[#This Row],[UDC]],TableAvailabilities[],3,FALSE)&gt;0,"Y",""),"")</f>
        <v/>
      </c>
      <c r="I256" s="75" t="str">
        <f>IFERROR(IF(VLOOKUP(TableHandbook[[#This Row],[UDC]],TableAvailabilities[],4,FALSE)&gt;0,"Y",""),"")</f>
        <v/>
      </c>
      <c r="J256" s="75" t="str">
        <f>IFERROR(IF(VLOOKUP(TableHandbook[[#This Row],[UDC]],TableAvailabilities[],5,FALSE)&gt;0,"Y",""),"")</f>
        <v/>
      </c>
      <c r="K256" s="75" t="str">
        <f>IFERROR(IF(VLOOKUP(TableHandbook[[#This Row],[UDC]],TableAvailabilities[],6,FALSE)&gt;0,"Y",""),"")</f>
        <v/>
      </c>
      <c r="L256" s="75" t="str">
        <f>IFERROR(IF(VLOOKUP(TableHandbook[[#This Row],[UDC]],TableAvailabilities[],7,FALSE)&gt;0,"Y",""),"")</f>
        <v/>
      </c>
      <c r="M256" s="207"/>
      <c r="N256" s="209" t="str">
        <f>IFERROR(VLOOKUP(TableHandbook[[#This Row],[UDC]],TableBEDUC[],7,FALSE),"")</f>
        <v/>
      </c>
      <c r="O256" s="209" t="str">
        <f>IFERROR(VLOOKUP(TableHandbook[[#This Row],[UDC]],TableBEDEC[],7,FALSE),"")</f>
        <v/>
      </c>
      <c r="P256" s="211" t="str">
        <f>IFERROR(VLOOKUP(TableHandbook[[#This Row],[UDC]],TableBEDPR[],7,FALSE),"")</f>
        <v/>
      </c>
      <c r="Q256" s="209" t="str">
        <f>IFERROR(VLOOKUP(TableHandbook[[#This Row],[UDC]],TableSTRUCATHL[],7,FALSE),"")</f>
        <v/>
      </c>
      <c r="R256" s="209" t="str">
        <f>IFERROR(VLOOKUP(TableHandbook[[#This Row],[UDC]],TableSTRUENGLL[],7,FALSE),"")</f>
        <v/>
      </c>
      <c r="S256" s="209" t="str">
        <f>IFERROR(VLOOKUP(TableHandbook[[#This Row],[UDC]],TableSTRUHLTPE[],7,FALSE),"")</f>
        <v/>
      </c>
      <c r="T256" s="209" t="str">
        <f>IFERROR(VLOOKUP(TableHandbook[[#This Row],[UDC]],TableSTRUISTEM[],7,FALSE),"")</f>
        <v/>
      </c>
      <c r="U256" s="209" t="str">
        <f>IFERROR(VLOOKUP(TableHandbook[[#This Row],[UDC]],TableSTRULITNU[],7,FALSE),"")</f>
        <v/>
      </c>
      <c r="V256" s="209" t="str">
        <f>IFERROR(VLOOKUP(TableHandbook[[#This Row],[UDC]],TableSTRUTECHS[],7,FALSE),"")</f>
        <v/>
      </c>
      <c r="W256" s="211" t="str">
        <f>IFERROR(VLOOKUP(TableHandbook[[#This Row],[UDC]],TableBEDSC[],7,FALSE),"")</f>
        <v>AltCore</v>
      </c>
      <c r="X256" s="211" t="str">
        <f>IFERROR(VLOOKUP(TableHandbook[[#This Row],[UDC]],TableMJRUARDR1[],7,FALSE),"")</f>
        <v/>
      </c>
      <c r="Y256" s="209" t="str">
        <f>IFERROR(VLOOKUP(TableHandbook[[#This Row],[UDC]],TableMJRUARME1[],7,FALSE),"")</f>
        <v/>
      </c>
      <c r="Z256" s="209" t="str">
        <f>IFERROR(VLOOKUP(TableHandbook[[#This Row],[UDC]],TableMJRUARVA1[],7,FALSE),"")</f>
        <v/>
      </c>
      <c r="AA256" s="209" t="str">
        <f>IFERROR(VLOOKUP(TableHandbook[[#This Row],[UDC]],TableMJRUENGL1[],7,FALSE),"")</f>
        <v/>
      </c>
      <c r="AB256" s="209" t="str">
        <f>IFERROR(VLOOKUP(TableHandbook[[#This Row],[UDC]],TableMJRUHSEC1[],7,FALSE),"")</f>
        <v/>
      </c>
      <c r="AC256" s="209" t="str">
        <f>IFERROR(VLOOKUP(TableHandbook[[#This Row],[UDC]],TableMJRUHSGE1[],7,FALSE),"")</f>
        <v/>
      </c>
      <c r="AD256" s="209" t="str">
        <f>IFERROR(VLOOKUP(TableHandbook[[#This Row],[UDC]],TableMJRUHSHI1[],7,FALSE),"")</f>
        <v/>
      </c>
      <c r="AE256" s="209" t="str">
        <f>IFERROR(VLOOKUP(TableHandbook[[#This Row],[UDC]],TableMJRUHSPL1[],7,FALSE),"")</f>
        <v/>
      </c>
      <c r="AF256" s="209" t="str">
        <f>IFERROR(VLOOKUP(TableHandbook[[#This Row],[UDC]],TableMJRUMATH1[],7,FALSE),"")</f>
        <v/>
      </c>
      <c r="AG256" s="209" t="str">
        <f>IFERROR(VLOOKUP(TableHandbook[[#This Row],[UDC]],TableMJRUPHYSE[],7,FALSE),"")</f>
        <v/>
      </c>
      <c r="AH256" s="209" t="str">
        <f>IFERROR(VLOOKUP(TableHandbook[[#This Row],[UDC]],TableMJRUSCBI1[],7,FALSE),"")</f>
        <v/>
      </c>
      <c r="AI256" s="209" t="str">
        <f>IFERROR(VLOOKUP(TableHandbook[[#This Row],[UDC]],TableMJRUSCCH1[],7,FALSE),"")</f>
        <v/>
      </c>
      <c r="AJ256" s="209" t="str">
        <f>IFERROR(VLOOKUP(TableHandbook[[#This Row],[UDC]],TableMJRUSCHB1[],7,FALSE),"")</f>
        <v/>
      </c>
      <c r="AK256" s="209" t="str">
        <f>IFERROR(VLOOKUP(TableHandbook[[#This Row],[UDC]],TableMJRUSCPH1[],7,FALSE),"")</f>
        <v/>
      </c>
      <c r="AL256" s="209" t="str">
        <f>IFERROR(VLOOKUP(TableHandbook[[#This Row],[UDC]],TableMJRUSCPS1[],7,FALSE),"")</f>
        <v/>
      </c>
      <c r="AM256" s="211" t="str">
        <f>IFERROR(VLOOKUP(TableHandbook[[#This Row],[UDC]],TableSTRUBIOLB[],7,FALSE),"")</f>
        <v/>
      </c>
      <c r="AN256" s="209" t="str">
        <f>IFERROR(VLOOKUP(TableHandbook[[#This Row],[UDC]],TableSTRUBSCIM[],7,FALSE),"")</f>
        <v/>
      </c>
      <c r="AO256" s="209" t="str">
        <f>IFERROR(VLOOKUP(TableHandbook[[#This Row],[UDC]],TableSTRUCHEMB[],7,FALSE),"")</f>
        <v/>
      </c>
      <c r="AP256" s="209" t="str">
        <f>IFERROR(VLOOKUP(TableHandbook[[#This Row],[UDC]],TableSTRUECOB1[],7,FALSE),"")</f>
        <v/>
      </c>
      <c r="AQ256" s="209" t="str">
        <f>IFERROR(VLOOKUP(TableHandbook[[#This Row],[UDC]],TableSTRUENGLB[],7,FALSE),"")</f>
        <v/>
      </c>
      <c r="AR256" s="209" t="str">
        <f>IFERROR(VLOOKUP(TableHandbook[[#This Row],[UDC]],TableSTRUENGLM[],7,FALSE),"")</f>
        <v/>
      </c>
      <c r="AS256" s="209" t="str">
        <f>IFERROR(VLOOKUP(TableHandbook[[#This Row],[UDC]],TableSTRUGEOB1[],7,FALSE),"")</f>
        <v/>
      </c>
      <c r="AT256" s="209" t="str">
        <f>IFERROR(VLOOKUP(TableHandbook[[#This Row],[UDC]],TableSTRUGEOGM[],7,FALSE),"")</f>
        <v/>
      </c>
      <c r="AU256" s="209" t="str">
        <f>IFERROR(VLOOKUP(TableHandbook[[#This Row],[UDC]],TableSTRUHISB1[],7,FALSE),"")</f>
        <v/>
      </c>
      <c r="AV256" s="209" t="str">
        <f>IFERROR(VLOOKUP(TableHandbook[[#This Row],[UDC]],TableSTRUHISTM[],7,FALSE),"")</f>
        <v/>
      </c>
      <c r="AW256" s="209" t="str">
        <f>IFERROR(VLOOKUP(TableHandbook[[#This Row],[UDC]],TableSTRUHPEB1[],7,FALSE),"")</f>
        <v/>
      </c>
      <c r="AX256" s="209" t="str">
        <f>IFERROR(VLOOKUP(TableHandbook[[#This Row],[UDC]],TableSTRUHUMBB[],7,FALSE),"")</f>
        <v/>
      </c>
      <c r="AY256" s="209" t="str">
        <f>IFERROR(VLOOKUP(TableHandbook[[#This Row],[UDC]],TableSTRUMARTM[],7,FALSE),"")</f>
        <v/>
      </c>
      <c r="AZ256" s="209" t="str">
        <f>IFERROR(VLOOKUP(TableHandbook[[#This Row],[UDC]],TableSTRUMATHB[],7,FALSE),"")</f>
        <v/>
      </c>
      <c r="BA256" s="209" t="str">
        <f>IFERROR(VLOOKUP(TableHandbook[[#This Row],[UDC]],TableSTRUMATHM[],7,FALSE),"")</f>
        <v/>
      </c>
      <c r="BB256" s="209" t="str">
        <f>IFERROR(VLOOKUP(TableHandbook[[#This Row],[UDC]],TableSTRUPARTB[],7,FALSE),"")</f>
        <v/>
      </c>
      <c r="BC256" s="209" t="str">
        <f>IFERROR(VLOOKUP(TableHandbook[[#This Row],[UDC]],TableSTRUPARTM[],7,FALSE),"")</f>
        <v/>
      </c>
      <c r="BD256" s="209" t="str">
        <f>IFERROR(VLOOKUP(TableHandbook[[#This Row],[UDC]],TableSTRUPOLB1[],7,FALSE),"")</f>
        <v/>
      </c>
      <c r="BE256" s="209" t="str">
        <f>IFERROR(VLOOKUP(TableHandbook[[#This Row],[UDC]],TableSTRUPSYCB[],7,FALSE),"")</f>
        <v/>
      </c>
      <c r="BF256" s="209" t="str">
        <f>IFERROR(VLOOKUP(TableHandbook[[#This Row],[UDC]],TableSTRUPSYCM[],7,FALSE),"")</f>
        <v/>
      </c>
      <c r="BG256" s="209" t="str">
        <f>IFERROR(VLOOKUP(TableHandbook[[#This Row],[UDC]],TableSTRUVARTB[],7,FALSE),"")</f>
        <v/>
      </c>
      <c r="BH256" s="209" t="str">
        <f>IFERROR(VLOOKUP(TableHandbook[[#This Row],[UDC]],TableSTRUVARTM[],7,FALSE),"")</f>
        <v/>
      </c>
    </row>
    <row r="257" spans="1:60" x14ac:dyDescent="0.25">
      <c r="A257" s="354" t="s">
        <v>375</v>
      </c>
      <c r="B257" s="7"/>
      <c r="C257" s="7"/>
      <c r="D257" s="207" t="s">
        <v>1469</v>
      </c>
      <c r="E257" s="7"/>
      <c r="F257" s="84"/>
      <c r="G257" s="75" t="str">
        <f>IFERROR(IF(VLOOKUP(TableHandbook[[#This Row],[UDC]],TableAvailabilities[],2,FALSE)&gt;0,"Y",""),"")</f>
        <v/>
      </c>
      <c r="H257" s="75" t="str">
        <f>IFERROR(IF(VLOOKUP(TableHandbook[[#This Row],[UDC]],TableAvailabilities[],3,FALSE)&gt;0,"Y",""),"")</f>
        <v/>
      </c>
      <c r="I257" s="75" t="str">
        <f>IFERROR(IF(VLOOKUP(TableHandbook[[#This Row],[UDC]],TableAvailabilities[],4,FALSE)&gt;0,"Y",""),"")</f>
        <v/>
      </c>
      <c r="J257" s="75" t="str">
        <f>IFERROR(IF(VLOOKUP(TableHandbook[[#This Row],[UDC]],TableAvailabilities[],5,FALSE)&gt;0,"Y",""),"")</f>
        <v/>
      </c>
      <c r="K257" s="75" t="str">
        <f>IFERROR(IF(VLOOKUP(TableHandbook[[#This Row],[UDC]],TableAvailabilities[],6,FALSE)&gt;0,"Y",""),"")</f>
        <v/>
      </c>
      <c r="L257" s="75" t="str">
        <f>IFERROR(IF(VLOOKUP(TableHandbook[[#This Row],[UDC]],TableAvailabilities[],7,FALSE)&gt;0,"Y",""),"")</f>
        <v/>
      </c>
      <c r="M257" s="207"/>
      <c r="N257" s="209" t="str">
        <f>IFERROR(VLOOKUP(TableHandbook[[#This Row],[UDC]],TableBEDUC[],7,FALSE),"")</f>
        <v/>
      </c>
      <c r="O257" s="209" t="str">
        <f>IFERROR(VLOOKUP(TableHandbook[[#This Row],[UDC]],TableBEDEC[],7,FALSE),"")</f>
        <v/>
      </c>
      <c r="P257" s="211" t="str">
        <f>IFERROR(VLOOKUP(TableHandbook[[#This Row],[UDC]],TableBEDPR[],7,FALSE),"")</f>
        <v/>
      </c>
      <c r="Q257" s="209" t="str">
        <f>IFERROR(VLOOKUP(TableHandbook[[#This Row],[UDC]],TableSTRUCATHL[],7,FALSE),"")</f>
        <v/>
      </c>
      <c r="R257" s="209" t="str">
        <f>IFERROR(VLOOKUP(TableHandbook[[#This Row],[UDC]],TableSTRUENGLL[],7,FALSE),"")</f>
        <v/>
      </c>
      <c r="S257" s="209" t="str">
        <f>IFERROR(VLOOKUP(TableHandbook[[#This Row],[UDC]],TableSTRUHLTPE[],7,FALSE),"")</f>
        <v/>
      </c>
      <c r="T257" s="209" t="str">
        <f>IFERROR(VLOOKUP(TableHandbook[[#This Row],[UDC]],TableSTRUISTEM[],7,FALSE),"")</f>
        <v/>
      </c>
      <c r="U257" s="209" t="str">
        <f>IFERROR(VLOOKUP(TableHandbook[[#This Row],[UDC]],TableSTRULITNU[],7,FALSE),"")</f>
        <v/>
      </c>
      <c r="V257" s="209" t="str">
        <f>IFERROR(VLOOKUP(TableHandbook[[#This Row],[UDC]],TableSTRUTECHS[],7,FALSE),"")</f>
        <v/>
      </c>
      <c r="W257" s="211" t="str">
        <f>IFERROR(VLOOKUP(TableHandbook[[#This Row],[UDC]],TableBEDSC[],7,FALSE),"")</f>
        <v/>
      </c>
      <c r="X257" s="211" t="str">
        <f>IFERROR(VLOOKUP(TableHandbook[[#This Row],[UDC]],TableMJRUARDR1[],7,FALSE),"")</f>
        <v/>
      </c>
      <c r="Y257" s="209" t="str">
        <f>IFERROR(VLOOKUP(TableHandbook[[#This Row],[UDC]],TableMJRUARME1[],7,FALSE),"")</f>
        <v/>
      </c>
      <c r="Z257" s="209" t="str">
        <f>IFERROR(VLOOKUP(TableHandbook[[#This Row],[UDC]],TableMJRUARVA1[],7,FALSE),"")</f>
        <v/>
      </c>
      <c r="AA257" s="209" t="str">
        <f>IFERROR(VLOOKUP(TableHandbook[[#This Row],[UDC]],TableMJRUENGL1[],7,FALSE),"")</f>
        <v/>
      </c>
      <c r="AB257" s="209" t="str">
        <f>IFERROR(VLOOKUP(TableHandbook[[#This Row],[UDC]],TableMJRUHSEC1[],7,FALSE),"")</f>
        <v/>
      </c>
      <c r="AC257" s="209" t="str">
        <f>IFERROR(VLOOKUP(TableHandbook[[#This Row],[UDC]],TableMJRUHSGE1[],7,FALSE),"")</f>
        <v/>
      </c>
      <c r="AD257" s="209" t="str">
        <f>IFERROR(VLOOKUP(TableHandbook[[#This Row],[UDC]],TableMJRUHSHI1[],7,FALSE),"")</f>
        <v/>
      </c>
      <c r="AE257" s="209" t="str">
        <f>IFERROR(VLOOKUP(TableHandbook[[#This Row],[UDC]],TableMJRUHSPL1[],7,FALSE),"")</f>
        <v/>
      </c>
      <c r="AF257" s="209" t="str">
        <f>IFERROR(VLOOKUP(TableHandbook[[#This Row],[UDC]],TableMJRUMATH1[],7,FALSE),"")</f>
        <v/>
      </c>
      <c r="AG257" s="209" t="str">
        <f>IFERROR(VLOOKUP(TableHandbook[[#This Row],[UDC]],TableMJRUPHYSE[],7,FALSE),"")</f>
        <v/>
      </c>
      <c r="AH257" s="209" t="str">
        <f>IFERROR(VLOOKUP(TableHandbook[[#This Row],[UDC]],TableMJRUSCBI1[],7,FALSE),"")</f>
        <v/>
      </c>
      <c r="AI257" s="209" t="str">
        <f>IFERROR(VLOOKUP(TableHandbook[[#This Row],[UDC]],TableMJRUSCCH1[],7,FALSE),"")</f>
        <v/>
      </c>
      <c r="AJ257" s="209" t="str">
        <f>IFERROR(VLOOKUP(TableHandbook[[#This Row],[UDC]],TableMJRUSCHB1[],7,FALSE),"")</f>
        <v/>
      </c>
      <c r="AK257" s="209" t="str">
        <f>IFERROR(VLOOKUP(TableHandbook[[#This Row],[UDC]],TableMJRUSCPH1[],7,FALSE),"")</f>
        <v/>
      </c>
      <c r="AL257" s="209" t="str">
        <f>IFERROR(VLOOKUP(TableHandbook[[#This Row],[UDC]],TableMJRUSCPS1[],7,FALSE),"")</f>
        <v/>
      </c>
      <c r="AM257" s="211" t="str">
        <f>IFERROR(VLOOKUP(TableHandbook[[#This Row],[UDC]],TableSTRUBIOLB[],7,FALSE),"")</f>
        <v/>
      </c>
      <c r="AN257" s="209" t="str">
        <f>IFERROR(VLOOKUP(TableHandbook[[#This Row],[UDC]],TableSTRUBSCIM[],7,FALSE),"")</f>
        <v/>
      </c>
      <c r="AO257" s="209" t="str">
        <f>IFERROR(VLOOKUP(TableHandbook[[#This Row],[UDC]],TableSTRUCHEMB[],7,FALSE),"")</f>
        <v/>
      </c>
      <c r="AP257" s="209" t="str">
        <f>IFERROR(VLOOKUP(TableHandbook[[#This Row],[UDC]],TableSTRUECOB1[],7,FALSE),"")</f>
        <v/>
      </c>
      <c r="AQ257" s="209" t="str">
        <f>IFERROR(VLOOKUP(TableHandbook[[#This Row],[UDC]],TableSTRUENGLB[],7,FALSE),"")</f>
        <v/>
      </c>
      <c r="AR257" s="209" t="str">
        <f>IFERROR(VLOOKUP(TableHandbook[[#This Row],[UDC]],TableSTRUENGLM[],7,FALSE),"")</f>
        <v/>
      </c>
      <c r="AS257" s="209" t="str">
        <f>IFERROR(VLOOKUP(TableHandbook[[#This Row],[UDC]],TableSTRUGEOB1[],7,FALSE),"")</f>
        <v/>
      </c>
      <c r="AT257" s="209" t="str">
        <f>IFERROR(VLOOKUP(TableHandbook[[#This Row],[UDC]],TableSTRUGEOGM[],7,FALSE),"")</f>
        <v/>
      </c>
      <c r="AU257" s="209" t="str">
        <f>IFERROR(VLOOKUP(TableHandbook[[#This Row],[UDC]],TableSTRUHISB1[],7,FALSE),"")</f>
        <v/>
      </c>
      <c r="AV257" s="209" t="str">
        <f>IFERROR(VLOOKUP(TableHandbook[[#This Row],[UDC]],TableSTRUHISTM[],7,FALSE),"")</f>
        <v/>
      </c>
      <c r="AW257" s="209" t="str">
        <f>IFERROR(VLOOKUP(TableHandbook[[#This Row],[UDC]],TableSTRUHPEB1[],7,FALSE),"")</f>
        <v/>
      </c>
      <c r="AX257" s="209" t="str">
        <f>IFERROR(VLOOKUP(TableHandbook[[#This Row],[UDC]],TableSTRUHUMBB[],7,FALSE),"")</f>
        <v/>
      </c>
      <c r="AY257" s="209" t="str">
        <f>IFERROR(VLOOKUP(TableHandbook[[#This Row],[UDC]],TableSTRUMARTM[],7,FALSE),"")</f>
        <v/>
      </c>
      <c r="AZ257" s="209" t="str">
        <f>IFERROR(VLOOKUP(TableHandbook[[#This Row],[UDC]],TableSTRUMATHB[],7,FALSE),"")</f>
        <v/>
      </c>
      <c r="BA257" s="209" t="str">
        <f>IFERROR(VLOOKUP(TableHandbook[[#This Row],[UDC]],TableSTRUMATHM[],7,FALSE),"")</f>
        <v/>
      </c>
      <c r="BB257" s="209" t="str">
        <f>IFERROR(VLOOKUP(TableHandbook[[#This Row],[UDC]],TableSTRUPARTB[],7,FALSE),"")</f>
        <v/>
      </c>
      <c r="BC257" s="209" t="str">
        <f>IFERROR(VLOOKUP(TableHandbook[[#This Row],[UDC]],TableSTRUPARTM[],7,FALSE),"")</f>
        <v/>
      </c>
      <c r="BD257" s="209" t="str">
        <f>IFERROR(VLOOKUP(TableHandbook[[#This Row],[UDC]],TableSTRUPOLB1[],7,FALSE),"")</f>
        <v/>
      </c>
      <c r="BE257" s="209" t="str">
        <f>IFERROR(VLOOKUP(TableHandbook[[#This Row],[UDC]],TableSTRUPSYCB[],7,FALSE),"")</f>
        <v/>
      </c>
      <c r="BF257" s="209" t="str">
        <f>IFERROR(VLOOKUP(TableHandbook[[#This Row],[UDC]],TableSTRUPSYCM[],7,FALSE),"")</f>
        <v/>
      </c>
      <c r="BG257" s="209" t="str">
        <f>IFERROR(VLOOKUP(TableHandbook[[#This Row],[UDC]],TableSTRUVARTB[],7,FALSE),"")</f>
        <v/>
      </c>
      <c r="BH257" s="209" t="str">
        <f>IFERROR(VLOOKUP(TableHandbook[[#This Row],[UDC]],TableSTRUVARTM[],7,FALSE),"")</f>
        <v/>
      </c>
    </row>
    <row r="258" spans="1:60" x14ac:dyDescent="0.25">
      <c r="A258" s="296" t="s">
        <v>564</v>
      </c>
      <c r="B258" s="7">
        <v>1</v>
      </c>
      <c r="C258" s="7"/>
      <c r="D258" s="207" t="s">
        <v>1070</v>
      </c>
      <c r="E258" s="7">
        <v>25</v>
      </c>
      <c r="F258" s="311" t="s">
        <v>783</v>
      </c>
      <c r="G258" s="75" t="str">
        <f>IFERROR(IF(VLOOKUP(TableHandbook[[#This Row],[UDC]],TableAvailabilities[],2,FALSE)&gt;0,"Y",""),"")</f>
        <v>Y</v>
      </c>
      <c r="H258" s="75" t="str">
        <f>IFERROR(IF(VLOOKUP(TableHandbook[[#This Row],[UDC]],TableAvailabilities[],3,FALSE)&gt;0,"Y",""),"")</f>
        <v>Y</v>
      </c>
      <c r="I258" s="75" t="str">
        <f>IFERROR(IF(VLOOKUP(TableHandbook[[#This Row],[UDC]],TableAvailabilities[],4,FALSE)&gt;0,"Y",""),"")</f>
        <v/>
      </c>
      <c r="J258" s="75" t="str">
        <f>IFERROR(IF(VLOOKUP(TableHandbook[[#This Row],[UDC]],TableAvailabilities[],5,FALSE)&gt;0,"Y",""),"")</f>
        <v>Y</v>
      </c>
      <c r="K258" s="75" t="str">
        <f>IFERROR(IF(VLOOKUP(TableHandbook[[#This Row],[UDC]],TableAvailabilities[],6,FALSE)&gt;0,"Y",""),"")</f>
        <v>Y</v>
      </c>
      <c r="L258" s="75" t="str">
        <f>IFERROR(IF(VLOOKUP(TableHandbook[[#This Row],[UDC]],TableAvailabilities[],7,FALSE)&gt;0,"Y",""),"")</f>
        <v/>
      </c>
      <c r="M258" s="207"/>
      <c r="N258" s="209" t="str">
        <f>IFERROR(VLOOKUP(TableHandbook[[#This Row],[UDC]],TableBEDUC[],7,FALSE),"")</f>
        <v/>
      </c>
      <c r="O258" s="209" t="str">
        <f>IFERROR(VLOOKUP(TableHandbook[[#This Row],[UDC]],TableBEDEC[],7,FALSE),"")</f>
        <v/>
      </c>
      <c r="P258" s="211" t="str">
        <f>IFERROR(VLOOKUP(TableHandbook[[#This Row],[UDC]],TableBEDPR[],7,FALSE),"")</f>
        <v/>
      </c>
      <c r="Q258" s="209" t="str">
        <f>IFERROR(VLOOKUP(TableHandbook[[#This Row],[UDC]],TableSTRUCATHL[],7,FALSE),"")</f>
        <v/>
      </c>
      <c r="R258" s="209" t="str">
        <f>IFERROR(VLOOKUP(TableHandbook[[#This Row],[UDC]],TableSTRUENGLL[],7,FALSE),"")</f>
        <v/>
      </c>
      <c r="S258" s="209" t="str">
        <f>IFERROR(VLOOKUP(TableHandbook[[#This Row],[UDC]],TableSTRUHLTPE[],7,FALSE),"")</f>
        <v/>
      </c>
      <c r="T258" s="209" t="str">
        <f>IFERROR(VLOOKUP(TableHandbook[[#This Row],[UDC]],TableSTRUISTEM[],7,FALSE),"")</f>
        <v/>
      </c>
      <c r="U258" s="209" t="str">
        <f>IFERROR(VLOOKUP(TableHandbook[[#This Row],[UDC]],TableSTRULITNU[],7,FALSE),"")</f>
        <v/>
      </c>
      <c r="V258" s="209" t="str">
        <f>IFERROR(VLOOKUP(TableHandbook[[#This Row],[UDC]],TableSTRUTECHS[],7,FALSE),"")</f>
        <v/>
      </c>
      <c r="W258" s="211" t="str">
        <f>IFERROR(VLOOKUP(TableHandbook[[#This Row],[UDC]],TableBEDSC[],7,FALSE),"")</f>
        <v/>
      </c>
      <c r="X258" s="211" t="str">
        <f>IFERROR(VLOOKUP(TableHandbook[[#This Row],[UDC]],TableMJRUARDR1[],7,FALSE),"")</f>
        <v/>
      </c>
      <c r="Y258" s="209" t="str">
        <f>IFERROR(VLOOKUP(TableHandbook[[#This Row],[UDC]],TableMJRUARME1[],7,FALSE),"")</f>
        <v>AltCore</v>
      </c>
      <c r="Z258" s="209" t="str">
        <f>IFERROR(VLOOKUP(TableHandbook[[#This Row],[UDC]],TableMJRUARVA1[],7,FALSE),"")</f>
        <v/>
      </c>
      <c r="AA258" s="209" t="str">
        <f>IFERROR(VLOOKUP(TableHandbook[[#This Row],[UDC]],TableMJRUENGL1[],7,FALSE),"")</f>
        <v/>
      </c>
      <c r="AB258" s="209" t="str">
        <f>IFERROR(VLOOKUP(TableHandbook[[#This Row],[UDC]],TableMJRUHSEC1[],7,FALSE),"")</f>
        <v/>
      </c>
      <c r="AC258" s="209" t="str">
        <f>IFERROR(VLOOKUP(TableHandbook[[#This Row],[UDC]],TableMJRUHSGE1[],7,FALSE),"")</f>
        <v/>
      </c>
      <c r="AD258" s="209" t="str">
        <f>IFERROR(VLOOKUP(TableHandbook[[#This Row],[UDC]],TableMJRUHSHI1[],7,FALSE),"")</f>
        <v/>
      </c>
      <c r="AE258" s="209" t="str">
        <f>IFERROR(VLOOKUP(TableHandbook[[#This Row],[UDC]],TableMJRUHSPL1[],7,FALSE),"")</f>
        <v/>
      </c>
      <c r="AF258" s="209" t="str">
        <f>IFERROR(VLOOKUP(TableHandbook[[#This Row],[UDC]],TableMJRUMATH1[],7,FALSE),"")</f>
        <v/>
      </c>
      <c r="AG258" s="209" t="str">
        <f>IFERROR(VLOOKUP(TableHandbook[[#This Row],[UDC]],TableMJRUPHYSE[],7,FALSE),"")</f>
        <v/>
      </c>
      <c r="AH258" s="209" t="str">
        <f>IFERROR(VLOOKUP(TableHandbook[[#This Row],[UDC]],TableMJRUSCBI1[],7,FALSE),"")</f>
        <v/>
      </c>
      <c r="AI258" s="209" t="str">
        <f>IFERROR(VLOOKUP(TableHandbook[[#This Row],[UDC]],TableMJRUSCCH1[],7,FALSE),"")</f>
        <v/>
      </c>
      <c r="AJ258" s="209" t="str">
        <f>IFERROR(VLOOKUP(TableHandbook[[#This Row],[UDC]],TableMJRUSCHB1[],7,FALSE),"")</f>
        <v/>
      </c>
      <c r="AK258" s="209" t="str">
        <f>IFERROR(VLOOKUP(TableHandbook[[#This Row],[UDC]],TableMJRUSCPH1[],7,FALSE),"")</f>
        <v/>
      </c>
      <c r="AL258" s="209" t="str">
        <f>IFERROR(VLOOKUP(TableHandbook[[#This Row],[UDC]],TableMJRUSCPS1[],7,FALSE),"")</f>
        <v/>
      </c>
      <c r="AM258" s="211" t="str">
        <f>IFERROR(VLOOKUP(TableHandbook[[#This Row],[UDC]],TableSTRUBIOLB[],7,FALSE),"")</f>
        <v/>
      </c>
      <c r="AN258" s="209" t="str">
        <f>IFERROR(VLOOKUP(TableHandbook[[#This Row],[UDC]],TableSTRUBSCIM[],7,FALSE),"")</f>
        <v/>
      </c>
      <c r="AO258" s="209" t="str">
        <f>IFERROR(VLOOKUP(TableHandbook[[#This Row],[UDC]],TableSTRUCHEMB[],7,FALSE),"")</f>
        <v/>
      </c>
      <c r="AP258" s="209" t="str">
        <f>IFERROR(VLOOKUP(TableHandbook[[#This Row],[UDC]],TableSTRUECOB1[],7,FALSE),"")</f>
        <v/>
      </c>
      <c r="AQ258" s="209" t="str">
        <f>IFERROR(VLOOKUP(TableHandbook[[#This Row],[UDC]],TableSTRUENGLB[],7,FALSE),"")</f>
        <v/>
      </c>
      <c r="AR258" s="209" t="str">
        <f>IFERROR(VLOOKUP(TableHandbook[[#This Row],[UDC]],TableSTRUENGLM[],7,FALSE),"")</f>
        <v/>
      </c>
      <c r="AS258" s="209" t="str">
        <f>IFERROR(VLOOKUP(TableHandbook[[#This Row],[UDC]],TableSTRUGEOB1[],7,FALSE),"")</f>
        <v/>
      </c>
      <c r="AT258" s="209" t="str">
        <f>IFERROR(VLOOKUP(TableHandbook[[#This Row],[UDC]],TableSTRUGEOGM[],7,FALSE),"")</f>
        <v/>
      </c>
      <c r="AU258" s="209" t="str">
        <f>IFERROR(VLOOKUP(TableHandbook[[#This Row],[UDC]],TableSTRUHISB1[],7,FALSE),"")</f>
        <v/>
      </c>
      <c r="AV258" s="209" t="str">
        <f>IFERROR(VLOOKUP(TableHandbook[[#This Row],[UDC]],TableSTRUHISTM[],7,FALSE),"")</f>
        <v/>
      </c>
      <c r="AW258" s="209" t="str">
        <f>IFERROR(VLOOKUP(TableHandbook[[#This Row],[UDC]],TableSTRUHPEB1[],7,FALSE),"")</f>
        <v/>
      </c>
      <c r="AX258" s="209" t="str">
        <f>IFERROR(VLOOKUP(TableHandbook[[#This Row],[UDC]],TableSTRUHUMBB[],7,FALSE),"")</f>
        <v/>
      </c>
      <c r="AY258" s="209" t="str">
        <f>IFERROR(VLOOKUP(TableHandbook[[#This Row],[UDC]],TableSTRUMARTM[],7,FALSE),"")</f>
        <v/>
      </c>
      <c r="AZ258" s="209" t="str">
        <f>IFERROR(VLOOKUP(TableHandbook[[#This Row],[UDC]],TableSTRUMATHB[],7,FALSE),"")</f>
        <v/>
      </c>
      <c r="BA258" s="209" t="str">
        <f>IFERROR(VLOOKUP(TableHandbook[[#This Row],[UDC]],TableSTRUMATHM[],7,FALSE),"")</f>
        <v/>
      </c>
      <c r="BB258" s="209" t="str">
        <f>IFERROR(VLOOKUP(TableHandbook[[#This Row],[UDC]],TableSTRUPARTB[],7,FALSE),"")</f>
        <v/>
      </c>
      <c r="BC258" s="209" t="str">
        <f>IFERROR(VLOOKUP(TableHandbook[[#This Row],[UDC]],TableSTRUPARTM[],7,FALSE),"")</f>
        <v/>
      </c>
      <c r="BD258" s="209" t="str">
        <f>IFERROR(VLOOKUP(TableHandbook[[#This Row],[UDC]],TableSTRUPOLB1[],7,FALSE),"")</f>
        <v/>
      </c>
      <c r="BE258" s="209" t="str">
        <f>IFERROR(VLOOKUP(TableHandbook[[#This Row],[UDC]],TableSTRUPSYCB[],7,FALSE),"")</f>
        <v/>
      </c>
      <c r="BF258" s="209" t="str">
        <f>IFERROR(VLOOKUP(TableHandbook[[#This Row],[UDC]],TableSTRUPSYCM[],7,FALSE),"")</f>
        <v/>
      </c>
      <c r="BG258" s="209" t="str">
        <f>IFERROR(VLOOKUP(TableHandbook[[#This Row],[UDC]],TableSTRUVARTB[],7,FALSE),"")</f>
        <v/>
      </c>
      <c r="BH258" s="209" t="str">
        <f>IFERROR(VLOOKUP(TableHandbook[[#This Row],[UDC]],TableSTRUVARTM[],7,FALSE),"")</f>
        <v/>
      </c>
    </row>
    <row r="259" spans="1:60" x14ac:dyDescent="0.25">
      <c r="A259" s="296" t="s">
        <v>469</v>
      </c>
      <c r="B259" s="7">
        <v>1</v>
      </c>
      <c r="C259" s="7"/>
      <c r="D259" s="207" t="s">
        <v>1071</v>
      </c>
      <c r="E259" s="7">
        <v>25</v>
      </c>
      <c r="F259" s="311" t="s">
        <v>783</v>
      </c>
      <c r="G259" s="75" t="str">
        <f>IFERROR(IF(VLOOKUP(TableHandbook[[#This Row],[UDC]],TableAvailabilities[],2,FALSE)&gt;0,"Y",""),"")</f>
        <v>Y</v>
      </c>
      <c r="H259" s="75" t="str">
        <f>IFERROR(IF(VLOOKUP(TableHandbook[[#This Row],[UDC]],TableAvailabilities[],3,FALSE)&gt;0,"Y",""),"")</f>
        <v>Y</v>
      </c>
      <c r="I259" s="75" t="str">
        <f>IFERROR(IF(VLOOKUP(TableHandbook[[#This Row],[UDC]],TableAvailabilities[],4,FALSE)&gt;0,"Y",""),"")</f>
        <v/>
      </c>
      <c r="J259" s="75" t="str">
        <f>IFERROR(IF(VLOOKUP(TableHandbook[[#This Row],[UDC]],TableAvailabilities[],5,FALSE)&gt;0,"Y",""),"")</f>
        <v/>
      </c>
      <c r="K259" s="75" t="str">
        <f>IFERROR(IF(VLOOKUP(TableHandbook[[#This Row],[UDC]],TableAvailabilities[],6,FALSE)&gt;0,"Y",""),"")</f>
        <v/>
      </c>
      <c r="L259" s="75" t="str">
        <f>IFERROR(IF(VLOOKUP(TableHandbook[[#This Row],[UDC]],TableAvailabilities[],7,FALSE)&gt;0,"Y",""),"")</f>
        <v/>
      </c>
      <c r="M259" s="207"/>
      <c r="N259" s="209" t="str">
        <f>IFERROR(VLOOKUP(TableHandbook[[#This Row],[UDC]],TableBEDUC[],7,FALSE),"")</f>
        <v/>
      </c>
      <c r="O259" s="209" t="str">
        <f>IFERROR(VLOOKUP(TableHandbook[[#This Row],[UDC]],TableBEDEC[],7,FALSE),"")</f>
        <v/>
      </c>
      <c r="P259" s="211" t="str">
        <f>IFERROR(VLOOKUP(TableHandbook[[#This Row],[UDC]],TableBEDPR[],7,FALSE),"")</f>
        <v/>
      </c>
      <c r="Q259" s="209" t="str">
        <f>IFERROR(VLOOKUP(TableHandbook[[#This Row],[UDC]],TableSTRUCATHL[],7,FALSE),"")</f>
        <v/>
      </c>
      <c r="R259" s="209" t="str">
        <f>IFERROR(VLOOKUP(TableHandbook[[#This Row],[UDC]],TableSTRUENGLL[],7,FALSE),"")</f>
        <v/>
      </c>
      <c r="S259" s="209" t="str">
        <f>IFERROR(VLOOKUP(TableHandbook[[#This Row],[UDC]],TableSTRUHLTPE[],7,FALSE),"")</f>
        <v/>
      </c>
      <c r="T259" s="209" t="str">
        <f>IFERROR(VLOOKUP(TableHandbook[[#This Row],[UDC]],TableSTRUISTEM[],7,FALSE),"")</f>
        <v/>
      </c>
      <c r="U259" s="209" t="str">
        <f>IFERROR(VLOOKUP(TableHandbook[[#This Row],[UDC]],TableSTRULITNU[],7,FALSE),"")</f>
        <v/>
      </c>
      <c r="V259" s="209" t="str">
        <f>IFERROR(VLOOKUP(TableHandbook[[#This Row],[UDC]],TableSTRUTECHS[],7,FALSE),"")</f>
        <v/>
      </c>
      <c r="W259" s="211" t="str">
        <f>IFERROR(VLOOKUP(TableHandbook[[#This Row],[UDC]],TableBEDSC[],7,FALSE),"")</f>
        <v/>
      </c>
      <c r="X259" s="211" t="str">
        <f>IFERROR(VLOOKUP(TableHandbook[[#This Row],[UDC]],TableMJRUARDR1[],7,FALSE),"")</f>
        <v/>
      </c>
      <c r="Y259" s="209" t="str">
        <f>IFERROR(VLOOKUP(TableHandbook[[#This Row],[UDC]],TableMJRUARME1[],7,FALSE),"")</f>
        <v>Core</v>
      </c>
      <c r="Z259" s="209" t="str">
        <f>IFERROR(VLOOKUP(TableHandbook[[#This Row],[UDC]],TableMJRUARVA1[],7,FALSE),"")</f>
        <v/>
      </c>
      <c r="AA259" s="209" t="str">
        <f>IFERROR(VLOOKUP(TableHandbook[[#This Row],[UDC]],TableMJRUENGL1[],7,FALSE),"")</f>
        <v/>
      </c>
      <c r="AB259" s="209" t="str">
        <f>IFERROR(VLOOKUP(TableHandbook[[#This Row],[UDC]],TableMJRUHSEC1[],7,FALSE),"")</f>
        <v/>
      </c>
      <c r="AC259" s="209" t="str">
        <f>IFERROR(VLOOKUP(TableHandbook[[#This Row],[UDC]],TableMJRUHSGE1[],7,FALSE),"")</f>
        <v/>
      </c>
      <c r="AD259" s="209" t="str">
        <f>IFERROR(VLOOKUP(TableHandbook[[#This Row],[UDC]],TableMJRUHSHI1[],7,FALSE),"")</f>
        <v/>
      </c>
      <c r="AE259" s="209" t="str">
        <f>IFERROR(VLOOKUP(TableHandbook[[#This Row],[UDC]],TableMJRUHSPL1[],7,FALSE),"")</f>
        <v/>
      </c>
      <c r="AF259" s="209" t="str">
        <f>IFERROR(VLOOKUP(TableHandbook[[#This Row],[UDC]],TableMJRUMATH1[],7,FALSE),"")</f>
        <v/>
      </c>
      <c r="AG259" s="209" t="str">
        <f>IFERROR(VLOOKUP(TableHandbook[[#This Row],[UDC]],TableMJRUPHYSE[],7,FALSE),"")</f>
        <v/>
      </c>
      <c r="AH259" s="209" t="str">
        <f>IFERROR(VLOOKUP(TableHandbook[[#This Row],[UDC]],TableMJRUSCBI1[],7,FALSE),"")</f>
        <v/>
      </c>
      <c r="AI259" s="209" t="str">
        <f>IFERROR(VLOOKUP(TableHandbook[[#This Row],[UDC]],TableMJRUSCCH1[],7,FALSE),"")</f>
        <v/>
      </c>
      <c r="AJ259" s="209" t="str">
        <f>IFERROR(VLOOKUP(TableHandbook[[#This Row],[UDC]],TableMJRUSCHB1[],7,FALSE),"")</f>
        <v/>
      </c>
      <c r="AK259" s="209" t="str">
        <f>IFERROR(VLOOKUP(TableHandbook[[#This Row],[UDC]],TableMJRUSCPH1[],7,FALSE),"")</f>
        <v/>
      </c>
      <c r="AL259" s="209" t="str">
        <f>IFERROR(VLOOKUP(TableHandbook[[#This Row],[UDC]],TableMJRUSCPS1[],7,FALSE),"")</f>
        <v/>
      </c>
      <c r="AM259" s="211" t="str">
        <f>IFERROR(VLOOKUP(TableHandbook[[#This Row],[UDC]],TableSTRUBIOLB[],7,FALSE),"")</f>
        <v/>
      </c>
      <c r="AN259" s="209" t="str">
        <f>IFERROR(VLOOKUP(TableHandbook[[#This Row],[UDC]],TableSTRUBSCIM[],7,FALSE),"")</f>
        <v/>
      </c>
      <c r="AO259" s="209" t="str">
        <f>IFERROR(VLOOKUP(TableHandbook[[#This Row],[UDC]],TableSTRUCHEMB[],7,FALSE),"")</f>
        <v/>
      </c>
      <c r="AP259" s="209" t="str">
        <f>IFERROR(VLOOKUP(TableHandbook[[#This Row],[UDC]],TableSTRUECOB1[],7,FALSE),"")</f>
        <v/>
      </c>
      <c r="AQ259" s="209" t="str">
        <f>IFERROR(VLOOKUP(TableHandbook[[#This Row],[UDC]],TableSTRUENGLB[],7,FALSE),"")</f>
        <v/>
      </c>
      <c r="AR259" s="209" t="str">
        <f>IFERROR(VLOOKUP(TableHandbook[[#This Row],[UDC]],TableSTRUENGLM[],7,FALSE),"")</f>
        <v/>
      </c>
      <c r="AS259" s="209" t="str">
        <f>IFERROR(VLOOKUP(TableHandbook[[#This Row],[UDC]],TableSTRUGEOB1[],7,FALSE),"")</f>
        <v/>
      </c>
      <c r="AT259" s="209" t="str">
        <f>IFERROR(VLOOKUP(TableHandbook[[#This Row],[UDC]],TableSTRUGEOGM[],7,FALSE),"")</f>
        <v/>
      </c>
      <c r="AU259" s="209" t="str">
        <f>IFERROR(VLOOKUP(TableHandbook[[#This Row],[UDC]],TableSTRUHISB1[],7,FALSE),"")</f>
        <v/>
      </c>
      <c r="AV259" s="209" t="str">
        <f>IFERROR(VLOOKUP(TableHandbook[[#This Row],[UDC]],TableSTRUHISTM[],7,FALSE),"")</f>
        <v/>
      </c>
      <c r="AW259" s="209" t="str">
        <f>IFERROR(VLOOKUP(TableHandbook[[#This Row],[UDC]],TableSTRUHPEB1[],7,FALSE),"")</f>
        <v/>
      </c>
      <c r="AX259" s="209" t="str">
        <f>IFERROR(VLOOKUP(TableHandbook[[#This Row],[UDC]],TableSTRUHUMBB[],7,FALSE),"")</f>
        <v/>
      </c>
      <c r="AY259" s="209" t="str">
        <f>IFERROR(VLOOKUP(TableHandbook[[#This Row],[UDC]],TableSTRUMARTM[],7,FALSE),"")</f>
        <v>Core</v>
      </c>
      <c r="AZ259" s="209" t="str">
        <f>IFERROR(VLOOKUP(TableHandbook[[#This Row],[UDC]],TableSTRUMATHB[],7,FALSE),"")</f>
        <v/>
      </c>
      <c r="BA259" s="209" t="str">
        <f>IFERROR(VLOOKUP(TableHandbook[[#This Row],[UDC]],TableSTRUMATHM[],7,FALSE),"")</f>
        <v/>
      </c>
      <c r="BB259" s="209" t="str">
        <f>IFERROR(VLOOKUP(TableHandbook[[#This Row],[UDC]],TableSTRUPARTB[],7,FALSE),"")</f>
        <v/>
      </c>
      <c r="BC259" s="209" t="str">
        <f>IFERROR(VLOOKUP(TableHandbook[[#This Row],[UDC]],TableSTRUPARTM[],7,FALSE),"")</f>
        <v/>
      </c>
      <c r="BD259" s="209" t="str">
        <f>IFERROR(VLOOKUP(TableHandbook[[#This Row],[UDC]],TableSTRUPOLB1[],7,FALSE),"")</f>
        <v/>
      </c>
      <c r="BE259" s="209" t="str">
        <f>IFERROR(VLOOKUP(TableHandbook[[#This Row],[UDC]],TableSTRUPSYCB[],7,FALSE),"")</f>
        <v/>
      </c>
      <c r="BF259" s="209" t="str">
        <f>IFERROR(VLOOKUP(TableHandbook[[#This Row],[UDC]],TableSTRUPSYCM[],7,FALSE),"")</f>
        <v/>
      </c>
      <c r="BG259" s="209" t="str">
        <f>IFERROR(VLOOKUP(TableHandbook[[#This Row],[UDC]],TableSTRUVARTB[],7,FALSE),"")</f>
        <v/>
      </c>
      <c r="BH259" s="209" t="str">
        <f>IFERROR(VLOOKUP(TableHandbook[[#This Row],[UDC]],TableSTRUVARTM[],7,FALSE),"")</f>
        <v/>
      </c>
    </row>
    <row r="260" spans="1:60" x14ac:dyDescent="0.25">
      <c r="A260" s="296" t="s">
        <v>507</v>
      </c>
      <c r="B260" s="7">
        <v>3</v>
      </c>
      <c r="C260" s="7"/>
      <c r="D260" s="207" t="s">
        <v>1072</v>
      </c>
      <c r="E260" s="7">
        <v>25</v>
      </c>
      <c r="F260" s="311" t="s">
        <v>783</v>
      </c>
      <c r="G260" s="75" t="str">
        <f>IFERROR(IF(VLOOKUP(TableHandbook[[#This Row],[UDC]],TableAvailabilities[],2,FALSE)&gt;0,"Y",""),"")</f>
        <v>Y</v>
      </c>
      <c r="H260" s="75" t="str">
        <f>IFERROR(IF(VLOOKUP(TableHandbook[[#This Row],[UDC]],TableAvailabilities[],3,FALSE)&gt;0,"Y",""),"")</f>
        <v>Y</v>
      </c>
      <c r="I260" s="75" t="str">
        <f>IFERROR(IF(VLOOKUP(TableHandbook[[#This Row],[UDC]],TableAvailabilities[],4,FALSE)&gt;0,"Y",""),"")</f>
        <v/>
      </c>
      <c r="J260" s="75" t="str">
        <f>IFERROR(IF(VLOOKUP(TableHandbook[[#This Row],[UDC]],TableAvailabilities[],5,FALSE)&gt;0,"Y",""),"")</f>
        <v/>
      </c>
      <c r="K260" s="75" t="str">
        <f>IFERROR(IF(VLOOKUP(TableHandbook[[#This Row],[UDC]],TableAvailabilities[],6,FALSE)&gt;0,"Y",""),"")</f>
        <v/>
      </c>
      <c r="L260" s="75" t="str">
        <f>IFERROR(IF(VLOOKUP(TableHandbook[[#This Row],[UDC]],TableAvailabilities[],7,FALSE)&gt;0,"Y",""),"")</f>
        <v/>
      </c>
      <c r="M260" s="207"/>
      <c r="N260" s="209" t="str">
        <f>IFERROR(VLOOKUP(TableHandbook[[#This Row],[UDC]],TableBEDUC[],7,FALSE),"")</f>
        <v/>
      </c>
      <c r="O260" s="209" t="str">
        <f>IFERROR(VLOOKUP(TableHandbook[[#This Row],[UDC]],TableBEDEC[],7,FALSE),"")</f>
        <v/>
      </c>
      <c r="P260" s="211" t="str">
        <f>IFERROR(VLOOKUP(TableHandbook[[#This Row],[UDC]],TableBEDPR[],7,FALSE),"")</f>
        <v/>
      </c>
      <c r="Q260" s="209" t="str">
        <f>IFERROR(VLOOKUP(TableHandbook[[#This Row],[UDC]],TableSTRUCATHL[],7,FALSE),"")</f>
        <v/>
      </c>
      <c r="R260" s="209" t="str">
        <f>IFERROR(VLOOKUP(TableHandbook[[#This Row],[UDC]],TableSTRUENGLL[],7,FALSE),"")</f>
        <v/>
      </c>
      <c r="S260" s="209" t="str">
        <f>IFERROR(VLOOKUP(TableHandbook[[#This Row],[UDC]],TableSTRUHLTPE[],7,FALSE),"")</f>
        <v/>
      </c>
      <c r="T260" s="209" t="str">
        <f>IFERROR(VLOOKUP(TableHandbook[[#This Row],[UDC]],TableSTRUISTEM[],7,FALSE),"")</f>
        <v/>
      </c>
      <c r="U260" s="209" t="str">
        <f>IFERROR(VLOOKUP(TableHandbook[[#This Row],[UDC]],TableSTRULITNU[],7,FALSE),"")</f>
        <v/>
      </c>
      <c r="V260" s="209" t="str">
        <f>IFERROR(VLOOKUP(TableHandbook[[#This Row],[UDC]],TableSTRUTECHS[],7,FALSE),"")</f>
        <v/>
      </c>
      <c r="W260" s="211" t="str">
        <f>IFERROR(VLOOKUP(TableHandbook[[#This Row],[UDC]],TableBEDSC[],7,FALSE),"")</f>
        <v/>
      </c>
      <c r="X260" s="211" t="str">
        <f>IFERROR(VLOOKUP(TableHandbook[[#This Row],[UDC]],TableMJRUARDR1[],7,FALSE),"")</f>
        <v/>
      </c>
      <c r="Y260" s="209" t="str">
        <f>IFERROR(VLOOKUP(TableHandbook[[#This Row],[UDC]],TableMJRUARME1[],7,FALSE),"")</f>
        <v>Core</v>
      </c>
      <c r="Z260" s="209" t="str">
        <f>IFERROR(VLOOKUP(TableHandbook[[#This Row],[UDC]],TableMJRUARVA1[],7,FALSE),"")</f>
        <v/>
      </c>
      <c r="AA260" s="209" t="str">
        <f>IFERROR(VLOOKUP(TableHandbook[[#This Row],[UDC]],TableMJRUENGL1[],7,FALSE),"")</f>
        <v/>
      </c>
      <c r="AB260" s="209" t="str">
        <f>IFERROR(VLOOKUP(TableHandbook[[#This Row],[UDC]],TableMJRUHSEC1[],7,FALSE),"")</f>
        <v/>
      </c>
      <c r="AC260" s="209" t="str">
        <f>IFERROR(VLOOKUP(TableHandbook[[#This Row],[UDC]],TableMJRUHSGE1[],7,FALSE),"")</f>
        <v/>
      </c>
      <c r="AD260" s="209" t="str">
        <f>IFERROR(VLOOKUP(TableHandbook[[#This Row],[UDC]],TableMJRUHSHI1[],7,FALSE),"")</f>
        <v/>
      </c>
      <c r="AE260" s="209" t="str">
        <f>IFERROR(VLOOKUP(TableHandbook[[#This Row],[UDC]],TableMJRUHSPL1[],7,FALSE),"")</f>
        <v/>
      </c>
      <c r="AF260" s="209" t="str">
        <f>IFERROR(VLOOKUP(TableHandbook[[#This Row],[UDC]],TableMJRUMATH1[],7,FALSE),"")</f>
        <v/>
      </c>
      <c r="AG260" s="209" t="str">
        <f>IFERROR(VLOOKUP(TableHandbook[[#This Row],[UDC]],TableMJRUPHYSE[],7,FALSE),"")</f>
        <v/>
      </c>
      <c r="AH260" s="209" t="str">
        <f>IFERROR(VLOOKUP(TableHandbook[[#This Row],[UDC]],TableMJRUSCBI1[],7,FALSE),"")</f>
        <v/>
      </c>
      <c r="AI260" s="209" t="str">
        <f>IFERROR(VLOOKUP(TableHandbook[[#This Row],[UDC]],TableMJRUSCCH1[],7,FALSE),"")</f>
        <v/>
      </c>
      <c r="AJ260" s="209" t="str">
        <f>IFERROR(VLOOKUP(TableHandbook[[#This Row],[UDC]],TableMJRUSCHB1[],7,FALSE),"")</f>
        <v/>
      </c>
      <c r="AK260" s="209" t="str">
        <f>IFERROR(VLOOKUP(TableHandbook[[#This Row],[UDC]],TableMJRUSCPH1[],7,FALSE),"")</f>
        <v/>
      </c>
      <c r="AL260" s="209" t="str">
        <f>IFERROR(VLOOKUP(TableHandbook[[#This Row],[UDC]],TableMJRUSCPS1[],7,FALSE),"")</f>
        <v/>
      </c>
      <c r="AM260" s="211" t="str">
        <f>IFERROR(VLOOKUP(TableHandbook[[#This Row],[UDC]],TableSTRUBIOLB[],7,FALSE),"")</f>
        <v/>
      </c>
      <c r="AN260" s="209" t="str">
        <f>IFERROR(VLOOKUP(TableHandbook[[#This Row],[UDC]],TableSTRUBSCIM[],7,FALSE),"")</f>
        <v/>
      </c>
      <c r="AO260" s="209" t="str">
        <f>IFERROR(VLOOKUP(TableHandbook[[#This Row],[UDC]],TableSTRUCHEMB[],7,FALSE),"")</f>
        <v/>
      </c>
      <c r="AP260" s="209" t="str">
        <f>IFERROR(VLOOKUP(TableHandbook[[#This Row],[UDC]],TableSTRUECOB1[],7,FALSE),"")</f>
        <v/>
      </c>
      <c r="AQ260" s="209" t="str">
        <f>IFERROR(VLOOKUP(TableHandbook[[#This Row],[UDC]],TableSTRUENGLB[],7,FALSE),"")</f>
        <v/>
      </c>
      <c r="AR260" s="209" t="str">
        <f>IFERROR(VLOOKUP(TableHandbook[[#This Row],[UDC]],TableSTRUENGLM[],7,FALSE),"")</f>
        <v/>
      </c>
      <c r="AS260" s="209" t="str">
        <f>IFERROR(VLOOKUP(TableHandbook[[#This Row],[UDC]],TableSTRUGEOB1[],7,FALSE),"")</f>
        <v/>
      </c>
      <c r="AT260" s="209" t="str">
        <f>IFERROR(VLOOKUP(TableHandbook[[#This Row],[UDC]],TableSTRUGEOGM[],7,FALSE),"")</f>
        <v/>
      </c>
      <c r="AU260" s="209" t="str">
        <f>IFERROR(VLOOKUP(TableHandbook[[#This Row],[UDC]],TableSTRUHISB1[],7,FALSE),"")</f>
        <v/>
      </c>
      <c r="AV260" s="209" t="str">
        <f>IFERROR(VLOOKUP(TableHandbook[[#This Row],[UDC]],TableSTRUHISTM[],7,FALSE),"")</f>
        <v/>
      </c>
      <c r="AW260" s="209" t="str">
        <f>IFERROR(VLOOKUP(TableHandbook[[#This Row],[UDC]],TableSTRUHPEB1[],7,FALSE),"")</f>
        <v/>
      </c>
      <c r="AX260" s="209" t="str">
        <f>IFERROR(VLOOKUP(TableHandbook[[#This Row],[UDC]],TableSTRUHUMBB[],7,FALSE),"")</f>
        <v/>
      </c>
      <c r="AY260" s="209" t="str">
        <f>IFERROR(VLOOKUP(TableHandbook[[#This Row],[UDC]],TableSTRUMARTM[],7,FALSE),"")</f>
        <v/>
      </c>
      <c r="AZ260" s="209" t="str">
        <f>IFERROR(VLOOKUP(TableHandbook[[#This Row],[UDC]],TableSTRUMATHB[],7,FALSE),"")</f>
        <v/>
      </c>
      <c r="BA260" s="209" t="str">
        <f>IFERROR(VLOOKUP(TableHandbook[[#This Row],[UDC]],TableSTRUMATHM[],7,FALSE),"")</f>
        <v/>
      </c>
      <c r="BB260" s="209" t="str">
        <f>IFERROR(VLOOKUP(TableHandbook[[#This Row],[UDC]],TableSTRUPARTB[],7,FALSE),"")</f>
        <v/>
      </c>
      <c r="BC260" s="209" t="str">
        <f>IFERROR(VLOOKUP(TableHandbook[[#This Row],[UDC]],TableSTRUPARTM[],7,FALSE),"")</f>
        <v/>
      </c>
      <c r="BD260" s="209" t="str">
        <f>IFERROR(VLOOKUP(TableHandbook[[#This Row],[UDC]],TableSTRUPOLB1[],7,FALSE),"")</f>
        <v/>
      </c>
      <c r="BE260" s="209" t="str">
        <f>IFERROR(VLOOKUP(TableHandbook[[#This Row],[UDC]],TableSTRUPSYCB[],7,FALSE),"")</f>
        <v/>
      </c>
      <c r="BF260" s="209" t="str">
        <f>IFERROR(VLOOKUP(TableHandbook[[#This Row],[UDC]],TableSTRUPSYCM[],7,FALSE),"")</f>
        <v/>
      </c>
      <c r="BG260" s="209" t="str">
        <f>IFERROR(VLOOKUP(TableHandbook[[#This Row],[UDC]],TableSTRUVARTB[],7,FALSE),"")</f>
        <v/>
      </c>
      <c r="BH260" s="209" t="str">
        <f>IFERROR(VLOOKUP(TableHandbook[[#This Row],[UDC]],TableSTRUVARTM[],7,FALSE),"")</f>
        <v/>
      </c>
    </row>
    <row r="261" spans="1:60" x14ac:dyDescent="0.25">
      <c r="A261" s="6" t="s">
        <v>192</v>
      </c>
      <c r="B261" s="7"/>
      <c r="C261" s="7"/>
      <c r="D261" s="207" t="s">
        <v>1073</v>
      </c>
      <c r="E261" s="7"/>
      <c r="F261" s="84" t="s">
        <v>590</v>
      </c>
      <c r="G261" s="75" t="str">
        <f>IFERROR(IF(VLOOKUP(TableHandbook[[#This Row],[UDC]],TableAvailabilities[],2,FALSE)&gt;0,"Y",""),"")</f>
        <v/>
      </c>
      <c r="H261" s="75" t="str">
        <f>IFERROR(IF(VLOOKUP(TableHandbook[[#This Row],[UDC]],TableAvailabilities[],3,FALSE)&gt;0,"Y",""),"")</f>
        <v/>
      </c>
      <c r="I261" s="75" t="str">
        <f>IFERROR(IF(VLOOKUP(TableHandbook[[#This Row],[UDC]],TableAvailabilities[],4,FALSE)&gt;0,"Y",""),"")</f>
        <v/>
      </c>
      <c r="J261" s="75" t="str">
        <f>IFERROR(IF(VLOOKUP(TableHandbook[[#This Row],[UDC]],TableAvailabilities[],5,FALSE)&gt;0,"Y",""),"")</f>
        <v/>
      </c>
      <c r="K261" s="75" t="str">
        <f>IFERROR(IF(VLOOKUP(TableHandbook[[#This Row],[UDC]],TableAvailabilities[],6,FALSE)&gt;0,"Y",""),"")</f>
        <v/>
      </c>
      <c r="L261" s="75" t="str">
        <f>IFERROR(IF(VLOOKUP(TableHandbook[[#This Row],[UDC]],TableAvailabilities[],7,FALSE)&gt;0,"Y",""),"")</f>
        <v/>
      </c>
      <c r="M261" s="207" t="s">
        <v>1074</v>
      </c>
      <c r="N261" s="209" t="str">
        <f>IFERROR(VLOOKUP(TableHandbook[[#This Row],[UDC]],TableBEDUC[],7,FALSE),"")</f>
        <v/>
      </c>
      <c r="O261" s="209" t="str">
        <f>IFERROR(VLOOKUP(TableHandbook[[#This Row],[UDC]],TableBEDEC[],7,FALSE),"")</f>
        <v/>
      </c>
      <c r="P261" s="211" t="str">
        <f>IFERROR(VLOOKUP(TableHandbook[[#This Row],[UDC]],TableBEDPR[],7,FALSE),"")</f>
        <v/>
      </c>
      <c r="Q261" s="209" t="str">
        <f>IFERROR(VLOOKUP(TableHandbook[[#This Row],[UDC]],TableSTRUCATHL[],7,FALSE),"")</f>
        <v/>
      </c>
      <c r="R261" s="209" t="str">
        <f>IFERROR(VLOOKUP(TableHandbook[[#This Row],[UDC]],TableSTRUENGLL[],7,FALSE),"")</f>
        <v/>
      </c>
      <c r="S261" s="209" t="str">
        <f>IFERROR(VLOOKUP(TableHandbook[[#This Row],[UDC]],TableSTRUHLTPE[],7,FALSE),"")</f>
        <v/>
      </c>
      <c r="T261" s="209" t="str">
        <f>IFERROR(VLOOKUP(TableHandbook[[#This Row],[UDC]],TableSTRUISTEM[],7,FALSE),"")</f>
        <v/>
      </c>
      <c r="U261" s="209" t="str">
        <f>IFERROR(VLOOKUP(TableHandbook[[#This Row],[UDC]],TableSTRULITNU[],7,FALSE),"")</f>
        <v/>
      </c>
      <c r="V261" s="209" t="str">
        <f>IFERROR(VLOOKUP(TableHandbook[[#This Row],[UDC]],TableSTRUTECHS[],7,FALSE),"")</f>
        <v/>
      </c>
      <c r="W261" s="211" t="str">
        <f>IFERROR(VLOOKUP(TableHandbook[[#This Row],[UDC]],TableBEDSC[],7,FALSE),"")</f>
        <v/>
      </c>
      <c r="X261" s="211" t="str">
        <f>IFERROR(VLOOKUP(TableHandbook[[#This Row],[UDC]],TableMJRUARDR1[],7,FALSE),"")</f>
        <v/>
      </c>
      <c r="Y261" s="209" t="str">
        <f>IFERROR(VLOOKUP(TableHandbook[[#This Row],[UDC]],TableMJRUARME1[],7,FALSE),"")</f>
        <v/>
      </c>
      <c r="Z261" s="209" t="str">
        <f>IFERROR(VLOOKUP(TableHandbook[[#This Row],[UDC]],TableMJRUARVA1[],7,FALSE),"")</f>
        <v/>
      </c>
      <c r="AA261" s="209" t="str">
        <f>IFERROR(VLOOKUP(TableHandbook[[#This Row],[UDC]],TableMJRUENGL1[],7,FALSE),"")</f>
        <v/>
      </c>
      <c r="AB261" s="209" t="str">
        <f>IFERROR(VLOOKUP(TableHandbook[[#This Row],[UDC]],TableMJRUHSEC1[],7,FALSE),"")</f>
        <v/>
      </c>
      <c r="AC261" s="209" t="str">
        <f>IFERROR(VLOOKUP(TableHandbook[[#This Row],[UDC]],TableMJRUHSGE1[],7,FALSE),"")</f>
        <v/>
      </c>
      <c r="AD261" s="209" t="str">
        <f>IFERROR(VLOOKUP(TableHandbook[[#This Row],[UDC]],TableMJRUHSHI1[],7,FALSE),"")</f>
        <v/>
      </c>
      <c r="AE261" s="209" t="str">
        <f>IFERROR(VLOOKUP(TableHandbook[[#This Row],[UDC]],TableMJRUHSPL1[],7,FALSE),"")</f>
        <v/>
      </c>
      <c r="AF261" s="209" t="str">
        <f>IFERROR(VLOOKUP(TableHandbook[[#This Row],[UDC]],TableMJRUMATH1[],7,FALSE),"")</f>
        <v/>
      </c>
      <c r="AG261" s="209" t="str">
        <f>IFERROR(VLOOKUP(TableHandbook[[#This Row],[UDC]],TableMJRUPHYSE[],7,FALSE),"")</f>
        <v/>
      </c>
      <c r="AH261" s="209" t="str">
        <f>IFERROR(VLOOKUP(TableHandbook[[#This Row],[UDC]],TableMJRUSCBI1[],7,FALSE),"")</f>
        <v/>
      </c>
      <c r="AI261" s="209" t="str">
        <f>IFERROR(VLOOKUP(TableHandbook[[#This Row],[UDC]],TableMJRUSCCH1[],7,FALSE),"")</f>
        <v/>
      </c>
      <c r="AJ261" s="209" t="str">
        <f>IFERROR(VLOOKUP(TableHandbook[[#This Row],[UDC]],TableMJRUSCHB1[],7,FALSE),"")</f>
        <v/>
      </c>
      <c r="AK261" s="209" t="str">
        <f>IFERROR(VLOOKUP(TableHandbook[[#This Row],[UDC]],TableMJRUSCPH1[],7,FALSE),"")</f>
        <v/>
      </c>
      <c r="AL261" s="209" t="str">
        <f>IFERROR(VLOOKUP(TableHandbook[[#This Row],[UDC]],TableMJRUSCPS1[],7,FALSE),"")</f>
        <v/>
      </c>
      <c r="AM261" s="211" t="str">
        <f>IFERROR(VLOOKUP(TableHandbook[[#This Row],[UDC]],TableSTRUBIOLB[],7,FALSE),"")</f>
        <v/>
      </c>
      <c r="AN261" s="209" t="str">
        <f>IFERROR(VLOOKUP(TableHandbook[[#This Row],[UDC]],TableSTRUBSCIM[],7,FALSE),"")</f>
        <v/>
      </c>
      <c r="AO261" s="209" t="str">
        <f>IFERROR(VLOOKUP(TableHandbook[[#This Row],[UDC]],TableSTRUCHEMB[],7,FALSE),"")</f>
        <v/>
      </c>
      <c r="AP261" s="209" t="str">
        <f>IFERROR(VLOOKUP(TableHandbook[[#This Row],[UDC]],TableSTRUECOB1[],7,FALSE),"")</f>
        <v/>
      </c>
      <c r="AQ261" s="209" t="str">
        <f>IFERROR(VLOOKUP(TableHandbook[[#This Row],[UDC]],TableSTRUENGLB[],7,FALSE),"")</f>
        <v/>
      </c>
      <c r="AR261" s="209" t="str">
        <f>IFERROR(VLOOKUP(TableHandbook[[#This Row],[UDC]],TableSTRUENGLM[],7,FALSE),"")</f>
        <v/>
      </c>
      <c r="AS261" s="209" t="str">
        <f>IFERROR(VLOOKUP(TableHandbook[[#This Row],[UDC]],TableSTRUGEOB1[],7,FALSE),"")</f>
        <v/>
      </c>
      <c r="AT261" s="209" t="str">
        <f>IFERROR(VLOOKUP(TableHandbook[[#This Row],[UDC]],TableSTRUGEOGM[],7,FALSE),"")</f>
        <v/>
      </c>
      <c r="AU261" s="209" t="str">
        <f>IFERROR(VLOOKUP(TableHandbook[[#This Row],[UDC]],TableSTRUHISB1[],7,FALSE),"")</f>
        <v/>
      </c>
      <c r="AV261" s="209" t="str">
        <f>IFERROR(VLOOKUP(TableHandbook[[#This Row],[UDC]],TableSTRUHISTM[],7,FALSE),"")</f>
        <v/>
      </c>
      <c r="AW261" s="209" t="str">
        <f>IFERROR(VLOOKUP(TableHandbook[[#This Row],[UDC]],TableSTRUHPEB1[],7,FALSE),"")</f>
        <v/>
      </c>
      <c r="AX261" s="209" t="str">
        <f>IFERROR(VLOOKUP(TableHandbook[[#This Row],[UDC]],TableSTRUHUMBB[],7,FALSE),"")</f>
        <v/>
      </c>
      <c r="AY261" s="209" t="str">
        <f>IFERROR(VLOOKUP(TableHandbook[[#This Row],[UDC]],TableSTRUMARTM[],7,FALSE),"")</f>
        <v/>
      </c>
      <c r="AZ261" s="209" t="str">
        <f>IFERROR(VLOOKUP(TableHandbook[[#This Row],[UDC]],TableSTRUMATHB[],7,FALSE),"")</f>
        <v/>
      </c>
      <c r="BA261" s="209" t="str">
        <f>IFERROR(VLOOKUP(TableHandbook[[#This Row],[UDC]],TableSTRUMATHM[],7,FALSE),"")</f>
        <v/>
      </c>
      <c r="BB261" s="209" t="str">
        <f>IFERROR(VLOOKUP(TableHandbook[[#This Row],[UDC]],TableSTRUPARTB[],7,FALSE),"")</f>
        <v/>
      </c>
      <c r="BC261" s="209" t="str">
        <f>IFERROR(VLOOKUP(TableHandbook[[#This Row],[UDC]],TableSTRUPARTM[],7,FALSE),"")</f>
        <v/>
      </c>
      <c r="BD261" s="209" t="str">
        <f>IFERROR(VLOOKUP(TableHandbook[[#This Row],[UDC]],TableSTRUPOLB1[],7,FALSE),"")</f>
        <v/>
      </c>
      <c r="BE261" s="209" t="str">
        <f>IFERROR(VLOOKUP(TableHandbook[[#This Row],[UDC]],TableSTRUPSYCB[],7,FALSE),"")</f>
        <v/>
      </c>
      <c r="BF261" s="209" t="str">
        <f>IFERROR(VLOOKUP(TableHandbook[[#This Row],[UDC]],TableSTRUPSYCM[],7,FALSE),"")</f>
        <v/>
      </c>
      <c r="BG261" s="209" t="str">
        <f>IFERROR(VLOOKUP(TableHandbook[[#This Row],[UDC]],TableSTRUVARTB[],7,FALSE),"")</f>
        <v/>
      </c>
      <c r="BH261" s="209" t="str">
        <f>IFERROR(VLOOKUP(TableHandbook[[#This Row],[UDC]],TableSTRUVARTM[],7,FALSE),"")</f>
        <v/>
      </c>
    </row>
    <row r="262" spans="1:60" x14ac:dyDescent="0.25">
      <c r="A262" s="6" t="s">
        <v>189</v>
      </c>
      <c r="B262" s="7"/>
      <c r="C262" s="7"/>
      <c r="D262" s="207" t="s">
        <v>1075</v>
      </c>
      <c r="E262" s="7"/>
      <c r="F262" s="84" t="s">
        <v>590</v>
      </c>
      <c r="G262" s="75" t="str">
        <f>IFERROR(IF(VLOOKUP(TableHandbook[[#This Row],[UDC]],TableAvailabilities[],2,FALSE)&gt;0,"Y",""),"")</f>
        <v/>
      </c>
      <c r="H262" s="75" t="str">
        <f>IFERROR(IF(VLOOKUP(TableHandbook[[#This Row],[UDC]],TableAvailabilities[],3,FALSE)&gt;0,"Y",""),"")</f>
        <v/>
      </c>
      <c r="I262" s="75" t="str">
        <f>IFERROR(IF(VLOOKUP(TableHandbook[[#This Row],[UDC]],TableAvailabilities[],4,FALSE)&gt;0,"Y",""),"")</f>
        <v/>
      </c>
      <c r="J262" s="75" t="str">
        <f>IFERROR(IF(VLOOKUP(TableHandbook[[#This Row],[UDC]],TableAvailabilities[],5,FALSE)&gt;0,"Y",""),"")</f>
        <v/>
      </c>
      <c r="K262" s="75" t="str">
        <f>IFERROR(IF(VLOOKUP(TableHandbook[[#This Row],[UDC]],TableAvailabilities[],6,FALSE)&gt;0,"Y",""),"")</f>
        <v/>
      </c>
      <c r="L262" s="75" t="str">
        <f>IFERROR(IF(VLOOKUP(TableHandbook[[#This Row],[UDC]],TableAvailabilities[],7,FALSE)&gt;0,"Y",""),"")</f>
        <v/>
      </c>
      <c r="M262" s="207" t="s">
        <v>1074</v>
      </c>
      <c r="N262" s="209" t="str">
        <f>IFERROR(VLOOKUP(TableHandbook[[#This Row],[UDC]],TableBEDUC[],7,FALSE),"")</f>
        <v/>
      </c>
      <c r="O262" s="209" t="str">
        <f>IFERROR(VLOOKUP(TableHandbook[[#This Row],[UDC]],TableBEDEC[],7,FALSE),"")</f>
        <v/>
      </c>
      <c r="P262" s="211" t="str">
        <f>IFERROR(VLOOKUP(TableHandbook[[#This Row],[UDC]],TableBEDPR[],7,FALSE),"")</f>
        <v/>
      </c>
      <c r="Q262" s="209" t="str">
        <f>IFERROR(VLOOKUP(TableHandbook[[#This Row],[UDC]],TableSTRUCATHL[],7,FALSE),"")</f>
        <v/>
      </c>
      <c r="R262" s="209" t="str">
        <f>IFERROR(VLOOKUP(TableHandbook[[#This Row],[UDC]],TableSTRUENGLL[],7,FALSE),"")</f>
        <v/>
      </c>
      <c r="S262" s="209" t="str">
        <f>IFERROR(VLOOKUP(TableHandbook[[#This Row],[UDC]],TableSTRUHLTPE[],7,FALSE),"")</f>
        <v/>
      </c>
      <c r="T262" s="209" t="str">
        <f>IFERROR(VLOOKUP(TableHandbook[[#This Row],[UDC]],TableSTRUISTEM[],7,FALSE),"")</f>
        <v/>
      </c>
      <c r="U262" s="209" t="str">
        <f>IFERROR(VLOOKUP(TableHandbook[[#This Row],[UDC]],TableSTRULITNU[],7,FALSE),"")</f>
        <v/>
      </c>
      <c r="V262" s="209" t="str">
        <f>IFERROR(VLOOKUP(TableHandbook[[#This Row],[UDC]],TableSTRUTECHS[],7,FALSE),"")</f>
        <v/>
      </c>
      <c r="W262" s="211" t="str">
        <f>IFERROR(VLOOKUP(TableHandbook[[#This Row],[UDC]],TableBEDSC[],7,FALSE),"")</f>
        <v/>
      </c>
      <c r="X262" s="211" t="str">
        <f>IFERROR(VLOOKUP(TableHandbook[[#This Row],[UDC]],TableMJRUARDR1[],7,FALSE),"")</f>
        <v/>
      </c>
      <c r="Y262" s="209" t="str">
        <f>IFERROR(VLOOKUP(TableHandbook[[#This Row],[UDC]],TableMJRUARME1[],7,FALSE),"")</f>
        <v/>
      </c>
      <c r="Z262" s="209" t="str">
        <f>IFERROR(VLOOKUP(TableHandbook[[#This Row],[UDC]],TableMJRUARVA1[],7,FALSE),"")</f>
        <v/>
      </c>
      <c r="AA262" s="209" t="str">
        <f>IFERROR(VLOOKUP(TableHandbook[[#This Row],[UDC]],TableMJRUENGL1[],7,FALSE),"")</f>
        <v/>
      </c>
      <c r="AB262" s="209" t="str">
        <f>IFERROR(VLOOKUP(TableHandbook[[#This Row],[UDC]],TableMJRUHSEC1[],7,FALSE),"")</f>
        <v/>
      </c>
      <c r="AC262" s="209" t="str">
        <f>IFERROR(VLOOKUP(TableHandbook[[#This Row],[UDC]],TableMJRUHSGE1[],7,FALSE),"")</f>
        <v/>
      </c>
      <c r="AD262" s="209" t="str">
        <f>IFERROR(VLOOKUP(TableHandbook[[#This Row],[UDC]],TableMJRUHSHI1[],7,FALSE),"")</f>
        <v/>
      </c>
      <c r="AE262" s="209" t="str">
        <f>IFERROR(VLOOKUP(TableHandbook[[#This Row],[UDC]],TableMJRUHSPL1[],7,FALSE),"")</f>
        <v/>
      </c>
      <c r="AF262" s="209" t="str">
        <f>IFERROR(VLOOKUP(TableHandbook[[#This Row],[UDC]],TableMJRUMATH1[],7,FALSE),"")</f>
        <v/>
      </c>
      <c r="AG262" s="209" t="str">
        <f>IFERROR(VLOOKUP(TableHandbook[[#This Row],[UDC]],TableMJRUPHYSE[],7,FALSE),"")</f>
        <v/>
      </c>
      <c r="AH262" s="209" t="str">
        <f>IFERROR(VLOOKUP(TableHandbook[[#This Row],[UDC]],TableMJRUSCBI1[],7,FALSE),"")</f>
        <v/>
      </c>
      <c r="AI262" s="209" t="str">
        <f>IFERROR(VLOOKUP(TableHandbook[[#This Row],[UDC]],TableMJRUSCCH1[],7,FALSE),"")</f>
        <v/>
      </c>
      <c r="AJ262" s="209" t="str">
        <f>IFERROR(VLOOKUP(TableHandbook[[#This Row],[UDC]],TableMJRUSCHB1[],7,FALSE),"")</f>
        <v/>
      </c>
      <c r="AK262" s="209" t="str">
        <f>IFERROR(VLOOKUP(TableHandbook[[#This Row],[UDC]],TableMJRUSCPH1[],7,FALSE),"")</f>
        <v/>
      </c>
      <c r="AL262" s="209" t="str">
        <f>IFERROR(VLOOKUP(TableHandbook[[#This Row],[UDC]],TableMJRUSCPS1[],7,FALSE),"")</f>
        <v/>
      </c>
      <c r="AM262" s="211" t="str">
        <f>IFERROR(VLOOKUP(TableHandbook[[#This Row],[UDC]],TableSTRUBIOLB[],7,FALSE),"")</f>
        <v/>
      </c>
      <c r="AN262" s="209" t="str">
        <f>IFERROR(VLOOKUP(TableHandbook[[#This Row],[UDC]],TableSTRUBSCIM[],7,FALSE),"")</f>
        <v/>
      </c>
      <c r="AO262" s="209" t="str">
        <f>IFERROR(VLOOKUP(TableHandbook[[#This Row],[UDC]],TableSTRUCHEMB[],7,FALSE),"")</f>
        <v/>
      </c>
      <c r="AP262" s="209" t="str">
        <f>IFERROR(VLOOKUP(TableHandbook[[#This Row],[UDC]],TableSTRUECOB1[],7,FALSE),"")</f>
        <v/>
      </c>
      <c r="AQ262" s="209" t="str">
        <f>IFERROR(VLOOKUP(TableHandbook[[#This Row],[UDC]],TableSTRUENGLB[],7,FALSE),"")</f>
        <v/>
      </c>
      <c r="AR262" s="209" t="str">
        <f>IFERROR(VLOOKUP(TableHandbook[[#This Row],[UDC]],TableSTRUENGLM[],7,FALSE),"")</f>
        <v/>
      </c>
      <c r="AS262" s="209" t="str">
        <f>IFERROR(VLOOKUP(TableHandbook[[#This Row],[UDC]],TableSTRUGEOB1[],7,FALSE),"")</f>
        <v/>
      </c>
      <c r="AT262" s="209" t="str">
        <f>IFERROR(VLOOKUP(TableHandbook[[#This Row],[UDC]],TableSTRUGEOGM[],7,FALSE),"")</f>
        <v/>
      </c>
      <c r="AU262" s="209" t="str">
        <f>IFERROR(VLOOKUP(TableHandbook[[#This Row],[UDC]],TableSTRUHISB1[],7,FALSE),"")</f>
        <v/>
      </c>
      <c r="AV262" s="209" t="str">
        <f>IFERROR(VLOOKUP(TableHandbook[[#This Row],[UDC]],TableSTRUHISTM[],7,FALSE),"")</f>
        <v/>
      </c>
      <c r="AW262" s="209" t="str">
        <f>IFERROR(VLOOKUP(TableHandbook[[#This Row],[UDC]],TableSTRUHPEB1[],7,FALSE),"")</f>
        <v/>
      </c>
      <c r="AX262" s="209" t="str">
        <f>IFERROR(VLOOKUP(TableHandbook[[#This Row],[UDC]],TableSTRUHUMBB[],7,FALSE),"")</f>
        <v/>
      </c>
      <c r="AY262" s="209" t="str">
        <f>IFERROR(VLOOKUP(TableHandbook[[#This Row],[UDC]],TableSTRUMARTM[],7,FALSE),"")</f>
        <v/>
      </c>
      <c r="AZ262" s="209" t="str">
        <f>IFERROR(VLOOKUP(TableHandbook[[#This Row],[UDC]],TableSTRUMATHB[],7,FALSE),"")</f>
        <v/>
      </c>
      <c r="BA262" s="209" t="str">
        <f>IFERROR(VLOOKUP(TableHandbook[[#This Row],[UDC]],TableSTRUMATHM[],7,FALSE),"")</f>
        <v/>
      </c>
      <c r="BB262" s="209" t="str">
        <f>IFERROR(VLOOKUP(TableHandbook[[#This Row],[UDC]],TableSTRUPARTB[],7,FALSE),"")</f>
        <v/>
      </c>
      <c r="BC262" s="209" t="str">
        <f>IFERROR(VLOOKUP(TableHandbook[[#This Row],[UDC]],TableSTRUPARTM[],7,FALSE),"")</f>
        <v/>
      </c>
      <c r="BD262" s="209" t="str">
        <f>IFERROR(VLOOKUP(TableHandbook[[#This Row],[UDC]],TableSTRUPOLB1[],7,FALSE),"")</f>
        <v/>
      </c>
      <c r="BE262" s="209" t="str">
        <f>IFERROR(VLOOKUP(TableHandbook[[#This Row],[UDC]],TableSTRUPSYCB[],7,FALSE),"")</f>
        <v/>
      </c>
      <c r="BF262" s="209" t="str">
        <f>IFERROR(VLOOKUP(TableHandbook[[#This Row],[UDC]],TableSTRUPSYCM[],7,FALSE),"")</f>
        <v/>
      </c>
      <c r="BG262" s="209" t="str">
        <f>IFERROR(VLOOKUP(TableHandbook[[#This Row],[UDC]],TableSTRUVARTB[],7,FALSE),"")</f>
        <v/>
      </c>
      <c r="BH262" s="209" t="str">
        <f>IFERROR(VLOOKUP(TableHandbook[[#This Row],[UDC]],TableSTRUVARTM[],7,FALSE),"")</f>
        <v/>
      </c>
    </row>
    <row r="263" spans="1:60" x14ac:dyDescent="0.25">
      <c r="A263" s="6" t="s">
        <v>1076</v>
      </c>
      <c r="B263" s="7"/>
      <c r="C263" s="7"/>
      <c r="D263" s="207" t="s">
        <v>1077</v>
      </c>
      <c r="E263" s="7"/>
      <c r="F263" s="84" t="s">
        <v>590</v>
      </c>
      <c r="G263" s="75" t="str">
        <f>IFERROR(IF(VLOOKUP(TableHandbook[[#This Row],[UDC]],TableAvailabilities[],2,FALSE)&gt;0,"Y",""),"")</f>
        <v/>
      </c>
      <c r="H263" s="75" t="str">
        <f>IFERROR(IF(VLOOKUP(TableHandbook[[#This Row],[UDC]],TableAvailabilities[],3,FALSE)&gt;0,"Y",""),"")</f>
        <v/>
      </c>
      <c r="I263" s="75" t="str">
        <f>IFERROR(IF(VLOOKUP(TableHandbook[[#This Row],[UDC]],TableAvailabilities[],4,FALSE)&gt;0,"Y",""),"")</f>
        <v/>
      </c>
      <c r="J263" s="75" t="str">
        <f>IFERROR(IF(VLOOKUP(TableHandbook[[#This Row],[UDC]],TableAvailabilities[],5,FALSE)&gt;0,"Y",""),"")</f>
        <v/>
      </c>
      <c r="K263" s="75" t="str">
        <f>IFERROR(IF(VLOOKUP(TableHandbook[[#This Row],[UDC]],TableAvailabilities[],6,FALSE)&gt;0,"Y",""),"")</f>
        <v/>
      </c>
      <c r="L263" s="75" t="str">
        <f>IFERROR(IF(VLOOKUP(TableHandbook[[#This Row],[UDC]],TableAvailabilities[],7,FALSE)&gt;0,"Y",""),"")</f>
        <v/>
      </c>
      <c r="M263" s="207" t="s">
        <v>1074</v>
      </c>
      <c r="N263" s="209" t="str">
        <f>IFERROR(VLOOKUP(TableHandbook[[#This Row],[UDC]],TableBEDUC[],7,FALSE),"")</f>
        <v/>
      </c>
      <c r="O263" s="209" t="str">
        <f>IFERROR(VLOOKUP(TableHandbook[[#This Row],[UDC]],TableBEDEC[],7,FALSE),"")</f>
        <v/>
      </c>
      <c r="P263" s="211" t="str">
        <f>IFERROR(VLOOKUP(TableHandbook[[#This Row],[UDC]],TableBEDPR[],7,FALSE),"")</f>
        <v/>
      </c>
      <c r="Q263" s="209" t="str">
        <f>IFERROR(VLOOKUP(TableHandbook[[#This Row],[UDC]],TableSTRUCATHL[],7,FALSE),"")</f>
        <v/>
      </c>
      <c r="R263" s="209" t="str">
        <f>IFERROR(VLOOKUP(TableHandbook[[#This Row],[UDC]],TableSTRUENGLL[],7,FALSE),"")</f>
        <v/>
      </c>
      <c r="S263" s="209" t="str">
        <f>IFERROR(VLOOKUP(TableHandbook[[#This Row],[UDC]],TableSTRUHLTPE[],7,FALSE),"")</f>
        <v/>
      </c>
      <c r="T263" s="209" t="str">
        <f>IFERROR(VLOOKUP(TableHandbook[[#This Row],[UDC]],TableSTRUISTEM[],7,FALSE),"")</f>
        <v/>
      </c>
      <c r="U263" s="209" t="str">
        <f>IFERROR(VLOOKUP(TableHandbook[[#This Row],[UDC]],TableSTRULITNU[],7,FALSE),"")</f>
        <v/>
      </c>
      <c r="V263" s="209" t="str">
        <f>IFERROR(VLOOKUP(TableHandbook[[#This Row],[UDC]],TableSTRUTECHS[],7,FALSE),"")</f>
        <v/>
      </c>
      <c r="W263" s="211" t="str">
        <f>IFERROR(VLOOKUP(TableHandbook[[#This Row],[UDC]],TableBEDSC[],7,FALSE),"")</f>
        <v/>
      </c>
      <c r="X263" s="211" t="str">
        <f>IFERROR(VLOOKUP(TableHandbook[[#This Row],[UDC]],TableMJRUARDR1[],7,FALSE),"")</f>
        <v/>
      </c>
      <c r="Y263" s="209" t="str">
        <f>IFERROR(VLOOKUP(TableHandbook[[#This Row],[UDC]],TableMJRUARME1[],7,FALSE),"")</f>
        <v/>
      </c>
      <c r="Z263" s="209" t="str">
        <f>IFERROR(VLOOKUP(TableHandbook[[#This Row],[UDC]],TableMJRUARVA1[],7,FALSE),"")</f>
        <v/>
      </c>
      <c r="AA263" s="209" t="str">
        <f>IFERROR(VLOOKUP(TableHandbook[[#This Row],[UDC]],TableMJRUENGL1[],7,FALSE),"")</f>
        <v/>
      </c>
      <c r="AB263" s="209" t="str">
        <f>IFERROR(VLOOKUP(TableHandbook[[#This Row],[UDC]],TableMJRUHSEC1[],7,FALSE),"")</f>
        <v/>
      </c>
      <c r="AC263" s="209" t="str">
        <f>IFERROR(VLOOKUP(TableHandbook[[#This Row],[UDC]],TableMJRUHSGE1[],7,FALSE),"")</f>
        <v/>
      </c>
      <c r="AD263" s="209" t="str">
        <f>IFERROR(VLOOKUP(TableHandbook[[#This Row],[UDC]],TableMJRUHSHI1[],7,FALSE),"")</f>
        <v/>
      </c>
      <c r="AE263" s="209" t="str">
        <f>IFERROR(VLOOKUP(TableHandbook[[#This Row],[UDC]],TableMJRUHSPL1[],7,FALSE),"")</f>
        <v/>
      </c>
      <c r="AF263" s="209" t="str">
        <f>IFERROR(VLOOKUP(TableHandbook[[#This Row],[UDC]],TableMJRUMATH1[],7,FALSE),"")</f>
        <v/>
      </c>
      <c r="AG263" s="209" t="str">
        <f>IFERROR(VLOOKUP(TableHandbook[[#This Row],[UDC]],TableMJRUPHYSE[],7,FALSE),"")</f>
        <v/>
      </c>
      <c r="AH263" s="209" t="str">
        <f>IFERROR(VLOOKUP(TableHandbook[[#This Row],[UDC]],TableMJRUSCBI1[],7,FALSE),"")</f>
        <v/>
      </c>
      <c r="AI263" s="209" t="str">
        <f>IFERROR(VLOOKUP(TableHandbook[[#This Row],[UDC]],TableMJRUSCCH1[],7,FALSE),"")</f>
        <v/>
      </c>
      <c r="AJ263" s="209" t="str">
        <f>IFERROR(VLOOKUP(TableHandbook[[#This Row],[UDC]],TableMJRUSCHB1[],7,FALSE),"")</f>
        <v/>
      </c>
      <c r="AK263" s="209" t="str">
        <f>IFERROR(VLOOKUP(TableHandbook[[#This Row],[UDC]],TableMJRUSCPH1[],7,FALSE),"")</f>
        <v/>
      </c>
      <c r="AL263" s="209" t="str">
        <f>IFERROR(VLOOKUP(TableHandbook[[#This Row],[UDC]],TableMJRUSCPS1[],7,FALSE),"")</f>
        <v/>
      </c>
      <c r="AM263" s="211" t="str">
        <f>IFERROR(VLOOKUP(TableHandbook[[#This Row],[UDC]],TableSTRUBIOLB[],7,FALSE),"")</f>
        <v/>
      </c>
      <c r="AN263" s="209" t="str">
        <f>IFERROR(VLOOKUP(TableHandbook[[#This Row],[UDC]],TableSTRUBSCIM[],7,FALSE),"")</f>
        <v/>
      </c>
      <c r="AO263" s="209" t="str">
        <f>IFERROR(VLOOKUP(TableHandbook[[#This Row],[UDC]],TableSTRUCHEMB[],7,FALSE),"")</f>
        <v/>
      </c>
      <c r="AP263" s="209" t="str">
        <f>IFERROR(VLOOKUP(TableHandbook[[#This Row],[UDC]],TableSTRUECOB1[],7,FALSE),"")</f>
        <v/>
      </c>
      <c r="AQ263" s="209" t="str">
        <f>IFERROR(VLOOKUP(TableHandbook[[#This Row],[UDC]],TableSTRUENGLB[],7,FALSE),"")</f>
        <v/>
      </c>
      <c r="AR263" s="209" t="str">
        <f>IFERROR(VLOOKUP(TableHandbook[[#This Row],[UDC]],TableSTRUENGLM[],7,FALSE),"")</f>
        <v/>
      </c>
      <c r="AS263" s="209" t="str">
        <f>IFERROR(VLOOKUP(TableHandbook[[#This Row],[UDC]],TableSTRUGEOB1[],7,FALSE),"")</f>
        <v/>
      </c>
      <c r="AT263" s="209" t="str">
        <f>IFERROR(VLOOKUP(TableHandbook[[#This Row],[UDC]],TableSTRUGEOGM[],7,FALSE),"")</f>
        <v/>
      </c>
      <c r="AU263" s="209" t="str">
        <f>IFERROR(VLOOKUP(TableHandbook[[#This Row],[UDC]],TableSTRUHISB1[],7,FALSE),"")</f>
        <v/>
      </c>
      <c r="AV263" s="209" t="str">
        <f>IFERROR(VLOOKUP(TableHandbook[[#This Row],[UDC]],TableSTRUHISTM[],7,FALSE),"")</f>
        <v/>
      </c>
      <c r="AW263" s="209" t="str">
        <f>IFERROR(VLOOKUP(TableHandbook[[#This Row],[UDC]],TableSTRUHPEB1[],7,FALSE),"")</f>
        <v/>
      </c>
      <c r="AX263" s="209" t="str">
        <f>IFERROR(VLOOKUP(TableHandbook[[#This Row],[UDC]],TableSTRUHUMBB[],7,FALSE),"")</f>
        <v/>
      </c>
      <c r="AY263" s="209" t="str">
        <f>IFERROR(VLOOKUP(TableHandbook[[#This Row],[UDC]],TableSTRUMARTM[],7,FALSE),"")</f>
        <v/>
      </c>
      <c r="AZ263" s="209" t="str">
        <f>IFERROR(VLOOKUP(TableHandbook[[#This Row],[UDC]],TableSTRUMATHB[],7,FALSE),"")</f>
        <v/>
      </c>
      <c r="BA263" s="209" t="str">
        <f>IFERROR(VLOOKUP(TableHandbook[[#This Row],[UDC]],TableSTRUMATHM[],7,FALSE),"")</f>
        <v/>
      </c>
      <c r="BB263" s="209" t="str">
        <f>IFERROR(VLOOKUP(TableHandbook[[#This Row],[UDC]],TableSTRUPARTB[],7,FALSE),"")</f>
        <v/>
      </c>
      <c r="BC263" s="209" t="str">
        <f>IFERROR(VLOOKUP(TableHandbook[[#This Row],[UDC]],TableSTRUPARTM[],7,FALSE),"")</f>
        <v/>
      </c>
      <c r="BD263" s="209" t="str">
        <f>IFERROR(VLOOKUP(TableHandbook[[#This Row],[UDC]],TableSTRUPOLB1[],7,FALSE),"")</f>
        <v/>
      </c>
      <c r="BE263" s="209" t="str">
        <f>IFERROR(VLOOKUP(TableHandbook[[#This Row],[UDC]],TableSTRUPSYCB[],7,FALSE),"")</f>
        <v/>
      </c>
      <c r="BF263" s="209" t="str">
        <f>IFERROR(VLOOKUP(TableHandbook[[#This Row],[UDC]],TableSTRUPSYCM[],7,FALSE),"")</f>
        <v/>
      </c>
      <c r="BG263" s="209" t="str">
        <f>IFERROR(VLOOKUP(TableHandbook[[#This Row],[UDC]],TableSTRUVARTB[],7,FALSE),"")</f>
        <v/>
      </c>
      <c r="BH263" s="209" t="str">
        <f>IFERROR(VLOOKUP(TableHandbook[[#This Row],[UDC]],TableSTRUVARTM[],7,FALSE),"")</f>
        <v/>
      </c>
    </row>
    <row r="264" spans="1:60" x14ac:dyDescent="0.25">
      <c r="A264" s="6" t="s">
        <v>187</v>
      </c>
      <c r="B264" s="7"/>
      <c r="C264" s="7"/>
      <c r="D264" s="207" t="s">
        <v>1078</v>
      </c>
      <c r="E264" s="7"/>
      <c r="F264" s="84" t="s">
        <v>590</v>
      </c>
      <c r="G264" s="75" t="str">
        <f>IFERROR(IF(VLOOKUP(TableHandbook[[#This Row],[UDC]],TableAvailabilities[],2,FALSE)&gt;0,"Y",""),"")</f>
        <v/>
      </c>
      <c r="H264" s="75" t="str">
        <f>IFERROR(IF(VLOOKUP(TableHandbook[[#This Row],[UDC]],TableAvailabilities[],3,FALSE)&gt;0,"Y",""),"")</f>
        <v/>
      </c>
      <c r="I264" s="75" t="str">
        <f>IFERROR(IF(VLOOKUP(TableHandbook[[#This Row],[UDC]],TableAvailabilities[],4,FALSE)&gt;0,"Y",""),"")</f>
        <v/>
      </c>
      <c r="J264" s="75" t="str">
        <f>IFERROR(IF(VLOOKUP(TableHandbook[[#This Row],[UDC]],TableAvailabilities[],5,FALSE)&gt;0,"Y",""),"")</f>
        <v/>
      </c>
      <c r="K264" s="75" t="str">
        <f>IFERROR(IF(VLOOKUP(TableHandbook[[#This Row],[UDC]],TableAvailabilities[],6,FALSE)&gt;0,"Y",""),"")</f>
        <v/>
      </c>
      <c r="L264" s="75" t="str">
        <f>IFERROR(IF(VLOOKUP(TableHandbook[[#This Row],[UDC]],TableAvailabilities[],7,FALSE)&gt;0,"Y",""),"")</f>
        <v/>
      </c>
      <c r="M264" s="207" t="s">
        <v>1074</v>
      </c>
      <c r="N264" s="209" t="str">
        <f>IFERROR(VLOOKUP(TableHandbook[[#This Row],[UDC]],TableBEDUC[],7,FALSE),"")</f>
        <v/>
      </c>
      <c r="O264" s="209" t="str">
        <f>IFERROR(VLOOKUP(TableHandbook[[#This Row],[UDC]],TableBEDEC[],7,FALSE),"")</f>
        <v/>
      </c>
      <c r="P264" s="211" t="str">
        <f>IFERROR(VLOOKUP(TableHandbook[[#This Row],[UDC]],TableBEDPR[],7,FALSE),"")</f>
        <v/>
      </c>
      <c r="Q264" s="209" t="str">
        <f>IFERROR(VLOOKUP(TableHandbook[[#This Row],[UDC]],TableSTRUCATHL[],7,FALSE),"")</f>
        <v/>
      </c>
      <c r="R264" s="209" t="str">
        <f>IFERROR(VLOOKUP(TableHandbook[[#This Row],[UDC]],TableSTRUENGLL[],7,FALSE),"")</f>
        <v/>
      </c>
      <c r="S264" s="209" t="str">
        <f>IFERROR(VLOOKUP(TableHandbook[[#This Row],[UDC]],TableSTRUHLTPE[],7,FALSE),"")</f>
        <v/>
      </c>
      <c r="T264" s="209" t="str">
        <f>IFERROR(VLOOKUP(TableHandbook[[#This Row],[UDC]],TableSTRUISTEM[],7,FALSE),"")</f>
        <v/>
      </c>
      <c r="U264" s="209" t="str">
        <f>IFERROR(VLOOKUP(TableHandbook[[#This Row],[UDC]],TableSTRULITNU[],7,FALSE),"")</f>
        <v/>
      </c>
      <c r="V264" s="209" t="str">
        <f>IFERROR(VLOOKUP(TableHandbook[[#This Row],[UDC]],TableSTRUTECHS[],7,FALSE),"")</f>
        <v/>
      </c>
      <c r="W264" s="211" t="str">
        <f>IFERROR(VLOOKUP(TableHandbook[[#This Row],[UDC]],TableBEDSC[],7,FALSE),"")</f>
        <v/>
      </c>
      <c r="X264" s="211" t="str">
        <f>IFERROR(VLOOKUP(TableHandbook[[#This Row],[UDC]],TableMJRUARDR1[],7,FALSE),"")</f>
        <v/>
      </c>
      <c r="Y264" s="209" t="str">
        <f>IFERROR(VLOOKUP(TableHandbook[[#This Row],[UDC]],TableMJRUARME1[],7,FALSE),"")</f>
        <v/>
      </c>
      <c r="Z264" s="209" t="str">
        <f>IFERROR(VLOOKUP(TableHandbook[[#This Row],[UDC]],TableMJRUARVA1[],7,FALSE),"")</f>
        <v/>
      </c>
      <c r="AA264" s="209" t="str">
        <f>IFERROR(VLOOKUP(TableHandbook[[#This Row],[UDC]],TableMJRUENGL1[],7,FALSE),"")</f>
        <v/>
      </c>
      <c r="AB264" s="209" t="str">
        <f>IFERROR(VLOOKUP(TableHandbook[[#This Row],[UDC]],TableMJRUHSEC1[],7,FALSE),"")</f>
        <v/>
      </c>
      <c r="AC264" s="209" t="str">
        <f>IFERROR(VLOOKUP(TableHandbook[[#This Row],[UDC]],TableMJRUHSGE1[],7,FALSE),"")</f>
        <v/>
      </c>
      <c r="AD264" s="209" t="str">
        <f>IFERROR(VLOOKUP(TableHandbook[[#This Row],[UDC]],TableMJRUHSHI1[],7,FALSE),"")</f>
        <v/>
      </c>
      <c r="AE264" s="209" t="str">
        <f>IFERROR(VLOOKUP(TableHandbook[[#This Row],[UDC]],TableMJRUHSPL1[],7,FALSE),"")</f>
        <v/>
      </c>
      <c r="AF264" s="209" t="str">
        <f>IFERROR(VLOOKUP(TableHandbook[[#This Row],[UDC]],TableMJRUMATH1[],7,FALSE),"")</f>
        <v/>
      </c>
      <c r="AG264" s="209" t="str">
        <f>IFERROR(VLOOKUP(TableHandbook[[#This Row],[UDC]],TableMJRUPHYSE[],7,FALSE),"")</f>
        <v/>
      </c>
      <c r="AH264" s="209" t="str">
        <f>IFERROR(VLOOKUP(TableHandbook[[#This Row],[UDC]],TableMJRUSCBI1[],7,FALSE),"")</f>
        <v/>
      </c>
      <c r="AI264" s="209" t="str">
        <f>IFERROR(VLOOKUP(TableHandbook[[#This Row],[UDC]],TableMJRUSCCH1[],7,FALSE),"")</f>
        <v/>
      </c>
      <c r="AJ264" s="209" t="str">
        <f>IFERROR(VLOOKUP(TableHandbook[[#This Row],[UDC]],TableMJRUSCHB1[],7,FALSE),"")</f>
        <v/>
      </c>
      <c r="AK264" s="209" t="str">
        <f>IFERROR(VLOOKUP(TableHandbook[[#This Row],[UDC]],TableMJRUSCPH1[],7,FALSE),"")</f>
        <v/>
      </c>
      <c r="AL264" s="209" t="str">
        <f>IFERROR(VLOOKUP(TableHandbook[[#This Row],[UDC]],TableMJRUSCPS1[],7,FALSE),"")</f>
        <v/>
      </c>
      <c r="AM264" s="211" t="str">
        <f>IFERROR(VLOOKUP(TableHandbook[[#This Row],[UDC]],TableSTRUBIOLB[],7,FALSE),"")</f>
        <v/>
      </c>
      <c r="AN264" s="209" t="str">
        <f>IFERROR(VLOOKUP(TableHandbook[[#This Row],[UDC]],TableSTRUBSCIM[],7,FALSE),"")</f>
        <v/>
      </c>
      <c r="AO264" s="209" t="str">
        <f>IFERROR(VLOOKUP(TableHandbook[[#This Row],[UDC]],TableSTRUCHEMB[],7,FALSE),"")</f>
        <v/>
      </c>
      <c r="AP264" s="209" t="str">
        <f>IFERROR(VLOOKUP(TableHandbook[[#This Row],[UDC]],TableSTRUECOB1[],7,FALSE),"")</f>
        <v/>
      </c>
      <c r="AQ264" s="209" t="str">
        <f>IFERROR(VLOOKUP(TableHandbook[[#This Row],[UDC]],TableSTRUENGLB[],7,FALSE),"")</f>
        <v/>
      </c>
      <c r="AR264" s="209" t="str">
        <f>IFERROR(VLOOKUP(TableHandbook[[#This Row],[UDC]],TableSTRUENGLM[],7,FALSE),"")</f>
        <v/>
      </c>
      <c r="AS264" s="209" t="str">
        <f>IFERROR(VLOOKUP(TableHandbook[[#This Row],[UDC]],TableSTRUGEOB1[],7,FALSE),"")</f>
        <v/>
      </c>
      <c r="AT264" s="209" t="str">
        <f>IFERROR(VLOOKUP(TableHandbook[[#This Row],[UDC]],TableSTRUGEOGM[],7,FALSE),"")</f>
        <v/>
      </c>
      <c r="AU264" s="209" t="str">
        <f>IFERROR(VLOOKUP(TableHandbook[[#This Row],[UDC]],TableSTRUHISB1[],7,FALSE),"")</f>
        <v/>
      </c>
      <c r="AV264" s="209" t="str">
        <f>IFERROR(VLOOKUP(TableHandbook[[#This Row],[UDC]],TableSTRUHISTM[],7,FALSE),"")</f>
        <v/>
      </c>
      <c r="AW264" s="209" t="str">
        <f>IFERROR(VLOOKUP(TableHandbook[[#This Row],[UDC]],TableSTRUHPEB1[],7,FALSE),"")</f>
        <v/>
      </c>
      <c r="AX264" s="209" t="str">
        <f>IFERROR(VLOOKUP(TableHandbook[[#This Row],[UDC]],TableSTRUHUMBB[],7,FALSE),"")</f>
        <v/>
      </c>
      <c r="AY264" s="209" t="str">
        <f>IFERROR(VLOOKUP(TableHandbook[[#This Row],[UDC]],TableSTRUMARTM[],7,FALSE),"")</f>
        <v/>
      </c>
      <c r="AZ264" s="209" t="str">
        <f>IFERROR(VLOOKUP(TableHandbook[[#This Row],[UDC]],TableSTRUMATHB[],7,FALSE),"")</f>
        <v/>
      </c>
      <c r="BA264" s="209" t="str">
        <f>IFERROR(VLOOKUP(TableHandbook[[#This Row],[UDC]],TableSTRUMATHM[],7,FALSE),"")</f>
        <v/>
      </c>
      <c r="BB264" s="209" t="str">
        <f>IFERROR(VLOOKUP(TableHandbook[[#This Row],[UDC]],TableSTRUPARTB[],7,FALSE),"")</f>
        <v/>
      </c>
      <c r="BC264" s="209" t="str">
        <f>IFERROR(VLOOKUP(TableHandbook[[#This Row],[UDC]],TableSTRUPARTM[],7,FALSE),"")</f>
        <v/>
      </c>
      <c r="BD264" s="209" t="str">
        <f>IFERROR(VLOOKUP(TableHandbook[[#This Row],[UDC]],TableSTRUPOLB1[],7,FALSE),"")</f>
        <v/>
      </c>
      <c r="BE264" s="209" t="str">
        <f>IFERROR(VLOOKUP(TableHandbook[[#This Row],[UDC]],TableSTRUPSYCB[],7,FALSE),"")</f>
        <v/>
      </c>
      <c r="BF264" s="209" t="str">
        <f>IFERROR(VLOOKUP(TableHandbook[[#This Row],[UDC]],TableSTRUPSYCM[],7,FALSE),"")</f>
        <v/>
      </c>
      <c r="BG264" s="209" t="str">
        <f>IFERROR(VLOOKUP(TableHandbook[[#This Row],[UDC]],TableSTRUVARTB[],7,FALSE),"")</f>
        <v/>
      </c>
      <c r="BH264" s="209" t="str">
        <f>IFERROR(VLOOKUP(TableHandbook[[#This Row],[UDC]],TableSTRUVARTM[],7,FALSE),"")</f>
        <v/>
      </c>
    </row>
    <row r="265" spans="1:60" x14ac:dyDescent="0.25">
      <c r="A265" s="6" t="s">
        <v>190</v>
      </c>
      <c r="B265" s="7"/>
      <c r="C265" s="7"/>
      <c r="D265" s="207" t="s">
        <v>1079</v>
      </c>
      <c r="E265" s="7"/>
      <c r="F265" s="84" t="s">
        <v>590</v>
      </c>
      <c r="G265" s="75" t="str">
        <f>IFERROR(IF(VLOOKUP(TableHandbook[[#This Row],[UDC]],TableAvailabilities[],2,FALSE)&gt;0,"Y",""),"")</f>
        <v/>
      </c>
      <c r="H265" s="75" t="str">
        <f>IFERROR(IF(VLOOKUP(TableHandbook[[#This Row],[UDC]],TableAvailabilities[],3,FALSE)&gt;0,"Y",""),"")</f>
        <v/>
      </c>
      <c r="I265" s="75" t="str">
        <f>IFERROR(IF(VLOOKUP(TableHandbook[[#This Row],[UDC]],TableAvailabilities[],4,FALSE)&gt;0,"Y",""),"")</f>
        <v/>
      </c>
      <c r="J265" s="75" t="str">
        <f>IFERROR(IF(VLOOKUP(TableHandbook[[#This Row],[UDC]],TableAvailabilities[],5,FALSE)&gt;0,"Y",""),"")</f>
        <v/>
      </c>
      <c r="K265" s="75" t="str">
        <f>IFERROR(IF(VLOOKUP(TableHandbook[[#This Row],[UDC]],TableAvailabilities[],6,FALSE)&gt;0,"Y",""),"")</f>
        <v/>
      </c>
      <c r="L265" s="75" t="str">
        <f>IFERROR(IF(VLOOKUP(TableHandbook[[#This Row],[UDC]],TableAvailabilities[],7,FALSE)&gt;0,"Y",""),"")</f>
        <v/>
      </c>
      <c r="M265" s="207" t="s">
        <v>1074</v>
      </c>
      <c r="N265" s="209" t="str">
        <f>IFERROR(VLOOKUP(TableHandbook[[#This Row],[UDC]],TableBEDUC[],7,FALSE),"")</f>
        <v/>
      </c>
      <c r="O265" s="209" t="str">
        <f>IFERROR(VLOOKUP(TableHandbook[[#This Row],[UDC]],TableBEDEC[],7,FALSE),"")</f>
        <v/>
      </c>
      <c r="P265" s="211" t="str">
        <f>IFERROR(VLOOKUP(TableHandbook[[#This Row],[UDC]],TableBEDPR[],7,FALSE),"")</f>
        <v/>
      </c>
      <c r="Q265" s="209" t="str">
        <f>IFERROR(VLOOKUP(TableHandbook[[#This Row],[UDC]],TableSTRUCATHL[],7,FALSE),"")</f>
        <v/>
      </c>
      <c r="R265" s="209" t="str">
        <f>IFERROR(VLOOKUP(TableHandbook[[#This Row],[UDC]],TableSTRUENGLL[],7,FALSE),"")</f>
        <v/>
      </c>
      <c r="S265" s="209" t="str">
        <f>IFERROR(VLOOKUP(TableHandbook[[#This Row],[UDC]],TableSTRUHLTPE[],7,FALSE),"")</f>
        <v/>
      </c>
      <c r="T265" s="209" t="str">
        <f>IFERROR(VLOOKUP(TableHandbook[[#This Row],[UDC]],TableSTRUISTEM[],7,FALSE),"")</f>
        <v/>
      </c>
      <c r="U265" s="209" t="str">
        <f>IFERROR(VLOOKUP(TableHandbook[[#This Row],[UDC]],TableSTRULITNU[],7,FALSE),"")</f>
        <v/>
      </c>
      <c r="V265" s="209" t="str">
        <f>IFERROR(VLOOKUP(TableHandbook[[#This Row],[UDC]],TableSTRUTECHS[],7,FALSE),"")</f>
        <v/>
      </c>
      <c r="W265" s="211" t="str">
        <f>IFERROR(VLOOKUP(TableHandbook[[#This Row],[UDC]],TableBEDSC[],7,FALSE),"")</f>
        <v/>
      </c>
      <c r="X265" s="211" t="str">
        <f>IFERROR(VLOOKUP(TableHandbook[[#This Row],[UDC]],TableMJRUARDR1[],7,FALSE),"")</f>
        <v/>
      </c>
      <c r="Y265" s="209" t="str">
        <f>IFERROR(VLOOKUP(TableHandbook[[#This Row],[UDC]],TableMJRUARME1[],7,FALSE),"")</f>
        <v/>
      </c>
      <c r="Z265" s="209" t="str">
        <f>IFERROR(VLOOKUP(TableHandbook[[#This Row],[UDC]],TableMJRUARVA1[],7,FALSE),"")</f>
        <v/>
      </c>
      <c r="AA265" s="209" t="str">
        <f>IFERROR(VLOOKUP(TableHandbook[[#This Row],[UDC]],TableMJRUENGL1[],7,FALSE),"")</f>
        <v/>
      </c>
      <c r="AB265" s="209" t="str">
        <f>IFERROR(VLOOKUP(TableHandbook[[#This Row],[UDC]],TableMJRUHSEC1[],7,FALSE),"")</f>
        <v/>
      </c>
      <c r="AC265" s="209" t="str">
        <f>IFERROR(VLOOKUP(TableHandbook[[#This Row],[UDC]],TableMJRUHSGE1[],7,FALSE),"")</f>
        <v/>
      </c>
      <c r="AD265" s="209" t="str">
        <f>IFERROR(VLOOKUP(TableHandbook[[#This Row],[UDC]],TableMJRUHSHI1[],7,FALSE),"")</f>
        <v/>
      </c>
      <c r="AE265" s="209" t="str">
        <f>IFERROR(VLOOKUP(TableHandbook[[#This Row],[UDC]],TableMJRUHSPL1[],7,FALSE),"")</f>
        <v/>
      </c>
      <c r="AF265" s="209" t="str">
        <f>IFERROR(VLOOKUP(TableHandbook[[#This Row],[UDC]],TableMJRUMATH1[],7,FALSE),"")</f>
        <v/>
      </c>
      <c r="AG265" s="209" t="str">
        <f>IFERROR(VLOOKUP(TableHandbook[[#This Row],[UDC]],TableMJRUPHYSE[],7,FALSE),"")</f>
        <v/>
      </c>
      <c r="AH265" s="209" t="str">
        <f>IFERROR(VLOOKUP(TableHandbook[[#This Row],[UDC]],TableMJRUSCBI1[],7,FALSE),"")</f>
        <v/>
      </c>
      <c r="AI265" s="209" t="str">
        <f>IFERROR(VLOOKUP(TableHandbook[[#This Row],[UDC]],TableMJRUSCCH1[],7,FALSE),"")</f>
        <v/>
      </c>
      <c r="AJ265" s="209" t="str">
        <f>IFERROR(VLOOKUP(TableHandbook[[#This Row],[UDC]],TableMJRUSCHB1[],7,FALSE),"")</f>
        <v/>
      </c>
      <c r="AK265" s="209" t="str">
        <f>IFERROR(VLOOKUP(TableHandbook[[#This Row],[UDC]],TableMJRUSCPH1[],7,FALSE),"")</f>
        <v/>
      </c>
      <c r="AL265" s="209" t="str">
        <f>IFERROR(VLOOKUP(TableHandbook[[#This Row],[UDC]],TableMJRUSCPS1[],7,FALSE),"")</f>
        <v/>
      </c>
      <c r="AM265" s="211" t="str">
        <f>IFERROR(VLOOKUP(TableHandbook[[#This Row],[UDC]],TableSTRUBIOLB[],7,FALSE),"")</f>
        <v/>
      </c>
      <c r="AN265" s="209" t="str">
        <f>IFERROR(VLOOKUP(TableHandbook[[#This Row],[UDC]],TableSTRUBSCIM[],7,FALSE),"")</f>
        <v/>
      </c>
      <c r="AO265" s="209" t="str">
        <f>IFERROR(VLOOKUP(TableHandbook[[#This Row],[UDC]],TableSTRUCHEMB[],7,FALSE),"")</f>
        <v/>
      </c>
      <c r="AP265" s="209" t="str">
        <f>IFERROR(VLOOKUP(TableHandbook[[#This Row],[UDC]],TableSTRUECOB1[],7,FALSE),"")</f>
        <v/>
      </c>
      <c r="AQ265" s="209" t="str">
        <f>IFERROR(VLOOKUP(TableHandbook[[#This Row],[UDC]],TableSTRUENGLB[],7,FALSE),"")</f>
        <v/>
      </c>
      <c r="AR265" s="209" t="str">
        <f>IFERROR(VLOOKUP(TableHandbook[[#This Row],[UDC]],TableSTRUENGLM[],7,FALSE),"")</f>
        <v/>
      </c>
      <c r="AS265" s="209" t="str">
        <f>IFERROR(VLOOKUP(TableHandbook[[#This Row],[UDC]],TableSTRUGEOB1[],7,FALSE),"")</f>
        <v/>
      </c>
      <c r="AT265" s="209" t="str">
        <f>IFERROR(VLOOKUP(TableHandbook[[#This Row],[UDC]],TableSTRUGEOGM[],7,FALSE),"")</f>
        <v/>
      </c>
      <c r="AU265" s="209" t="str">
        <f>IFERROR(VLOOKUP(TableHandbook[[#This Row],[UDC]],TableSTRUHISB1[],7,FALSE),"")</f>
        <v/>
      </c>
      <c r="AV265" s="209" t="str">
        <f>IFERROR(VLOOKUP(TableHandbook[[#This Row],[UDC]],TableSTRUHISTM[],7,FALSE),"")</f>
        <v/>
      </c>
      <c r="AW265" s="209" t="str">
        <f>IFERROR(VLOOKUP(TableHandbook[[#This Row],[UDC]],TableSTRUHPEB1[],7,FALSE),"")</f>
        <v/>
      </c>
      <c r="AX265" s="209" t="str">
        <f>IFERROR(VLOOKUP(TableHandbook[[#This Row],[UDC]],TableSTRUHUMBB[],7,FALSE),"")</f>
        <v/>
      </c>
      <c r="AY265" s="209" t="str">
        <f>IFERROR(VLOOKUP(TableHandbook[[#This Row],[UDC]],TableSTRUMARTM[],7,FALSE),"")</f>
        <v/>
      </c>
      <c r="AZ265" s="209" t="str">
        <f>IFERROR(VLOOKUP(TableHandbook[[#This Row],[UDC]],TableSTRUMATHB[],7,FALSE),"")</f>
        <v/>
      </c>
      <c r="BA265" s="209" t="str">
        <f>IFERROR(VLOOKUP(TableHandbook[[#This Row],[UDC]],TableSTRUMATHM[],7,FALSE),"")</f>
        <v/>
      </c>
      <c r="BB265" s="209" t="str">
        <f>IFERROR(VLOOKUP(TableHandbook[[#This Row],[UDC]],TableSTRUPARTB[],7,FALSE),"")</f>
        <v/>
      </c>
      <c r="BC265" s="209" t="str">
        <f>IFERROR(VLOOKUP(TableHandbook[[#This Row],[UDC]],TableSTRUPARTM[],7,FALSE),"")</f>
        <v/>
      </c>
      <c r="BD265" s="209" t="str">
        <f>IFERROR(VLOOKUP(TableHandbook[[#This Row],[UDC]],TableSTRUPOLB1[],7,FALSE),"")</f>
        <v/>
      </c>
      <c r="BE265" s="209" t="str">
        <f>IFERROR(VLOOKUP(TableHandbook[[#This Row],[UDC]],TableSTRUPSYCB[],7,FALSE),"")</f>
        <v/>
      </c>
      <c r="BF265" s="209" t="str">
        <f>IFERROR(VLOOKUP(TableHandbook[[#This Row],[UDC]],TableSTRUPSYCM[],7,FALSE),"")</f>
        <v/>
      </c>
      <c r="BG265" s="209" t="str">
        <f>IFERROR(VLOOKUP(TableHandbook[[#This Row],[UDC]],TableSTRUVARTB[],7,FALSE),"")</f>
        <v/>
      </c>
      <c r="BH265" s="209" t="str">
        <f>IFERROR(VLOOKUP(TableHandbook[[#This Row],[UDC]],TableSTRUVARTM[],7,FALSE),"")</f>
        <v/>
      </c>
    </row>
    <row r="266" spans="1:60" x14ac:dyDescent="0.25">
      <c r="A266" s="6" t="s">
        <v>193</v>
      </c>
      <c r="B266" s="7"/>
      <c r="C266" s="7"/>
      <c r="D266" s="207" t="s">
        <v>1080</v>
      </c>
      <c r="E266" s="7"/>
      <c r="F266" s="84" t="s">
        <v>590</v>
      </c>
      <c r="G266" s="75" t="str">
        <f>IFERROR(IF(VLOOKUP(TableHandbook[[#This Row],[UDC]],TableAvailabilities[],2,FALSE)&gt;0,"Y",""),"")</f>
        <v/>
      </c>
      <c r="H266" s="75" t="str">
        <f>IFERROR(IF(VLOOKUP(TableHandbook[[#This Row],[UDC]],TableAvailabilities[],3,FALSE)&gt;0,"Y",""),"")</f>
        <v/>
      </c>
      <c r="I266" s="75" t="str">
        <f>IFERROR(IF(VLOOKUP(TableHandbook[[#This Row],[UDC]],TableAvailabilities[],4,FALSE)&gt;0,"Y",""),"")</f>
        <v/>
      </c>
      <c r="J266" s="75" t="str">
        <f>IFERROR(IF(VLOOKUP(TableHandbook[[#This Row],[UDC]],TableAvailabilities[],5,FALSE)&gt;0,"Y",""),"")</f>
        <v/>
      </c>
      <c r="K266" s="75" t="str">
        <f>IFERROR(IF(VLOOKUP(TableHandbook[[#This Row],[UDC]],TableAvailabilities[],6,FALSE)&gt;0,"Y",""),"")</f>
        <v/>
      </c>
      <c r="L266" s="75" t="str">
        <f>IFERROR(IF(VLOOKUP(TableHandbook[[#This Row],[UDC]],TableAvailabilities[],7,FALSE)&gt;0,"Y",""),"")</f>
        <v/>
      </c>
      <c r="M266" s="207" t="s">
        <v>1074</v>
      </c>
      <c r="N266" s="209" t="str">
        <f>IFERROR(VLOOKUP(TableHandbook[[#This Row],[UDC]],TableBEDUC[],7,FALSE),"")</f>
        <v/>
      </c>
      <c r="O266" s="209" t="str">
        <f>IFERROR(VLOOKUP(TableHandbook[[#This Row],[UDC]],TableBEDEC[],7,FALSE),"")</f>
        <v/>
      </c>
      <c r="P266" s="211" t="str">
        <f>IFERROR(VLOOKUP(TableHandbook[[#This Row],[UDC]],TableBEDPR[],7,FALSE),"")</f>
        <v/>
      </c>
      <c r="Q266" s="209" t="str">
        <f>IFERROR(VLOOKUP(TableHandbook[[#This Row],[UDC]],TableSTRUCATHL[],7,FALSE),"")</f>
        <v/>
      </c>
      <c r="R266" s="209" t="str">
        <f>IFERROR(VLOOKUP(TableHandbook[[#This Row],[UDC]],TableSTRUENGLL[],7,FALSE),"")</f>
        <v/>
      </c>
      <c r="S266" s="209" t="str">
        <f>IFERROR(VLOOKUP(TableHandbook[[#This Row],[UDC]],TableSTRUHLTPE[],7,FALSE),"")</f>
        <v/>
      </c>
      <c r="T266" s="209" t="str">
        <f>IFERROR(VLOOKUP(TableHandbook[[#This Row],[UDC]],TableSTRUISTEM[],7,FALSE),"")</f>
        <v/>
      </c>
      <c r="U266" s="209" t="str">
        <f>IFERROR(VLOOKUP(TableHandbook[[#This Row],[UDC]],TableSTRULITNU[],7,FALSE),"")</f>
        <v/>
      </c>
      <c r="V266" s="209" t="str">
        <f>IFERROR(VLOOKUP(TableHandbook[[#This Row],[UDC]],TableSTRUTECHS[],7,FALSE),"")</f>
        <v/>
      </c>
      <c r="W266" s="211" t="str">
        <f>IFERROR(VLOOKUP(TableHandbook[[#This Row],[UDC]],TableBEDSC[],7,FALSE),"")</f>
        <v/>
      </c>
      <c r="X266" s="211" t="str">
        <f>IFERROR(VLOOKUP(TableHandbook[[#This Row],[UDC]],TableMJRUARDR1[],7,FALSE),"")</f>
        <v/>
      </c>
      <c r="Y266" s="209" t="str">
        <f>IFERROR(VLOOKUP(TableHandbook[[#This Row],[UDC]],TableMJRUARME1[],7,FALSE),"")</f>
        <v/>
      </c>
      <c r="Z266" s="209" t="str">
        <f>IFERROR(VLOOKUP(TableHandbook[[#This Row],[UDC]],TableMJRUARVA1[],7,FALSE),"")</f>
        <v/>
      </c>
      <c r="AA266" s="209" t="str">
        <f>IFERROR(VLOOKUP(TableHandbook[[#This Row],[UDC]],TableMJRUENGL1[],7,FALSE),"")</f>
        <v/>
      </c>
      <c r="AB266" s="209" t="str">
        <f>IFERROR(VLOOKUP(TableHandbook[[#This Row],[UDC]],TableMJRUHSEC1[],7,FALSE),"")</f>
        <v/>
      </c>
      <c r="AC266" s="209" t="str">
        <f>IFERROR(VLOOKUP(TableHandbook[[#This Row],[UDC]],TableMJRUHSGE1[],7,FALSE),"")</f>
        <v/>
      </c>
      <c r="AD266" s="209" t="str">
        <f>IFERROR(VLOOKUP(TableHandbook[[#This Row],[UDC]],TableMJRUHSHI1[],7,FALSE),"")</f>
        <v/>
      </c>
      <c r="AE266" s="209" t="str">
        <f>IFERROR(VLOOKUP(TableHandbook[[#This Row],[UDC]],TableMJRUHSPL1[],7,FALSE),"")</f>
        <v/>
      </c>
      <c r="AF266" s="209" t="str">
        <f>IFERROR(VLOOKUP(TableHandbook[[#This Row],[UDC]],TableMJRUMATH1[],7,FALSE),"")</f>
        <v/>
      </c>
      <c r="AG266" s="209" t="str">
        <f>IFERROR(VLOOKUP(TableHandbook[[#This Row],[UDC]],TableMJRUPHYSE[],7,FALSE),"")</f>
        <v/>
      </c>
      <c r="AH266" s="209" t="str">
        <f>IFERROR(VLOOKUP(TableHandbook[[#This Row],[UDC]],TableMJRUSCBI1[],7,FALSE),"")</f>
        <v/>
      </c>
      <c r="AI266" s="209" t="str">
        <f>IFERROR(VLOOKUP(TableHandbook[[#This Row],[UDC]],TableMJRUSCCH1[],7,FALSE),"")</f>
        <v/>
      </c>
      <c r="AJ266" s="209" t="str">
        <f>IFERROR(VLOOKUP(TableHandbook[[#This Row],[UDC]],TableMJRUSCHB1[],7,FALSE),"")</f>
        <v/>
      </c>
      <c r="AK266" s="209" t="str">
        <f>IFERROR(VLOOKUP(TableHandbook[[#This Row],[UDC]],TableMJRUSCPH1[],7,FALSE),"")</f>
        <v/>
      </c>
      <c r="AL266" s="209" t="str">
        <f>IFERROR(VLOOKUP(TableHandbook[[#This Row],[UDC]],TableMJRUSCPS1[],7,FALSE),"")</f>
        <v/>
      </c>
      <c r="AM266" s="211" t="str">
        <f>IFERROR(VLOOKUP(TableHandbook[[#This Row],[UDC]],TableSTRUBIOLB[],7,FALSE),"")</f>
        <v/>
      </c>
      <c r="AN266" s="209" t="str">
        <f>IFERROR(VLOOKUP(TableHandbook[[#This Row],[UDC]],TableSTRUBSCIM[],7,FALSE),"")</f>
        <v/>
      </c>
      <c r="AO266" s="209" t="str">
        <f>IFERROR(VLOOKUP(TableHandbook[[#This Row],[UDC]],TableSTRUCHEMB[],7,FALSE),"")</f>
        <v/>
      </c>
      <c r="AP266" s="209" t="str">
        <f>IFERROR(VLOOKUP(TableHandbook[[#This Row],[UDC]],TableSTRUECOB1[],7,FALSE),"")</f>
        <v/>
      </c>
      <c r="AQ266" s="209" t="str">
        <f>IFERROR(VLOOKUP(TableHandbook[[#This Row],[UDC]],TableSTRUENGLB[],7,FALSE),"")</f>
        <v/>
      </c>
      <c r="AR266" s="209" t="str">
        <f>IFERROR(VLOOKUP(TableHandbook[[#This Row],[UDC]],TableSTRUENGLM[],7,FALSE),"")</f>
        <v/>
      </c>
      <c r="AS266" s="209" t="str">
        <f>IFERROR(VLOOKUP(TableHandbook[[#This Row],[UDC]],TableSTRUGEOB1[],7,FALSE),"")</f>
        <v/>
      </c>
      <c r="AT266" s="209" t="str">
        <f>IFERROR(VLOOKUP(TableHandbook[[#This Row],[UDC]],TableSTRUGEOGM[],7,FALSE),"")</f>
        <v/>
      </c>
      <c r="AU266" s="209" t="str">
        <f>IFERROR(VLOOKUP(TableHandbook[[#This Row],[UDC]],TableSTRUHISB1[],7,FALSE),"")</f>
        <v/>
      </c>
      <c r="AV266" s="209" t="str">
        <f>IFERROR(VLOOKUP(TableHandbook[[#This Row],[UDC]],TableSTRUHISTM[],7,FALSE),"")</f>
        <v/>
      </c>
      <c r="AW266" s="209" t="str">
        <f>IFERROR(VLOOKUP(TableHandbook[[#This Row],[UDC]],TableSTRUHPEB1[],7,FALSE),"")</f>
        <v/>
      </c>
      <c r="AX266" s="209" t="str">
        <f>IFERROR(VLOOKUP(TableHandbook[[#This Row],[UDC]],TableSTRUHUMBB[],7,FALSE),"")</f>
        <v/>
      </c>
      <c r="AY266" s="209" t="str">
        <f>IFERROR(VLOOKUP(TableHandbook[[#This Row],[UDC]],TableSTRUMARTM[],7,FALSE),"")</f>
        <v/>
      </c>
      <c r="AZ266" s="209" t="str">
        <f>IFERROR(VLOOKUP(TableHandbook[[#This Row],[UDC]],TableSTRUMATHB[],7,FALSE),"")</f>
        <v/>
      </c>
      <c r="BA266" s="209" t="str">
        <f>IFERROR(VLOOKUP(TableHandbook[[#This Row],[UDC]],TableSTRUMATHM[],7,FALSE),"")</f>
        <v/>
      </c>
      <c r="BB266" s="209" t="str">
        <f>IFERROR(VLOOKUP(TableHandbook[[#This Row],[UDC]],TableSTRUPARTB[],7,FALSE),"")</f>
        <v/>
      </c>
      <c r="BC266" s="209" t="str">
        <f>IFERROR(VLOOKUP(TableHandbook[[#This Row],[UDC]],TableSTRUPARTM[],7,FALSE),"")</f>
        <v/>
      </c>
      <c r="BD266" s="209" t="str">
        <f>IFERROR(VLOOKUP(TableHandbook[[#This Row],[UDC]],TableSTRUPOLB1[],7,FALSE),"")</f>
        <v/>
      </c>
      <c r="BE266" s="209" t="str">
        <f>IFERROR(VLOOKUP(TableHandbook[[#This Row],[UDC]],TableSTRUPSYCB[],7,FALSE),"")</f>
        <v/>
      </c>
      <c r="BF266" s="209" t="str">
        <f>IFERROR(VLOOKUP(TableHandbook[[#This Row],[UDC]],TableSTRUPSYCM[],7,FALSE),"")</f>
        <v/>
      </c>
      <c r="BG266" s="209" t="str">
        <f>IFERROR(VLOOKUP(TableHandbook[[#This Row],[UDC]],TableSTRUVARTB[],7,FALSE),"")</f>
        <v/>
      </c>
      <c r="BH266" s="209" t="str">
        <f>IFERROR(VLOOKUP(TableHandbook[[#This Row],[UDC]],TableSTRUVARTM[],7,FALSE),"")</f>
        <v/>
      </c>
    </row>
    <row r="267" spans="1:60" x14ac:dyDescent="0.25">
      <c r="A267" s="296" t="s">
        <v>550</v>
      </c>
      <c r="B267" s="7">
        <v>0</v>
      </c>
      <c r="C267" s="7"/>
      <c r="D267" s="207" t="s">
        <v>1081</v>
      </c>
      <c r="E267" s="7">
        <v>25</v>
      </c>
      <c r="F267" s="84" t="s">
        <v>769</v>
      </c>
      <c r="G267" s="75" t="str">
        <f>IFERROR(IF(VLOOKUP(TableHandbook[[#This Row],[UDC]],TableAvailabilities[],2,FALSE)&gt;0,"Y",""),"")</f>
        <v/>
      </c>
      <c r="H267" s="75" t="str">
        <f>IFERROR(IF(VLOOKUP(TableHandbook[[#This Row],[UDC]],TableAvailabilities[],3,FALSE)&gt;0,"Y",""),"")</f>
        <v/>
      </c>
      <c r="I267" s="75" t="str">
        <f>IFERROR(IF(VLOOKUP(TableHandbook[[#This Row],[UDC]],TableAvailabilities[],4,FALSE)&gt;0,"Y",""),"")</f>
        <v/>
      </c>
      <c r="J267" s="75" t="str">
        <f>IFERROR(IF(VLOOKUP(TableHandbook[[#This Row],[UDC]],TableAvailabilities[],5,FALSE)&gt;0,"Y",""),"")</f>
        <v/>
      </c>
      <c r="K267" s="75" t="str">
        <f>IFERROR(IF(VLOOKUP(TableHandbook[[#This Row],[UDC]],TableAvailabilities[],6,FALSE)&gt;0,"Y",""),"")</f>
        <v/>
      </c>
      <c r="L267" s="75" t="str">
        <f>IFERROR(IF(VLOOKUP(TableHandbook[[#This Row],[UDC]],TableAvailabilities[],7,FALSE)&gt;0,"Y",""),"")</f>
        <v/>
      </c>
      <c r="M267" s="207"/>
      <c r="N267" s="209" t="str">
        <f>IFERROR(VLOOKUP(TableHandbook[[#This Row],[UDC]],TableBEDUC[],7,FALSE),"")</f>
        <v/>
      </c>
      <c r="O267" s="209" t="str">
        <f>IFERROR(VLOOKUP(TableHandbook[[#This Row],[UDC]],TableBEDEC[],7,FALSE),"")</f>
        <v/>
      </c>
      <c r="P267" s="211" t="str">
        <f>IFERROR(VLOOKUP(TableHandbook[[#This Row],[UDC]],TableBEDPR[],7,FALSE),"")</f>
        <v/>
      </c>
      <c r="Q267" s="209" t="str">
        <f>IFERROR(VLOOKUP(TableHandbook[[#This Row],[UDC]],TableSTRUCATHL[],7,FALSE),"")</f>
        <v/>
      </c>
      <c r="R267" s="209" t="str">
        <f>IFERROR(VLOOKUP(TableHandbook[[#This Row],[UDC]],TableSTRUENGLL[],7,FALSE),"")</f>
        <v/>
      </c>
      <c r="S267" s="209" t="str">
        <f>IFERROR(VLOOKUP(TableHandbook[[#This Row],[UDC]],TableSTRUHLTPE[],7,FALSE),"")</f>
        <v/>
      </c>
      <c r="T267" s="209" t="str">
        <f>IFERROR(VLOOKUP(TableHandbook[[#This Row],[UDC]],TableSTRUISTEM[],7,FALSE),"")</f>
        <v/>
      </c>
      <c r="U267" s="209" t="str">
        <f>IFERROR(VLOOKUP(TableHandbook[[#This Row],[UDC]],TableSTRULITNU[],7,FALSE),"")</f>
        <v/>
      </c>
      <c r="V267" s="209" t="str">
        <f>IFERROR(VLOOKUP(TableHandbook[[#This Row],[UDC]],TableSTRUTECHS[],7,FALSE),"")</f>
        <v/>
      </c>
      <c r="W267" s="211" t="str">
        <f>IFERROR(VLOOKUP(TableHandbook[[#This Row],[UDC]],TableBEDSC[],7,FALSE),"")</f>
        <v/>
      </c>
      <c r="X267" s="211" t="str">
        <f>IFERROR(VLOOKUP(TableHandbook[[#This Row],[UDC]],TableMJRUARDR1[],7,FALSE),"")</f>
        <v>Option</v>
      </c>
      <c r="Y267" s="209" t="str">
        <f>IFERROR(VLOOKUP(TableHandbook[[#This Row],[UDC]],TableMJRUARME1[],7,FALSE),"")</f>
        <v/>
      </c>
      <c r="Z267" s="209" t="str">
        <f>IFERROR(VLOOKUP(TableHandbook[[#This Row],[UDC]],TableMJRUARVA1[],7,FALSE),"")</f>
        <v/>
      </c>
      <c r="AA267" s="209" t="str">
        <f>IFERROR(VLOOKUP(TableHandbook[[#This Row],[UDC]],TableMJRUENGL1[],7,FALSE),"")</f>
        <v/>
      </c>
      <c r="AB267" s="209" t="str">
        <f>IFERROR(VLOOKUP(TableHandbook[[#This Row],[UDC]],TableMJRUHSEC1[],7,FALSE),"")</f>
        <v/>
      </c>
      <c r="AC267" s="209" t="str">
        <f>IFERROR(VLOOKUP(TableHandbook[[#This Row],[UDC]],TableMJRUHSGE1[],7,FALSE),"")</f>
        <v/>
      </c>
      <c r="AD267" s="209" t="str">
        <f>IFERROR(VLOOKUP(TableHandbook[[#This Row],[UDC]],TableMJRUHSHI1[],7,FALSE),"")</f>
        <v/>
      </c>
      <c r="AE267" s="209" t="str">
        <f>IFERROR(VLOOKUP(TableHandbook[[#This Row],[UDC]],TableMJRUHSPL1[],7,FALSE),"")</f>
        <v/>
      </c>
      <c r="AF267" s="209" t="str">
        <f>IFERROR(VLOOKUP(TableHandbook[[#This Row],[UDC]],TableMJRUMATH1[],7,FALSE),"")</f>
        <v/>
      </c>
      <c r="AG267" s="209" t="str">
        <f>IFERROR(VLOOKUP(TableHandbook[[#This Row],[UDC]],TableMJRUPHYSE[],7,FALSE),"")</f>
        <v/>
      </c>
      <c r="AH267" s="209" t="str">
        <f>IFERROR(VLOOKUP(TableHandbook[[#This Row],[UDC]],TableMJRUSCBI1[],7,FALSE),"")</f>
        <v/>
      </c>
      <c r="AI267" s="209" t="str">
        <f>IFERROR(VLOOKUP(TableHandbook[[#This Row],[UDC]],TableMJRUSCCH1[],7,FALSE),"")</f>
        <v/>
      </c>
      <c r="AJ267" s="209" t="str">
        <f>IFERROR(VLOOKUP(TableHandbook[[#This Row],[UDC]],TableMJRUSCHB1[],7,FALSE),"")</f>
        <v/>
      </c>
      <c r="AK267" s="209" t="str">
        <f>IFERROR(VLOOKUP(TableHandbook[[#This Row],[UDC]],TableMJRUSCPH1[],7,FALSE),"")</f>
        <v/>
      </c>
      <c r="AL267" s="209" t="str">
        <f>IFERROR(VLOOKUP(TableHandbook[[#This Row],[UDC]],TableMJRUSCPS1[],7,FALSE),"")</f>
        <v/>
      </c>
      <c r="AM267" s="211" t="str">
        <f>IFERROR(VLOOKUP(TableHandbook[[#This Row],[UDC]],TableSTRUBIOLB[],7,FALSE),"")</f>
        <v/>
      </c>
      <c r="AN267" s="209" t="str">
        <f>IFERROR(VLOOKUP(TableHandbook[[#This Row],[UDC]],TableSTRUBSCIM[],7,FALSE),"")</f>
        <v/>
      </c>
      <c r="AO267" s="209" t="str">
        <f>IFERROR(VLOOKUP(TableHandbook[[#This Row],[UDC]],TableSTRUCHEMB[],7,FALSE),"")</f>
        <v/>
      </c>
      <c r="AP267" s="209" t="str">
        <f>IFERROR(VLOOKUP(TableHandbook[[#This Row],[UDC]],TableSTRUECOB1[],7,FALSE),"")</f>
        <v/>
      </c>
      <c r="AQ267" s="209" t="str">
        <f>IFERROR(VLOOKUP(TableHandbook[[#This Row],[UDC]],TableSTRUENGLB[],7,FALSE),"")</f>
        <v/>
      </c>
      <c r="AR267" s="209" t="str">
        <f>IFERROR(VLOOKUP(TableHandbook[[#This Row],[UDC]],TableSTRUENGLM[],7,FALSE),"")</f>
        <v/>
      </c>
      <c r="AS267" s="209" t="str">
        <f>IFERROR(VLOOKUP(TableHandbook[[#This Row],[UDC]],TableSTRUGEOB1[],7,FALSE),"")</f>
        <v/>
      </c>
      <c r="AT267" s="209" t="str">
        <f>IFERROR(VLOOKUP(TableHandbook[[#This Row],[UDC]],TableSTRUGEOGM[],7,FALSE),"")</f>
        <v/>
      </c>
      <c r="AU267" s="209" t="str">
        <f>IFERROR(VLOOKUP(TableHandbook[[#This Row],[UDC]],TableSTRUHISB1[],7,FALSE),"")</f>
        <v/>
      </c>
      <c r="AV267" s="209" t="str">
        <f>IFERROR(VLOOKUP(TableHandbook[[#This Row],[UDC]],TableSTRUHISTM[],7,FALSE),"")</f>
        <v/>
      </c>
      <c r="AW267" s="209" t="str">
        <f>IFERROR(VLOOKUP(TableHandbook[[#This Row],[UDC]],TableSTRUHPEB1[],7,FALSE),"")</f>
        <v/>
      </c>
      <c r="AX267" s="209" t="str">
        <f>IFERROR(VLOOKUP(TableHandbook[[#This Row],[UDC]],TableSTRUHUMBB[],7,FALSE),"")</f>
        <v/>
      </c>
      <c r="AY267" s="209" t="str">
        <f>IFERROR(VLOOKUP(TableHandbook[[#This Row],[UDC]],TableSTRUMARTM[],7,FALSE),"")</f>
        <v/>
      </c>
      <c r="AZ267" s="209" t="str">
        <f>IFERROR(VLOOKUP(TableHandbook[[#This Row],[UDC]],TableSTRUMATHB[],7,FALSE),"")</f>
        <v/>
      </c>
      <c r="BA267" s="209" t="str">
        <f>IFERROR(VLOOKUP(TableHandbook[[#This Row],[UDC]],TableSTRUMATHM[],7,FALSE),"")</f>
        <v/>
      </c>
      <c r="BB267" s="209" t="str">
        <f>IFERROR(VLOOKUP(TableHandbook[[#This Row],[UDC]],TableSTRUPARTB[],7,FALSE),"")</f>
        <v/>
      </c>
      <c r="BC267" s="209" t="str">
        <f>IFERROR(VLOOKUP(TableHandbook[[#This Row],[UDC]],TableSTRUPARTM[],7,FALSE),"")</f>
        <v/>
      </c>
      <c r="BD267" s="209" t="str">
        <f>IFERROR(VLOOKUP(TableHandbook[[#This Row],[UDC]],TableSTRUPOLB1[],7,FALSE),"")</f>
        <v/>
      </c>
      <c r="BE267" s="209" t="str">
        <f>IFERROR(VLOOKUP(TableHandbook[[#This Row],[UDC]],TableSTRUPSYCB[],7,FALSE),"")</f>
        <v/>
      </c>
      <c r="BF267" s="209" t="str">
        <f>IFERROR(VLOOKUP(TableHandbook[[#This Row],[UDC]],TableSTRUPSYCM[],7,FALSE),"")</f>
        <v/>
      </c>
      <c r="BG267" s="209" t="str">
        <f>IFERROR(VLOOKUP(TableHandbook[[#This Row],[UDC]],TableSTRUVARTB[],7,FALSE),"")</f>
        <v/>
      </c>
      <c r="BH267" s="209" t="str">
        <f>IFERROR(VLOOKUP(TableHandbook[[#This Row],[UDC]],TableSTRUVARTM[],7,FALSE),"")</f>
        <v/>
      </c>
    </row>
    <row r="268" spans="1:60" x14ac:dyDescent="0.25">
      <c r="A268" s="296" t="s">
        <v>551</v>
      </c>
      <c r="B268" s="7">
        <v>0</v>
      </c>
      <c r="C268" s="7"/>
      <c r="D268" s="207" t="s">
        <v>1081</v>
      </c>
      <c r="E268" s="7">
        <v>25</v>
      </c>
      <c r="F268" s="84" t="s">
        <v>769</v>
      </c>
      <c r="G268" s="75" t="str">
        <f>IFERROR(IF(VLOOKUP(TableHandbook[[#This Row],[UDC]],TableAvailabilities[],2,FALSE)&gt;0,"Y",""),"")</f>
        <v/>
      </c>
      <c r="H268" s="75" t="str">
        <f>IFERROR(IF(VLOOKUP(TableHandbook[[#This Row],[UDC]],TableAvailabilities[],3,FALSE)&gt;0,"Y",""),"")</f>
        <v/>
      </c>
      <c r="I268" s="75" t="str">
        <f>IFERROR(IF(VLOOKUP(TableHandbook[[#This Row],[UDC]],TableAvailabilities[],4,FALSE)&gt;0,"Y",""),"")</f>
        <v/>
      </c>
      <c r="J268" s="75" t="str">
        <f>IFERROR(IF(VLOOKUP(TableHandbook[[#This Row],[UDC]],TableAvailabilities[],5,FALSE)&gt;0,"Y",""),"")</f>
        <v/>
      </c>
      <c r="K268" s="75" t="str">
        <f>IFERROR(IF(VLOOKUP(TableHandbook[[#This Row],[UDC]],TableAvailabilities[],6,FALSE)&gt;0,"Y",""),"")</f>
        <v/>
      </c>
      <c r="L268" s="75" t="str">
        <f>IFERROR(IF(VLOOKUP(TableHandbook[[#This Row],[UDC]],TableAvailabilities[],7,FALSE)&gt;0,"Y",""),"")</f>
        <v/>
      </c>
      <c r="M268" s="207"/>
      <c r="N268" s="209" t="str">
        <f>IFERROR(VLOOKUP(TableHandbook[[#This Row],[UDC]],TableBEDUC[],7,FALSE),"")</f>
        <v/>
      </c>
      <c r="O268" s="209" t="str">
        <f>IFERROR(VLOOKUP(TableHandbook[[#This Row],[UDC]],TableBEDEC[],7,FALSE),"")</f>
        <v/>
      </c>
      <c r="P268" s="211" t="str">
        <f>IFERROR(VLOOKUP(TableHandbook[[#This Row],[UDC]],TableBEDPR[],7,FALSE),"")</f>
        <v/>
      </c>
      <c r="Q268" s="209" t="str">
        <f>IFERROR(VLOOKUP(TableHandbook[[#This Row],[UDC]],TableSTRUCATHL[],7,FALSE),"")</f>
        <v/>
      </c>
      <c r="R268" s="209" t="str">
        <f>IFERROR(VLOOKUP(TableHandbook[[#This Row],[UDC]],TableSTRUENGLL[],7,FALSE),"")</f>
        <v/>
      </c>
      <c r="S268" s="209" t="str">
        <f>IFERROR(VLOOKUP(TableHandbook[[#This Row],[UDC]],TableSTRUHLTPE[],7,FALSE),"")</f>
        <v/>
      </c>
      <c r="T268" s="209" t="str">
        <f>IFERROR(VLOOKUP(TableHandbook[[#This Row],[UDC]],TableSTRUISTEM[],7,FALSE),"")</f>
        <v/>
      </c>
      <c r="U268" s="209" t="str">
        <f>IFERROR(VLOOKUP(TableHandbook[[#This Row],[UDC]],TableSTRULITNU[],7,FALSE),"")</f>
        <v/>
      </c>
      <c r="V268" s="209" t="str">
        <f>IFERROR(VLOOKUP(TableHandbook[[#This Row],[UDC]],TableSTRUTECHS[],7,FALSE),"")</f>
        <v/>
      </c>
      <c r="W268" s="211" t="str">
        <f>IFERROR(VLOOKUP(TableHandbook[[#This Row],[UDC]],TableBEDSC[],7,FALSE),"")</f>
        <v/>
      </c>
      <c r="X268" s="211" t="str">
        <f>IFERROR(VLOOKUP(TableHandbook[[#This Row],[UDC]],TableMJRUARDR1[],7,FALSE),"")</f>
        <v/>
      </c>
      <c r="Y268" s="209" t="str">
        <f>IFERROR(VLOOKUP(TableHandbook[[#This Row],[UDC]],TableMJRUARME1[],7,FALSE),"")</f>
        <v>Option</v>
      </c>
      <c r="Z268" s="209" t="str">
        <f>IFERROR(VLOOKUP(TableHandbook[[#This Row],[UDC]],TableMJRUARVA1[],7,FALSE),"")</f>
        <v/>
      </c>
      <c r="AA268" s="209" t="str">
        <f>IFERROR(VLOOKUP(TableHandbook[[#This Row],[UDC]],TableMJRUENGL1[],7,FALSE),"")</f>
        <v/>
      </c>
      <c r="AB268" s="209" t="str">
        <f>IFERROR(VLOOKUP(TableHandbook[[#This Row],[UDC]],TableMJRUHSEC1[],7,FALSE),"")</f>
        <v/>
      </c>
      <c r="AC268" s="209" t="str">
        <f>IFERROR(VLOOKUP(TableHandbook[[#This Row],[UDC]],TableMJRUHSGE1[],7,FALSE),"")</f>
        <v/>
      </c>
      <c r="AD268" s="209" t="str">
        <f>IFERROR(VLOOKUP(TableHandbook[[#This Row],[UDC]],TableMJRUHSHI1[],7,FALSE),"")</f>
        <v/>
      </c>
      <c r="AE268" s="209" t="str">
        <f>IFERROR(VLOOKUP(TableHandbook[[#This Row],[UDC]],TableMJRUHSPL1[],7,FALSE),"")</f>
        <v/>
      </c>
      <c r="AF268" s="209" t="str">
        <f>IFERROR(VLOOKUP(TableHandbook[[#This Row],[UDC]],TableMJRUMATH1[],7,FALSE),"")</f>
        <v/>
      </c>
      <c r="AG268" s="209" t="str">
        <f>IFERROR(VLOOKUP(TableHandbook[[#This Row],[UDC]],TableMJRUPHYSE[],7,FALSE),"")</f>
        <v/>
      </c>
      <c r="AH268" s="209" t="str">
        <f>IFERROR(VLOOKUP(TableHandbook[[#This Row],[UDC]],TableMJRUSCBI1[],7,FALSE),"")</f>
        <v/>
      </c>
      <c r="AI268" s="209" t="str">
        <f>IFERROR(VLOOKUP(TableHandbook[[#This Row],[UDC]],TableMJRUSCCH1[],7,FALSE),"")</f>
        <v/>
      </c>
      <c r="AJ268" s="209" t="str">
        <f>IFERROR(VLOOKUP(TableHandbook[[#This Row],[UDC]],TableMJRUSCHB1[],7,FALSE),"")</f>
        <v/>
      </c>
      <c r="AK268" s="209" t="str">
        <f>IFERROR(VLOOKUP(TableHandbook[[#This Row],[UDC]],TableMJRUSCPH1[],7,FALSE),"")</f>
        <v/>
      </c>
      <c r="AL268" s="209" t="str">
        <f>IFERROR(VLOOKUP(TableHandbook[[#This Row],[UDC]],TableMJRUSCPS1[],7,FALSE),"")</f>
        <v/>
      </c>
      <c r="AM268" s="211" t="str">
        <f>IFERROR(VLOOKUP(TableHandbook[[#This Row],[UDC]],TableSTRUBIOLB[],7,FALSE),"")</f>
        <v/>
      </c>
      <c r="AN268" s="209" t="str">
        <f>IFERROR(VLOOKUP(TableHandbook[[#This Row],[UDC]],TableSTRUBSCIM[],7,FALSE),"")</f>
        <v/>
      </c>
      <c r="AO268" s="209" t="str">
        <f>IFERROR(VLOOKUP(TableHandbook[[#This Row],[UDC]],TableSTRUCHEMB[],7,FALSE),"")</f>
        <v/>
      </c>
      <c r="AP268" s="209" t="str">
        <f>IFERROR(VLOOKUP(TableHandbook[[#This Row],[UDC]],TableSTRUECOB1[],7,FALSE),"")</f>
        <v/>
      </c>
      <c r="AQ268" s="209" t="str">
        <f>IFERROR(VLOOKUP(TableHandbook[[#This Row],[UDC]],TableSTRUENGLB[],7,FALSE),"")</f>
        <v/>
      </c>
      <c r="AR268" s="209" t="str">
        <f>IFERROR(VLOOKUP(TableHandbook[[#This Row],[UDC]],TableSTRUENGLM[],7,FALSE),"")</f>
        <v/>
      </c>
      <c r="AS268" s="209" t="str">
        <f>IFERROR(VLOOKUP(TableHandbook[[#This Row],[UDC]],TableSTRUGEOB1[],7,FALSE),"")</f>
        <v/>
      </c>
      <c r="AT268" s="209" t="str">
        <f>IFERROR(VLOOKUP(TableHandbook[[#This Row],[UDC]],TableSTRUGEOGM[],7,FALSE),"")</f>
        <v/>
      </c>
      <c r="AU268" s="209" t="str">
        <f>IFERROR(VLOOKUP(TableHandbook[[#This Row],[UDC]],TableSTRUHISB1[],7,FALSE),"")</f>
        <v/>
      </c>
      <c r="AV268" s="209" t="str">
        <f>IFERROR(VLOOKUP(TableHandbook[[#This Row],[UDC]],TableSTRUHISTM[],7,FALSE),"")</f>
        <v/>
      </c>
      <c r="AW268" s="209" t="str">
        <f>IFERROR(VLOOKUP(TableHandbook[[#This Row],[UDC]],TableSTRUHPEB1[],7,FALSE),"")</f>
        <v/>
      </c>
      <c r="AX268" s="209" t="str">
        <f>IFERROR(VLOOKUP(TableHandbook[[#This Row],[UDC]],TableSTRUHUMBB[],7,FALSE),"")</f>
        <v/>
      </c>
      <c r="AY268" s="209" t="str">
        <f>IFERROR(VLOOKUP(TableHandbook[[#This Row],[UDC]],TableSTRUMARTM[],7,FALSE),"")</f>
        <v/>
      </c>
      <c r="AZ268" s="209" t="str">
        <f>IFERROR(VLOOKUP(TableHandbook[[#This Row],[UDC]],TableSTRUMATHB[],7,FALSE),"")</f>
        <v/>
      </c>
      <c r="BA268" s="209" t="str">
        <f>IFERROR(VLOOKUP(TableHandbook[[#This Row],[UDC]],TableSTRUMATHM[],7,FALSE),"")</f>
        <v/>
      </c>
      <c r="BB268" s="209" t="str">
        <f>IFERROR(VLOOKUP(TableHandbook[[#This Row],[UDC]],TableSTRUPARTB[],7,FALSE),"")</f>
        <v/>
      </c>
      <c r="BC268" s="209" t="str">
        <f>IFERROR(VLOOKUP(TableHandbook[[#This Row],[UDC]],TableSTRUPARTM[],7,FALSE),"")</f>
        <v/>
      </c>
      <c r="BD268" s="209" t="str">
        <f>IFERROR(VLOOKUP(TableHandbook[[#This Row],[UDC]],TableSTRUPOLB1[],7,FALSE),"")</f>
        <v/>
      </c>
      <c r="BE268" s="209" t="str">
        <f>IFERROR(VLOOKUP(TableHandbook[[#This Row],[UDC]],TableSTRUPSYCB[],7,FALSE),"")</f>
        <v/>
      </c>
      <c r="BF268" s="209" t="str">
        <f>IFERROR(VLOOKUP(TableHandbook[[#This Row],[UDC]],TableSTRUPSYCM[],7,FALSE),"")</f>
        <v/>
      </c>
      <c r="BG268" s="209" t="str">
        <f>IFERROR(VLOOKUP(TableHandbook[[#This Row],[UDC]],TableSTRUVARTB[],7,FALSE),"")</f>
        <v/>
      </c>
      <c r="BH268" s="209" t="str">
        <f>IFERROR(VLOOKUP(TableHandbook[[#This Row],[UDC]],TableSTRUVARTM[],7,FALSE),"")</f>
        <v/>
      </c>
    </row>
    <row r="269" spans="1:60" x14ac:dyDescent="0.25">
      <c r="A269" s="296" t="s">
        <v>523</v>
      </c>
      <c r="B269" s="7">
        <v>0</v>
      </c>
      <c r="C269" s="7"/>
      <c r="D269" s="207" t="s">
        <v>1081</v>
      </c>
      <c r="E269" s="7">
        <v>25</v>
      </c>
      <c r="F269" s="84" t="s">
        <v>769</v>
      </c>
      <c r="G269" s="75" t="str">
        <f>IFERROR(IF(VLOOKUP(TableHandbook[[#This Row],[UDC]],TableAvailabilities[],2,FALSE)&gt;0,"Y",""),"")</f>
        <v/>
      </c>
      <c r="H269" s="75" t="str">
        <f>IFERROR(IF(VLOOKUP(TableHandbook[[#This Row],[UDC]],TableAvailabilities[],3,FALSE)&gt;0,"Y",""),"")</f>
        <v/>
      </c>
      <c r="I269" s="75" t="str">
        <f>IFERROR(IF(VLOOKUP(TableHandbook[[#This Row],[UDC]],TableAvailabilities[],4,FALSE)&gt;0,"Y",""),"")</f>
        <v/>
      </c>
      <c r="J269" s="75" t="str">
        <f>IFERROR(IF(VLOOKUP(TableHandbook[[#This Row],[UDC]],TableAvailabilities[],5,FALSE)&gt;0,"Y",""),"")</f>
        <v/>
      </c>
      <c r="K269" s="75" t="str">
        <f>IFERROR(IF(VLOOKUP(TableHandbook[[#This Row],[UDC]],TableAvailabilities[],6,FALSE)&gt;0,"Y",""),"")</f>
        <v/>
      </c>
      <c r="L269" s="75" t="str">
        <f>IFERROR(IF(VLOOKUP(TableHandbook[[#This Row],[UDC]],TableAvailabilities[],7,FALSE)&gt;0,"Y",""),"")</f>
        <v/>
      </c>
      <c r="M269" s="207"/>
      <c r="N269" s="209" t="str">
        <f>IFERROR(VLOOKUP(TableHandbook[[#This Row],[UDC]],TableBEDUC[],7,FALSE),"")</f>
        <v/>
      </c>
      <c r="O269" s="209" t="str">
        <f>IFERROR(VLOOKUP(TableHandbook[[#This Row],[UDC]],TableBEDEC[],7,FALSE),"")</f>
        <v/>
      </c>
      <c r="P269" s="211" t="str">
        <f>IFERROR(VLOOKUP(TableHandbook[[#This Row],[UDC]],TableBEDPR[],7,FALSE),"")</f>
        <v/>
      </c>
      <c r="Q269" s="209" t="str">
        <f>IFERROR(VLOOKUP(TableHandbook[[#This Row],[UDC]],TableSTRUCATHL[],7,FALSE),"")</f>
        <v/>
      </c>
      <c r="R269" s="209" t="str">
        <f>IFERROR(VLOOKUP(TableHandbook[[#This Row],[UDC]],TableSTRUENGLL[],7,FALSE),"")</f>
        <v/>
      </c>
      <c r="S269" s="209" t="str">
        <f>IFERROR(VLOOKUP(TableHandbook[[#This Row],[UDC]],TableSTRUHLTPE[],7,FALSE),"")</f>
        <v/>
      </c>
      <c r="T269" s="209" t="str">
        <f>IFERROR(VLOOKUP(TableHandbook[[#This Row],[UDC]],TableSTRUISTEM[],7,FALSE),"")</f>
        <v/>
      </c>
      <c r="U269" s="209" t="str">
        <f>IFERROR(VLOOKUP(TableHandbook[[#This Row],[UDC]],TableSTRULITNU[],7,FALSE),"")</f>
        <v/>
      </c>
      <c r="V269" s="209" t="str">
        <f>IFERROR(VLOOKUP(TableHandbook[[#This Row],[UDC]],TableSTRUTECHS[],7,FALSE),"")</f>
        <v/>
      </c>
      <c r="W269" s="211" t="str">
        <f>IFERROR(VLOOKUP(TableHandbook[[#This Row],[UDC]],TableBEDSC[],7,FALSE),"")</f>
        <v/>
      </c>
      <c r="X269" s="211" t="str">
        <f>IFERROR(VLOOKUP(TableHandbook[[#This Row],[UDC]],TableMJRUARDR1[],7,FALSE),"")</f>
        <v/>
      </c>
      <c r="Y269" s="209" t="str">
        <f>IFERROR(VLOOKUP(TableHandbook[[#This Row],[UDC]],TableMJRUARME1[],7,FALSE),"")</f>
        <v/>
      </c>
      <c r="Z269" s="209" t="str">
        <f>IFERROR(VLOOKUP(TableHandbook[[#This Row],[UDC]],TableMJRUARVA1[],7,FALSE),"")</f>
        <v>Option</v>
      </c>
      <c r="AA269" s="209" t="str">
        <f>IFERROR(VLOOKUP(TableHandbook[[#This Row],[UDC]],TableMJRUENGL1[],7,FALSE),"")</f>
        <v/>
      </c>
      <c r="AB269" s="209" t="str">
        <f>IFERROR(VLOOKUP(TableHandbook[[#This Row],[UDC]],TableMJRUHSEC1[],7,FALSE),"")</f>
        <v/>
      </c>
      <c r="AC269" s="209" t="str">
        <f>IFERROR(VLOOKUP(TableHandbook[[#This Row],[UDC]],TableMJRUHSGE1[],7,FALSE),"")</f>
        <v/>
      </c>
      <c r="AD269" s="209" t="str">
        <f>IFERROR(VLOOKUP(TableHandbook[[#This Row],[UDC]],TableMJRUHSHI1[],7,FALSE),"")</f>
        <v/>
      </c>
      <c r="AE269" s="209" t="str">
        <f>IFERROR(VLOOKUP(TableHandbook[[#This Row],[UDC]],TableMJRUHSPL1[],7,FALSE),"")</f>
        <v/>
      </c>
      <c r="AF269" s="209" t="str">
        <f>IFERROR(VLOOKUP(TableHandbook[[#This Row],[UDC]],TableMJRUMATH1[],7,FALSE),"")</f>
        <v/>
      </c>
      <c r="AG269" s="209" t="str">
        <f>IFERROR(VLOOKUP(TableHandbook[[#This Row],[UDC]],TableMJRUPHYSE[],7,FALSE),"")</f>
        <v/>
      </c>
      <c r="AH269" s="209" t="str">
        <f>IFERROR(VLOOKUP(TableHandbook[[#This Row],[UDC]],TableMJRUSCBI1[],7,FALSE),"")</f>
        <v/>
      </c>
      <c r="AI269" s="209" t="str">
        <f>IFERROR(VLOOKUP(TableHandbook[[#This Row],[UDC]],TableMJRUSCCH1[],7,FALSE),"")</f>
        <v/>
      </c>
      <c r="AJ269" s="209" t="str">
        <f>IFERROR(VLOOKUP(TableHandbook[[#This Row],[UDC]],TableMJRUSCHB1[],7,FALSE),"")</f>
        <v/>
      </c>
      <c r="AK269" s="209" t="str">
        <f>IFERROR(VLOOKUP(TableHandbook[[#This Row],[UDC]],TableMJRUSCPH1[],7,FALSE),"")</f>
        <v/>
      </c>
      <c r="AL269" s="209" t="str">
        <f>IFERROR(VLOOKUP(TableHandbook[[#This Row],[UDC]],TableMJRUSCPS1[],7,FALSE),"")</f>
        <v/>
      </c>
      <c r="AM269" s="211" t="str">
        <f>IFERROR(VLOOKUP(TableHandbook[[#This Row],[UDC]],TableSTRUBIOLB[],7,FALSE),"")</f>
        <v/>
      </c>
      <c r="AN269" s="209" t="str">
        <f>IFERROR(VLOOKUP(TableHandbook[[#This Row],[UDC]],TableSTRUBSCIM[],7,FALSE),"")</f>
        <v/>
      </c>
      <c r="AO269" s="209" t="str">
        <f>IFERROR(VLOOKUP(TableHandbook[[#This Row],[UDC]],TableSTRUCHEMB[],7,FALSE),"")</f>
        <v/>
      </c>
      <c r="AP269" s="209" t="str">
        <f>IFERROR(VLOOKUP(TableHandbook[[#This Row],[UDC]],TableSTRUECOB1[],7,FALSE),"")</f>
        <v/>
      </c>
      <c r="AQ269" s="209" t="str">
        <f>IFERROR(VLOOKUP(TableHandbook[[#This Row],[UDC]],TableSTRUENGLB[],7,FALSE),"")</f>
        <v/>
      </c>
      <c r="AR269" s="209" t="str">
        <f>IFERROR(VLOOKUP(TableHandbook[[#This Row],[UDC]],TableSTRUENGLM[],7,FALSE),"")</f>
        <v/>
      </c>
      <c r="AS269" s="209" t="str">
        <f>IFERROR(VLOOKUP(TableHandbook[[#This Row],[UDC]],TableSTRUGEOB1[],7,FALSE),"")</f>
        <v/>
      </c>
      <c r="AT269" s="209" t="str">
        <f>IFERROR(VLOOKUP(TableHandbook[[#This Row],[UDC]],TableSTRUGEOGM[],7,FALSE),"")</f>
        <v/>
      </c>
      <c r="AU269" s="209" t="str">
        <f>IFERROR(VLOOKUP(TableHandbook[[#This Row],[UDC]],TableSTRUHISB1[],7,FALSE),"")</f>
        <v/>
      </c>
      <c r="AV269" s="209" t="str">
        <f>IFERROR(VLOOKUP(TableHandbook[[#This Row],[UDC]],TableSTRUHISTM[],7,FALSE),"")</f>
        <v/>
      </c>
      <c r="AW269" s="209" t="str">
        <f>IFERROR(VLOOKUP(TableHandbook[[#This Row],[UDC]],TableSTRUHPEB1[],7,FALSE),"")</f>
        <v/>
      </c>
      <c r="AX269" s="209" t="str">
        <f>IFERROR(VLOOKUP(TableHandbook[[#This Row],[UDC]],TableSTRUHUMBB[],7,FALSE),"")</f>
        <v/>
      </c>
      <c r="AY269" s="209" t="str">
        <f>IFERROR(VLOOKUP(TableHandbook[[#This Row],[UDC]],TableSTRUMARTM[],7,FALSE),"")</f>
        <v/>
      </c>
      <c r="AZ269" s="209" t="str">
        <f>IFERROR(VLOOKUP(TableHandbook[[#This Row],[UDC]],TableSTRUMATHB[],7,FALSE),"")</f>
        <v/>
      </c>
      <c r="BA269" s="209" t="str">
        <f>IFERROR(VLOOKUP(TableHandbook[[#This Row],[UDC]],TableSTRUMATHM[],7,FALSE),"")</f>
        <v/>
      </c>
      <c r="BB269" s="209" t="str">
        <f>IFERROR(VLOOKUP(TableHandbook[[#This Row],[UDC]],TableSTRUPARTB[],7,FALSE),"")</f>
        <v/>
      </c>
      <c r="BC269" s="209" t="str">
        <f>IFERROR(VLOOKUP(TableHandbook[[#This Row],[UDC]],TableSTRUPARTM[],7,FALSE),"")</f>
        <v/>
      </c>
      <c r="BD269" s="209" t="str">
        <f>IFERROR(VLOOKUP(TableHandbook[[#This Row],[UDC]],TableSTRUPOLB1[],7,FALSE),"")</f>
        <v/>
      </c>
      <c r="BE269" s="209" t="str">
        <f>IFERROR(VLOOKUP(TableHandbook[[#This Row],[UDC]],TableSTRUPSYCB[],7,FALSE),"")</f>
        <v/>
      </c>
      <c r="BF269" s="209" t="str">
        <f>IFERROR(VLOOKUP(TableHandbook[[#This Row],[UDC]],TableSTRUPSYCM[],7,FALSE),"")</f>
        <v/>
      </c>
      <c r="BG269" s="209" t="str">
        <f>IFERROR(VLOOKUP(TableHandbook[[#This Row],[UDC]],TableSTRUVARTB[],7,FALSE),"")</f>
        <v/>
      </c>
      <c r="BH269" s="209" t="str">
        <f>IFERROR(VLOOKUP(TableHandbook[[#This Row],[UDC]],TableSTRUVARTM[],7,FALSE),"")</f>
        <v/>
      </c>
    </row>
    <row r="270" spans="1:60" x14ac:dyDescent="0.25">
      <c r="A270" s="6" t="s">
        <v>1082</v>
      </c>
      <c r="B270" s="7"/>
      <c r="C270" s="7"/>
      <c r="D270" s="207" t="s">
        <v>1083</v>
      </c>
      <c r="E270" s="7"/>
      <c r="F270" s="84" t="s">
        <v>590</v>
      </c>
      <c r="G270" s="75" t="str">
        <f>IFERROR(IF(VLOOKUP(TableHandbook[[#This Row],[UDC]],TableAvailabilities[],2,FALSE)&gt;0,"Y",""),"")</f>
        <v/>
      </c>
      <c r="H270" s="75" t="str">
        <f>IFERROR(IF(VLOOKUP(TableHandbook[[#This Row],[UDC]],TableAvailabilities[],3,FALSE)&gt;0,"Y",""),"")</f>
        <v/>
      </c>
      <c r="I270" s="75" t="str">
        <f>IFERROR(IF(VLOOKUP(TableHandbook[[#This Row],[UDC]],TableAvailabilities[],4,FALSE)&gt;0,"Y",""),"")</f>
        <v/>
      </c>
      <c r="J270" s="75" t="str">
        <f>IFERROR(IF(VLOOKUP(TableHandbook[[#This Row],[UDC]],TableAvailabilities[],5,FALSE)&gt;0,"Y",""),"")</f>
        <v/>
      </c>
      <c r="K270" s="75" t="str">
        <f>IFERROR(IF(VLOOKUP(TableHandbook[[#This Row],[UDC]],TableAvailabilities[],6,FALSE)&gt;0,"Y",""),"")</f>
        <v/>
      </c>
      <c r="L270" s="75" t="str">
        <f>IFERROR(IF(VLOOKUP(TableHandbook[[#This Row],[UDC]],TableAvailabilities[],7,FALSE)&gt;0,"Y",""),"")</f>
        <v/>
      </c>
      <c r="M270" s="207"/>
      <c r="N270" s="209" t="str">
        <f>IFERROR(VLOOKUP(TableHandbook[[#This Row],[UDC]],TableBEDUC[],7,FALSE),"")</f>
        <v/>
      </c>
      <c r="O270" s="209" t="str">
        <f>IFERROR(VLOOKUP(TableHandbook[[#This Row],[UDC]],TableBEDEC[],7,FALSE),"")</f>
        <v/>
      </c>
      <c r="P270" s="211" t="str">
        <f>IFERROR(VLOOKUP(TableHandbook[[#This Row],[UDC]],TableBEDPR[],7,FALSE),"")</f>
        <v/>
      </c>
      <c r="Q270" s="209" t="str">
        <f>IFERROR(VLOOKUP(TableHandbook[[#This Row],[UDC]],TableSTRUCATHL[],7,FALSE),"")</f>
        <v/>
      </c>
      <c r="R270" s="209" t="str">
        <f>IFERROR(VLOOKUP(TableHandbook[[#This Row],[UDC]],TableSTRUENGLL[],7,FALSE),"")</f>
        <v/>
      </c>
      <c r="S270" s="209" t="str">
        <f>IFERROR(VLOOKUP(TableHandbook[[#This Row],[UDC]],TableSTRUHLTPE[],7,FALSE),"")</f>
        <v/>
      </c>
      <c r="T270" s="209" t="str">
        <f>IFERROR(VLOOKUP(TableHandbook[[#This Row],[UDC]],TableSTRUISTEM[],7,FALSE),"")</f>
        <v/>
      </c>
      <c r="U270" s="209" t="str">
        <f>IFERROR(VLOOKUP(TableHandbook[[#This Row],[UDC]],TableSTRULITNU[],7,FALSE),"")</f>
        <v/>
      </c>
      <c r="V270" s="209" t="str">
        <f>IFERROR(VLOOKUP(TableHandbook[[#This Row],[UDC]],TableSTRUTECHS[],7,FALSE),"")</f>
        <v/>
      </c>
      <c r="W270" s="211" t="str">
        <f>IFERROR(VLOOKUP(TableHandbook[[#This Row],[UDC]],TableBEDSC[],7,FALSE),"")</f>
        <v/>
      </c>
      <c r="X270" s="211" t="str">
        <f>IFERROR(VLOOKUP(TableHandbook[[#This Row],[UDC]],TableMJRUARDR1[],7,FALSE),"")</f>
        <v/>
      </c>
      <c r="Y270" s="209" t="str">
        <f>IFERROR(VLOOKUP(TableHandbook[[#This Row],[UDC]],TableMJRUARME1[],7,FALSE),"")</f>
        <v/>
      </c>
      <c r="Z270" s="209" t="str">
        <f>IFERROR(VLOOKUP(TableHandbook[[#This Row],[UDC]],TableMJRUARVA1[],7,FALSE),"")</f>
        <v/>
      </c>
      <c r="AA270" s="209" t="str">
        <f>IFERROR(VLOOKUP(TableHandbook[[#This Row],[UDC]],TableMJRUENGL1[],7,FALSE),"")</f>
        <v/>
      </c>
      <c r="AB270" s="209" t="str">
        <f>IFERROR(VLOOKUP(TableHandbook[[#This Row],[UDC]],TableMJRUHSEC1[],7,FALSE),"")</f>
        <v/>
      </c>
      <c r="AC270" s="209" t="str">
        <f>IFERROR(VLOOKUP(TableHandbook[[#This Row],[UDC]],TableMJRUHSGE1[],7,FALSE),"")</f>
        <v/>
      </c>
      <c r="AD270" s="209" t="str">
        <f>IFERROR(VLOOKUP(TableHandbook[[#This Row],[UDC]],TableMJRUHSHI1[],7,FALSE),"")</f>
        <v/>
      </c>
      <c r="AE270" s="209" t="str">
        <f>IFERROR(VLOOKUP(TableHandbook[[#This Row],[UDC]],TableMJRUHSPL1[],7,FALSE),"")</f>
        <v/>
      </c>
      <c r="AF270" s="209" t="str">
        <f>IFERROR(VLOOKUP(TableHandbook[[#This Row],[UDC]],TableMJRUMATH1[],7,FALSE),"")</f>
        <v/>
      </c>
      <c r="AG270" s="209" t="str">
        <f>IFERROR(VLOOKUP(TableHandbook[[#This Row],[UDC]],TableMJRUPHYSE[],7,FALSE),"")</f>
        <v/>
      </c>
      <c r="AH270" s="209" t="str">
        <f>IFERROR(VLOOKUP(TableHandbook[[#This Row],[UDC]],TableMJRUSCBI1[],7,FALSE),"")</f>
        <v/>
      </c>
      <c r="AI270" s="209" t="str">
        <f>IFERROR(VLOOKUP(TableHandbook[[#This Row],[UDC]],TableMJRUSCCH1[],7,FALSE),"")</f>
        <v/>
      </c>
      <c r="AJ270" s="209" t="str">
        <f>IFERROR(VLOOKUP(TableHandbook[[#This Row],[UDC]],TableMJRUSCHB1[],7,FALSE),"")</f>
        <v/>
      </c>
      <c r="AK270" s="209" t="str">
        <f>IFERROR(VLOOKUP(TableHandbook[[#This Row],[UDC]],TableMJRUSCPH1[],7,FALSE),"")</f>
        <v/>
      </c>
      <c r="AL270" s="209" t="str">
        <f>IFERROR(VLOOKUP(TableHandbook[[#This Row],[UDC]],TableMJRUSCPS1[],7,FALSE),"")</f>
        <v/>
      </c>
      <c r="AM270" s="211" t="str">
        <f>IFERROR(VLOOKUP(TableHandbook[[#This Row],[UDC]],TableSTRUBIOLB[],7,FALSE),"")</f>
        <v/>
      </c>
      <c r="AN270" s="209" t="str">
        <f>IFERROR(VLOOKUP(TableHandbook[[#This Row],[UDC]],TableSTRUBSCIM[],7,FALSE),"")</f>
        <v/>
      </c>
      <c r="AO270" s="209" t="str">
        <f>IFERROR(VLOOKUP(TableHandbook[[#This Row],[UDC]],TableSTRUCHEMB[],7,FALSE),"")</f>
        <v/>
      </c>
      <c r="AP270" s="209" t="str">
        <f>IFERROR(VLOOKUP(TableHandbook[[#This Row],[UDC]],TableSTRUECOB1[],7,FALSE),"")</f>
        <v/>
      </c>
      <c r="AQ270" s="209" t="str">
        <f>IFERROR(VLOOKUP(TableHandbook[[#This Row],[UDC]],TableSTRUENGLB[],7,FALSE),"")</f>
        <v/>
      </c>
      <c r="AR270" s="209" t="str">
        <f>IFERROR(VLOOKUP(TableHandbook[[#This Row],[UDC]],TableSTRUENGLM[],7,FALSE),"")</f>
        <v/>
      </c>
      <c r="AS270" s="209" t="str">
        <f>IFERROR(VLOOKUP(TableHandbook[[#This Row],[UDC]],TableSTRUGEOB1[],7,FALSE),"")</f>
        <v/>
      </c>
      <c r="AT270" s="209" t="str">
        <f>IFERROR(VLOOKUP(TableHandbook[[#This Row],[UDC]],TableSTRUGEOGM[],7,FALSE),"")</f>
        <v/>
      </c>
      <c r="AU270" s="209" t="str">
        <f>IFERROR(VLOOKUP(TableHandbook[[#This Row],[UDC]],TableSTRUHISB1[],7,FALSE),"")</f>
        <v/>
      </c>
      <c r="AV270" s="209" t="str">
        <f>IFERROR(VLOOKUP(TableHandbook[[#This Row],[UDC]],TableSTRUHISTM[],7,FALSE),"")</f>
        <v/>
      </c>
      <c r="AW270" s="209" t="str">
        <f>IFERROR(VLOOKUP(TableHandbook[[#This Row],[UDC]],TableSTRUHPEB1[],7,FALSE),"")</f>
        <v/>
      </c>
      <c r="AX270" s="209" t="str">
        <f>IFERROR(VLOOKUP(TableHandbook[[#This Row],[UDC]],TableSTRUHUMBB[],7,FALSE),"")</f>
        <v/>
      </c>
      <c r="AY270" s="209" t="str">
        <f>IFERROR(VLOOKUP(TableHandbook[[#This Row],[UDC]],TableSTRUMARTM[],7,FALSE),"")</f>
        <v/>
      </c>
      <c r="AZ270" s="209" t="str">
        <f>IFERROR(VLOOKUP(TableHandbook[[#This Row],[UDC]],TableSTRUMATHB[],7,FALSE),"")</f>
        <v/>
      </c>
      <c r="BA270" s="209" t="str">
        <f>IFERROR(VLOOKUP(TableHandbook[[#This Row],[UDC]],TableSTRUMATHM[],7,FALSE),"")</f>
        <v/>
      </c>
      <c r="BB270" s="209" t="str">
        <f>IFERROR(VLOOKUP(TableHandbook[[#This Row],[UDC]],TableSTRUPARTB[],7,FALSE),"")</f>
        <v/>
      </c>
      <c r="BC270" s="209" t="str">
        <f>IFERROR(VLOOKUP(TableHandbook[[#This Row],[UDC]],TableSTRUPARTM[],7,FALSE),"")</f>
        <v/>
      </c>
      <c r="BD270" s="209" t="str">
        <f>IFERROR(VLOOKUP(TableHandbook[[#This Row],[UDC]],TableSTRUPOLB1[],7,FALSE),"")</f>
        <v/>
      </c>
      <c r="BE270" s="209" t="str">
        <f>IFERROR(VLOOKUP(TableHandbook[[#This Row],[UDC]],TableSTRUPSYCB[],7,FALSE),"")</f>
        <v/>
      </c>
      <c r="BF270" s="209" t="str">
        <f>IFERROR(VLOOKUP(TableHandbook[[#This Row],[UDC]],TableSTRUPSYCM[],7,FALSE),"")</f>
        <v/>
      </c>
      <c r="BG270" s="209" t="str">
        <f>IFERROR(VLOOKUP(TableHandbook[[#This Row],[UDC]],TableSTRUVARTB[],7,FALSE),"")</f>
        <v/>
      </c>
      <c r="BH270" s="209" t="str">
        <f>IFERROR(VLOOKUP(TableHandbook[[#This Row],[UDC]],TableSTRUVARTM[],7,FALSE),"")</f>
        <v/>
      </c>
    </row>
    <row r="271" spans="1:60" x14ac:dyDescent="0.25">
      <c r="A271" s="6" t="s">
        <v>1084</v>
      </c>
      <c r="B271" s="7"/>
      <c r="C271" s="7"/>
      <c r="D271" s="207" t="s">
        <v>1085</v>
      </c>
      <c r="E271" s="7"/>
      <c r="F271" s="84" t="s">
        <v>590</v>
      </c>
      <c r="G271" s="75" t="str">
        <f>IFERROR(IF(VLOOKUP(TableHandbook[[#This Row],[UDC]],TableAvailabilities[],2,FALSE)&gt;0,"Y",""),"")</f>
        <v/>
      </c>
      <c r="H271" s="75" t="str">
        <f>IFERROR(IF(VLOOKUP(TableHandbook[[#This Row],[UDC]],TableAvailabilities[],3,FALSE)&gt;0,"Y",""),"")</f>
        <v/>
      </c>
      <c r="I271" s="75" t="str">
        <f>IFERROR(IF(VLOOKUP(TableHandbook[[#This Row],[UDC]],TableAvailabilities[],4,FALSE)&gt;0,"Y",""),"")</f>
        <v/>
      </c>
      <c r="J271" s="75" t="str">
        <f>IFERROR(IF(VLOOKUP(TableHandbook[[#This Row],[UDC]],TableAvailabilities[],5,FALSE)&gt;0,"Y",""),"")</f>
        <v/>
      </c>
      <c r="K271" s="75" t="str">
        <f>IFERROR(IF(VLOOKUP(TableHandbook[[#This Row],[UDC]],TableAvailabilities[],6,FALSE)&gt;0,"Y",""),"")</f>
        <v/>
      </c>
      <c r="L271" s="75" t="str">
        <f>IFERROR(IF(VLOOKUP(TableHandbook[[#This Row],[UDC]],TableAvailabilities[],7,FALSE)&gt;0,"Y",""),"")</f>
        <v/>
      </c>
      <c r="M271" s="207"/>
      <c r="N271" s="209" t="str">
        <f>IFERROR(VLOOKUP(TableHandbook[[#This Row],[UDC]],TableBEDUC[],7,FALSE),"")</f>
        <v/>
      </c>
      <c r="O271" s="209" t="str">
        <f>IFERROR(VLOOKUP(TableHandbook[[#This Row],[UDC]],TableBEDEC[],7,FALSE),"")</f>
        <v/>
      </c>
      <c r="P271" s="211" t="str">
        <f>IFERROR(VLOOKUP(TableHandbook[[#This Row],[UDC]],TableBEDPR[],7,FALSE),"")</f>
        <v/>
      </c>
      <c r="Q271" s="209" t="str">
        <f>IFERROR(VLOOKUP(TableHandbook[[#This Row],[UDC]],TableSTRUCATHL[],7,FALSE),"")</f>
        <v/>
      </c>
      <c r="R271" s="209" t="str">
        <f>IFERROR(VLOOKUP(TableHandbook[[#This Row],[UDC]],TableSTRUENGLL[],7,FALSE),"")</f>
        <v/>
      </c>
      <c r="S271" s="209" t="str">
        <f>IFERROR(VLOOKUP(TableHandbook[[#This Row],[UDC]],TableSTRUHLTPE[],7,FALSE),"")</f>
        <v/>
      </c>
      <c r="T271" s="209" t="str">
        <f>IFERROR(VLOOKUP(TableHandbook[[#This Row],[UDC]],TableSTRUISTEM[],7,FALSE),"")</f>
        <v/>
      </c>
      <c r="U271" s="209" t="str">
        <f>IFERROR(VLOOKUP(TableHandbook[[#This Row],[UDC]],TableSTRULITNU[],7,FALSE),"")</f>
        <v/>
      </c>
      <c r="V271" s="209" t="str">
        <f>IFERROR(VLOOKUP(TableHandbook[[#This Row],[UDC]],TableSTRUTECHS[],7,FALSE),"")</f>
        <v/>
      </c>
      <c r="W271" s="211" t="str">
        <f>IFERROR(VLOOKUP(TableHandbook[[#This Row],[UDC]],TableBEDSC[],7,FALSE),"")</f>
        <v/>
      </c>
      <c r="X271" s="211" t="str">
        <f>IFERROR(VLOOKUP(TableHandbook[[#This Row],[UDC]],TableMJRUARDR1[],7,FALSE),"")</f>
        <v/>
      </c>
      <c r="Y271" s="209" t="str">
        <f>IFERROR(VLOOKUP(TableHandbook[[#This Row],[UDC]],TableMJRUARME1[],7,FALSE),"")</f>
        <v/>
      </c>
      <c r="Z271" s="209" t="str">
        <f>IFERROR(VLOOKUP(TableHandbook[[#This Row],[UDC]],TableMJRUARVA1[],7,FALSE),"")</f>
        <v/>
      </c>
      <c r="AA271" s="209" t="str">
        <f>IFERROR(VLOOKUP(TableHandbook[[#This Row],[UDC]],TableMJRUENGL1[],7,FALSE),"")</f>
        <v/>
      </c>
      <c r="AB271" s="209" t="str">
        <f>IFERROR(VLOOKUP(TableHandbook[[#This Row],[UDC]],TableMJRUHSEC1[],7,FALSE),"")</f>
        <v/>
      </c>
      <c r="AC271" s="209" t="str">
        <f>IFERROR(VLOOKUP(TableHandbook[[#This Row],[UDC]],TableMJRUHSGE1[],7,FALSE),"")</f>
        <v/>
      </c>
      <c r="AD271" s="209" t="str">
        <f>IFERROR(VLOOKUP(TableHandbook[[#This Row],[UDC]],TableMJRUHSHI1[],7,FALSE),"")</f>
        <v/>
      </c>
      <c r="AE271" s="209" t="str">
        <f>IFERROR(VLOOKUP(TableHandbook[[#This Row],[UDC]],TableMJRUHSPL1[],7,FALSE),"")</f>
        <v/>
      </c>
      <c r="AF271" s="209" t="str">
        <f>IFERROR(VLOOKUP(TableHandbook[[#This Row],[UDC]],TableMJRUMATH1[],7,FALSE),"")</f>
        <v/>
      </c>
      <c r="AG271" s="209" t="str">
        <f>IFERROR(VLOOKUP(TableHandbook[[#This Row],[UDC]],TableMJRUPHYSE[],7,FALSE),"")</f>
        <v/>
      </c>
      <c r="AH271" s="209" t="str">
        <f>IFERROR(VLOOKUP(TableHandbook[[#This Row],[UDC]],TableMJRUSCBI1[],7,FALSE),"")</f>
        <v/>
      </c>
      <c r="AI271" s="209" t="str">
        <f>IFERROR(VLOOKUP(TableHandbook[[#This Row],[UDC]],TableMJRUSCCH1[],7,FALSE),"")</f>
        <v/>
      </c>
      <c r="AJ271" s="209" t="str">
        <f>IFERROR(VLOOKUP(TableHandbook[[#This Row],[UDC]],TableMJRUSCHB1[],7,FALSE),"")</f>
        <v/>
      </c>
      <c r="AK271" s="209" t="str">
        <f>IFERROR(VLOOKUP(TableHandbook[[#This Row],[UDC]],TableMJRUSCPH1[],7,FALSE),"")</f>
        <v/>
      </c>
      <c r="AL271" s="209" t="str">
        <f>IFERROR(VLOOKUP(TableHandbook[[#This Row],[UDC]],TableMJRUSCPS1[],7,FALSE),"")</f>
        <v/>
      </c>
      <c r="AM271" s="211" t="str">
        <f>IFERROR(VLOOKUP(TableHandbook[[#This Row],[UDC]],TableSTRUBIOLB[],7,FALSE),"")</f>
        <v/>
      </c>
      <c r="AN271" s="209" t="str">
        <f>IFERROR(VLOOKUP(TableHandbook[[#This Row],[UDC]],TableSTRUBSCIM[],7,FALSE),"")</f>
        <v/>
      </c>
      <c r="AO271" s="209" t="str">
        <f>IFERROR(VLOOKUP(TableHandbook[[#This Row],[UDC]],TableSTRUCHEMB[],7,FALSE),"")</f>
        <v/>
      </c>
      <c r="AP271" s="209" t="str">
        <f>IFERROR(VLOOKUP(TableHandbook[[#This Row],[UDC]],TableSTRUECOB1[],7,FALSE),"")</f>
        <v/>
      </c>
      <c r="AQ271" s="209" t="str">
        <f>IFERROR(VLOOKUP(TableHandbook[[#This Row],[UDC]],TableSTRUENGLB[],7,FALSE),"")</f>
        <v/>
      </c>
      <c r="AR271" s="209" t="str">
        <f>IFERROR(VLOOKUP(TableHandbook[[#This Row],[UDC]],TableSTRUENGLM[],7,FALSE),"")</f>
        <v/>
      </c>
      <c r="AS271" s="209" t="str">
        <f>IFERROR(VLOOKUP(TableHandbook[[#This Row],[UDC]],TableSTRUGEOB1[],7,FALSE),"")</f>
        <v/>
      </c>
      <c r="AT271" s="209" t="str">
        <f>IFERROR(VLOOKUP(TableHandbook[[#This Row],[UDC]],TableSTRUGEOGM[],7,FALSE),"")</f>
        <v/>
      </c>
      <c r="AU271" s="209" t="str">
        <f>IFERROR(VLOOKUP(TableHandbook[[#This Row],[UDC]],TableSTRUHISB1[],7,FALSE),"")</f>
        <v/>
      </c>
      <c r="AV271" s="209" t="str">
        <f>IFERROR(VLOOKUP(TableHandbook[[#This Row],[UDC]],TableSTRUHISTM[],7,FALSE),"")</f>
        <v/>
      </c>
      <c r="AW271" s="209" t="str">
        <f>IFERROR(VLOOKUP(TableHandbook[[#This Row],[UDC]],TableSTRUHPEB1[],7,FALSE),"")</f>
        <v/>
      </c>
      <c r="AX271" s="209" t="str">
        <f>IFERROR(VLOOKUP(TableHandbook[[#This Row],[UDC]],TableSTRUHUMBB[],7,FALSE),"")</f>
        <v/>
      </c>
      <c r="AY271" s="209" t="str">
        <f>IFERROR(VLOOKUP(TableHandbook[[#This Row],[UDC]],TableSTRUMARTM[],7,FALSE),"")</f>
        <v/>
      </c>
      <c r="AZ271" s="209" t="str">
        <f>IFERROR(VLOOKUP(TableHandbook[[#This Row],[UDC]],TableSTRUMATHB[],7,FALSE),"")</f>
        <v/>
      </c>
      <c r="BA271" s="209" t="str">
        <f>IFERROR(VLOOKUP(TableHandbook[[#This Row],[UDC]],TableSTRUMATHM[],7,FALSE),"")</f>
        <v/>
      </c>
      <c r="BB271" s="209" t="str">
        <f>IFERROR(VLOOKUP(TableHandbook[[#This Row],[UDC]],TableSTRUPARTB[],7,FALSE),"")</f>
        <v/>
      </c>
      <c r="BC271" s="209" t="str">
        <f>IFERROR(VLOOKUP(TableHandbook[[#This Row],[UDC]],TableSTRUPARTM[],7,FALSE),"")</f>
        <v/>
      </c>
      <c r="BD271" s="209" t="str">
        <f>IFERROR(VLOOKUP(TableHandbook[[#This Row],[UDC]],TableSTRUPOLB1[],7,FALSE),"")</f>
        <v/>
      </c>
      <c r="BE271" s="209" t="str">
        <f>IFERROR(VLOOKUP(TableHandbook[[#This Row],[UDC]],TableSTRUPSYCB[],7,FALSE),"")</f>
        <v/>
      </c>
      <c r="BF271" s="209" t="str">
        <f>IFERROR(VLOOKUP(TableHandbook[[#This Row],[UDC]],TableSTRUPSYCM[],7,FALSE),"")</f>
        <v/>
      </c>
      <c r="BG271" s="209" t="str">
        <f>IFERROR(VLOOKUP(TableHandbook[[#This Row],[UDC]],TableSTRUVARTB[],7,FALSE),"")</f>
        <v/>
      </c>
      <c r="BH271" s="209" t="str">
        <f>IFERROR(VLOOKUP(TableHandbook[[#This Row],[UDC]],TableSTRUVARTM[],7,FALSE),"")</f>
        <v/>
      </c>
    </row>
    <row r="272" spans="1:60" x14ac:dyDescent="0.25">
      <c r="A272" s="6" t="s">
        <v>1086</v>
      </c>
      <c r="B272" s="7"/>
      <c r="C272" s="7"/>
      <c r="D272" s="207" t="s">
        <v>1087</v>
      </c>
      <c r="E272" s="7"/>
      <c r="F272" s="84"/>
      <c r="G272" s="75" t="str">
        <f>IFERROR(IF(VLOOKUP(TableHandbook[[#This Row],[UDC]],TableAvailabilities[],2,FALSE)&gt;0,"Y",""),"")</f>
        <v/>
      </c>
      <c r="H272" s="75" t="str">
        <f>IFERROR(IF(VLOOKUP(TableHandbook[[#This Row],[UDC]],TableAvailabilities[],3,FALSE)&gt;0,"Y",""),"")</f>
        <v/>
      </c>
      <c r="I272" s="75" t="str">
        <f>IFERROR(IF(VLOOKUP(TableHandbook[[#This Row],[UDC]],TableAvailabilities[],4,FALSE)&gt;0,"Y",""),"")</f>
        <v/>
      </c>
      <c r="J272" s="75" t="str">
        <f>IFERROR(IF(VLOOKUP(TableHandbook[[#This Row],[UDC]],TableAvailabilities[],5,FALSE)&gt;0,"Y",""),"")</f>
        <v/>
      </c>
      <c r="K272" s="75" t="str">
        <f>IFERROR(IF(VLOOKUP(TableHandbook[[#This Row],[UDC]],TableAvailabilities[],6,FALSE)&gt;0,"Y",""),"")</f>
        <v/>
      </c>
      <c r="L272" s="75" t="str">
        <f>IFERROR(IF(VLOOKUP(TableHandbook[[#This Row],[UDC]],TableAvailabilities[],7,FALSE)&gt;0,"Y",""),"")</f>
        <v/>
      </c>
      <c r="M272" s="207"/>
      <c r="N272" s="209" t="str">
        <f>IFERROR(VLOOKUP(TableHandbook[[#This Row],[UDC]],TableBEDUC[],7,FALSE),"")</f>
        <v/>
      </c>
      <c r="O272" s="209" t="str">
        <f>IFERROR(VLOOKUP(TableHandbook[[#This Row],[UDC]],TableBEDEC[],7,FALSE),"")</f>
        <v/>
      </c>
      <c r="P272" s="211" t="str">
        <f>IFERROR(VLOOKUP(TableHandbook[[#This Row],[UDC]],TableBEDPR[],7,FALSE),"")</f>
        <v/>
      </c>
      <c r="Q272" s="209" t="str">
        <f>IFERROR(VLOOKUP(TableHandbook[[#This Row],[UDC]],TableSTRUCATHL[],7,FALSE),"")</f>
        <v/>
      </c>
      <c r="R272" s="209" t="str">
        <f>IFERROR(VLOOKUP(TableHandbook[[#This Row],[UDC]],TableSTRUENGLL[],7,FALSE),"")</f>
        <v/>
      </c>
      <c r="S272" s="209" t="str">
        <f>IFERROR(VLOOKUP(TableHandbook[[#This Row],[UDC]],TableSTRUHLTPE[],7,FALSE),"")</f>
        <v/>
      </c>
      <c r="T272" s="209" t="str">
        <f>IFERROR(VLOOKUP(TableHandbook[[#This Row],[UDC]],TableSTRUISTEM[],7,FALSE),"")</f>
        <v/>
      </c>
      <c r="U272" s="209" t="str">
        <f>IFERROR(VLOOKUP(TableHandbook[[#This Row],[UDC]],TableSTRULITNU[],7,FALSE),"")</f>
        <v/>
      </c>
      <c r="V272" s="209" t="str">
        <f>IFERROR(VLOOKUP(TableHandbook[[#This Row],[UDC]],TableSTRUTECHS[],7,FALSE),"")</f>
        <v/>
      </c>
      <c r="W272" s="211" t="str">
        <f>IFERROR(VLOOKUP(TableHandbook[[#This Row],[UDC]],TableBEDSC[],7,FALSE),"")</f>
        <v/>
      </c>
      <c r="X272" s="211" t="str">
        <f>IFERROR(VLOOKUP(TableHandbook[[#This Row],[UDC]],TableMJRUARDR1[],7,FALSE),"")</f>
        <v/>
      </c>
      <c r="Y272" s="209" t="str">
        <f>IFERROR(VLOOKUP(TableHandbook[[#This Row],[UDC]],TableMJRUARME1[],7,FALSE),"")</f>
        <v/>
      </c>
      <c r="Z272" s="209" t="str">
        <f>IFERROR(VLOOKUP(TableHandbook[[#This Row],[UDC]],TableMJRUARVA1[],7,FALSE),"")</f>
        <v/>
      </c>
      <c r="AA272" s="209" t="str">
        <f>IFERROR(VLOOKUP(TableHandbook[[#This Row],[UDC]],TableMJRUENGL1[],7,FALSE),"")</f>
        <v/>
      </c>
      <c r="AB272" s="209" t="str">
        <f>IFERROR(VLOOKUP(TableHandbook[[#This Row],[UDC]],TableMJRUHSEC1[],7,FALSE),"")</f>
        <v/>
      </c>
      <c r="AC272" s="209" t="str">
        <f>IFERROR(VLOOKUP(TableHandbook[[#This Row],[UDC]],TableMJRUHSGE1[],7,FALSE),"")</f>
        <v/>
      </c>
      <c r="AD272" s="209" t="str">
        <f>IFERROR(VLOOKUP(TableHandbook[[#This Row],[UDC]],TableMJRUHSHI1[],7,FALSE),"")</f>
        <v/>
      </c>
      <c r="AE272" s="209" t="str">
        <f>IFERROR(VLOOKUP(TableHandbook[[#This Row],[UDC]],TableMJRUHSPL1[],7,FALSE),"")</f>
        <v/>
      </c>
      <c r="AF272" s="209" t="str">
        <f>IFERROR(VLOOKUP(TableHandbook[[#This Row],[UDC]],TableMJRUMATH1[],7,FALSE),"")</f>
        <v/>
      </c>
      <c r="AG272" s="209" t="str">
        <f>IFERROR(VLOOKUP(TableHandbook[[#This Row],[UDC]],TableMJRUPHYSE[],7,FALSE),"")</f>
        <v/>
      </c>
      <c r="AH272" s="209" t="str">
        <f>IFERROR(VLOOKUP(TableHandbook[[#This Row],[UDC]],TableMJRUSCBI1[],7,FALSE),"")</f>
        <v/>
      </c>
      <c r="AI272" s="209" t="str">
        <f>IFERROR(VLOOKUP(TableHandbook[[#This Row],[UDC]],TableMJRUSCCH1[],7,FALSE),"")</f>
        <v/>
      </c>
      <c r="AJ272" s="209" t="str">
        <f>IFERROR(VLOOKUP(TableHandbook[[#This Row],[UDC]],TableMJRUSCHB1[],7,FALSE),"")</f>
        <v/>
      </c>
      <c r="AK272" s="209" t="str">
        <f>IFERROR(VLOOKUP(TableHandbook[[#This Row],[UDC]],TableMJRUSCPH1[],7,FALSE),"")</f>
        <v/>
      </c>
      <c r="AL272" s="209" t="str">
        <f>IFERROR(VLOOKUP(TableHandbook[[#This Row],[UDC]],TableMJRUSCPS1[],7,FALSE),"")</f>
        <v/>
      </c>
      <c r="AM272" s="211" t="str">
        <f>IFERROR(VLOOKUP(TableHandbook[[#This Row],[UDC]],TableSTRUBIOLB[],7,FALSE),"")</f>
        <v/>
      </c>
      <c r="AN272" s="209" t="str">
        <f>IFERROR(VLOOKUP(TableHandbook[[#This Row],[UDC]],TableSTRUBSCIM[],7,FALSE),"")</f>
        <v/>
      </c>
      <c r="AO272" s="209" t="str">
        <f>IFERROR(VLOOKUP(TableHandbook[[#This Row],[UDC]],TableSTRUCHEMB[],7,FALSE),"")</f>
        <v/>
      </c>
      <c r="AP272" s="209" t="str">
        <f>IFERROR(VLOOKUP(TableHandbook[[#This Row],[UDC]],TableSTRUECOB1[],7,FALSE),"")</f>
        <v/>
      </c>
      <c r="AQ272" s="209" t="str">
        <f>IFERROR(VLOOKUP(TableHandbook[[#This Row],[UDC]],TableSTRUENGLB[],7,FALSE),"")</f>
        <v/>
      </c>
      <c r="AR272" s="209" t="str">
        <f>IFERROR(VLOOKUP(TableHandbook[[#This Row],[UDC]],TableSTRUENGLM[],7,FALSE),"")</f>
        <v/>
      </c>
      <c r="AS272" s="209" t="str">
        <f>IFERROR(VLOOKUP(TableHandbook[[#This Row],[UDC]],TableSTRUGEOB1[],7,FALSE),"")</f>
        <v/>
      </c>
      <c r="AT272" s="209" t="str">
        <f>IFERROR(VLOOKUP(TableHandbook[[#This Row],[UDC]],TableSTRUGEOGM[],7,FALSE),"")</f>
        <v/>
      </c>
      <c r="AU272" s="209" t="str">
        <f>IFERROR(VLOOKUP(TableHandbook[[#This Row],[UDC]],TableSTRUHISB1[],7,FALSE),"")</f>
        <v/>
      </c>
      <c r="AV272" s="209" t="str">
        <f>IFERROR(VLOOKUP(TableHandbook[[#This Row],[UDC]],TableSTRUHISTM[],7,FALSE),"")</f>
        <v/>
      </c>
      <c r="AW272" s="209" t="str">
        <f>IFERROR(VLOOKUP(TableHandbook[[#This Row],[UDC]],TableSTRUHPEB1[],7,FALSE),"")</f>
        <v/>
      </c>
      <c r="AX272" s="209" t="str">
        <f>IFERROR(VLOOKUP(TableHandbook[[#This Row],[UDC]],TableSTRUHUMBB[],7,FALSE),"")</f>
        <v/>
      </c>
      <c r="AY272" s="209" t="str">
        <f>IFERROR(VLOOKUP(TableHandbook[[#This Row],[UDC]],TableSTRUMARTM[],7,FALSE),"")</f>
        <v/>
      </c>
      <c r="AZ272" s="209" t="str">
        <f>IFERROR(VLOOKUP(TableHandbook[[#This Row],[UDC]],TableSTRUMATHB[],7,FALSE),"")</f>
        <v/>
      </c>
      <c r="BA272" s="209" t="str">
        <f>IFERROR(VLOOKUP(TableHandbook[[#This Row],[UDC]],TableSTRUMATHM[],7,FALSE),"")</f>
        <v/>
      </c>
      <c r="BB272" s="209" t="str">
        <f>IFERROR(VLOOKUP(TableHandbook[[#This Row],[UDC]],TableSTRUPARTB[],7,FALSE),"")</f>
        <v/>
      </c>
      <c r="BC272" s="209" t="str">
        <f>IFERROR(VLOOKUP(TableHandbook[[#This Row],[UDC]],TableSTRUPARTM[],7,FALSE),"")</f>
        <v/>
      </c>
      <c r="BD272" s="209" t="str">
        <f>IFERROR(VLOOKUP(TableHandbook[[#This Row],[UDC]],TableSTRUPOLB1[],7,FALSE),"")</f>
        <v/>
      </c>
      <c r="BE272" s="209" t="str">
        <f>IFERROR(VLOOKUP(TableHandbook[[#This Row],[UDC]],TableSTRUPSYCB[],7,FALSE),"")</f>
        <v/>
      </c>
      <c r="BF272" s="209" t="str">
        <f>IFERROR(VLOOKUP(TableHandbook[[#This Row],[UDC]],TableSTRUPSYCM[],7,FALSE),"")</f>
        <v/>
      </c>
      <c r="BG272" s="209" t="str">
        <f>IFERROR(VLOOKUP(TableHandbook[[#This Row],[UDC]],TableSTRUVARTB[],7,FALSE),"")</f>
        <v/>
      </c>
      <c r="BH272" s="209" t="str">
        <f>IFERROR(VLOOKUP(TableHandbook[[#This Row],[UDC]],TableSTRUVARTM[],7,FALSE),"")</f>
        <v/>
      </c>
    </row>
    <row r="273" spans="1:60" x14ac:dyDescent="0.25">
      <c r="A273" s="305" t="s">
        <v>724</v>
      </c>
      <c r="B273" s="7">
        <v>0</v>
      </c>
      <c r="C273" s="7"/>
      <c r="D273" s="207" t="s">
        <v>1088</v>
      </c>
      <c r="E273" s="7">
        <v>25</v>
      </c>
      <c r="F273" s="84" t="s">
        <v>769</v>
      </c>
      <c r="G273" s="75" t="str">
        <f>IFERROR(IF(VLOOKUP(TableHandbook[[#This Row],[UDC]],TableAvailabilities[],2,FALSE)&gt;0,"Y",""),"")</f>
        <v/>
      </c>
      <c r="H273" s="75" t="str">
        <f>IFERROR(IF(VLOOKUP(TableHandbook[[#This Row],[UDC]],TableAvailabilities[],3,FALSE)&gt;0,"Y",""),"")</f>
        <v/>
      </c>
      <c r="I273" s="75" t="str">
        <f>IFERROR(IF(VLOOKUP(TableHandbook[[#This Row],[UDC]],TableAvailabilities[],4,FALSE)&gt;0,"Y",""),"")</f>
        <v/>
      </c>
      <c r="J273" s="75" t="str">
        <f>IFERROR(IF(VLOOKUP(TableHandbook[[#This Row],[UDC]],TableAvailabilities[],5,FALSE)&gt;0,"Y",""),"")</f>
        <v/>
      </c>
      <c r="K273" s="75" t="str">
        <f>IFERROR(IF(VLOOKUP(TableHandbook[[#This Row],[UDC]],TableAvailabilities[],6,FALSE)&gt;0,"Y",""),"")</f>
        <v/>
      </c>
      <c r="L273" s="75" t="str">
        <f>IFERROR(IF(VLOOKUP(TableHandbook[[#This Row],[UDC]],TableAvailabilities[],7,FALSE)&gt;0,"Y",""),"")</f>
        <v/>
      </c>
      <c r="M273" s="207"/>
      <c r="N273" s="209" t="str">
        <f>IFERROR(VLOOKUP(TableHandbook[[#This Row],[UDC]],TableBEDUC[],7,FALSE),"")</f>
        <v/>
      </c>
      <c r="O273" s="209" t="str">
        <f>IFERROR(VLOOKUP(TableHandbook[[#This Row],[UDC]],TableBEDEC[],7,FALSE),"")</f>
        <v/>
      </c>
      <c r="P273" s="211" t="str">
        <f>IFERROR(VLOOKUP(TableHandbook[[#This Row],[UDC]],TableBEDPR[],7,FALSE),"")</f>
        <v/>
      </c>
      <c r="Q273" s="209" t="str">
        <f>IFERROR(VLOOKUP(TableHandbook[[#This Row],[UDC]],TableSTRUCATHL[],7,FALSE),"")</f>
        <v/>
      </c>
      <c r="R273" s="209" t="str">
        <f>IFERROR(VLOOKUP(TableHandbook[[#This Row],[UDC]],TableSTRUENGLL[],7,FALSE),"")</f>
        <v/>
      </c>
      <c r="S273" s="209" t="str">
        <f>IFERROR(VLOOKUP(TableHandbook[[#This Row],[UDC]],TableSTRUHLTPE[],7,FALSE),"")</f>
        <v/>
      </c>
      <c r="T273" s="209" t="str">
        <f>IFERROR(VLOOKUP(TableHandbook[[#This Row],[UDC]],TableSTRUISTEM[],7,FALSE),"")</f>
        <v/>
      </c>
      <c r="U273" s="209" t="str">
        <f>IFERROR(VLOOKUP(TableHandbook[[#This Row],[UDC]],TableSTRULITNU[],7,FALSE),"")</f>
        <v/>
      </c>
      <c r="V273" s="209" t="str">
        <f>IFERROR(VLOOKUP(TableHandbook[[#This Row],[UDC]],TableSTRUTECHS[],7,FALSE),"")</f>
        <v/>
      </c>
      <c r="W273" s="211" t="str">
        <f>IFERROR(VLOOKUP(TableHandbook[[#This Row],[UDC]],TableBEDSC[],7,FALSE),"")</f>
        <v/>
      </c>
      <c r="X273" s="211" t="str">
        <f>IFERROR(VLOOKUP(TableHandbook[[#This Row],[UDC]],TableMJRUARDR1[],7,FALSE),"")</f>
        <v/>
      </c>
      <c r="Y273" s="209" t="str">
        <f>IFERROR(VLOOKUP(TableHandbook[[#This Row],[UDC]],TableMJRUARME1[],7,FALSE),"")</f>
        <v/>
      </c>
      <c r="Z273" s="209" t="str">
        <f>IFERROR(VLOOKUP(TableHandbook[[#This Row],[UDC]],TableMJRUARVA1[],7,FALSE),"")</f>
        <v/>
      </c>
      <c r="AA273" s="209" t="str">
        <f>IFERROR(VLOOKUP(TableHandbook[[#This Row],[UDC]],TableMJRUENGL1[],7,FALSE),"")</f>
        <v/>
      </c>
      <c r="AB273" s="209" t="str">
        <f>IFERROR(VLOOKUP(TableHandbook[[#This Row],[UDC]],TableMJRUHSEC1[],7,FALSE),"")</f>
        <v/>
      </c>
      <c r="AC273" s="209" t="str">
        <f>IFERROR(VLOOKUP(TableHandbook[[#This Row],[UDC]],TableMJRUHSGE1[],7,FALSE),"")</f>
        <v/>
      </c>
      <c r="AD273" s="209" t="str">
        <f>IFERROR(VLOOKUP(TableHandbook[[#This Row],[UDC]],TableMJRUHSHI1[],7,FALSE),"")</f>
        <v/>
      </c>
      <c r="AE273" s="209" t="str">
        <f>IFERROR(VLOOKUP(TableHandbook[[#This Row],[UDC]],TableMJRUHSPL1[],7,FALSE),"")</f>
        <v/>
      </c>
      <c r="AF273" s="209" t="str">
        <f>IFERROR(VLOOKUP(TableHandbook[[#This Row],[UDC]],TableMJRUMATH1[],7,FALSE),"")</f>
        <v/>
      </c>
      <c r="AG273" s="209" t="str">
        <f>IFERROR(VLOOKUP(TableHandbook[[#This Row],[UDC]],TableMJRUPHYSE[],7,FALSE),"")</f>
        <v/>
      </c>
      <c r="AH273" s="209" t="str">
        <f>IFERROR(VLOOKUP(TableHandbook[[#This Row],[UDC]],TableMJRUSCBI1[],7,FALSE),"")</f>
        <v/>
      </c>
      <c r="AI273" s="209" t="str">
        <f>IFERROR(VLOOKUP(TableHandbook[[#This Row],[UDC]],TableMJRUSCCH1[],7,FALSE),"")</f>
        <v/>
      </c>
      <c r="AJ273" s="209" t="str">
        <f>IFERROR(VLOOKUP(TableHandbook[[#This Row],[UDC]],TableMJRUSCHB1[],7,FALSE),"")</f>
        <v/>
      </c>
      <c r="AK273" s="209" t="str">
        <f>IFERROR(VLOOKUP(TableHandbook[[#This Row],[UDC]],TableMJRUSCPH1[],7,FALSE),"")</f>
        <v/>
      </c>
      <c r="AL273" s="209" t="str">
        <f>IFERROR(VLOOKUP(TableHandbook[[#This Row],[UDC]],TableMJRUSCPS1[],7,FALSE),"")</f>
        <v/>
      </c>
      <c r="AM273" s="211" t="str">
        <f>IFERROR(VLOOKUP(TableHandbook[[#This Row],[UDC]],TableSTRUBIOLB[],7,FALSE),"")</f>
        <v>Option</v>
      </c>
      <c r="AN273" s="209" t="str">
        <f>IFERROR(VLOOKUP(TableHandbook[[#This Row],[UDC]],TableSTRUBSCIM[],7,FALSE),"")</f>
        <v/>
      </c>
      <c r="AO273" s="209" t="str">
        <f>IFERROR(VLOOKUP(TableHandbook[[#This Row],[UDC]],TableSTRUCHEMB[],7,FALSE),"")</f>
        <v/>
      </c>
      <c r="AP273" s="209" t="str">
        <f>IFERROR(VLOOKUP(TableHandbook[[#This Row],[UDC]],TableSTRUECOB1[],7,FALSE),"")</f>
        <v/>
      </c>
      <c r="AQ273" s="209" t="str">
        <f>IFERROR(VLOOKUP(TableHandbook[[#This Row],[UDC]],TableSTRUENGLB[],7,FALSE),"")</f>
        <v/>
      </c>
      <c r="AR273" s="209" t="str">
        <f>IFERROR(VLOOKUP(TableHandbook[[#This Row],[UDC]],TableSTRUENGLM[],7,FALSE),"")</f>
        <v/>
      </c>
      <c r="AS273" s="209" t="str">
        <f>IFERROR(VLOOKUP(TableHandbook[[#This Row],[UDC]],TableSTRUGEOB1[],7,FALSE),"")</f>
        <v/>
      </c>
      <c r="AT273" s="209" t="str">
        <f>IFERROR(VLOOKUP(TableHandbook[[#This Row],[UDC]],TableSTRUGEOGM[],7,FALSE),"")</f>
        <v/>
      </c>
      <c r="AU273" s="209" t="str">
        <f>IFERROR(VLOOKUP(TableHandbook[[#This Row],[UDC]],TableSTRUHISB1[],7,FALSE),"")</f>
        <v/>
      </c>
      <c r="AV273" s="209" t="str">
        <f>IFERROR(VLOOKUP(TableHandbook[[#This Row],[UDC]],TableSTRUHISTM[],7,FALSE),"")</f>
        <v/>
      </c>
      <c r="AW273" s="209" t="str">
        <f>IFERROR(VLOOKUP(TableHandbook[[#This Row],[UDC]],TableSTRUHPEB1[],7,FALSE),"")</f>
        <v/>
      </c>
      <c r="AX273" s="209" t="str">
        <f>IFERROR(VLOOKUP(TableHandbook[[#This Row],[UDC]],TableSTRUHUMBB[],7,FALSE),"")</f>
        <v/>
      </c>
      <c r="AY273" s="209" t="str">
        <f>IFERROR(VLOOKUP(TableHandbook[[#This Row],[UDC]],TableSTRUMARTM[],7,FALSE),"")</f>
        <v/>
      </c>
      <c r="AZ273" s="209" t="str">
        <f>IFERROR(VLOOKUP(TableHandbook[[#This Row],[UDC]],TableSTRUMATHB[],7,FALSE),"")</f>
        <v/>
      </c>
      <c r="BA273" s="209" t="str">
        <f>IFERROR(VLOOKUP(TableHandbook[[#This Row],[UDC]],TableSTRUMATHM[],7,FALSE),"")</f>
        <v/>
      </c>
      <c r="BB273" s="209" t="str">
        <f>IFERROR(VLOOKUP(TableHandbook[[#This Row],[UDC]],TableSTRUPARTB[],7,FALSE),"")</f>
        <v/>
      </c>
      <c r="BC273" s="209" t="str">
        <f>IFERROR(VLOOKUP(TableHandbook[[#This Row],[UDC]],TableSTRUPARTM[],7,FALSE),"")</f>
        <v/>
      </c>
      <c r="BD273" s="209" t="str">
        <f>IFERROR(VLOOKUP(TableHandbook[[#This Row],[UDC]],TableSTRUPOLB1[],7,FALSE),"")</f>
        <v/>
      </c>
      <c r="BE273" s="209" t="str">
        <f>IFERROR(VLOOKUP(TableHandbook[[#This Row],[UDC]],TableSTRUPSYCB[],7,FALSE),"")</f>
        <v/>
      </c>
      <c r="BF273" s="209" t="str">
        <f>IFERROR(VLOOKUP(TableHandbook[[#This Row],[UDC]],TableSTRUPSYCM[],7,FALSE),"")</f>
        <v/>
      </c>
      <c r="BG273" s="209" t="str">
        <f>IFERROR(VLOOKUP(TableHandbook[[#This Row],[UDC]],TableSTRUVARTB[],7,FALSE),"")</f>
        <v/>
      </c>
      <c r="BH273" s="209" t="str">
        <f>IFERROR(VLOOKUP(TableHandbook[[#This Row],[UDC]],TableSTRUVARTM[],7,FALSE),"")</f>
        <v/>
      </c>
    </row>
    <row r="274" spans="1:60" x14ac:dyDescent="0.25">
      <c r="A274" s="305" t="s">
        <v>726</v>
      </c>
      <c r="B274" s="7">
        <v>0</v>
      </c>
      <c r="C274" s="7"/>
      <c r="D274" s="207" t="s">
        <v>1088</v>
      </c>
      <c r="E274" s="7">
        <v>25</v>
      </c>
      <c r="F274" s="84" t="s">
        <v>769</v>
      </c>
      <c r="G274" s="75" t="str">
        <f>IFERROR(IF(VLOOKUP(TableHandbook[[#This Row],[UDC]],TableAvailabilities[],2,FALSE)&gt;0,"Y",""),"")</f>
        <v/>
      </c>
      <c r="H274" s="75" t="str">
        <f>IFERROR(IF(VLOOKUP(TableHandbook[[#This Row],[UDC]],TableAvailabilities[],3,FALSE)&gt;0,"Y",""),"")</f>
        <v/>
      </c>
      <c r="I274" s="75" t="str">
        <f>IFERROR(IF(VLOOKUP(TableHandbook[[#This Row],[UDC]],TableAvailabilities[],4,FALSE)&gt;0,"Y",""),"")</f>
        <v/>
      </c>
      <c r="J274" s="75" t="str">
        <f>IFERROR(IF(VLOOKUP(TableHandbook[[#This Row],[UDC]],TableAvailabilities[],5,FALSE)&gt;0,"Y",""),"")</f>
        <v/>
      </c>
      <c r="K274" s="75" t="str">
        <f>IFERROR(IF(VLOOKUP(TableHandbook[[#This Row],[UDC]],TableAvailabilities[],6,FALSE)&gt;0,"Y",""),"")</f>
        <v/>
      </c>
      <c r="L274" s="75" t="str">
        <f>IFERROR(IF(VLOOKUP(TableHandbook[[#This Row],[UDC]],TableAvailabilities[],7,FALSE)&gt;0,"Y",""),"")</f>
        <v/>
      </c>
      <c r="M274" s="207"/>
      <c r="N274" s="209" t="str">
        <f>IFERROR(VLOOKUP(TableHandbook[[#This Row],[UDC]],TableBEDUC[],7,FALSE),"")</f>
        <v/>
      </c>
      <c r="O274" s="209" t="str">
        <f>IFERROR(VLOOKUP(TableHandbook[[#This Row],[UDC]],TableBEDEC[],7,FALSE),"")</f>
        <v/>
      </c>
      <c r="P274" s="211" t="str">
        <f>IFERROR(VLOOKUP(TableHandbook[[#This Row],[UDC]],TableBEDPR[],7,FALSE),"")</f>
        <v/>
      </c>
      <c r="Q274" s="209" t="str">
        <f>IFERROR(VLOOKUP(TableHandbook[[#This Row],[UDC]],TableSTRUCATHL[],7,FALSE),"")</f>
        <v/>
      </c>
      <c r="R274" s="209" t="str">
        <f>IFERROR(VLOOKUP(TableHandbook[[#This Row],[UDC]],TableSTRUENGLL[],7,FALSE),"")</f>
        <v/>
      </c>
      <c r="S274" s="209" t="str">
        <f>IFERROR(VLOOKUP(TableHandbook[[#This Row],[UDC]],TableSTRUHLTPE[],7,FALSE),"")</f>
        <v/>
      </c>
      <c r="T274" s="209" t="str">
        <f>IFERROR(VLOOKUP(TableHandbook[[#This Row],[UDC]],TableSTRUISTEM[],7,FALSE),"")</f>
        <v/>
      </c>
      <c r="U274" s="209" t="str">
        <f>IFERROR(VLOOKUP(TableHandbook[[#This Row],[UDC]],TableSTRULITNU[],7,FALSE),"")</f>
        <v/>
      </c>
      <c r="V274" s="209" t="str">
        <f>IFERROR(VLOOKUP(TableHandbook[[#This Row],[UDC]],TableSTRUTECHS[],7,FALSE),"")</f>
        <v/>
      </c>
      <c r="W274" s="211" t="str">
        <f>IFERROR(VLOOKUP(TableHandbook[[#This Row],[UDC]],TableBEDSC[],7,FALSE),"")</f>
        <v/>
      </c>
      <c r="X274" s="211" t="str">
        <f>IFERROR(VLOOKUP(TableHandbook[[#This Row],[UDC]],TableMJRUARDR1[],7,FALSE),"")</f>
        <v/>
      </c>
      <c r="Y274" s="209" t="str">
        <f>IFERROR(VLOOKUP(TableHandbook[[#This Row],[UDC]],TableMJRUARME1[],7,FALSE),"")</f>
        <v/>
      </c>
      <c r="Z274" s="209" t="str">
        <f>IFERROR(VLOOKUP(TableHandbook[[#This Row],[UDC]],TableMJRUARVA1[],7,FALSE),"")</f>
        <v/>
      </c>
      <c r="AA274" s="209" t="str">
        <f>IFERROR(VLOOKUP(TableHandbook[[#This Row],[UDC]],TableMJRUENGL1[],7,FALSE),"")</f>
        <v/>
      </c>
      <c r="AB274" s="209" t="str">
        <f>IFERROR(VLOOKUP(TableHandbook[[#This Row],[UDC]],TableMJRUHSEC1[],7,FALSE),"")</f>
        <v/>
      </c>
      <c r="AC274" s="209" t="str">
        <f>IFERROR(VLOOKUP(TableHandbook[[#This Row],[UDC]],TableMJRUHSGE1[],7,FALSE),"")</f>
        <v/>
      </c>
      <c r="AD274" s="209" t="str">
        <f>IFERROR(VLOOKUP(TableHandbook[[#This Row],[UDC]],TableMJRUHSHI1[],7,FALSE),"")</f>
        <v/>
      </c>
      <c r="AE274" s="209" t="str">
        <f>IFERROR(VLOOKUP(TableHandbook[[#This Row],[UDC]],TableMJRUHSPL1[],7,FALSE),"")</f>
        <v/>
      </c>
      <c r="AF274" s="209" t="str">
        <f>IFERROR(VLOOKUP(TableHandbook[[#This Row],[UDC]],TableMJRUMATH1[],7,FALSE),"")</f>
        <v/>
      </c>
      <c r="AG274" s="209" t="str">
        <f>IFERROR(VLOOKUP(TableHandbook[[#This Row],[UDC]],TableMJRUPHYSE[],7,FALSE),"")</f>
        <v/>
      </c>
      <c r="AH274" s="209" t="str">
        <f>IFERROR(VLOOKUP(TableHandbook[[#This Row],[UDC]],TableMJRUSCBI1[],7,FALSE),"")</f>
        <v/>
      </c>
      <c r="AI274" s="209" t="str">
        <f>IFERROR(VLOOKUP(TableHandbook[[#This Row],[UDC]],TableMJRUSCCH1[],7,FALSE),"")</f>
        <v/>
      </c>
      <c r="AJ274" s="209" t="str">
        <f>IFERROR(VLOOKUP(TableHandbook[[#This Row],[UDC]],TableMJRUSCHB1[],7,FALSE),"")</f>
        <v/>
      </c>
      <c r="AK274" s="209" t="str">
        <f>IFERROR(VLOOKUP(TableHandbook[[#This Row],[UDC]],TableMJRUSCPH1[],7,FALSE),"")</f>
        <v/>
      </c>
      <c r="AL274" s="209" t="str">
        <f>IFERROR(VLOOKUP(TableHandbook[[#This Row],[UDC]],TableMJRUSCPS1[],7,FALSE),"")</f>
        <v/>
      </c>
      <c r="AM274" s="211" t="str">
        <f>IFERROR(VLOOKUP(TableHandbook[[#This Row],[UDC]],TableSTRUBIOLB[],7,FALSE),"")</f>
        <v/>
      </c>
      <c r="AN274" s="209" t="str">
        <f>IFERROR(VLOOKUP(TableHandbook[[#This Row],[UDC]],TableSTRUBSCIM[],7,FALSE),"")</f>
        <v/>
      </c>
      <c r="AO274" s="209" t="str">
        <f>IFERROR(VLOOKUP(TableHandbook[[#This Row],[UDC]],TableSTRUCHEMB[],7,FALSE),"")</f>
        <v>Option</v>
      </c>
      <c r="AP274" s="209" t="str">
        <f>IFERROR(VLOOKUP(TableHandbook[[#This Row],[UDC]],TableSTRUECOB1[],7,FALSE),"")</f>
        <v/>
      </c>
      <c r="AQ274" s="209" t="str">
        <f>IFERROR(VLOOKUP(TableHandbook[[#This Row],[UDC]],TableSTRUENGLB[],7,FALSE),"")</f>
        <v/>
      </c>
      <c r="AR274" s="209" t="str">
        <f>IFERROR(VLOOKUP(TableHandbook[[#This Row],[UDC]],TableSTRUENGLM[],7,FALSE),"")</f>
        <v/>
      </c>
      <c r="AS274" s="209" t="str">
        <f>IFERROR(VLOOKUP(TableHandbook[[#This Row],[UDC]],TableSTRUGEOB1[],7,FALSE),"")</f>
        <v/>
      </c>
      <c r="AT274" s="209" t="str">
        <f>IFERROR(VLOOKUP(TableHandbook[[#This Row],[UDC]],TableSTRUGEOGM[],7,FALSE),"")</f>
        <v/>
      </c>
      <c r="AU274" s="209" t="str">
        <f>IFERROR(VLOOKUP(TableHandbook[[#This Row],[UDC]],TableSTRUHISB1[],7,FALSE),"")</f>
        <v/>
      </c>
      <c r="AV274" s="209" t="str">
        <f>IFERROR(VLOOKUP(TableHandbook[[#This Row],[UDC]],TableSTRUHISTM[],7,FALSE),"")</f>
        <v/>
      </c>
      <c r="AW274" s="209" t="str">
        <f>IFERROR(VLOOKUP(TableHandbook[[#This Row],[UDC]],TableSTRUHPEB1[],7,FALSE),"")</f>
        <v/>
      </c>
      <c r="AX274" s="209" t="str">
        <f>IFERROR(VLOOKUP(TableHandbook[[#This Row],[UDC]],TableSTRUHUMBB[],7,FALSE),"")</f>
        <v/>
      </c>
      <c r="AY274" s="209" t="str">
        <f>IFERROR(VLOOKUP(TableHandbook[[#This Row],[UDC]],TableSTRUMARTM[],7,FALSE),"")</f>
        <v/>
      </c>
      <c r="AZ274" s="209" t="str">
        <f>IFERROR(VLOOKUP(TableHandbook[[#This Row],[UDC]],TableSTRUMATHB[],7,FALSE),"")</f>
        <v/>
      </c>
      <c r="BA274" s="209" t="str">
        <f>IFERROR(VLOOKUP(TableHandbook[[#This Row],[UDC]],TableSTRUMATHM[],7,FALSE),"")</f>
        <v/>
      </c>
      <c r="BB274" s="209" t="str">
        <f>IFERROR(VLOOKUP(TableHandbook[[#This Row],[UDC]],TableSTRUPARTB[],7,FALSE),"")</f>
        <v/>
      </c>
      <c r="BC274" s="209" t="str">
        <f>IFERROR(VLOOKUP(TableHandbook[[#This Row],[UDC]],TableSTRUPARTM[],7,FALSE),"")</f>
        <v/>
      </c>
      <c r="BD274" s="209" t="str">
        <f>IFERROR(VLOOKUP(TableHandbook[[#This Row],[UDC]],TableSTRUPOLB1[],7,FALSE),"")</f>
        <v/>
      </c>
      <c r="BE274" s="209" t="str">
        <f>IFERROR(VLOOKUP(TableHandbook[[#This Row],[UDC]],TableSTRUPSYCB[],7,FALSE),"")</f>
        <v/>
      </c>
      <c r="BF274" s="209" t="str">
        <f>IFERROR(VLOOKUP(TableHandbook[[#This Row],[UDC]],TableSTRUPSYCM[],7,FALSE),"")</f>
        <v/>
      </c>
      <c r="BG274" s="209" t="str">
        <f>IFERROR(VLOOKUP(TableHandbook[[#This Row],[UDC]],TableSTRUVARTB[],7,FALSE),"")</f>
        <v/>
      </c>
      <c r="BH274" s="209" t="str">
        <f>IFERROR(VLOOKUP(TableHandbook[[#This Row],[UDC]],TableSTRUVARTM[],7,FALSE),"")</f>
        <v/>
      </c>
    </row>
    <row r="275" spans="1:60" x14ac:dyDescent="0.25">
      <c r="A275" s="305" t="s">
        <v>727</v>
      </c>
      <c r="B275" s="7">
        <v>0</v>
      </c>
      <c r="C275" s="7"/>
      <c r="D275" s="207" t="s">
        <v>1088</v>
      </c>
      <c r="E275" s="7">
        <v>25</v>
      </c>
      <c r="F275" s="84" t="s">
        <v>769</v>
      </c>
      <c r="G275" s="75" t="str">
        <f>IFERROR(IF(VLOOKUP(TableHandbook[[#This Row],[UDC]],TableAvailabilities[],2,FALSE)&gt;0,"Y",""),"")</f>
        <v/>
      </c>
      <c r="H275" s="75" t="str">
        <f>IFERROR(IF(VLOOKUP(TableHandbook[[#This Row],[UDC]],TableAvailabilities[],3,FALSE)&gt;0,"Y",""),"")</f>
        <v/>
      </c>
      <c r="I275" s="75" t="str">
        <f>IFERROR(IF(VLOOKUP(TableHandbook[[#This Row],[UDC]],TableAvailabilities[],4,FALSE)&gt;0,"Y",""),"")</f>
        <v/>
      </c>
      <c r="J275" s="75" t="str">
        <f>IFERROR(IF(VLOOKUP(TableHandbook[[#This Row],[UDC]],TableAvailabilities[],5,FALSE)&gt;0,"Y",""),"")</f>
        <v/>
      </c>
      <c r="K275" s="75" t="str">
        <f>IFERROR(IF(VLOOKUP(TableHandbook[[#This Row],[UDC]],TableAvailabilities[],6,FALSE)&gt;0,"Y",""),"")</f>
        <v/>
      </c>
      <c r="L275" s="75" t="str">
        <f>IFERROR(IF(VLOOKUP(TableHandbook[[#This Row],[UDC]],TableAvailabilities[],7,FALSE)&gt;0,"Y",""),"")</f>
        <v/>
      </c>
      <c r="M275" s="207"/>
      <c r="N275" s="209" t="str">
        <f>IFERROR(VLOOKUP(TableHandbook[[#This Row],[UDC]],TableBEDUC[],7,FALSE),"")</f>
        <v/>
      </c>
      <c r="O275" s="209" t="str">
        <f>IFERROR(VLOOKUP(TableHandbook[[#This Row],[UDC]],TableBEDEC[],7,FALSE),"")</f>
        <v/>
      </c>
      <c r="P275" s="211" t="str">
        <f>IFERROR(VLOOKUP(TableHandbook[[#This Row],[UDC]],TableBEDPR[],7,FALSE),"")</f>
        <v/>
      </c>
      <c r="Q275" s="209" t="str">
        <f>IFERROR(VLOOKUP(TableHandbook[[#This Row],[UDC]],TableSTRUCATHL[],7,FALSE),"")</f>
        <v/>
      </c>
      <c r="R275" s="209" t="str">
        <f>IFERROR(VLOOKUP(TableHandbook[[#This Row],[UDC]],TableSTRUENGLL[],7,FALSE),"")</f>
        <v/>
      </c>
      <c r="S275" s="209" t="str">
        <f>IFERROR(VLOOKUP(TableHandbook[[#This Row],[UDC]],TableSTRUHLTPE[],7,FALSE),"")</f>
        <v/>
      </c>
      <c r="T275" s="209" t="str">
        <f>IFERROR(VLOOKUP(TableHandbook[[#This Row],[UDC]],TableSTRUISTEM[],7,FALSE),"")</f>
        <v/>
      </c>
      <c r="U275" s="209" t="str">
        <f>IFERROR(VLOOKUP(TableHandbook[[#This Row],[UDC]],TableSTRULITNU[],7,FALSE),"")</f>
        <v/>
      </c>
      <c r="V275" s="209" t="str">
        <f>IFERROR(VLOOKUP(TableHandbook[[#This Row],[UDC]],TableSTRUTECHS[],7,FALSE),"")</f>
        <v/>
      </c>
      <c r="W275" s="211" t="str">
        <f>IFERROR(VLOOKUP(TableHandbook[[#This Row],[UDC]],TableBEDSC[],7,FALSE),"")</f>
        <v/>
      </c>
      <c r="X275" s="211" t="str">
        <f>IFERROR(VLOOKUP(TableHandbook[[#This Row],[UDC]],TableMJRUARDR1[],7,FALSE),"")</f>
        <v/>
      </c>
      <c r="Y275" s="209" t="str">
        <f>IFERROR(VLOOKUP(TableHandbook[[#This Row],[UDC]],TableMJRUARME1[],7,FALSE),"")</f>
        <v/>
      </c>
      <c r="Z275" s="209" t="str">
        <f>IFERROR(VLOOKUP(TableHandbook[[#This Row],[UDC]],TableMJRUARVA1[],7,FALSE),"")</f>
        <v/>
      </c>
      <c r="AA275" s="209" t="str">
        <f>IFERROR(VLOOKUP(TableHandbook[[#This Row],[UDC]],TableMJRUENGL1[],7,FALSE),"")</f>
        <v/>
      </c>
      <c r="AB275" s="209" t="str">
        <f>IFERROR(VLOOKUP(TableHandbook[[#This Row],[UDC]],TableMJRUHSEC1[],7,FALSE),"")</f>
        <v/>
      </c>
      <c r="AC275" s="209" t="str">
        <f>IFERROR(VLOOKUP(TableHandbook[[#This Row],[UDC]],TableMJRUHSGE1[],7,FALSE),"")</f>
        <v/>
      </c>
      <c r="AD275" s="209" t="str">
        <f>IFERROR(VLOOKUP(TableHandbook[[#This Row],[UDC]],TableMJRUHSHI1[],7,FALSE),"")</f>
        <v/>
      </c>
      <c r="AE275" s="209" t="str">
        <f>IFERROR(VLOOKUP(TableHandbook[[#This Row],[UDC]],TableMJRUHSPL1[],7,FALSE),"")</f>
        <v/>
      </c>
      <c r="AF275" s="209" t="str">
        <f>IFERROR(VLOOKUP(TableHandbook[[#This Row],[UDC]],TableMJRUMATH1[],7,FALSE),"")</f>
        <v/>
      </c>
      <c r="AG275" s="209" t="str">
        <f>IFERROR(VLOOKUP(TableHandbook[[#This Row],[UDC]],TableMJRUPHYSE[],7,FALSE),"")</f>
        <v/>
      </c>
      <c r="AH275" s="209" t="str">
        <f>IFERROR(VLOOKUP(TableHandbook[[#This Row],[UDC]],TableMJRUSCBI1[],7,FALSE),"")</f>
        <v/>
      </c>
      <c r="AI275" s="209" t="str">
        <f>IFERROR(VLOOKUP(TableHandbook[[#This Row],[UDC]],TableMJRUSCCH1[],7,FALSE),"")</f>
        <v/>
      </c>
      <c r="AJ275" s="209" t="str">
        <f>IFERROR(VLOOKUP(TableHandbook[[#This Row],[UDC]],TableMJRUSCHB1[],7,FALSE),"")</f>
        <v/>
      </c>
      <c r="AK275" s="209" t="str">
        <f>IFERROR(VLOOKUP(TableHandbook[[#This Row],[UDC]],TableMJRUSCPH1[],7,FALSE),"")</f>
        <v/>
      </c>
      <c r="AL275" s="209" t="str">
        <f>IFERROR(VLOOKUP(TableHandbook[[#This Row],[UDC]],TableMJRUSCPS1[],7,FALSE),"")</f>
        <v/>
      </c>
      <c r="AM275" s="211" t="str">
        <f>IFERROR(VLOOKUP(TableHandbook[[#This Row],[UDC]],TableSTRUBIOLB[],7,FALSE),"")</f>
        <v/>
      </c>
      <c r="AN275" s="209" t="str">
        <f>IFERROR(VLOOKUP(TableHandbook[[#This Row],[UDC]],TableSTRUBSCIM[],7,FALSE),"")</f>
        <v/>
      </c>
      <c r="AO275" s="209" t="str">
        <f>IFERROR(VLOOKUP(TableHandbook[[#This Row],[UDC]],TableSTRUCHEMB[],7,FALSE),"")</f>
        <v/>
      </c>
      <c r="AP275" s="209" t="str">
        <f>IFERROR(VLOOKUP(TableHandbook[[#This Row],[UDC]],TableSTRUECOB1[],7,FALSE),"")</f>
        <v>Option</v>
      </c>
      <c r="AQ275" s="209" t="str">
        <f>IFERROR(VLOOKUP(TableHandbook[[#This Row],[UDC]],TableSTRUENGLB[],7,FALSE),"")</f>
        <v/>
      </c>
      <c r="AR275" s="209" t="str">
        <f>IFERROR(VLOOKUP(TableHandbook[[#This Row],[UDC]],TableSTRUENGLM[],7,FALSE),"")</f>
        <v/>
      </c>
      <c r="AS275" s="209" t="str">
        <f>IFERROR(VLOOKUP(TableHandbook[[#This Row],[UDC]],TableSTRUGEOB1[],7,FALSE),"")</f>
        <v/>
      </c>
      <c r="AT275" s="209" t="str">
        <f>IFERROR(VLOOKUP(TableHandbook[[#This Row],[UDC]],TableSTRUGEOGM[],7,FALSE),"")</f>
        <v/>
      </c>
      <c r="AU275" s="209" t="str">
        <f>IFERROR(VLOOKUP(TableHandbook[[#This Row],[UDC]],TableSTRUHISB1[],7,FALSE),"")</f>
        <v/>
      </c>
      <c r="AV275" s="209" t="str">
        <f>IFERROR(VLOOKUP(TableHandbook[[#This Row],[UDC]],TableSTRUHISTM[],7,FALSE),"")</f>
        <v/>
      </c>
      <c r="AW275" s="209" t="str">
        <f>IFERROR(VLOOKUP(TableHandbook[[#This Row],[UDC]],TableSTRUHPEB1[],7,FALSE),"")</f>
        <v/>
      </c>
      <c r="AX275" s="209" t="str">
        <f>IFERROR(VLOOKUP(TableHandbook[[#This Row],[UDC]],TableSTRUHUMBB[],7,FALSE),"")</f>
        <v/>
      </c>
      <c r="AY275" s="209" t="str">
        <f>IFERROR(VLOOKUP(TableHandbook[[#This Row],[UDC]],TableSTRUMARTM[],7,FALSE),"")</f>
        <v/>
      </c>
      <c r="AZ275" s="209" t="str">
        <f>IFERROR(VLOOKUP(TableHandbook[[#This Row],[UDC]],TableSTRUMATHB[],7,FALSE),"")</f>
        <v/>
      </c>
      <c r="BA275" s="209" t="str">
        <f>IFERROR(VLOOKUP(TableHandbook[[#This Row],[UDC]],TableSTRUMATHM[],7,FALSE),"")</f>
        <v/>
      </c>
      <c r="BB275" s="209" t="str">
        <f>IFERROR(VLOOKUP(TableHandbook[[#This Row],[UDC]],TableSTRUPARTB[],7,FALSE),"")</f>
        <v/>
      </c>
      <c r="BC275" s="209" t="str">
        <f>IFERROR(VLOOKUP(TableHandbook[[#This Row],[UDC]],TableSTRUPARTM[],7,FALSE),"")</f>
        <v/>
      </c>
      <c r="BD275" s="209" t="str">
        <f>IFERROR(VLOOKUP(TableHandbook[[#This Row],[UDC]],TableSTRUPOLB1[],7,FALSE),"")</f>
        <v/>
      </c>
      <c r="BE275" s="209" t="str">
        <f>IFERROR(VLOOKUP(TableHandbook[[#This Row],[UDC]],TableSTRUPSYCB[],7,FALSE),"")</f>
        <v/>
      </c>
      <c r="BF275" s="209" t="str">
        <f>IFERROR(VLOOKUP(TableHandbook[[#This Row],[UDC]],TableSTRUPSYCM[],7,FALSE),"")</f>
        <v/>
      </c>
      <c r="BG275" s="209" t="str">
        <f>IFERROR(VLOOKUP(TableHandbook[[#This Row],[UDC]],TableSTRUVARTB[],7,FALSE),"")</f>
        <v/>
      </c>
      <c r="BH275" s="209" t="str">
        <f>IFERROR(VLOOKUP(TableHandbook[[#This Row],[UDC]],TableSTRUVARTM[],7,FALSE),"")</f>
        <v/>
      </c>
    </row>
    <row r="276" spans="1:60" x14ac:dyDescent="0.25">
      <c r="A276" s="296" t="s">
        <v>553</v>
      </c>
      <c r="B276" s="7">
        <v>0</v>
      </c>
      <c r="C276" s="7"/>
      <c r="D276" s="207" t="s">
        <v>1081</v>
      </c>
      <c r="E276" s="7">
        <v>25</v>
      </c>
      <c r="F276" s="84" t="s">
        <v>769</v>
      </c>
      <c r="G276" s="75" t="str">
        <f>IFERROR(IF(VLOOKUP(TableHandbook[[#This Row],[UDC]],TableAvailabilities[],2,FALSE)&gt;0,"Y",""),"")</f>
        <v/>
      </c>
      <c r="H276" s="75" t="str">
        <f>IFERROR(IF(VLOOKUP(TableHandbook[[#This Row],[UDC]],TableAvailabilities[],3,FALSE)&gt;0,"Y",""),"")</f>
        <v/>
      </c>
      <c r="I276" s="75" t="str">
        <f>IFERROR(IF(VLOOKUP(TableHandbook[[#This Row],[UDC]],TableAvailabilities[],4,FALSE)&gt;0,"Y",""),"")</f>
        <v/>
      </c>
      <c r="J276" s="75" t="str">
        <f>IFERROR(IF(VLOOKUP(TableHandbook[[#This Row],[UDC]],TableAvailabilities[],5,FALSE)&gt;0,"Y",""),"")</f>
        <v/>
      </c>
      <c r="K276" s="75" t="str">
        <f>IFERROR(IF(VLOOKUP(TableHandbook[[#This Row],[UDC]],TableAvailabilities[],6,FALSE)&gt;0,"Y",""),"")</f>
        <v/>
      </c>
      <c r="L276" s="75" t="str">
        <f>IFERROR(IF(VLOOKUP(TableHandbook[[#This Row],[UDC]],TableAvailabilities[],7,FALSE)&gt;0,"Y",""),"")</f>
        <v/>
      </c>
      <c r="M276" s="207"/>
      <c r="N276" s="209" t="str">
        <f>IFERROR(VLOOKUP(TableHandbook[[#This Row],[UDC]],TableBEDUC[],7,FALSE),"")</f>
        <v/>
      </c>
      <c r="O276" s="209" t="str">
        <f>IFERROR(VLOOKUP(TableHandbook[[#This Row],[UDC]],TableBEDEC[],7,FALSE),"")</f>
        <v/>
      </c>
      <c r="P276" s="211" t="str">
        <f>IFERROR(VLOOKUP(TableHandbook[[#This Row],[UDC]],TableBEDPR[],7,FALSE),"")</f>
        <v/>
      </c>
      <c r="Q276" s="209" t="str">
        <f>IFERROR(VLOOKUP(TableHandbook[[#This Row],[UDC]],TableSTRUCATHL[],7,FALSE),"")</f>
        <v/>
      </c>
      <c r="R276" s="209" t="str">
        <f>IFERROR(VLOOKUP(TableHandbook[[#This Row],[UDC]],TableSTRUENGLL[],7,FALSE),"")</f>
        <v/>
      </c>
      <c r="S276" s="209" t="str">
        <f>IFERROR(VLOOKUP(TableHandbook[[#This Row],[UDC]],TableSTRUHLTPE[],7,FALSE),"")</f>
        <v/>
      </c>
      <c r="T276" s="209" t="str">
        <f>IFERROR(VLOOKUP(TableHandbook[[#This Row],[UDC]],TableSTRUISTEM[],7,FALSE),"")</f>
        <v/>
      </c>
      <c r="U276" s="209" t="str">
        <f>IFERROR(VLOOKUP(TableHandbook[[#This Row],[UDC]],TableSTRULITNU[],7,FALSE),"")</f>
        <v/>
      </c>
      <c r="V276" s="209" t="str">
        <f>IFERROR(VLOOKUP(TableHandbook[[#This Row],[UDC]],TableSTRUTECHS[],7,FALSE),"")</f>
        <v/>
      </c>
      <c r="W276" s="211" t="str">
        <f>IFERROR(VLOOKUP(TableHandbook[[#This Row],[UDC]],TableBEDSC[],7,FALSE),"")</f>
        <v/>
      </c>
      <c r="X276" s="211" t="str">
        <f>IFERROR(VLOOKUP(TableHandbook[[#This Row],[UDC]],TableMJRUARDR1[],7,FALSE),"")</f>
        <v/>
      </c>
      <c r="Y276" s="209" t="str">
        <f>IFERROR(VLOOKUP(TableHandbook[[#This Row],[UDC]],TableMJRUARME1[],7,FALSE),"")</f>
        <v/>
      </c>
      <c r="Z276" s="209" t="str">
        <f>IFERROR(VLOOKUP(TableHandbook[[#This Row],[UDC]],TableMJRUARVA1[],7,FALSE),"")</f>
        <v/>
      </c>
      <c r="AA276" s="209" t="str">
        <f>IFERROR(VLOOKUP(TableHandbook[[#This Row],[UDC]],TableMJRUENGL1[],7,FALSE),"")</f>
        <v>Option</v>
      </c>
      <c r="AB276" s="209" t="str">
        <f>IFERROR(VLOOKUP(TableHandbook[[#This Row],[UDC]],TableMJRUHSEC1[],7,FALSE),"")</f>
        <v/>
      </c>
      <c r="AC276" s="209" t="str">
        <f>IFERROR(VLOOKUP(TableHandbook[[#This Row],[UDC]],TableMJRUHSGE1[],7,FALSE),"")</f>
        <v/>
      </c>
      <c r="AD276" s="209" t="str">
        <f>IFERROR(VLOOKUP(TableHandbook[[#This Row],[UDC]],TableMJRUHSHI1[],7,FALSE),"")</f>
        <v/>
      </c>
      <c r="AE276" s="209" t="str">
        <f>IFERROR(VLOOKUP(TableHandbook[[#This Row],[UDC]],TableMJRUHSPL1[],7,FALSE),"")</f>
        <v/>
      </c>
      <c r="AF276" s="209" t="str">
        <f>IFERROR(VLOOKUP(TableHandbook[[#This Row],[UDC]],TableMJRUMATH1[],7,FALSE),"")</f>
        <v/>
      </c>
      <c r="AG276" s="209" t="str">
        <f>IFERROR(VLOOKUP(TableHandbook[[#This Row],[UDC]],TableMJRUPHYSE[],7,FALSE),"")</f>
        <v/>
      </c>
      <c r="AH276" s="209" t="str">
        <f>IFERROR(VLOOKUP(TableHandbook[[#This Row],[UDC]],TableMJRUSCBI1[],7,FALSE),"")</f>
        <v/>
      </c>
      <c r="AI276" s="209" t="str">
        <f>IFERROR(VLOOKUP(TableHandbook[[#This Row],[UDC]],TableMJRUSCCH1[],7,FALSE),"")</f>
        <v/>
      </c>
      <c r="AJ276" s="209" t="str">
        <f>IFERROR(VLOOKUP(TableHandbook[[#This Row],[UDC]],TableMJRUSCHB1[],7,FALSE),"")</f>
        <v/>
      </c>
      <c r="AK276" s="209" t="str">
        <f>IFERROR(VLOOKUP(TableHandbook[[#This Row],[UDC]],TableMJRUSCPH1[],7,FALSE),"")</f>
        <v/>
      </c>
      <c r="AL276" s="209" t="str">
        <f>IFERROR(VLOOKUP(TableHandbook[[#This Row],[UDC]],TableMJRUSCPS1[],7,FALSE),"")</f>
        <v/>
      </c>
      <c r="AM276" s="211" t="str">
        <f>IFERROR(VLOOKUP(TableHandbook[[#This Row],[UDC]],TableSTRUBIOLB[],7,FALSE),"")</f>
        <v/>
      </c>
      <c r="AN276" s="209" t="str">
        <f>IFERROR(VLOOKUP(TableHandbook[[#This Row],[UDC]],TableSTRUBSCIM[],7,FALSE),"")</f>
        <v/>
      </c>
      <c r="AO276" s="209" t="str">
        <f>IFERROR(VLOOKUP(TableHandbook[[#This Row],[UDC]],TableSTRUCHEMB[],7,FALSE),"")</f>
        <v/>
      </c>
      <c r="AP276" s="209" t="str">
        <f>IFERROR(VLOOKUP(TableHandbook[[#This Row],[UDC]],TableSTRUECOB1[],7,FALSE),"")</f>
        <v/>
      </c>
      <c r="AQ276" s="209" t="str">
        <f>IFERROR(VLOOKUP(TableHandbook[[#This Row],[UDC]],TableSTRUENGLB[],7,FALSE),"")</f>
        <v/>
      </c>
      <c r="AR276" s="209" t="str">
        <f>IFERROR(VLOOKUP(TableHandbook[[#This Row],[UDC]],TableSTRUENGLM[],7,FALSE),"")</f>
        <v/>
      </c>
      <c r="AS276" s="209" t="str">
        <f>IFERROR(VLOOKUP(TableHandbook[[#This Row],[UDC]],TableSTRUGEOB1[],7,FALSE),"")</f>
        <v/>
      </c>
      <c r="AT276" s="209" t="str">
        <f>IFERROR(VLOOKUP(TableHandbook[[#This Row],[UDC]],TableSTRUGEOGM[],7,FALSE),"")</f>
        <v/>
      </c>
      <c r="AU276" s="209" t="str">
        <f>IFERROR(VLOOKUP(TableHandbook[[#This Row],[UDC]],TableSTRUHISB1[],7,FALSE),"")</f>
        <v/>
      </c>
      <c r="AV276" s="209" t="str">
        <f>IFERROR(VLOOKUP(TableHandbook[[#This Row],[UDC]],TableSTRUHISTM[],7,FALSE),"")</f>
        <v/>
      </c>
      <c r="AW276" s="209" t="str">
        <f>IFERROR(VLOOKUP(TableHandbook[[#This Row],[UDC]],TableSTRUHPEB1[],7,FALSE),"")</f>
        <v/>
      </c>
      <c r="AX276" s="209" t="str">
        <f>IFERROR(VLOOKUP(TableHandbook[[#This Row],[UDC]],TableSTRUHUMBB[],7,FALSE),"")</f>
        <v/>
      </c>
      <c r="AY276" s="209" t="str">
        <f>IFERROR(VLOOKUP(TableHandbook[[#This Row],[UDC]],TableSTRUMARTM[],7,FALSE),"")</f>
        <v/>
      </c>
      <c r="AZ276" s="209" t="str">
        <f>IFERROR(VLOOKUP(TableHandbook[[#This Row],[UDC]],TableSTRUMATHB[],7,FALSE),"")</f>
        <v/>
      </c>
      <c r="BA276" s="209" t="str">
        <f>IFERROR(VLOOKUP(TableHandbook[[#This Row],[UDC]],TableSTRUMATHM[],7,FALSE),"")</f>
        <v/>
      </c>
      <c r="BB276" s="209" t="str">
        <f>IFERROR(VLOOKUP(TableHandbook[[#This Row],[UDC]],TableSTRUPARTB[],7,FALSE),"")</f>
        <v/>
      </c>
      <c r="BC276" s="209" t="str">
        <f>IFERROR(VLOOKUP(TableHandbook[[#This Row],[UDC]],TableSTRUPARTM[],7,FALSE),"")</f>
        <v/>
      </c>
      <c r="BD276" s="209" t="str">
        <f>IFERROR(VLOOKUP(TableHandbook[[#This Row],[UDC]],TableSTRUPOLB1[],7,FALSE),"")</f>
        <v/>
      </c>
      <c r="BE276" s="209" t="str">
        <f>IFERROR(VLOOKUP(TableHandbook[[#This Row],[UDC]],TableSTRUPSYCB[],7,FALSE),"")</f>
        <v/>
      </c>
      <c r="BF276" s="209" t="str">
        <f>IFERROR(VLOOKUP(TableHandbook[[#This Row],[UDC]],TableSTRUPSYCM[],7,FALSE),"")</f>
        <v/>
      </c>
      <c r="BG276" s="209" t="str">
        <f>IFERROR(VLOOKUP(TableHandbook[[#This Row],[UDC]],TableSTRUVARTB[],7,FALSE),"")</f>
        <v/>
      </c>
      <c r="BH276" s="209" t="str">
        <f>IFERROR(VLOOKUP(TableHandbook[[#This Row],[UDC]],TableSTRUVARTM[],7,FALSE),"")</f>
        <v/>
      </c>
    </row>
    <row r="277" spans="1:60" x14ac:dyDescent="0.25">
      <c r="A277" s="305" t="s">
        <v>728</v>
      </c>
      <c r="B277" s="7">
        <v>0</v>
      </c>
      <c r="C277" s="7"/>
      <c r="D277" s="207" t="s">
        <v>1088</v>
      </c>
      <c r="E277" s="7">
        <v>25</v>
      </c>
      <c r="F277" s="84" t="s">
        <v>769</v>
      </c>
      <c r="G277" s="75" t="str">
        <f>IFERROR(IF(VLOOKUP(TableHandbook[[#This Row],[UDC]],TableAvailabilities[],2,FALSE)&gt;0,"Y",""),"")</f>
        <v/>
      </c>
      <c r="H277" s="75" t="str">
        <f>IFERROR(IF(VLOOKUP(TableHandbook[[#This Row],[UDC]],TableAvailabilities[],3,FALSE)&gt;0,"Y",""),"")</f>
        <v/>
      </c>
      <c r="I277" s="75" t="str">
        <f>IFERROR(IF(VLOOKUP(TableHandbook[[#This Row],[UDC]],TableAvailabilities[],4,FALSE)&gt;0,"Y",""),"")</f>
        <v/>
      </c>
      <c r="J277" s="75" t="str">
        <f>IFERROR(IF(VLOOKUP(TableHandbook[[#This Row],[UDC]],TableAvailabilities[],5,FALSE)&gt;0,"Y",""),"")</f>
        <v/>
      </c>
      <c r="K277" s="75" t="str">
        <f>IFERROR(IF(VLOOKUP(TableHandbook[[#This Row],[UDC]],TableAvailabilities[],6,FALSE)&gt;0,"Y",""),"")</f>
        <v/>
      </c>
      <c r="L277" s="75" t="str">
        <f>IFERROR(IF(VLOOKUP(TableHandbook[[#This Row],[UDC]],TableAvailabilities[],7,FALSE)&gt;0,"Y",""),"")</f>
        <v/>
      </c>
      <c r="M277" s="207"/>
      <c r="N277" s="209" t="str">
        <f>IFERROR(VLOOKUP(TableHandbook[[#This Row],[UDC]],TableBEDUC[],7,FALSE),"")</f>
        <v/>
      </c>
      <c r="O277" s="209" t="str">
        <f>IFERROR(VLOOKUP(TableHandbook[[#This Row],[UDC]],TableBEDEC[],7,FALSE),"")</f>
        <v/>
      </c>
      <c r="P277" s="211" t="str">
        <f>IFERROR(VLOOKUP(TableHandbook[[#This Row],[UDC]],TableBEDPR[],7,FALSE),"")</f>
        <v/>
      </c>
      <c r="Q277" s="209" t="str">
        <f>IFERROR(VLOOKUP(TableHandbook[[#This Row],[UDC]],TableSTRUCATHL[],7,FALSE),"")</f>
        <v/>
      </c>
      <c r="R277" s="209" t="str">
        <f>IFERROR(VLOOKUP(TableHandbook[[#This Row],[UDC]],TableSTRUENGLL[],7,FALSE),"")</f>
        <v/>
      </c>
      <c r="S277" s="209" t="str">
        <f>IFERROR(VLOOKUP(TableHandbook[[#This Row],[UDC]],TableSTRUHLTPE[],7,FALSE),"")</f>
        <v/>
      </c>
      <c r="T277" s="209" t="str">
        <f>IFERROR(VLOOKUP(TableHandbook[[#This Row],[UDC]],TableSTRUISTEM[],7,FALSE),"")</f>
        <v/>
      </c>
      <c r="U277" s="209" t="str">
        <f>IFERROR(VLOOKUP(TableHandbook[[#This Row],[UDC]],TableSTRULITNU[],7,FALSE),"")</f>
        <v/>
      </c>
      <c r="V277" s="209" t="str">
        <f>IFERROR(VLOOKUP(TableHandbook[[#This Row],[UDC]],TableSTRUTECHS[],7,FALSE),"")</f>
        <v/>
      </c>
      <c r="W277" s="211" t="str">
        <f>IFERROR(VLOOKUP(TableHandbook[[#This Row],[UDC]],TableBEDSC[],7,FALSE),"")</f>
        <v/>
      </c>
      <c r="X277" s="211" t="str">
        <f>IFERROR(VLOOKUP(TableHandbook[[#This Row],[UDC]],TableMJRUARDR1[],7,FALSE),"")</f>
        <v/>
      </c>
      <c r="Y277" s="209" t="str">
        <f>IFERROR(VLOOKUP(TableHandbook[[#This Row],[UDC]],TableMJRUARME1[],7,FALSE),"")</f>
        <v/>
      </c>
      <c r="Z277" s="209" t="str">
        <f>IFERROR(VLOOKUP(TableHandbook[[#This Row],[UDC]],TableMJRUARVA1[],7,FALSE),"")</f>
        <v/>
      </c>
      <c r="AA277" s="209" t="str">
        <f>IFERROR(VLOOKUP(TableHandbook[[#This Row],[UDC]],TableMJRUENGL1[],7,FALSE),"")</f>
        <v/>
      </c>
      <c r="AB277" s="209" t="str">
        <f>IFERROR(VLOOKUP(TableHandbook[[#This Row],[UDC]],TableMJRUHSEC1[],7,FALSE),"")</f>
        <v/>
      </c>
      <c r="AC277" s="209" t="str">
        <f>IFERROR(VLOOKUP(TableHandbook[[#This Row],[UDC]],TableMJRUHSGE1[],7,FALSE),"")</f>
        <v/>
      </c>
      <c r="AD277" s="209" t="str">
        <f>IFERROR(VLOOKUP(TableHandbook[[#This Row],[UDC]],TableMJRUHSHI1[],7,FALSE),"")</f>
        <v/>
      </c>
      <c r="AE277" s="209" t="str">
        <f>IFERROR(VLOOKUP(TableHandbook[[#This Row],[UDC]],TableMJRUHSPL1[],7,FALSE),"")</f>
        <v/>
      </c>
      <c r="AF277" s="209" t="str">
        <f>IFERROR(VLOOKUP(TableHandbook[[#This Row],[UDC]],TableMJRUMATH1[],7,FALSE),"")</f>
        <v/>
      </c>
      <c r="AG277" s="209" t="str">
        <f>IFERROR(VLOOKUP(TableHandbook[[#This Row],[UDC]],TableMJRUPHYSE[],7,FALSE),"")</f>
        <v/>
      </c>
      <c r="AH277" s="209" t="str">
        <f>IFERROR(VLOOKUP(TableHandbook[[#This Row],[UDC]],TableMJRUSCBI1[],7,FALSE),"")</f>
        <v/>
      </c>
      <c r="AI277" s="209" t="str">
        <f>IFERROR(VLOOKUP(TableHandbook[[#This Row],[UDC]],TableMJRUSCCH1[],7,FALSE),"")</f>
        <v/>
      </c>
      <c r="AJ277" s="209" t="str">
        <f>IFERROR(VLOOKUP(TableHandbook[[#This Row],[UDC]],TableMJRUSCHB1[],7,FALSE),"")</f>
        <v/>
      </c>
      <c r="AK277" s="209" t="str">
        <f>IFERROR(VLOOKUP(TableHandbook[[#This Row],[UDC]],TableMJRUSCPH1[],7,FALSE),"")</f>
        <v/>
      </c>
      <c r="AL277" s="209" t="str">
        <f>IFERROR(VLOOKUP(TableHandbook[[#This Row],[UDC]],TableMJRUSCPS1[],7,FALSE),"")</f>
        <v/>
      </c>
      <c r="AM277" s="211" t="str">
        <f>IFERROR(VLOOKUP(TableHandbook[[#This Row],[UDC]],TableSTRUBIOLB[],7,FALSE),"")</f>
        <v/>
      </c>
      <c r="AN277" s="209" t="str">
        <f>IFERROR(VLOOKUP(TableHandbook[[#This Row],[UDC]],TableSTRUBSCIM[],7,FALSE),"")</f>
        <v/>
      </c>
      <c r="AO277" s="209" t="str">
        <f>IFERROR(VLOOKUP(TableHandbook[[#This Row],[UDC]],TableSTRUCHEMB[],7,FALSE),"")</f>
        <v/>
      </c>
      <c r="AP277" s="209" t="str">
        <f>IFERROR(VLOOKUP(TableHandbook[[#This Row],[UDC]],TableSTRUECOB1[],7,FALSE),"")</f>
        <v/>
      </c>
      <c r="AQ277" s="209" t="str">
        <f>IFERROR(VLOOKUP(TableHandbook[[#This Row],[UDC]],TableSTRUENGLB[],7,FALSE),"")</f>
        <v>Option</v>
      </c>
      <c r="AR277" s="209" t="str">
        <f>IFERROR(VLOOKUP(TableHandbook[[#This Row],[UDC]],TableSTRUENGLM[],7,FALSE),"")</f>
        <v/>
      </c>
      <c r="AS277" s="209" t="str">
        <f>IFERROR(VLOOKUP(TableHandbook[[#This Row],[UDC]],TableSTRUGEOB1[],7,FALSE),"")</f>
        <v/>
      </c>
      <c r="AT277" s="209" t="str">
        <f>IFERROR(VLOOKUP(TableHandbook[[#This Row],[UDC]],TableSTRUGEOGM[],7,FALSE),"")</f>
        <v/>
      </c>
      <c r="AU277" s="209" t="str">
        <f>IFERROR(VLOOKUP(TableHandbook[[#This Row],[UDC]],TableSTRUHISB1[],7,FALSE),"")</f>
        <v/>
      </c>
      <c r="AV277" s="209" t="str">
        <f>IFERROR(VLOOKUP(TableHandbook[[#This Row],[UDC]],TableSTRUHISTM[],7,FALSE),"")</f>
        <v/>
      </c>
      <c r="AW277" s="209" t="str">
        <f>IFERROR(VLOOKUP(TableHandbook[[#This Row],[UDC]],TableSTRUHPEB1[],7,FALSE),"")</f>
        <v/>
      </c>
      <c r="AX277" s="209" t="str">
        <f>IFERROR(VLOOKUP(TableHandbook[[#This Row],[UDC]],TableSTRUHUMBB[],7,FALSE),"")</f>
        <v/>
      </c>
      <c r="AY277" s="209" t="str">
        <f>IFERROR(VLOOKUP(TableHandbook[[#This Row],[UDC]],TableSTRUMARTM[],7,FALSE),"")</f>
        <v/>
      </c>
      <c r="AZ277" s="209" t="str">
        <f>IFERROR(VLOOKUP(TableHandbook[[#This Row],[UDC]],TableSTRUMATHB[],7,FALSE),"")</f>
        <v/>
      </c>
      <c r="BA277" s="209" t="str">
        <f>IFERROR(VLOOKUP(TableHandbook[[#This Row],[UDC]],TableSTRUMATHM[],7,FALSE),"")</f>
        <v/>
      </c>
      <c r="BB277" s="209" t="str">
        <f>IFERROR(VLOOKUP(TableHandbook[[#This Row],[UDC]],TableSTRUPARTB[],7,FALSE),"")</f>
        <v/>
      </c>
      <c r="BC277" s="209" t="str">
        <f>IFERROR(VLOOKUP(TableHandbook[[#This Row],[UDC]],TableSTRUPARTM[],7,FALSE),"")</f>
        <v/>
      </c>
      <c r="BD277" s="209" t="str">
        <f>IFERROR(VLOOKUP(TableHandbook[[#This Row],[UDC]],TableSTRUPOLB1[],7,FALSE),"")</f>
        <v/>
      </c>
      <c r="BE277" s="209" t="str">
        <f>IFERROR(VLOOKUP(TableHandbook[[#This Row],[UDC]],TableSTRUPSYCB[],7,FALSE),"")</f>
        <v/>
      </c>
      <c r="BF277" s="209" t="str">
        <f>IFERROR(VLOOKUP(TableHandbook[[#This Row],[UDC]],TableSTRUPSYCM[],7,FALSE),"")</f>
        <v/>
      </c>
      <c r="BG277" s="209" t="str">
        <f>IFERROR(VLOOKUP(TableHandbook[[#This Row],[UDC]],TableSTRUVARTB[],7,FALSE),"")</f>
        <v/>
      </c>
      <c r="BH277" s="209" t="str">
        <f>IFERROR(VLOOKUP(TableHandbook[[#This Row],[UDC]],TableSTRUVARTM[],7,FALSE),"")</f>
        <v/>
      </c>
    </row>
    <row r="278" spans="1:60" x14ac:dyDescent="0.25">
      <c r="A278" s="305" t="s">
        <v>729</v>
      </c>
      <c r="B278" s="7">
        <v>0</v>
      </c>
      <c r="C278" s="7"/>
      <c r="D278" s="207" t="s">
        <v>1088</v>
      </c>
      <c r="E278" s="7">
        <v>25</v>
      </c>
      <c r="F278" s="84" t="s">
        <v>769</v>
      </c>
      <c r="G278" s="75" t="str">
        <f>IFERROR(IF(VLOOKUP(TableHandbook[[#This Row],[UDC]],TableAvailabilities[],2,FALSE)&gt;0,"Y",""),"")</f>
        <v/>
      </c>
      <c r="H278" s="75" t="str">
        <f>IFERROR(IF(VLOOKUP(TableHandbook[[#This Row],[UDC]],TableAvailabilities[],3,FALSE)&gt;0,"Y",""),"")</f>
        <v/>
      </c>
      <c r="I278" s="75" t="str">
        <f>IFERROR(IF(VLOOKUP(TableHandbook[[#This Row],[UDC]],TableAvailabilities[],4,FALSE)&gt;0,"Y",""),"")</f>
        <v/>
      </c>
      <c r="J278" s="75" t="str">
        <f>IFERROR(IF(VLOOKUP(TableHandbook[[#This Row],[UDC]],TableAvailabilities[],5,FALSE)&gt;0,"Y",""),"")</f>
        <v/>
      </c>
      <c r="K278" s="75" t="str">
        <f>IFERROR(IF(VLOOKUP(TableHandbook[[#This Row],[UDC]],TableAvailabilities[],6,FALSE)&gt;0,"Y",""),"")</f>
        <v/>
      </c>
      <c r="L278" s="75" t="str">
        <f>IFERROR(IF(VLOOKUP(TableHandbook[[#This Row],[UDC]],TableAvailabilities[],7,FALSE)&gt;0,"Y",""),"")</f>
        <v/>
      </c>
      <c r="M278" s="207"/>
      <c r="N278" s="209" t="str">
        <f>IFERROR(VLOOKUP(TableHandbook[[#This Row],[UDC]],TableBEDUC[],7,FALSE),"")</f>
        <v/>
      </c>
      <c r="O278" s="209" t="str">
        <f>IFERROR(VLOOKUP(TableHandbook[[#This Row],[UDC]],TableBEDEC[],7,FALSE),"")</f>
        <v/>
      </c>
      <c r="P278" s="211" t="str">
        <f>IFERROR(VLOOKUP(TableHandbook[[#This Row],[UDC]],TableBEDPR[],7,FALSE),"")</f>
        <v/>
      </c>
      <c r="Q278" s="209" t="str">
        <f>IFERROR(VLOOKUP(TableHandbook[[#This Row],[UDC]],TableSTRUCATHL[],7,FALSE),"")</f>
        <v/>
      </c>
      <c r="R278" s="209" t="str">
        <f>IFERROR(VLOOKUP(TableHandbook[[#This Row],[UDC]],TableSTRUENGLL[],7,FALSE),"")</f>
        <v/>
      </c>
      <c r="S278" s="209" t="str">
        <f>IFERROR(VLOOKUP(TableHandbook[[#This Row],[UDC]],TableSTRUHLTPE[],7,FALSE),"")</f>
        <v/>
      </c>
      <c r="T278" s="209" t="str">
        <f>IFERROR(VLOOKUP(TableHandbook[[#This Row],[UDC]],TableSTRUISTEM[],7,FALSE),"")</f>
        <v/>
      </c>
      <c r="U278" s="209" t="str">
        <f>IFERROR(VLOOKUP(TableHandbook[[#This Row],[UDC]],TableSTRULITNU[],7,FALSE),"")</f>
        <v/>
      </c>
      <c r="V278" s="209" t="str">
        <f>IFERROR(VLOOKUP(TableHandbook[[#This Row],[UDC]],TableSTRUTECHS[],7,FALSE),"")</f>
        <v/>
      </c>
      <c r="W278" s="211" t="str">
        <f>IFERROR(VLOOKUP(TableHandbook[[#This Row],[UDC]],TableBEDSC[],7,FALSE),"")</f>
        <v/>
      </c>
      <c r="X278" s="211" t="str">
        <f>IFERROR(VLOOKUP(TableHandbook[[#This Row],[UDC]],TableMJRUARDR1[],7,FALSE),"")</f>
        <v/>
      </c>
      <c r="Y278" s="209" t="str">
        <f>IFERROR(VLOOKUP(TableHandbook[[#This Row],[UDC]],TableMJRUARME1[],7,FALSE),"")</f>
        <v/>
      </c>
      <c r="Z278" s="209" t="str">
        <f>IFERROR(VLOOKUP(TableHandbook[[#This Row],[UDC]],TableMJRUARVA1[],7,FALSE),"")</f>
        <v/>
      </c>
      <c r="AA278" s="209" t="str">
        <f>IFERROR(VLOOKUP(TableHandbook[[#This Row],[UDC]],TableMJRUENGL1[],7,FALSE),"")</f>
        <v/>
      </c>
      <c r="AB278" s="209" t="str">
        <f>IFERROR(VLOOKUP(TableHandbook[[#This Row],[UDC]],TableMJRUHSEC1[],7,FALSE),"")</f>
        <v/>
      </c>
      <c r="AC278" s="209" t="str">
        <f>IFERROR(VLOOKUP(TableHandbook[[#This Row],[UDC]],TableMJRUHSGE1[],7,FALSE),"")</f>
        <v/>
      </c>
      <c r="AD278" s="209" t="str">
        <f>IFERROR(VLOOKUP(TableHandbook[[#This Row],[UDC]],TableMJRUHSHI1[],7,FALSE),"")</f>
        <v/>
      </c>
      <c r="AE278" s="209" t="str">
        <f>IFERROR(VLOOKUP(TableHandbook[[#This Row],[UDC]],TableMJRUHSPL1[],7,FALSE),"")</f>
        <v/>
      </c>
      <c r="AF278" s="209" t="str">
        <f>IFERROR(VLOOKUP(TableHandbook[[#This Row],[UDC]],TableMJRUMATH1[],7,FALSE),"")</f>
        <v/>
      </c>
      <c r="AG278" s="209" t="str">
        <f>IFERROR(VLOOKUP(TableHandbook[[#This Row],[UDC]],TableMJRUPHYSE[],7,FALSE),"")</f>
        <v/>
      </c>
      <c r="AH278" s="209" t="str">
        <f>IFERROR(VLOOKUP(TableHandbook[[#This Row],[UDC]],TableMJRUSCBI1[],7,FALSE),"")</f>
        <v/>
      </c>
      <c r="AI278" s="209" t="str">
        <f>IFERROR(VLOOKUP(TableHandbook[[#This Row],[UDC]],TableMJRUSCCH1[],7,FALSE),"")</f>
        <v/>
      </c>
      <c r="AJ278" s="209" t="str">
        <f>IFERROR(VLOOKUP(TableHandbook[[#This Row],[UDC]],TableMJRUSCHB1[],7,FALSE),"")</f>
        <v/>
      </c>
      <c r="AK278" s="209" t="str">
        <f>IFERROR(VLOOKUP(TableHandbook[[#This Row],[UDC]],TableMJRUSCPH1[],7,FALSE),"")</f>
        <v/>
      </c>
      <c r="AL278" s="209" t="str">
        <f>IFERROR(VLOOKUP(TableHandbook[[#This Row],[UDC]],TableMJRUSCPS1[],7,FALSE),"")</f>
        <v/>
      </c>
      <c r="AM278" s="211" t="str">
        <f>IFERROR(VLOOKUP(TableHandbook[[#This Row],[UDC]],TableSTRUBIOLB[],7,FALSE),"")</f>
        <v/>
      </c>
      <c r="AN278" s="209" t="str">
        <f>IFERROR(VLOOKUP(TableHandbook[[#This Row],[UDC]],TableSTRUBSCIM[],7,FALSE),"")</f>
        <v/>
      </c>
      <c r="AO278" s="209" t="str">
        <f>IFERROR(VLOOKUP(TableHandbook[[#This Row],[UDC]],TableSTRUCHEMB[],7,FALSE),"")</f>
        <v/>
      </c>
      <c r="AP278" s="209" t="str">
        <f>IFERROR(VLOOKUP(TableHandbook[[#This Row],[UDC]],TableSTRUECOB1[],7,FALSE),"")</f>
        <v/>
      </c>
      <c r="AQ278" s="209" t="str">
        <f>IFERROR(VLOOKUP(TableHandbook[[#This Row],[UDC]],TableSTRUENGLB[],7,FALSE),"")</f>
        <v/>
      </c>
      <c r="AR278" s="209" t="str">
        <f>IFERROR(VLOOKUP(TableHandbook[[#This Row],[UDC]],TableSTRUENGLM[],7,FALSE),"")</f>
        <v/>
      </c>
      <c r="AS278" s="209" t="str">
        <f>IFERROR(VLOOKUP(TableHandbook[[#This Row],[UDC]],TableSTRUGEOB1[],7,FALSE),"")</f>
        <v>Option</v>
      </c>
      <c r="AT278" s="209" t="str">
        <f>IFERROR(VLOOKUP(TableHandbook[[#This Row],[UDC]],TableSTRUGEOGM[],7,FALSE),"")</f>
        <v/>
      </c>
      <c r="AU278" s="209" t="str">
        <f>IFERROR(VLOOKUP(TableHandbook[[#This Row],[UDC]],TableSTRUHISB1[],7,FALSE),"")</f>
        <v/>
      </c>
      <c r="AV278" s="209" t="str">
        <f>IFERROR(VLOOKUP(TableHandbook[[#This Row],[UDC]],TableSTRUHISTM[],7,FALSE),"")</f>
        <v/>
      </c>
      <c r="AW278" s="209" t="str">
        <f>IFERROR(VLOOKUP(TableHandbook[[#This Row],[UDC]],TableSTRUHPEB1[],7,FALSE),"")</f>
        <v/>
      </c>
      <c r="AX278" s="209" t="str">
        <f>IFERROR(VLOOKUP(TableHandbook[[#This Row],[UDC]],TableSTRUHUMBB[],7,FALSE),"")</f>
        <v/>
      </c>
      <c r="AY278" s="209" t="str">
        <f>IFERROR(VLOOKUP(TableHandbook[[#This Row],[UDC]],TableSTRUMARTM[],7,FALSE),"")</f>
        <v/>
      </c>
      <c r="AZ278" s="209" t="str">
        <f>IFERROR(VLOOKUP(TableHandbook[[#This Row],[UDC]],TableSTRUMATHB[],7,FALSE),"")</f>
        <v/>
      </c>
      <c r="BA278" s="209" t="str">
        <f>IFERROR(VLOOKUP(TableHandbook[[#This Row],[UDC]],TableSTRUMATHM[],7,FALSE),"")</f>
        <v/>
      </c>
      <c r="BB278" s="209" t="str">
        <f>IFERROR(VLOOKUP(TableHandbook[[#This Row],[UDC]],TableSTRUPARTB[],7,FALSE),"")</f>
        <v/>
      </c>
      <c r="BC278" s="209" t="str">
        <f>IFERROR(VLOOKUP(TableHandbook[[#This Row],[UDC]],TableSTRUPARTM[],7,FALSE),"")</f>
        <v/>
      </c>
      <c r="BD278" s="209" t="str">
        <f>IFERROR(VLOOKUP(TableHandbook[[#This Row],[UDC]],TableSTRUPOLB1[],7,FALSE),"")</f>
        <v/>
      </c>
      <c r="BE278" s="209" t="str">
        <f>IFERROR(VLOOKUP(TableHandbook[[#This Row],[UDC]],TableSTRUPSYCB[],7,FALSE),"")</f>
        <v/>
      </c>
      <c r="BF278" s="209" t="str">
        <f>IFERROR(VLOOKUP(TableHandbook[[#This Row],[UDC]],TableSTRUPSYCM[],7,FALSE),"")</f>
        <v/>
      </c>
      <c r="BG278" s="209" t="str">
        <f>IFERROR(VLOOKUP(TableHandbook[[#This Row],[UDC]],TableSTRUVARTB[],7,FALSE),"")</f>
        <v/>
      </c>
      <c r="BH278" s="209" t="str">
        <f>IFERROR(VLOOKUP(TableHandbook[[#This Row],[UDC]],TableSTRUVARTM[],7,FALSE),"")</f>
        <v/>
      </c>
    </row>
    <row r="279" spans="1:60" x14ac:dyDescent="0.25">
      <c r="A279" s="305" t="s">
        <v>730</v>
      </c>
      <c r="B279" s="7">
        <v>0</v>
      </c>
      <c r="C279" s="7"/>
      <c r="D279" s="207" t="s">
        <v>1088</v>
      </c>
      <c r="E279" s="7">
        <v>25</v>
      </c>
      <c r="F279" s="84" t="s">
        <v>769</v>
      </c>
      <c r="G279" s="75" t="str">
        <f>IFERROR(IF(VLOOKUP(TableHandbook[[#This Row],[UDC]],TableAvailabilities[],2,FALSE)&gt;0,"Y",""),"")</f>
        <v/>
      </c>
      <c r="H279" s="75" t="str">
        <f>IFERROR(IF(VLOOKUP(TableHandbook[[#This Row],[UDC]],TableAvailabilities[],3,FALSE)&gt;0,"Y",""),"")</f>
        <v/>
      </c>
      <c r="I279" s="75" t="str">
        <f>IFERROR(IF(VLOOKUP(TableHandbook[[#This Row],[UDC]],TableAvailabilities[],4,FALSE)&gt;0,"Y",""),"")</f>
        <v/>
      </c>
      <c r="J279" s="75" t="str">
        <f>IFERROR(IF(VLOOKUP(TableHandbook[[#This Row],[UDC]],TableAvailabilities[],5,FALSE)&gt;0,"Y",""),"")</f>
        <v/>
      </c>
      <c r="K279" s="75" t="str">
        <f>IFERROR(IF(VLOOKUP(TableHandbook[[#This Row],[UDC]],TableAvailabilities[],6,FALSE)&gt;0,"Y",""),"")</f>
        <v/>
      </c>
      <c r="L279" s="75" t="str">
        <f>IFERROR(IF(VLOOKUP(TableHandbook[[#This Row],[UDC]],TableAvailabilities[],7,FALSE)&gt;0,"Y",""),"")</f>
        <v/>
      </c>
      <c r="M279" s="207"/>
      <c r="N279" s="209" t="str">
        <f>IFERROR(VLOOKUP(TableHandbook[[#This Row],[UDC]],TableBEDUC[],7,FALSE),"")</f>
        <v/>
      </c>
      <c r="O279" s="209" t="str">
        <f>IFERROR(VLOOKUP(TableHandbook[[#This Row],[UDC]],TableBEDEC[],7,FALSE),"")</f>
        <v/>
      </c>
      <c r="P279" s="211" t="str">
        <f>IFERROR(VLOOKUP(TableHandbook[[#This Row],[UDC]],TableBEDPR[],7,FALSE),"")</f>
        <v/>
      </c>
      <c r="Q279" s="209" t="str">
        <f>IFERROR(VLOOKUP(TableHandbook[[#This Row],[UDC]],TableSTRUCATHL[],7,FALSE),"")</f>
        <v/>
      </c>
      <c r="R279" s="209" t="str">
        <f>IFERROR(VLOOKUP(TableHandbook[[#This Row],[UDC]],TableSTRUENGLL[],7,FALSE),"")</f>
        <v/>
      </c>
      <c r="S279" s="209" t="str">
        <f>IFERROR(VLOOKUP(TableHandbook[[#This Row],[UDC]],TableSTRUHLTPE[],7,FALSE),"")</f>
        <v/>
      </c>
      <c r="T279" s="209" t="str">
        <f>IFERROR(VLOOKUP(TableHandbook[[#This Row],[UDC]],TableSTRUISTEM[],7,FALSE),"")</f>
        <v/>
      </c>
      <c r="U279" s="209" t="str">
        <f>IFERROR(VLOOKUP(TableHandbook[[#This Row],[UDC]],TableSTRULITNU[],7,FALSE),"")</f>
        <v/>
      </c>
      <c r="V279" s="209" t="str">
        <f>IFERROR(VLOOKUP(TableHandbook[[#This Row],[UDC]],TableSTRUTECHS[],7,FALSE),"")</f>
        <v/>
      </c>
      <c r="W279" s="211" t="str">
        <f>IFERROR(VLOOKUP(TableHandbook[[#This Row],[UDC]],TableBEDSC[],7,FALSE),"")</f>
        <v/>
      </c>
      <c r="X279" s="211" t="str">
        <f>IFERROR(VLOOKUP(TableHandbook[[#This Row],[UDC]],TableMJRUARDR1[],7,FALSE),"")</f>
        <v/>
      </c>
      <c r="Y279" s="209" t="str">
        <f>IFERROR(VLOOKUP(TableHandbook[[#This Row],[UDC]],TableMJRUARME1[],7,FALSE),"")</f>
        <v/>
      </c>
      <c r="Z279" s="209" t="str">
        <f>IFERROR(VLOOKUP(TableHandbook[[#This Row],[UDC]],TableMJRUARVA1[],7,FALSE),"")</f>
        <v/>
      </c>
      <c r="AA279" s="209" t="str">
        <f>IFERROR(VLOOKUP(TableHandbook[[#This Row],[UDC]],TableMJRUENGL1[],7,FALSE),"")</f>
        <v/>
      </c>
      <c r="AB279" s="209" t="str">
        <f>IFERROR(VLOOKUP(TableHandbook[[#This Row],[UDC]],TableMJRUHSEC1[],7,FALSE),"")</f>
        <v/>
      </c>
      <c r="AC279" s="209" t="str">
        <f>IFERROR(VLOOKUP(TableHandbook[[#This Row],[UDC]],TableMJRUHSGE1[],7,FALSE),"")</f>
        <v/>
      </c>
      <c r="AD279" s="209" t="str">
        <f>IFERROR(VLOOKUP(TableHandbook[[#This Row],[UDC]],TableMJRUHSHI1[],7,FALSE),"")</f>
        <v/>
      </c>
      <c r="AE279" s="209" t="str">
        <f>IFERROR(VLOOKUP(TableHandbook[[#This Row],[UDC]],TableMJRUHSPL1[],7,FALSE),"")</f>
        <v/>
      </c>
      <c r="AF279" s="209" t="str">
        <f>IFERROR(VLOOKUP(TableHandbook[[#This Row],[UDC]],TableMJRUMATH1[],7,FALSE),"")</f>
        <v/>
      </c>
      <c r="AG279" s="209" t="str">
        <f>IFERROR(VLOOKUP(TableHandbook[[#This Row],[UDC]],TableMJRUPHYSE[],7,FALSE),"")</f>
        <v/>
      </c>
      <c r="AH279" s="209" t="str">
        <f>IFERROR(VLOOKUP(TableHandbook[[#This Row],[UDC]],TableMJRUSCBI1[],7,FALSE),"")</f>
        <v/>
      </c>
      <c r="AI279" s="209" t="str">
        <f>IFERROR(VLOOKUP(TableHandbook[[#This Row],[UDC]],TableMJRUSCCH1[],7,FALSE),"")</f>
        <v/>
      </c>
      <c r="AJ279" s="209" t="str">
        <f>IFERROR(VLOOKUP(TableHandbook[[#This Row],[UDC]],TableMJRUSCHB1[],7,FALSE),"")</f>
        <v/>
      </c>
      <c r="AK279" s="209" t="str">
        <f>IFERROR(VLOOKUP(TableHandbook[[#This Row],[UDC]],TableMJRUSCPH1[],7,FALSE),"")</f>
        <v/>
      </c>
      <c r="AL279" s="209" t="str">
        <f>IFERROR(VLOOKUP(TableHandbook[[#This Row],[UDC]],TableMJRUSCPS1[],7,FALSE),"")</f>
        <v/>
      </c>
      <c r="AM279" s="211" t="str">
        <f>IFERROR(VLOOKUP(TableHandbook[[#This Row],[UDC]],TableSTRUBIOLB[],7,FALSE),"")</f>
        <v/>
      </c>
      <c r="AN279" s="209" t="str">
        <f>IFERROR(VLOOKUP(TableHandbook[[#This Row],[UDC]],TableSTRUBSCIM[],7,FALSE),"")</f>
        <v/>
      </c>
      <c r="AO279" s="209" t="str">
        <f>IFERROR(VLOOKUP(TableHandbook[[#This Row],[UDC]],TableSTRUCHEMB[],7,FALSE),"")</f>
        <v/>
      </c>
      <c r="AP279" s="209" t="str">
        <f>IFERROR(VLOOKUP(TableHandbook[[#This Row],[UDC]],TableSTRUECOB1[],7,FALSE),"")</f>
        <v/>
      </c>
      <c r="AQ279" s="209" t="str">
        <f>IFERROR(VLOOKUP(TableHandbook[[#This Row],[UDC]],TableSTRUENGLB[],7,FALSE),"")</f>
        <v/>
      </c>
      <c r="AR279" s="209" t="str">
        <f>IFERROR(VLOOKUP(TableHandbook[[#This Row],[UDC]],TableSTRUENGLM[],7,FALSE),"")</f>
        <v/>
      </c>
      <c r="AS279" s="209" t="str">
        <f>IFERROR(VLOOKUP(TableHandbook[[#This Row],[UDC]],TableSTRUGEOB1[],7,FALSE),"")</f>
        <v/>
      </c>
      <c r="AT279" s="209" t="str">
        <f>IFERROR(VLOOKUP(TableHandbook[[#This Row],[UDC]],TableSTRUGEOGM[],7,FALSE),"")</f>
        <v/>
      </c>
      <c r="AU279" s="209" t="str">
        <f>IFERROR(VLOOKUP(TableHandbook[[#This Row],[UDC]],TableSTRUHISB1[],7,FALSE),"")</f>
        <v>Option</v>
      </c>
      <c r="AV279" s="209" t="str">
        <f>IFERROR(VLOOKUP(TableHandbook[[#This Row],[UDC]],TableSTRUHISTM[],7,FALSE),"")</f>
        <v/>
      </c>
      <c r="AW279" s="209" t="str">
        <f>IFERROR(VLOOKUP(TableHandbook[[#This Row],[UDC]],TableSTRUHPEB1[],7,FALSE),"")</f>
        <v/>
      </c>
      <c r="AX279" s="209" t="str">
        <f>IFERROR(VLOOKUP(TableHandbook[[#This Row],[UDC]],TableSTRUHUMBB[],7,FALSE),"")</f>
        <v/>
      </c>
      <c r="AY279" s="209" t="str">
        <f>IFERROR(VLOOKUP(TableHandbook[[#This Row],[UDC]],TableSTRUMARTM[],7,FALSE),"")</f>
        <v/>
      </c>
      <c r="AZ279" s="209" t="str">
        <f>IFERROR(VLOOKUP(TableHandbook[[#This Row],[UDC]],TableSTRUMATHB[],7,FALSE),"")</f>
        <v/>
      </c>
      <c r="BA279" s="209" t="str">
        <f>IFERROR(VLOOKUP(TableHandbook[[#This Row],[UDC]],TableSTRUMATHM[],7,FALSE),"")</f>
        <v/>
      </c>
      <c r="BB279" s="209" t="str">
        <f>IFERROR(VLOOKUP(TableHandbook[[#This Row],[UDC]],TableSTRUPARTB[],7,FALSE),"")</f>
        <v/>
      </c>
      <c r="BC279" s="209" t="str">
        <f>IFERROR(VLOOKUP(TableHandbook[[#This Row],[UDC]],TableSTRUPARTM[],7,FALSE),"")</f>
        <v/>
      </c>
      <c r="BD279" s="209" t="str">
        <f>IFERROR(VLOOKUP(TableHandbook[[#This Row],[UDC]],TableSTRUPOLB1[],7,FALSE),"")</f>
        <v/>
      </c>
      <c r="BE279" s="209" t="str">
        <f>IFERROR(VLOOKUP(TableHandbook[[#This Row],[UDC]],TableSTRUPSYCB[],7,FALSE),"")</f>
        <v/>
      </c>
      <c r="BF279" s="209" t="str">
        <f>IFERROR(VLOOKUP(TableHandbook[[#This Row],[UDC]],TableSTRUPSYCM[],7,FALSE),"")</f>
        <v/>
      </c>
      <c r="BG279" s="209" t="str">
        <f>IFERROR(VLOOKUP(TableHandbook[[#This Row],[UDC]],TableSTRUVARTB[],7,FALSE),"")</f>
        <v/>
      </c>
      <c r="BH279" s="209" t="str">
        <f>IFERROR(VLOOKUP(TableHandbook[[#This Row],[UDC]],TableSTRUVARTM[],7,FALSE),"")</f>
        <v/>
      </c>
    </row>
    <row r="280" spans="1:60" x14ac:dyDescent="0.25">
      <c r="A280" s="305" t="s">
        <v>731</v>
      </c>
      <c r="B280" s="7">
        <v>0</v>
      </c>
      <c r="C280" s="7"/>
      <c r="D280" s="207" t="s">
        <v>1088</v>
      </c>
      <c r="E280" s="7">
        <v>25</v>
      </c>
      <c r="F280" s="84" t="s">
        <v>769</v>
      </c>
      <c r="G280" s="75" t="str">
        <f>IFERROR(IF(VLOOKUP(TableHandbook[[#This Row],[UDC]],TableAvailabilities[],2,FALSE)&gt;0,"Y",""),"")</f>
        <v/>
      </c>
      <c r="H280" s="75" t="str">
        <f>IFERROR(IF(VLOOKUP(TableHandbook[[#This Row],[UDC]],TableAvailabilities[],3,FALSE)&gt;0,"Y",""),"")</f>
        <v/>
      </c>
      <c r="I280" s="75" t="str">
        <f>IFERROR(IF(VLOOKUP(TableHandbook[[#This Row],[UDC]],TableAvailabilities[],4,FALSE)&gt;0,"Y",""),"")</f>
        <v/>
      </c>
      <c r="J280" s="75" t="str">
        <f>IFERROR(IF(VLOOKUP(TableHandbook[[#This Row],[UDC]],TableAvailabilities[],5,FALSE)&gt;0,"Y",""),"")</f>
        <v/>
      </c>
      <c r="K280" s="75" t="str">
        <f>IFERROR(IF(VLOOKUP(TableHandbook[[#This Row],[UDC]],TableAvailabilities[],6,FALSE)&gt;0,"Y",""),"")</f>
        <v/>
      </c>
      <c r="L280" s="75" t="str">
        <f>IFERROR(IF(VLOOKUP(TableHandbook[[#This Row],[UDC]],TableAvailabilities[],7,FALSE)&gt;0,"Y",""),"")</f>
        <v/>
      </c>
      <c r="M280" s="207"/>
      <c r="N280" s="209" t="str">
        <f>IFERROR(VLOOKUP(TableHandbook[[#This Row],[UDC]],TableBEDUC[],7,FALSE),"")</f>
        <v/>
      </c>
      <c r="O280" s="209" t="str">
        <f>IFERROR(VLOOKUP(TableHandbook[[#This Row],[UDC]],TableBEDEC[],7,FALSE),"")</f>
        <v/>
      </c>
      <c r="P280" s="211" t="str">
        <f>IFERROR(VLOOKUP(TableHandbook[[#This Row],[UDC]],TableBEDPR[],7,FALSE),"")</f>
        <v/>
      </c>
      <c r="Q280" s="209" t="str">
        <f>IFERROR(VLOOKUP(TableHandbook[[#This Row],[UDC]],TableSTRUCATHL[],7,FALSE),"")</f>
        <v/>
      </c>
      <c r="R280" s="209" t="str">
        <f>IFERROR(VLOOKUP(TableHandbook[[#This Row],[UDC]],TableSTRUENGLL[],7,FALSE),"")</f>
        <v/>
      </c>
      <c r="S280" s="209" t="str">
        <f>IFERROR(VLOOKUP(TableHandbook[[#This Row],[UDC]],TableSTRUHLTPE[],7,FALSE),"")</f>
        <v/>
      </c>
      <c r="T280" s="209" t="str">
        <f>IFERROR(VLOOKUP(TableHandbook[[#This Row],[UDC]],TableSTRUISTEM[],7,FALSE),"")</f>
        <v/>
      </c>
      <c r="U280" s="209" t="str">
        <f>IFERROR(VLOOKUP(TableHandbook[[#This Row],[UDC]],TableSTRULITNU[],7,FALSE),"")</f>
        <v/>
      </c>
      <c r="V280" s="209" t="str">
        <f>IFERROR(VLOOKUP(TableHandbook[[#This Row],[UDC]],TableSTRUTECHS[],7,FALSE),"")</f>
        <v/>
      </c>
      <c r="W280" s="211" t="str">
        <f>IFERROR(VLOOKUP(TableHandbook[[#This Row],[UDC]],TableBEDSC[],7,FALSE),"")</f>
        <v/>
      </c>
      <c r="X280" s="211" t="str">
        <f>IFERROR(VLOOKUP(TableHandbook[[#This Row],[UDC]],TableMJRUARDR1[],7,FALSE),"")</f>
        <v/>
      </c>
      <c r="Y280" s="209" t="str">
        <f>IFERROR(VLOOKUP(TableHandbook[[#This Row],[UDC]],TableMJRUARME1[],7,FALSE),"")</f>
        <v/>
      </c>
      <c r="Z280" s="209" t="str">
        <f>IFERROR(VLOOKUP(TableHandbook[[#This Row],[UDC]],TableMJRUARVA1[],7,FALSE),"")</f>
        <v/>
      </c>
      <c r="AA280" s="209" t="str">
        <f>IFERROR(VLOOKUP(TableHandbook[[#This Row],[UDC]],TableMJRUENGL1[],7,FALSE),"")</f>
        <v/>
      </c>
      <c r="AB280" s="209" t="str">
        <f>IFERROR(VLOOKUP(TableHandbook[[#This Row],[UDC]],TableMJRUHSEC1[],7,FALSE),"")</f>
        <v/>
      </c>
      <c r="AC280" s="209" t="str">
        <f>IFERROR(VLOOKUP(TableHandbook[[#This Row],[UDC]],TableMJRUHSGE1[],7,FALSE),"")</f>
        <v/>
      </c>
      <c r="AD280" s="209" t="str">
        <f>IFERROR(VLOOKUP(TableHandbook[[#This Row],[UDC]],TableMJRUHSHI1[],7,FALSE),"")</f>
        <v/>
      </c>
      <c r="AE280" s="209" t="str">
        <f>IFERROR(VLOOKUP(TableHandbook[[#This Row],[UDC]],TableMJRUHSPL1[],7,FALSE),"")</f>
        <v/>
      </c>
      <c r="AF280" s="209" t="str">
        <f>IFERROR(VLOOKUP(TableHandbook[[#This Row],[UDC]],TableMJRUMATH1[],7,FALSE),"")</f>
        <v/>
      </c>
      <c r="AG280" s="209" t="str">
        <f>IFERROR(VLOOKUP(TableHandbook[[#This Row],[UDC]],TableMJRUPHYSE[],7,FALSE),"")</f>
        <v/>
      </c>
      <c r="AH280" s="209" t="str">
        <f>IFERROR(VLOOKUP(TableHandbook[[#This Row],[UDC]],TableMJRUSCBI1[],7,FALSE),"")</f>
        <v/>
      </c>
      <c r="AI280" s="209" t="str">
        <f>IFERROR(VLOOKUP(TableHandbook[[#This Row],[UDC]],TableMJRUSCCH1[],7,FALSE),"")</f>
        <v/>
      </c>
      <c r="AJ280" s="209" t="str">
        <f>IFERROR(VLOOKUP(TableHandbook[[#This Row],[UDC]],TableMJRUSCHB1[],7,FALSE),"")</f>
        <v/>
      </c>
      <c r="AK280" s="209" t="str">
        <f>IFERROR(VLOOKUP(TableHandbook[[#This Row],[UDC]],TableMJRUSCPH1[],7,FALSE),"")</f>
        <v/>
      </c>
      <c r="AL280" s="209" t="str">
        <f>IFERROR(VLOOKUP(TableHandbook[[#This Row],[UDC]],TableMJRUSCPS1[],7,FALSE),"")</f>
        <v/>
      </c>
      <c r="AM280" s="211" t="str">
        <f>IFERROR(VLOOKUP(TableHandbook[[#This Row],[UDC]],TableSTRUBIOLB[],7,FALSE),"")</f>
        <v/>
      </c>
      <c r="AN280" s="209" t="str">
        <f>IFERROR(VLOOKUP(TableHandbook[[#This Row],[UDC]],TableSTRUBSCIM[],7,FALSE),"")</f>
        <v/>
      </c>
      <c r="AO280" s="209" t="str">
        <f>IFERROR(VLOOKUP(TableHandbook[[#This Row],[UDC]],TableSTRUCHEMB[],7,FALSE),"")</f>
        <v/>
      </c>
      <c r="AP280" s="209" t="str">
        <f>IFERROR(VLOOKUP(TableHandbook[[#This Row],[UDC]],TableSTRUECOB1[],7,FALSE),"")</f>
        <v/>
      </c>
      <c r="AQ280" s="209" t="str">
        <f>IFERROR(VLOOKUP(TableHandbook[[#This Row],[UDC]],TableSTRUENGLB[],7,FALSE),"")</f>
        <v/>
      </c>
      <c r="AR280" s="209" t="str">
        <f>IFERROR(VLOOKUP(TableHandbook[[#This Row],[UDC]],TableSTRUENGLM[],7,FALSE),"")</f>
        <v/>
      </c>
      <c r="AS280" s="209" t="str">
        <f>IFERROR(VLOOKUP(TableHandbook[[#This Row],[UDC]],TableSTRUGEOB1[],7,FALSE),"")</f>
        <v/>
      </c>
      <c r="AT280" s="209" t="str">
        <f>IFERROR(VLOOKUP(TableHandbook[[#This Row],[UDC]],TableSTRUGEOGM[],7,FALSE),"")</f>
        <v/>
      </c>
      <c r="AU280" s="209" t="str">
        <f>IFERROR(VLOOKUP(TableHandbook[[#This Row],[UDC]],TableSTRUHISB1[],7,FALSE),"")</f>
        <v/>
      </c>
      <c r="AV280" s="209" t="str">
        <f>IFERROR(VLOOKUP(TableHandbook[[#This Row],[UDC]],TableSTRUHISTM[],7,FALSE),"")</f>
        <v/>
      </c>
      <c r="AW280" s="209" t="str">
        <f>IFERROR(VLOOKUP(TableHandbook[[#This Row],[UDC]],TableSTRUHPEB1[],7,FALSE),"")</f>
        <v>Option</v>
      </c>
      <c r="AX280" s="209" t="str">
        <f>IFERROR(VLOOKUP(TableHandbook[[#This Row],[UDC]],TableSTRUHUMBB[],7,FALSE),"")</f>
        <v/>
      </c>
      <c r="AY280" s="209" t="str">
        <f>IFERROR(VLOOKUP(TableHandbook[[#This Row],[UDC]],TableSTRUMARTM[],7,FALSE),"")</f>
        <v/>
      </c>
      <c r="AZ280" s="209" t="str">
        <f>IFERROR(VLOOKUP(TableHandbook[[#This Row],[UDC]],TableSTRUMATHB[],7,FALSE),"")</f>
        <v/>
      </c>
      <c r="BA280" s="209" t="str">
        <f>IFERROR(VLOOKUP(TableHandbook[[#This Row],[UDC]],TableSTRUMATHM[],7,FALSE),"")</f>
        <v/>
      </c>
      <c r="BB280" s="209" t="str">
        <f>IFERROR(VLOOKUP(TableHandbook[[#This Row],[UDC]],TableSTRUPARTB[],7,FALSE),"")</f>
        <v/>
      </c>
      <c r="BC280" s="209" t="str">
        <f>IFERROR(VLOOKUP(TableHandbook[[#This Row],[UDC]],TableSTRUPARTM[],7,FALSE),"")</f>
        <v/>
      </c>
      <c r="BD280" s="209" t="str">
        <f>IFERROR(VLOOKUP(TableHandbook[[#This Row],[UDC]],TableSTRUPOLB1[],7,FALSE),"")</f>
        <v/>
      </c>
      <c r="BE280" s="209" t="str">
        <f>IFERROR(VLOOKUP(TableHandbook[[#This Row],[UDC]],TableSTRUPSYCB[],7,FALSE),"")</f>
        <v/>
      </c>
      <c r="BF280" s="209" t="str">
        <f>IFERROR(VLOOKUP(TableHandbook[[#This Row],[UDC]],TableSTRUPSYCM[],7,FALSE),"")</f>
        <v/>
      </c>
      <c r="BG280" s="209" t="str">
        <f>IFERROR(VLOOKUP(TableHandbook[[#This Row],[UDC]],TableSTRUVARTB[],7,FALSE),"")</f>
        <v/>
      </c>
      <c r="BH280" s="209" t="str">
        <f>IFERROR(VLOOKUP(TableHandbook[[#This Row],[UDC]],TableSTRUVARTM[],7,FALSE),"")</f>
        <v/>
      </c>
    </row>
    <row r="281" spans="1:60" x14ac:dyDescent="0.25">
      <c r="A281" s="296" t="s">
        <v>554</v>
      </c>
      <c r="B281" s="7">
        <v>0</v>
      </c>
      <c r="C281" s="7"/>
      <c r="D281" s="207" t="s">
        <v>1081</v>
      </c>
      <c r="E281" s="7">
        <v>25</v>
      </c>
      <c r="F281" s="84" t="s">
        <v>769</v>
      </c>
      <c r="G281" s="75" t="str">
        <f>IFERROR(IF(VLOOKUP(TableHandbook[[#This Row],[UDC]],TableAvailabilities[],2,FALSE)&gt;0,"Y",""),"")</f>
        <v/>
      </c>
      <c r="H281" s="75" t="str">
        <f>IFERROR(IF(VLOOKUP(TableHandbook[[#This Row],[UDC]],TableAvailabilities[],3,FALSE)&gt;0,"Y",""),"")</f>
        <v/>
      </c>
      <c r="I281" s="75" t="str">
        <f>IFERROR(IF(VLOOKUP(TableHandbook[[#This Row],[UDC]],TableAvailabilities[],4,FALSE)&gt;0,"Y",""),"")</f>
        <v/>
      </c>
      <c r="J281" s="75" t="str">
        <f>IFERROR(IF(VLOOKUP(TableHandbook[[#This Row],[UDC]],TableAvailabilities[],5,FALSE)&gt;0,"Y",""),"")</f>
        <v/>
      </c>
      <c r="K281" s="75" t="str">
        <f>IFERROR(IF(VLOOKUP(TableHandbook[[#This Row],[UDC]],TableAvailabilities[],6,FALSE)&gt;0,"Y",""),"")</f>
        <v/>
      </c>
      <c r="L281" s="75" t="str">
        <f>IFERROR(IF(VLOOKUP(TableHandbook[[#This Row],[UDC]],TableAvailabilities[],7,FALSE)&gt;0,"Y",""),"")</f>
        <v/>
      </c>
      <c r="M281" s="207"/>
      <c r="N281" s="209" t="str">
        <f>IFERROR(VLOOKUP(TableHandbook[[#This Row],[UDC]],TableBEDUC[],7,FALSE),"")</f>
        <v/>
      </c>
      <c r="O281" s="209" t="str">
        <f>IFERROR(VLOOKUP(TableHandbook[[#This Row],[UDC]],TableBEDEC[],7,FALSE),"")</f>
        <v/>
      </c>
      <c r="P281" s="211" t="str">
        <f>IFERROR(VLOOKUP(TableHandbook[[#This Row],[UDC]],TableBEDPR[],7,FALSE),"")</f>
        <v/>
      </c>
      <c r="Q281" s="209" t="str">
        <f>IFERROR(VLOOKUP(TableHandbook[[#This Row],[UDC]],TableSTRUCATHL[],7,FALSE),"")</f>
        <v/>
      </c>
      <c r="R281" s="209" t="str">
        <f>IFERROR(VLOOKUP(TableHandbook[[#This Row],[UDC]],TableSTRUENGLL[],7,FALSE),"")</f>
        <v/>
      </c>
      <c r="S281" s="209" t="str">
        <f>IFERROR(VLOOKUP(TableHandbook[[#This Row],[UDC]],TableSTRUHLTPE[],7,FALSE),"")</f>
        <v/>
      </c>
      <c r="T281" s="209" t="str">
        <f>IFERROR(VLOOKUP(TableHandbook[[#This Row],[UDC]],TableSTRUISTEM[],7,FALSE),"")</f>
        <v/>
      </c>
      <c r="U281" s="209" t="str">
        <f>IFERROR(VLOOKUP(TableHandbook[[#This Row],[UDC]],TableSTRULITNU[],7,FALSE),"")</f>
        <v/>
      </c>
      <c r="V281" s="209" t="str">
        <f>IFERROR(VLOOKUP(TableHandbook[[#This Row],[UDC]],TableSTRUTECHS[],7,FALSE),"")</f>
        <v/>
      </c>
      <c r="W281" s="211" t="str">
        <f>IFERROR(VLOOKUP(TableHandbook[[#This Row],[UDC]],TableBEDSC[],7,FALSE),"")</f>
        <v/>
      </c>
      <c r="X281" s="211" t="str">
        <f>IFERROR(VLOOKUP(TableHandbook[[#This Row],[UDC]],TableMJRUARDR1[],7,FALSE),"")</f>
        <v/>
      </c>
      <c r="Y281" s="209" t="str">
        <f>IFERROR(VLOOKUP(TableHandbook[[#This Row],[UDC]],TableMJRUARME1[],7,FALSE),"")</f>
        <v/>
      </c>
      <c r="Z281" s="209" t="str">
        <f>IFERROR(VLOOKUP(TableHandbook[[#This Row],[UDC]],TableMJRUARVA1[],7,FALSE),"")</f>
        <v/>
      </c>
      <c r="AA281" s="209" t="str">
        <f>IFERROR(VLOOKUP(TableHandbook[[#This Row],[UDC]],TableMJRUENGL1[],7,FALSE),"")</f>
        <v/>
      </c>
      <c r="AB281" s="209" t="str">
        <f>IFERROR(VLOOKUP(TableHandbook[[#This Row],[UDC]],TableMJRUHSEC1[],7,FALSE),"")</f>
        <v>Option</v>
      </c>
      <c r="AC281" s="209" t="str">
        <f>IFERROR(VLOOKUP(TableHandbook[[#This Row],[UDC]],TableMJRUHSGE1[],7,FALSE),"")</f>
        <v/>
      </c>
      <c r="AD281" s="209" t="str">
        <f>IFERROR(VLOOKUP(TableHandbook[[#This Row],[UDC]],TableMJRUHSHI1[],7,FALSE),"")</f>
        <v/>
      </c>
      <c r="AE281" s="209" t="str">
        <f>IFERROR(VLOOKUP(TableHandbook[[#This Row],[UDC]],TableMJRUHSPL1[],7,FALSE),"")</f>
        <v/>
      </c>
      <c r="AF281" s="209" t="str">
        <f>IFERROR(VLOOKUP(TableHandbook[[#This Row],[UDC]],TableMJRUMATH1[],7,FALSE),"")</f>
        <v/>
      </c>
      <c r="AG281" s="209" t="str">
        <f>IFERROR(VLOOKUP(TableHandbook[[#This Row],[UDC]],TableMJRUPHYSE[],7,FALSE),"")</f>
        <v/>
      </c>
      <c r="AH281" s="209" t="str">
        <f>IFERROR(VLOOKUP(TableHandbook[[#This Row],[UDC]],TableMJRUSCBI1[],7,FALSE),"")</f>
        <v/>
      </c>
      <c r="AI281" s="209" t="str">
        <f>IFERROR(VLOOKUP(TableHandbook[[#This Row],[UDC]],TableMJRUSCCH1[],7,FALSE),"")</f>
        <v/>
      </c>
      <c r="AJ281" s="209" t="str">
        <f>IFERROR(VLOOKUP(TableHandbook[[#This Row],[UDC]],TableMJRUSCHB1[],7,FALSE),"")</f>
        <v/>
      </c>
      <c r="AK281" s="209" t="str">
        <f>IFERROR(VLOOKUP(TableHandbook[[#This Row],[UDC]],TableMJRUSCPH1[],7,FALSE),"")</f>
        <v/>
      </c>
      <c r="AL281" s="209" t="str">
        <f>IFERROR(VLOOKUP(TableHandbook[[#This Row],[UDC]],TableMJRUSCPS1[],7,FALSE),"")</f>
        <v/>
      </c>
      <c r="AM281" s="211" t="str">
        <f>IFERROR(VLOOKUP(TableHandbook[[#This Row],[UDC]],TableSTRUBIOLB[],7,FALSE),"")</f>
        <v/>
      </c>
      <c r="AN281" s="209" t="str">
        <f>IFERROR(VLOOKUP(TableHandbook[[#This Row],[UDC]],TableSTRUBSCIM[],7,FALSE),"")</f>
        <v/>
      </c>
      <c r="AO281" s="209" t="str">
        <f>IFERROR(VLOOKUP(TableHandbook[[#This Row],[UDC]],TableSTRUCHEMB[],7,FALSE),"")</f>
        <v/>
      </c>
      <c r="AP281" s="209" t="str">
        <f>IFERROR(VLOOKUP(TableHandbook[[#This Row],[UDC]],TableSTRUECOB1[],7,FALSE),"")</f>
        <v/>
      </c>
      <c r="AQ281" s="209" t="str">
        <f>IFERROR(VLOOKUP(TableHandbook[[#This Row],[UDC]],TableSTRUENGLB[],7,FALSE),"")</f>
        <v/>
      </c>
      <c r="AR281" s="209" t="str">
        <f>IFERROR(VLOOKUP(TableHandbook[[#This Row],[UDC]],TableSTRUENGLM[],7,FALSE),"")</f>
        <v/>
      </c>
      <c r="AS281" s="209" t="str">
        <f>IFERROR(VLOOKUP(TableHandbook[[#This Row],[UDC]],TableSTRUGEOB1[],7,FALSE),"")</f>
        <v/>
      </c>
      <c r="AT281" s="209" t="str">
        <f>IFERROR(VLOOKUP(TableHandbook[[#This Row],[UDC]],TableSTRUGEOGM[],7,FALSE),"")</f>
        <v/>
      </c>
      <c r="AU281" s="209" t="str">
        <f>IFERROR(VLOOKUP(TableHandbook[[#This Row],[UDC]],TableSTRUHISB1[],7,FALSE),"")</f>
        <v/>
      </c>
      <c r="AV281" s="209" t="str">
        <f>IFERROR(VLOOKUP(TableHandbook[[#This Row],[UDC]],TableSTRUHISTM[],7,FALSE),"")</f>
        <v/>
      </c>
      <c r="AW281" s="209" t="str">
        <f>IFERROR(VLOOKUP(TableHandbook[[#This Row],[UDC]],TableSTRUHPEB1[],7,FALSE),"")</f>
        <v/>
      </c>
      <c r="AX281" s="209" t="str">
        <f>IFERROR(VLOOKUP(TableHandbook[[#This Row],[UDC]],TableSTRUHUMBB[],7,FALSE),"")</f>
        <v/>
      </c>
      <c r="AY281" s="209" t="str">
        <f>IFERROR(VLOOKUP(TableHandbook[[#This Row],[UDC]],TableSTRUMARTM[],7,FALSE),"")</f>
        <v/>
      </c>
      <c r="AZ281" s="209" t="str">
        <f>IFERROR(VLOOKUP(TableHandbook[[#This Row],[UDC]],TableSTRUMATHB[],7,FALSE),"")</f>
        <v/>
      </c>
      <c r="BA281" s="209" t="str">
        <f>IFERROR(VLOOKUP(TableHandbook[[#This Row],[UDC]],TableSTRUMATHM[],7,FALSE),"")</f>
        <v/>
      </c>
      <c r="BB281" s="209" t="str">
        <f>IFERROR(VLOOKUP(TableHandbook[[#This Row],[UDC]],TableSTRUPARTB[],7,FALSE),"")</f>
        <v/>
      </c>
      <c r="BC281" s="209" t="str">
        <f>IFERROR(VLOOKUP(TableHandbook[[#This Row],[UDC]],TableSTRUPARTM[],7,FALSE),"")</f>
        <v/>
      </c>
      <c r="BD281" s="209" t="str">
        <f>IFERROR(VLOOKUP(TableHandbook[[#This Row],[UDC]],TableSTRUPOLB1[],7,FALSE),"")</f>
        <v/>
      </c>
      <c r="BE281" s="209" t="str">
        <f>IFERROR(VLOOKUP(TableHandbook[[#This Row],[UDC]],TableSTRUPSYCB[],7,FALSE),"")</f>
        <v/>
      </c>
      <c r="BF281" s="209" t="str">
        <f>IFERROR(VLOOKUP(TableHandbook[[#This Row],[UDC]],TableSTRUPSYCM[],7,FALSE),"")</f>
        <v/>
      </c>
      <c r="BG281" s="209" t="str">
        <f>IFERROR(VLOOKUP(TableHandbook[[#This Row],[UDC]],TableSTRUVARTB[],7,FALSE),"")</f>
        <v/>
      </c>
      <c r="BH281" s="209" t="str">
        <f>IFERROR(VLOOKUP(TableHandbook[[#This Row],[UDC]],TableSTRUVARTM[],7,FALSE),"")</f>
        <v/>
      </c>
    </row>
    <row r="282" spans="1:60" x14ac:dyDescent="0.25">
      <c r="A282" s="296" t="s">
        <v>555</v>
      </c>
      <c r="B282" s="7">
        <v>0</v>
      </c>
      <c r="C282" s="7"/>
      <c r="D282" s="207" t="s">
        <v>1081</v>
      </c>
      <c r="E282" s="7">
        <v>25</v>
      </c>
      <c r="F282" s="84" t="s">
        <v>769</v>
      </c>
      <c r="G282" s="75" t="str">
        <f>IFERROR(IF(VLOOKUP(TableHandbook[[#This Row],[UDC]],TableAvailabilities[],2,FALSE)&gt;0,"Y",""),"")</f>
        <v/>
      </c>
      <c r="H282" s="75" t="str">
        <f>IFERROR(IF(VLOOKUP(TableHandbook[[#This Row],[UDC]],TableAvailabilities[],3,FALSE)&gt;0,"Y",""),"")</f>
        <v/>
      </c>
      <c r="I282" s="75" t="str">
        <f>IFERROR(IF(VLOOKUP(TableHandbook[[#This Row],[UDC]],TableAvailabilities[],4,FALSE)&gt;0,"Y",""),"")</f>
        <v/>
      </c>
      <c r="J282" s="75" t="str">
        <f>IFERROR(IF(VLOOKUP(TableHandbook[[#This Row],[UDC]],TableAvailabilities[],5,FALSE)&gt;0,"Y",""),"")</f>
        <v/>
      </c>
      <c r="K282" s="75" t="str">
        <f>IFERROR(IF(VLOOKUP(TableHandbook[[#This Row],[UDC]],TableAvailabilities[],6,FALSE)&gt;0,"Y",""),"")</f>
        <v/>
      </c>
      <c r="L282" s="75" t="str">
        <f>IFERROR(IF(VLOOKUP(TableHandbook[[#This Row],[UDC]],TableAvailabilities[],7,FALSE)&gt;0,"Y",""),"")</f>
        <v/>
      </c>
      <c r="M282" s="207"/>
      <c r="N282" s="209" t="str">
        <f>IFERROR(VLOOKUP(TableHandbook[[#This Row],[UDC]],TableBEDUC[],7,FALSE),"")</f>
        <v/>
      </c>
      <c r="O282" s="209" t="str">
        <f>IFERROR(VLOOKUP(TableHandbook[[#This Row],[UDC]],TableBEDEC[],7,FALSE),"")</f>
        <v/>
      </c>
      <c r="P282" s="211" t="str">
        <f>IFERROR(VLOOKUP(TableHandbook[[#This Row],[UDC]],TableBEDPR[],7,FALSE),"")</f>
        <v/>
      </c>
      <c r="Q282" s="209" t="str">
        <f>IFERROR(VLOOKUP(TableHandbook[[#This Row],[UDC]],TableSTRUCATHL[],7,FALSE),"")</f>
        <v/>
      </c>
      <c r="R282" s="209" t="str">
        <f>IFERROR(VLOOKUP(TableHandbook[[#This Row],[UDC]],TableSTRUENGLL[],7,FALSE),"")</f>
        <v/>
      </c>
      <c r="S282" s="209" t="str">
        <f>IFERROR(VLOOKUP(TableHandbook[[#This Row],[UDC]],TableSTRUHLTPE[],7,FALSE),"")</f>
        <v/>
      </c>
      <c r="T282" s="209" t="str">
        <f>IFERROR(VLOOKUP(TableHandbook[[#This Row],[UDC]],TableSTRUISTEM[],7,FALSE),"")</f>
        <v/>
      </c>
      <c r="U282" s="209" t="str">
        <f>IFERROR(VLOOKUP(TableHandbook[[#This Row],[UDC]],TableSTRULITNU[],7,FALSE),"")</f>
        <v/>
      </c>
      <c r="V282" s="209" t="str">
        <f>IFERROR(VLOOKUP(TableHandbook[[#This Row],[UDC]],TableSTRUTECHS[],7,FALSE),"")</f>
        <v/>
      </c>
      <c r="W282" s="211" t="str">
        <f>IFERROR(VLOOKUP(TableHandbook[[#This Row],[UDC]],TableBEDSC[],7,FALSE),"")</f>
        <v/>
      </c>
      <c r="X282" s="211" t="str">
        <f>IFERROR(VLOOKUP(TableHandbook[[#This Row],[UDC]],TableMJRUARDR1[],7,FALSE),"")</f>
        <v/>
      </c>
      <c r="Y282" s="209" t="str">
        <f>IFERROR(VLOOKUP(TableHandbook[[#This Row],[UDC]],TableMJRUARME1[],7,FALSE),"")</f>
        <v/>
      </c>
      <c r="Z282" s="209" t="str">
        <f>IFERROR(VLOOKUP(TableHandbook[[#This Row],[UDC]],TableMJRUARVA1[],7,FALSE),"")</f>
        <v/>
      </c>
      <c r="AA282" s="209" t="str">
        <f>IFERROR(VLOOKUP(TableHandbook[[#This Row],[UDC]],TableMJRUENGL1[],7,FALSE),"")</f>
        <v/>
      </c>
      <c r="AB282" s="209" t="str">
        <f>IFERROR(VLOOKUP(TableHandbook[[#This Row],[UDC]],TableMJRUHSEC1[],7,FALSE),"")</f>
        <v/>
      </c>
      <c r="AC282" s="209" t="str">
        <f>IFERROR(VLOOKUP(TableHandbook[[#This Row],[UDC]],TableMJRUHSGE1[],7,FALSE),"")</f>
        <v>Option</v>
      </c>
      <c r="AD282" s="209" t="str">
        <f>IFERROR(VLOOKUP(TableHandbook[[#This Row],[UDC]],TableMJRUHSHI1[],7,FALSE),"")</f>
        <v/>
      </c>
      <c r="AE282" s="209" t="str">
        <f>IFERROR(VLOOKUP(TableHandbook[[#This Row],[UDC]],TableMJRUHSPL1[],7,FALSE),"")</f>
        <v/>
      </c>
      <c r="AF282" s="209" t="str">
        <f>IFERROR(VLOOKUP(TableHandbook[[#This Row],[UDC]],TableMJRUMATH1[],7,FALSE),"")</f>
        <v/>
      </c>
      <c r="AG282" s="209" t="str">
        <f>IFERROR(VLOOKUP(TableHandbook[[#This Row],[UDC]],TableMJRUPHYSE[],7,FALSE),"")</f>
        <v/>
      </c>
      <c r="AH282" s="209" t="str">
        <f>IFERROR(VLOOKUP(TableHandbook[[#This Row],[UDC]],TableMJRUSCBI1[],7,FALSE),"")</f>
        <v/>
      </c>
      <c r="AI282" s="209" t="str">
        <f>IFERROR(VLOOKUP(TableHandbook[[#This Row],[UDC]],TableMJRUSCCH1[],7,FALSE),"")</f>
        <v/>
      </c>
      <c r="AJ282" s="209" t="str">
        <f>IFERROR(VLOOKUP(TableHandbook[[#This Row],[UDC]],TableMJRUSCHB1[],7,FALSE),"")</f>
        <v/>
      </c>
      <c r="AK282" s="209" t="str">
        <f>IFERROR(VLOOKUP(TableHandbook[[#This Row],[UDC]],TableMJRUSCPH1[],7,FALSE),"")</f>
        <v/>
      </c>
      <c r="AL282" s="209" t="str">
        <f>IFERROR(VLOOKUP(TableHandbook[[#This Row],[UDC]],TableMJRUSCPS1[],7,FALSE),"")</f>
        <v/>
      </c>
      <c r="AM282" s="211" t="str">
        <f>IFERROR(VLOOKUP(TableHandbook[[#This Row],[UDC]],TableSTRUBIOLB[],7,FALSE),"")</f>
        <v/>
      </c>
      <c r="AN282" s="209" t="str">
        <f>IFERROR(VLOOKUP(TableHandbook[[#This Row],[UDC]],TableSTRUBSCIM[],7,FALSE),"")</f>
        <v/>
      </c>
      <c r="AO282" s="209" t="str">
        <f>IFERROR(VLOOKUP(TableHandbook[[#This Row],[UDC]],TableSTRUCHEMB[],7,FALSE),"")</f>
        <v/>
      </c>
      <c r="AP282" s="209" t="str">
        <f>IFERROR(VLOOKUP(TableHandbook[[#This Row],[UDC]],TableSTRUECOB1[],7,FALSE),"")</f>
        <v/>
      </c>
      <c r="AQ282" s="209" t="str">
        <f>IFERROR(VLOOKUP(TableHandbook[[#This Row],[UDC]],TableSTRUENGLB[],7,FALSE),"")</f>
        <v/>
      </c>
      <c r="AR282" s="209" t="str">
        <f>IFERROR(VLOOKUP(TableHandbook[[#This Row],[UDC]],TableSTRUENGLM[],7,FALSE),"")</f>
        <v/>
      </c>
      <c r="AS282" s="209" t="str">
        <f>IFERROR(VLOOKUP(TableHandbook[[#This Row],[UDC]],TableSTRUGEOB1[],7,FALSE),"")</f>
        <v/>
      </c>
      <c r="AT282" s="209" t="str">
        <f>IFERROR(VLOOKUP(TableHandbook[[#This Row],[UDC]],TableSTRUGEOGM[],7,FALSE),"")</f>
        <v/>
      </c>
      <c r="AU282" s="209" t="str">
        <f>IFERROR(VLOOKUP(TableHandbook[[#This Row],[UDC]],TableSTRUHISB1[],7,FALSE),"")</f>
        <v/>
      </c>
      <c r="AV282" s="209" t="str">
        <f>IFERROR(VLOOKUP(TableHandbook[[#This Row],[UDC]],TableSTRUHISTM[],7,FALSE),"")</f>
        <v/>
      </c>
      <c r="AW282" s="209" t="str">
        <f>IFERROR(VLOOKUP(TableHandbook[[#This Row],[UDC]],TableSTRUHPEB1[],7,FALSE),"")</f>
        <v/>
      </c>
      <c r="AX282" s="209" t="str">
        <f>IFERROR(VLOOKUP(TableHandbook[[#This Row],[UDC]],TableSTRUHUMBB[],7,FALSE),"")</f>
        <v/>
      </c>
      <c r="AY282" s="209" t="str">
        <f>IFERROR(VLOOKUP(TableHandbook[[#This Row],[UDC]],TableSTRUMARTM[],7,FALSE),"")</f>
        <v/>
      </c>
      <c r="AZ282" s="209" t="str">
        <f>IFERROR(VLOOKUP(TableHandbook[[#This Row],[UDC]],TableSTRUMATHB[],7,FALSE),"")</f>
        <v/>
      </c>
      <c r="BA282" s="209" t="str">
        <f>IFERROR(VLOOKUP(TableHandbook[[#This Row],[UDC]],TableSTRUMATHM[],7,FALSE),"")</f>
        <v/>
      </c>
      <c r="BB282" s="209" t="str">
        <f>IFERROR(VLOOKUP(TableHandbook[[#This Row],[UDC]],TableSTRUPARTB[],7,FALSE),"")</f>
        <v/>
      </c>
      <c r="BC282" s="209" t="str">
        <f>IFERROR(VLOOKUP(TableHandbook[[#This Row],[UDC]],TableSTRUPARTM[],7,FALSE),"")</f>
        <v/>
      </c>
      <c r="BD282" s="209" t="str">
        <f>IFERROR(VLOOKUP(TableHandbook[[#This Row],[UDC]],TableSTRUPOLB1[],7,FALSE),"")</f>
        <v/>
      </c>
      <c r="BE282" s="209" t="str">
        <f>IFERROR(VLOOKUP(TableHandbook[[#This Row],[UDC]],TableSTRUPSYCB[],7,FALSE),"")</f>
        <v/>
      </c>
      <c r="BF282" s="209" t="str">
        <f>IFERROR(VLOOKUP(TableHandbook[[#This Row],[UDC]],TableSTRUPSYCM[],7,FALSE),"")</f>
        <v/>
      </c>
      <c r="BG282" s="209" t="str">
        <f>IFERROR(VLOOKUP(TableHandbook[[#This Row],[UDC]],TableSTRUVARTB[],7,FALSE),"")</f>
        <v/>
      </c>
      <c r="BH282" s="209" t="str">
        <f>IFERROR(VLOOKUP(TableHandbook[[#This Row],[UDC]],TableSTRUVARTM[],7,FALSE),"")</f>
        <v/>
      </c>
    </row>
    <row r="283" spans="1:60" x14ac:dyDescent="0.25">
      <c r="A283" s="296" t="s">
        <v>556</v>
      </c>
      <c r="B283" s="7">
        <v>0</v>
      </c>
      <c r="C283" s="7"/>
      <c r="D283" s="207" t="s">
        <v>1081</v>
      </c>
      <c r="E283" s="7">
        <v>25</v>
      </c>
      <c r="F283" s="84" t="s">
        <v>769</v>
      </c>
      <c r="G283" s="75" t="str">
        <f>IFERROR(IF(VLOOKUP(TableHandbook[[#This Row],[UDC]],TableAvailabilities[],2,FALSE)&gt;0,"Y",""),"")</f>
        <v/>
      </c>
      <c r="H283" s="75" t="str">
        <f>IFERROR(IF(VLOOKUP(TableHandbook[[#This Row],[UDC]],TableAvailabilities[],3,FALSE)&gt;0,"Y",""),"")</f>
        <v/>
      </c>
      <c r="I283" s="75" t="str">
        <f>IFERROR(IF(VLOOKUP(TableHandbook[[#This Row],[UDC]],TableAvailabilities[],4,FALSE)&gt;0,"Y",""),"")</f>
        <v/>
      </c>
      <c r="J283" s="75" t="str">
        <f>IFERROR(IF(VLOOKUP(TableHandbook[[#This Row],[UDC]],TableAvailabilities[],5,FALSE)&gt;0,"Y",""),"")</f>
        <v/>
      </c>
      <c r="K283" s="75" t="str">
        <f>IFERROR(IF(VLOOKUP(TableHandbook[[#This Row],[UDC]],TableAvailabilities[],6,FALSE)&gt;0,"Y",""),"")</f>
        <v/>
      </c>
      <c r="L283" s="75" t="str">
        <f>IFERROR(IF(VLOOKUP(TableHandbook[[#This Row],[UDC]],TableAvailabilities[],7,FALSE)&gt;0,"Y",""),"")</f>
        <v/>
      </c>
      <c r="M283" s="207"/>
      <c r="N283" s="209" t="str">
        <f>IFERROR(VLOOKUP(TableHandbook[[#This Row],[UDC]],TableBEDUC[],7,FALSE),"")</f>
        <v/>
      </c>
      <c r="O283" s="209" t="str">
        <f>IFERROR(VLOOKUP(TableHandbook[[#This Row],[UDC]],TableBEDEC[],7,FALSE),"")</f>
        <v/>
      </c>
      <c r="P283" s="211" t="str">
        <f>IFERROR(VLOOKUP(TableHandbook[[#This Row],[UDC]],TableBEDPR[],7,FALSE),"")</f>
        <v/>
      </c>
      <c r="Q283" s="209" t="str">
        <f>IFERROR(VLOOKUP(TableHandbook[[#This Row],[UDC]],TableSTRUCATHL[],7,FALSE),"")</f>
        <v/>
      </c>
      <c r="R283" s="209" t="str">
        <f>IFERROR(VLOOKUP(TableHandbook[[#This Row],[UDC]],TableSTRUENGLL[],7,FALSE),"")</f>
        <v/>
      </c>
      <c r="S283" s="209" t="str">
        <f>IFERROR(VLOOKUP(TableHandbook[[#This Row],[UDC]],TableSTRUHLTPE[],7,FALSE),"")</f>
        <v/>
      </c>
      <c r="T283" s="209" t="str">
        <f>IFERROR(VLOOKUP(TableHandbook[[#This Row],[UDC]],TableSTRUISTEM[],7,FALSE),"")</f>
        <v/>
      </c>
      <c r="U283" s="209" t="str">
        <f>IFERROR(VLOOKUP(TableHandbook[[#This Row],[UDC]],TableSTRULITNU[],7,FALSE),"")</f>
        <v/>
      </c>
      <c r="V283" s="209" t="str">
        <f>IFERROR(VLOOKUP(TableHandbook[[#This Row],[UDC]],TableSTRUTECHS[],7,FALSE),"")</f>
        <v/>
      </c>
      <c r="W283" s="211" t="str">
        <f>IFERROR(VLOOKUP(TableHandbook[[#This Row],[UDC]],TableBEDSC[],7,FALSE),"")</f>
        <v/>
      </c>
      <c r="X283" s="211" t="str">
        <f>IFERROR(VLOOKUP(TableHandbook[[#This Row],[UDC]],TableMJRUARDR1[],7,FALSE),"")</f>
        <v/>
      </c>
      <c r="Y283" s="209" t="str">
        <f>IFERROR(VLOOKUP(TableHandbook[[#This Row],[UDC]],TableMJRUARME1[],7,FALSE),"")</f>
        <v/>
      </c>
      <c r="Z283" s="209" t="str">
        <f>IFERROR(VLOOKUP(TableHandbook[[#This Row],[UDC]],TableMJRUARVA1[],7,FALSE),"")</f>
        <v/>
      </c>
      <c r="AA283" s="209" t="str">
        <f>IFERROR(VLOOKUP(TableHandbook[[#This Row],[UDC]],TableMJRUENGL1[],7,FALSE),"")</f>
        <v/>
      </c>
      <c r="AB283" s="209" t="str">
        <f>IFERROR(VLOOKUP(TableHandbook[[#This Row],[UDC]],TableMJRUHSEC1[],7,FALSE),"")</f>
        <v/>
      </c>
      <c r="AC283" s="209" t="str">
        <f>IFERROR(VLOOKUP(TableHandbook[[#This Row],[UDC]],TableMJRUHSGE1[],7,FALSE),"")</f>
        <v/>
      </c>
      <c r="AD283" s="209" t="str">
        <f>IFERROR(VLOOKUP(TableHandbook[[#This Row],[UDC]],TableMJRUHSHI1[],7,FALSE),"")</f>
        <v>Option</v>
      </c>
      <c r="AE283" s="209" t="str">
        <f>IFERROR(VLOOKUP(TableHandbook[[#This Row],[UDC]],TableMJRUHSPL1[],7,FALSE),"")</f>
        <v/>
      </c>
      <c r="AF283" s="209" t="str">
        <f>IFERROR(VLOOKUP(TableHandbook[[#This Row],[UDC]],TableMJRUMATH1[],7,FALSE),"")</f>
        <v/>
      </c>
      <c r="AG283" s="209" t="str">
        <f>IFERROR(VLOOKUP(TableHandbook[[#This Row],[UDC]],TableMJRUPHYSE[],7,FALSE),"")</f>
        <v/>
      </c>
      <c r="AH283" s="209" t="str">
        <f>IFERROR(VLOOKUP(TableHandbook[[#This Row],[UDC]],TableMJRUSCBI1[],7,FALSE),"")</f>
        <v/>
      </c>
      <c r="AI283" s="209" t="str">
        <f>IFERROR(VLOOKUP(TableHandbook[[#This Row],[UDC]],TableMJRUSCCH1[],7,FALSE),"")</f>
        <v/>
      </c>
      <c r="AJ283" s="209" t="str">
        <f>IFERROR(VLOOKUP(TableHandbook[[#This Row],[UDC]],TableMJRUSCHB1[],7,FALSE),"")</f>
        <v/>
      </c>
      <c r="AK283" s="209" t="str">
        <f>IFERROR(VLOOKUP(TableHandbook[[#This Row],[UDC]],TableMJRUSCPH1[],7,FALSE),"")</f>
        <v/>
      </c>
      <c r="AL283" s="209" t="str">
        <f>IFERROR(VLOOKUP(TableHandbook[[#This Row],[UDC]],TableMJRUSCPS1[],7,FALSE),"")</f>
        <v/>
      </c>
      <c r="AM283" s="211" t="str">
        <f>IFERROR(VLOOKUP(TableHandbook[[#This Row],[UDC]],TableSTRUBIOLB[],7,FALSE),"")</f>
        <v/>
      </c>
      <c r="AN283" s="209" t="str">
        <f>IFERROR(VLOOKUP(TableHandbook[[#This Row],[UDC]],TableSTRUBSCIM[],7,FALSE),"")</f>
        <v/>
      </c>
      <c r="AO283" s="209" t="str">
        <f>IFERROR(VLOOKUP(TableHandbook[[#This Row],[UDC]],TableSTRUCHEMB[],7,FALSE),"")</f>
        <v/>
      </c>
      <c r="AP283" s="209" t="str">
        <f>IFERROR(VLOOKUP(TableHandbook[[#This Row],[UDC]],TableSTRUECOB1[],7,FALSE),"")</f>
        <v/>
      </c>
      <c r="AQ283" s="209" t="str">
        <f>IFERROR(VLOOKUP(TableHandbook[[#This Row],[UDC]],TableSTRUENGLB[],7,FALSE),"")</f>
        <v/>
      </c>
      <c r="AR283" s="209" t="str">
        <f>IFERROR(VLOOKUP(TableHandbook[[#This Row],[UDC]],TableSTRUENGLM[],7,FALSE),"")</f>
        <v/>
      </c>
      <c r="AS283" s="209" t="str">
        <f>IFERROR(VLOOKUP(TableHandbook[[#This Row],[UDC]],TableSTRUGEOB1[],7,FALSE),"")</f>
        <v/>
      </c>
      <c r="AT283" s="209" t="str">
        <f>IFERROR(VLOOKUP(TableHandbook[[#This Row],[UDC]],TableSTRUGEOGM[],7,FALSE),"")</f>
        <v/>
      </c>
      <c r="AU283" s="209" t="str">
        <f>IFERROR(VLOOKUP(TableHandbook[[#This Row],[UDC]],TableSTRUHISB1[],7,FALSE),"")</f>
        <v/>
      </c>
      <c r="AV283" s="209" t="str">
        <f>IFERROR(VLOOKUP(TableHandbook[[#This Row],[UDC]],TableSTRUHISTM[],7,FALSE),"")</f>
        <v/>
      </c>
      <c r="AW283" s="209" t="str">
        <f>IFERROR(VLOOKUP(TableHandbook[[#This Row],[UDC]],TableSTRUHPEB1[],7,FALSE),"")</f>
        <v/>
      </c>
      <c r="AX283" s="209" t="str">
        <f>IFERROR(VLOOKUP(TableHandbook[[#This Row],[UDC]],TableSTRUHUMBB[],7,FALSE),"")</f>
        <v/>
      </c>
      <c r="AY283" s="209" t="str">
        <f>IFERROR(VLOOKUP(TableHandbook[[#This Row],[UDC]],TableSTRUMARTM[],7,FALSE),"")</f>
        <v/>
      </c>
      <c r="AZ283" s="209" t="str">
        <f>IFERROR(VLOOKUP(TableHandbook[[#This Row],[UDC]],TableSTRUMATHB[],7,FALSE),"")</f>
        <v/>
      </c>
      <c r="BA283" s="209" t="str">
        <f>IFERROR(VLOOKUP(TableHandbook[[#This Row],[UDC]],TableSTRUMATHM[],7,FALSE),"")</f>
        <v/>
      </c>
      <c r="BB283" s="209" t="str">
        <f>IFERROR(VLOOKUP(TableHandbook[[#This Row],[UDC]],TableSTRUPARTB[],7,FALSE),"")</f>
        <v/>
      </c>
      <c r="BC283" s="209" t="str">
        <f>IFERROR(VLOOKUP(TableHandbook[[#This Row],[UDC]],TableSTRUPARTM[],7,FALSE),"")</f>
        <v/>
      </c>
      <c r="BD283" s="209" t="str">
        <f>IFERROR(VLOOKUP(TableHandbook[[#This Row],[UDC]],TableSTRUPOLB1[],7,FALSE),"")</f>
        <v/>
      </c>
      <c r="BE283" s="209" t="str">
        <f>IFERROR(VLOOKUP(TableHandbook[[#This Row],[UDC]],TableSTRUPSYCB[],7,FALSE),"")</f>
        <v/>
      </c>
      <c r="BF283" s="209" t="str">
        <f>IFERROR(VLOOKUP(TableHandbook[[#This Row],[UDC]],TableSTRUPSYCM[],7,FALSE),"")</f>
        <v/>
      </c>
      <c r="BG283" s="209" t="str">
        <f>IFERROR(VLOOKUP(TableHandbook[[#This Row],[UDC]],TableSTRUVARTB[],7,FALSE),"")</f>
        <v/>
      </c>
      <c r="BH283" s="209" t="str">
        <f>IFERROR(VLOOKUP(TableHandbook[[#This Row],[UDC]],TableSTRUVARTM[],7,FALSE),"")</f>
        <v/>
      </c>
    </row>
    <row r="284" spans="1:60" x14ac:dyDescent="0.25">
      <c r="A284" s="296" t="s">
        <v>557</v>
      </c>
      <c r="B284" s="7">
        <v>0</v>
      </c>
      <c r="C284" s="7"/>
      <c r="D284" s="207" t="s">
        <v>1081</v>
      </c>
      <c r="E284" s="7">
        <v>25</v>
      </c>
      <c r="F284" s="84" t="s">
        <v>769</v>
      </c>
      <c r="G284" s="75" t="str">
        <f>IFERROR(IF(VLOOKUP(TableHandbook[[#This Row],[UDC]],TableAvailabilities[],2,FALSE)&gt;0,"Y",""),"")</f>
        <v/>
      </c>
      <c r="H284" s="75" t="str">
        <f>IFERROR(IF(VLOOKUP(TableHandbook[[#This Row],[UDC]],TableAvailabilities[],3,FALSE)&gt;0,"Y",""),"")</f>
        <v/>
      </c>
      <c r="I284" s="75" t="str">
        <f>IFERROR(IF(VLOOKUP(TableHandbook[[#This Row],[UDC]],TableAvailabilities[],4,FALSE)&gt;0,"Y",""),"")</f>
        <v/>
      </c>
      <c r="J284" s="75" t="str">
        <f>IFERROR(IF(VLOOKUP(TableHandbook[[#This Row],[UDC]],TableAvailabilities[],5,FALSE)&gt;0,"Y",""),"")</f>
        <v/>
      </c>
      <c r="K284" s="75" t="str">
        <f>IFERROR(IF(VLOOKUP(TableHandbook[[#This Row],[UDC]],TableAvailabilities[],6,FALSE)&gt;0,"Y",""),"")</f>
        <v/>
      </c>
      <c r="L284" s="75" t="str">
        <f>IFERROR(IF(VLOOKUP(TableHandbook[[#This Row],[UDC]],TableAvailabilities[],7,FALSE)&gt;0,"Y",""),"")</f>
        <v/>
      </c>
      <c r="M284" s="207"/>
      <c r="N284" s="209" t="str">
        <f>IFERROR(VLOOKUP(TableHandbook[[#This Row],[UDC]],TableBEDUC[],7,FALSE),"")</f>
        <v/>
      </c>
      <c r="O284" s="209" t="str">
        <f>IFERROR(VLOOKUP(TableHandbook[[#This Row],[UDC]],TableBEDEC[],7,FALSE),"")</f>
        <v/>
      </c>
      <c r="P284" s="211" t="str">
        <f>IFERROR(VLOOKUP(TableHandbook[[#This Row],[UDC]],TableBEDPR[],7,FALSE),"")</f>
        <v/>
      </c>
      <c r="Q284" s="209" t="str">
        <f>IFERROR(VLOOKUP(TableHandbook[[#This Row],[UDC]],TableSTRUCATHL[],7,FALSE),"")</f>
        <v/>
      </c>
      <c r="R284" s="209" t="str">
        <f>IFERROR(VLOOKUP(TableHandbook[[#This Row],[UDC]],TableSTRUENGLL[],7,FALSE),"")</f>
        <v/>
      </c>
      <c r="S284" s="209" t="str">
        <f>IFERROR(VLOOKUP(TableHandbook[[#This Row],[UDC]],TableSTRUHLTPE[],7,FALSE),"")</f>
        <v/>
      </c>
      <c r="T284" s="209" t="str">
        <f>IFERROR(VLOOKUP(TableHandbook[[#This Row],[UDC]],TableSTRUISTEM[],7,FALSE),"")</f>
        <v/>
      </c>
      <c r="U284" s="209" t="str">
        <f>IFERROR(VLOOKUP(TableHandbook[[#This Row],[UDC]],TableSTRULITNU[],7,FALSE),"")</f>
        <v/>
      </c>
      <c r="V284" s="209" t="str">
        <f>IFERROR(VLOOKUP(TableHandbook[[#This Row],[UDC]],TableSTRUTECHS[],7,FALSE),"")</f>
        <v/>
      </c>
      <c r="W284" s="211" t="str">
        <f>IFERROR(VLOOKUP(TableHandbook[[#This Row],[UDC]],TableBEDSC[],7,FALSE),"")</f>
        <v/>
      </c>
      <c r="X284" s="211" t="str">
        <f>IFERROR(VLOOKUP(TableHandbook[[#This Row],[UDC]],TableMJRUARDR1[],7,FALSE),"")</f>
        <v/>
      </c>
      <c r="Y284" s="209" t="str">
        <f>IFERROR(VLOOKUP(TableHandbook[[#This Row],[UDC]],TableMJRUARME1[],7,FALSE),"")</f>
        <v/>
      </c>
      <c r="Z284" s="209" t="str">
        <f>IFERROR(VLOOKUP(TableHandbook[[#This Row],[UDC]],TableMJRUARVA1[],7,FALSE),"")</f>
        <v/>
      </c>
      <c r="AA284" s="209" t="str">
        <f>IFERROR(VLOOKUP(TableHandbook[[#This Row],[UDC]],TableMJRUENGL1[],7,FALSE),"")</f>
        <v/>
      </c>
      <c r="AB284" s="209" t="str">
        <f>IFERROR(VLOOKUP(TableHandbook[[#This Row],[UDC]],TableMJRUHSEC1[],7,FALSE),"")</f>
        <v/>
      </c>
      <c r="AC284" s="209" t="str">
        <f>IFERROR(VLOOKUP(TableHandbook[[#This Row],[UDC]],TableMJRUHSGE1[],7,FALSE),"")</f>
        <v/>
      </c>
      <c r="AD284" s="209" t="str">
        <f>IFERROR(VLOOKUP(TableHandbook[[#This Row],[UDC]],TableMJRUHSHI1[],7,FALSE),"")</f>
        <v/>
      </c>
      <c r="AE284" s="209" t="str">
        <f>IFERROR(VLOOKUP(TableHandbook[[#This Row],[UDC]],TableMJRUHSPL1[],7,FALSE),"")</f>
        <v>Option</v>
      </c>
      <c r="AF284" s="209" t="str">
        <f>IFERROR(VLOOKUP(TableHandbook[[#This Row],[UDC]],TableMJRUMATH1[],7,FALSE),"")</f>
        <v/>
      </c>
      <c r="AG284" s="209" t="str">
        <f>IFERROR(VLOOKUP(TableHandbook[[#This Row],[UDC]],TableMJRUPHYSE[],7,FALSE),"")</f>
        <v/>
      </c>
      <c r="AH284" s="209" t="str">
        <f>IFERROR(VLOOKUP(TableHandbook[[#This Row],[UDC]],TableMJRUSCBI1[],7,FALSE),"")</f>
        <v/>
      </c>
      <c r="AI284" s="209" t="str">
        <f>IFERROR(VLOOKUP(TableHandbook[[#This Row],[UDC]],TableMJRUSCCH1[],7,FALSE),"")</f>
        <v/>
      </c>
      <c r="AJ284" s="209" t="str">
        <f>IFERROR(VLOOKUP(TableHandbook[[#This Row],[UDC]],TableMJRUSCHB1[],7,FALSE),"")</f>
        <v/>
      </c>
      <c r="AK284" s="209" t="str">
        <f>IFERROR(VLOOKUP(TableHandbook[[#This Row],[UDC]],TableMJRUSCPH1[],7,FALSE),"")</f>
        <v/>
      </c>
      <c r="AL284" s="209" t="str">
        <f>IFERROR(VLOOKUP(TableHandbook[[#This Row],[UDC]],TableMJRUSCPS1[],7,FALSE),"")</f>
        <v/>
      </c>
      <c r="AM284" s="211" t="str">
        <f>IFERROR(VLOOKUP(TableHandbook[[#This Row],[UDC]],TableSTRUBIOLB[],7,FALSE),"")</f>
        <v/>
      </c>
      <c r="AN284" s="209" t="str">
        <f>IFERROR(VLOOKUP(TableHandbook[[#This Row],[UDC]],TableSTRUBSCIM[],7,FALSE),"")</f>
        <v/>
      </c>
      <c r="AO284" s="209" t="str">
        <f>IFERROR(VLOOKUP(TableHandbook[[#This Row],[UDC]],TableSTRUCHEMB[],7,FALSE),"")</f>
        <v/>
      </c>
      <c r="AP284" s="209" t="str">
        <f>IFERROR(VLOOKUP(TableHandbook[[#This Row],[UDC]],TableSTRUECOB1[],7,FALSE),"")</f>
        <v/>
      </c>
      <c r="AQ284" s="209" t="str">
        <f>IFERROR(VLOOKUP(TableHandbook[[#This Row],[UDC]],TableSTRUENGLB[],7,FALSE),"")</f>
        <v/>
      </c>
      <c r="AR284" s="209" t="str">
        <f>IFERROR(VLOOKUP(TableHandbook[[#This Row],[UDC]],TableSTRUENGLM[],7,FALSE),"")</f>
        <v/>
      </c>
      <c r="AS284" s="209" t="str">
        <f>IFERROR(VLOOKUP(TableHandbook[[#This Row],[UDC]],TableSTRUGEOB1[],7,FALSE),"")</f>
        <v/>
      </c>
      <c r="AT284" s="209" t="str">
        <f>IFERROR(VLOOKUP(TableHandbook[[#This Row],[UDC]],TableSTRUGEOGM[],7,FALSE),"")</f>
        <v/>
      </c>
      <c r="AU284" s="209" t="str">
        <f>IFERROR(VLOOKUP(TableHandbook[[#This Row],[UDC]],TableSTRUHISB1[],7,FALSE),"")</f>
        <v/>
      </c>
      <c r="AV284" s="209" t="str">
        <f>IFERROR(VLOOKUP(TableHandbook[[#This Row],[UDC]],TableSTRUHISTM[],7,FALSE),"")</f>
        <v/>
      </c>
      <c r="AW284" s="209" t="str">
        <f>IFERROR(VLOOKUP(TableHandbook[[#This Row],[UDC]],TableSTRUHPEB1[],7,FALSE),"")</f>
        <v/>
      </c>
      <c r="AX284" s="209" t="str">
        <f>IFERROR(VLOOKUP(TableHandbook[[#This Row],[UDC]],TableSTRUHUMBB[],7,FALSE),"")</f>
        <v/>
      </c>
      <c r="AY284" s="209" t="str">
        <f>IFERROR(VLOOKUP(TableHandbook[[#This Row],[UDC]],TableSTRUMARTM[],7,FALSE),"")</f>
        <v/>
      </c>
      <c r="AZ284" s="209" t="str">
        <f>IFERROR(VLOOKUP(TableHandbook[[#This Row],[UDC]],TableSTRUMATHB[],7,FALSE),"")</f>
        <v/>
      </c>
      <c r="BA284" s="209" t="str">
        <f>IFERROR(VLOOKUP(TableHandbook[[#This Row],[UDC]],TableSTRUMATHM[],7,FALSE),"")</f>
        <v/>
      </c>
      <c r="BB284" s="209" t="str">
        <f>IFERROR(VLOOKUP(TableHandbook[[#This Row],[UDC]],TableSTRUPARTB[],7,FALSE),"")</f>
        <v/>
      </c>
      <c r="BC284" s="209" t="str">
        <f>IFERROR(VLOOKUP(TableHandbook[[#This Row],[UDC]],TableSTRUPARTM[],7,FALSE),"")</f>
        <v/>
      </c>
      <c r="BD284" s="209" t="str">
        <f>IFERROR(VLOOKUP(TableHandbook[[#This Row],[UDC]],TableSTRUPOLB1[],7,FALSE),"")</f>
        <v/>
      </c>
      <c r="BE284" s="209" t="str">
        <f>IFERROR(VLOOKUP(TableHandbook[[#This Row],[UDC]],TableSTRUPSYCB[],7,FALSE),"")</f>
        <v/>
      </c>
      <c r="BF284" s="209" t="str">
        <f>IFERROR(VLOOKUP(TableHandbook[[#This Row],[UDC]],TableSTRUPSYCM[],7,FALSE),"")</f>
        <v/>
      </c>
      <c r="BG284" s="209" t="str">
        <f>IFERROR(VLOOKUP(TableHandbook[[#This Row],[UDC]],TableSTRUVARTB[],7,FALSE),"")</f>
        <v/>
      </c>
      <c r="BH284" s="209" t="str">
        <f>IFERROR(VLOOKUP(TableHandbook[[#This Row],[UDC]],TableSTRUVARTM[],7,FALSE),"")</f>
        <v/>
      </c>
    </row>
    <row r="285" spans="1:60" x14ac:dyDescent="0.25">
      <c r="A285" s="305" t="s">
        <v>732</v>
      </c>
      <c r="B285" s="7">
        <v>0</v>
      </c>
      <c r="C285" s="7"/>
      <c r="D285" s="207" t="s">
        <v>1088</v>
      </c>
      <c r="E285" s="7">
        <v>25</v>
      </c>
      <c r="F285" s="84" t="s">
        <v>769</v>
      </c>
      <c r="G285" s="75" t="str">
        <f>IFERROR(IF(VLOOKUP(TableHandbook[[#This Row],[UDC]],TableAvailabilities[],2,FALSE)&gt;0,"Y",""),"")</f>
        <v/>
      </c>
      <c r="H285" s="75" t="str">
        <f>IFERROR(IF(VLOOKUP(TableHandbook[[#This Row],[UDC]],TableAvailabilities[],3,FALSE)&gt;0,"Y",""),"")</f>
        <v/>
      </c>
      <c r="I285" s="75" t="str">
        <f>IFERROR(IF(VLOOKUP(TableHandbook[[#This Row],[UDC]],TableAvailabilities[],4,FALSE)&gt;0,"Y",""),"")</f>
        <v/>
      </c>
      <c r="J285" s="75" t="str">
        <f>IFERROR(IF(VLOOKUP(TableHandbook[[#This Row],[UDC]],TableAvailabilities[],5,FALSE)&gt;0,"Y",""),"")</f>
        <v/>
      </c>
      <c r="K285" s="75" t="str">
        <f>IFERROR(IF(VLOOKUP(TableHandbook[[#This Row],[UDC]],TableAvailabilities[],6,FALSE)&gt;0,"Y",""),"")</f>
        <v/>
      </c>
      <c r="L285" s="75" t="str">
        <f>IFERROR(IF(VLOOKUP(TableHandbook[[#This Row],[UDC]],TableAvailabilities[],7,FALSE)&gt;0,"Y",""),"")</f>
        <v/>
      </c>
      <c r="M285" s="207"/>
      <c r="N285" s="209" t="str">
        <f>IFERROR(VLOOKUP(TableHandbook[[#This Row],[UDC]],TableBEDUC[],7,FALSE),"")</f>
        <v/>
      </c>
      <c r="O285" s="209" t="str">
        <f>IFERROR(VLOOKUP(TableHandbook[[#This Row],[UDC]],TableBEDEC[],7,FALSE),"")</f>
        <v/>
      </c>
      <c r="P285" s="211" t="str">
        <f>IFERROR(VLOOKUP(TableHandbook[[#This Row],[UDC]],TableBEDPR[],7,FALSE),"")</f>
        <v/>
      </c>
      <c r="Q285" s="209" t="str">
        <f>IFERROR(VLOOKUP(TableHandbook[[#This Row],[UDC]],TableSTRUCATHL[],7,FALSE),"")</f>
        <v/>
      </c>
      <c r="R285" s="209" t="str">
        <f>IFERROR(VLOOKUP(TableHandbook[[#This Row],[UDC]],TableSTRUENGLL[],7,FALSE),"")</f>
        <v/>
      </c>
      <c r="S285" s="209" t="str">
        <f>IFERROR(VLOOKUP(TableHandbook[[#This Row],[UDC]],TableSTRUHLTPE[],7,FALSE),"")</f>
        <v/>
      </c>
      <c r="T285" s="209" t="str">
        <f>IFERROR(VLOOKUP(TableHandbook[[#This Row],[UDC]],TableSTRUISTEM[],7,FALSE),"")</f>
        <v/>
      </c>
      <c r="U285" s="209" t="str">
        <f>IFERROR(VLOOKUP(TableHandbook[[#This Row],[UDC]],TableSTRULITNU[],7,FALSE),"")</f>
        <v/>
      </c>
      <c r="V285" s="209" t="str">
        <f>IFERROR(VLOOKUP(TableHandbook[[#This Row],[UDC]],TableSTRUTECHS[],7,FALSE),"")</f>
        <v/>
      </c>
      <c r="W285" s="211" t="str">
        <f>IFERROR(VLOOKUP(TableHandbook[[#This Row],[UDC]],TableBEDSC[],7,FALSE),"")</f>
        <v/>
      </c>
      <c r="X285" s="211" t="str">
        <f>IFERROR(VLOOKUP(TableHandbook[[#This Row],[UDC]],TableMJRUARDR1[],7,FALSE),"")</f>
        <v/>
      </c>
      <c r="Y285" s="209" t="str">
        <f>IFERROR(VLOOKUP(TableHandbook[[#This Row],[UDC]],TableMJRUARME1[],7,FALSE),"")</f>
        <v/>
      </c>
      <c r="Z285" s="209" t="str">
        <f>IFERROR(VLOOKUP(TableHandbook[[#This Row],[UDC]],TableMJRUARVA1[],7,FALSE),"")</f>
        <v/>
      </c>
      <c r="AA285" s="209" t="str">
        <f>IFERROR(VLOOKUP(TableHandbook[[#This Row],[UDC]],TableMJRUENGL1[],7,FALSE),"")</f>
        <v/>
      </c>
      <c r="AB285" s="209" t="str">
        <f>IFERROR(VLOOKUP(TableHandbook[[#This Row],[UDC]],TableMJRUHSEC1[],7,FALSE),"")</f>
        <v/>
      </c>
      <c r="AC285" s="209" t="str">
        <f>IFERROR(VLOOKUP(TableHandbook[[#This Row],[UDC]],TableMJRUHSGE1[],7,FALSE),"")</f>
        <v/>
      </c>
      <c r="AD285" s="209" t="str">
        <f>IFERROR(VLOOKUP(TableHandbook[[#This Row],[UDC]],TableMJRUHSHI1[],7,FALSE),"")</f>
        <v/>
      </c>
      <c r="AE285" s="209" t="str">
        <f>IFERROR(VLOOKUP(TableHandbook[[#This Row],[UDC]],TableMJRUHSPL1[],7,FALSE),"")</f>
        <v/>
      </c>
      <c r="AF285" s="209" t="str">
        <f>IFERROR(VLOOKUP(TableHandbook[[#This Row],[UDC]],TableMJRUMATH1[],7,FALSE),"")</f>
        <v/>
      </c>
      <c r="AG285" s="209" t="str">
        <f>IFERROR(VLOOKUP(TableHandbook[[#This Row],[UDC]],TableMJRUPHYSE[],7,FALSE),"")</f>
        <v/>
      </c>
      <c r="AH285" s="209" t="str">
        <f>IFERROR(VLOOKUP(TableHandbook[[#This Row],[UDC]],TableMJRUSCBI1[],7,FALSE),"")</f>
        <v/>
      </c>
      <c r="AI285" s="209" t="str">
        <f>IFERROR(VLOOKUP(TableHandbook[[#This Row],[UDC]],TableMJRUSCCH1[],7,FALSE),"")</f>
        <v/>
      </c>
      <c r="AJ285" s="209" t="str">
        <f>IFERROR(VLOOKUP(TableHandbook[[#This Row],[UDC]],TableMJRUSCHB1[],7,FALSE),"")</f>
        <v/>
      </c>
      <c r="AK285" s="209" t="str">
        <f>IFERROR(VLOOKUP(TableHandbook[[#This Row],[UDC]],TableMJRUSCPH1[],7,FALSE),"")</f>
        <v/>
      </c>
      <c r="AL285" s="209" t="str">
        <f>IFERROR(VLOOKUP(TableHandbook[[#This Row],[UDC]],TableMJRUSCPS1[],7,FALSE),"")</f>
        <v/>
      </c>
      <c r="AM285" s="211" t="str">
        <f>IFERROR(VLOOKUP(TableHandbook[[#This Row],[UDC]],TableSTRUBIOLB[],7,FALSE),"")</f>
        <v/>
      </c>
      <c r="AN285" s="209" t="str">
        <f>IFERROR(VLOOKUP(TableHandbook[[#This Row],[UDC]],TableSTRUBSCIM[],7,FALSE),"")</f>
        <v/>
      </c>
      <c r="AO285" s="209" t="str">
        <f>IFERROR(VLOOKUP(TableHandbook[[#This Row],[UDC]],TableSTRUCHEMB[],7,FALSE),"")</f>
        <v/>
      </c>
      <c r="AP285" s="209" t="str">
        <f>IFERROR(VLOOKUP(TableHandbook[[#This Row],[UDC]],TableSTRUECOB1[],7,FALSE),"")</f>
        <v/>
      </c>
      <c r="AQ285" s="209" t="str">
        <f>IFERROR(VLOOKUP(TableHandbook[[#This Row],[UDC]],TableSTRUENGLB[],7,FALSE),"")</f>
        <v/>
      </c>
      <c r="AR285" s="209" t="str">
        <f>IFERROR(VLOOKUP(TableHandbook[[#This Row],[UDC]],TableSTRUENGLM[],7,FALSE),"")</f>
        <v/>
      </c>
      <c r="AS285" s="209" t="str">
        <f>IFERROR(VLOOKUP(TableHandbook[[#This Row],[UDC]],TableSTRUGEOB1[],7,FALSE),"")</f>
        <v/>
      </c>
      <c r="AT285" s="209" t="str">
        <f>IFERROR(VLOOKUP(TableHandbook[[#This Row],[UDC]],TableSTRUGEOGM[],7,FALSE),"")</f>
        <v/>
      </c>
      <c r="AU285" s="209" t="str">
        <f>IFERROR(VLOOKUP(TableHandbook[[#This Row],[UDC]],TableSTRUHISB1[],7,FALSE),"")</f>
        <v/>
      </c>
      <c r="AV285" s="209" t="str">
        <f>IFERROR(VLOOKUP(TableHandbook[[#This Row],[UDC]],TableSTRUHISTM[],7,FALSE),"")</f>
        <v/>
      </c>
      <c r="AW285" s="209" t="str">
        <f>IFERROR(VLOOKUP(TableHandbook[[#This Row],[UDC]],TableSTRUHPEB1[],7,FALSE),"")</f>
        <v/>
      </c>
      <c r="AX285" s="209" t="str">
        <f>IFERROR(VLOOKUP(TableHandbook[[#This Row],[UDC]],TableSTRUHUMBB[],7,FALSE),"")</f>
        <v>Option</v>
      </c>
      <c r="AY285" s="209" t="str">
        <f>IFERROR(VLOOKUP(TableHandbook[[#This Row],[UDC]],TableSTRUMARTM[],7,FALSE),"")</f>
        <v/>
      </c>
      <c r="AZ285" s="209" t="str">
        <f>IFERROR(VLOOKUP(TableHandbook[[#This Row],[UDC]],TableSTRUMATHB[],7,FALSE),"")</f>
        <v/>
      </c>
      <c r="BA285" s="209" t="str">
        <f>IFERROR(VLOOKUP(TableHandbook[[#This Row],[UDC]],TableSTRUMATHM[],7,FALSE),"")</f>
        <v/>
      </c>
      <c r="BB285" s="209" t="str">
        <f>IFERROR(VLOOKUP(TableHandbook[[#This Row],[UDC]],TableSTRUPARTB[],7,FALSE),"")</f>
        <v/>
      </c>
      <c r="BC285" s="209" t="str">
        <f>IFERROR(VLOOKUP(TableHandbook[[#This Row],[UDC]],TableSTRUPARTM[],7,FALSE),"")</f>
        <v/>
      </c>
      <c r="BD285" s="209" t="str">
        <f>IFERROR(VLOOKUP(TableHandbook[[#This Row],[UDC]],TableSTRUPOLB1[],7,FALSE),"")</f>
        <v/>
      </c>
      <c r="BE285" s="209" t="str">
        <f>IFERROR(VLOOKUP(TableHandbook[[#This Row],[UDC]],TableSTRUPSYCB[],7,FALSE),"")</f>
        <v/>
      </c>
      <c r="BF285" s="209" t="str">
        <f>IFERROR(VLOOKUP(TableHandbook[[#This Row],[UDC]],TableSTRUPSYCM[],7,FALSE),"")</f>
        <v/>
      </c>
      <c r="BG285" s="209" t="str">
        <f>IFERROR(VLOOKUP(TableHandbook[[#This Row],[UDC]],TableSTRUVARTB[],7,FALSE),"")</f>
        <v/>
      </c>
      <c r="BH285" s="209" t="str">
        <f>IFERROR(VLOOKUP(TableHandbook[[#This Row],[UDC]],TableSTRUVARTM[],7,FALSE),"")</f>
        <v/>
      </c>
    </row>
    <row r="286" spans="1:60" x14ac:dyDescent="0.25">
      <c r="A286" s="6" t="s">
        <v>140</v>
      </c>
      <c r="B286" s="7"/>
      <c r="C286" s="7"/>
      <c r="D286" s="207" t="s">
        <v>1089</v>
      </c>
      <c r="E286" s="7">
        <v>25</v>
      </c>
      <c r="F286" s="84" t="s">
        <v>769</v>
      </c>
      <c r="G286" s="75" t="str">
        <f>IFERROR(IF(VLOOKUP(TableHandbook[[#This Row],[UDC]],TableAvailabilities[],2,FALSE)&gt;0,"Y",""),"")</f>
        <v/>
      </c>
      <c r="H286" s="75" t="str">
        <f>IFERROR(IF(VLOOKUP(TableHandbook[[#This Row],[UDC]],TableAvailabilities[],3,FALSE)&gt;0,"Y",""),"")</f>
        <v/>
      </c>
      <c r="I286" s="75" t="str">
        <f>IFERROR(IF(VLOOKUP(TableHandbook[[#This Row],[UDC]],TableAvailabilities[],4,FALSE)&gt;0,"Y",""),"")</f>
        <v/>
      </c>
      <c r="J286" s="75" t="str">
        <f>IFERROR(IF(VLOOKUP(TableHandbook[[#This Row],[UDC]],TableAvailabilities[],5,FALSE)&gt;0,"Y",""),"")</f>
        <v/>
      </c>
      <c r="K286" s="75" t="str">
        <f>IFERROR(IF(VLOOKUP(TableHandbook[[#This Row],[UDC]],TableAvailabilities[],6,FALSE)&gt;0,"Y",""),"")</f>
        <v/>
      </c>
      <c r="L286" s="75" t="str">
        <f>IFERROR(IF(VLOOKUP(TableHandbook[[#This Row],[UDC]],TableAvailabilities[],7,FALSE)&gt;0,"Y",""),"")</f>
        <v/>
      </c>
      <c r="M286" s="207"/>
      <c r="N286" s="209" t="str">
        <f>IFERROR(VLOOKUP(TableHandbook[[#This Row],[UDC]],TableBEDUC[],7,FALSE),"")</f>
        <v/>
      </c>
      <c r="O286" s="209" t="str">
        <f>IFERROR(VLOOKUP(TableHandbook[[#This Row],[UDC]],TableBEDEC[],7,FALSE),"")</f>
        <v>Option</v>
      </c>
      <c r="P286" s="211" t="str">
        <f>IFERROR(VLOOKUP(TableHandbook[[#This Row],[UDC]],TableBEDPR[],7,FALSE),"")</f>
        <v/>
      </c>
      <c r="Q286" s="209" t="str">
        <f>IFERROR(VLOOKUP(TableHandbook[[#This Row],[UDC]],TableSTRUCATHL[],7,FALSE),"")</f>
        <v/>
      </c>
      <c r="R286" s="209" t="str">
        <f>IFERROR(VLOOKUP(TableHandbook[[#This Row],[UDC]],TableSTRUENGLL[],7,FALSE),"")</f>
        <v/>
      </c>
      <c r="S286" s="209" t="str">
        <f>IFERROR(VLOOKUP(TableHandbook[[#This Row],[UDC]],TableSTRUHLTPE[],7,FALSE),"")</f>
        <v/>
      </c>
      <c r="T286" s="209" t="str">
        <f>IFERROR(VLOOKUP(TableHandbook[[#This Row],[UDC]],TableSTRUISTEM[],7,FALSE),"")</f>
        <v/>
      </c>
      <c r="U286" s="209" t="str">
        <f>IFERROR(VLOOKUP(TableHandbook[[#This Row],[UDC]],TableSTRULITNU[],7,FALSE),"")</f>
        <v/>
      </c>
      <c r="V286" s="209" t="str">
        <f>IFERROR(VLOOKUP(TableHandbook[[#This Row],[UDC]],TableSTRUTECHS[],7,FALSE),"")</f>
        <v/>
      </c>
      <c r="W286" s="211" t="str">
        <f>IFERROR(VLOOKUP(TableHandbook[[#This Row],[UDC]],TableBEDSC[],7,FALSE),"")</f>
        <v/>
      </c>
      <c r="X286" s="211" t="str">
        <f>IFERROR(VLOOKUP(TableHandbook[[#This Row],[UDC]],TableMJRUARDR1[],7,FALSE),"")</f>
        <v/>
      </c>
      <c r="Y286" s="209" t="str">
        <f>IFERROR(VLOOKUP(TableHandbook[[#This Row],[UDC]],TableMJRUARME1[],7,FALSE),"")</f>
        <v/>
      </c>
      <c r="Z286" s="209" t="str">
        <f>IFERROR(VLOOKUP(TableHandbook[[#This Row],[UDC]],TableMJRUARVA1[],7,FALSE),"")</f>
        <v/>
      </c>
      <c r="AA286" s="209" t="str">
        <f>IFERROR(VLOOKUP(TableHandbook[[#This Row],[UDC]],TableMJRUENGL1[],7,FALSE),"")</f>
        <v/>
      </c>
      <c r="AB286" s="209" t="str">
        <f>IFERROR(VLOOKUP(TableHandbook[[#This Row],[UDC]],TableMJRUHSEC1[],7,FALSE),"")</f>
        <v/>
      </c>
      <c r="AC286" s="209" t="str">
        <f>IFERROR(VLOOKUP(TableHandbook[[#This Row],[UDC]],TableMJRUHSGE1[],7,FALSE),"")</f>
        <v/>
      </c>
      <c r="AD286" s="209" t="str">
        <f>IFERROR(VLOOKUP(TableHandbook[[#This Row],[UDC]],TableMJRUHSHI1[],7,FALSE),"")</f>
        <v/>
      </c>
      <c r="AE286" s="209" t="str">
        <f>IFERROR(VLOOKUP(TableHandbook[[#This Row],[UDC]],TableMJRUHSPL1[],7,FALSE),"")</f>
        <v/>
      </c>
      <c r="AF286" s="209" t="str">
        <f>IFERROR(VLOOKUP(TableHandbook[[#This Row],[UDC]],TableMJRUMATH1[],7,FALSE),"")</f>
        <v/>
      </c>
      <c r="AG286" s="209" t="str">
        <f>IFERROR(VLOOKUP(TableHandbook[[#This Row],[UDC]],TableMJRUPHYSE[],7,FALSE),"")</f>
        <v/>
      </c>
      <c r="AH286" s="209" t="str">
        <f>IFERROR(VLOOKUP(TableHandbook[[#This Row],[UDC]],TableMJRUSCBI1[],7,FALSE),"")</f>
        <v/>
      </c>
      <c r="AI286" s="209" t="str">
        <f>IFERROR(VLOOKUP(TableHandbook[[#This Row],[UDC]],TableMJRUSCCH1[],7,FALSE),"")</f>
        <v/>
      </c>
      <c r="AJ286" s="209" t="str">
        <f>IFERROR(VLOOKUP(TableHandbook[[#This Row],[UDC]],TableMJRUSCHB1[],7,FALSE),"")</f>
        <v/>
      </c>
      <c r="AK286" s="209" t="str">
        <f>IFERROR(VLOOKUP(TableHandbook[[#This Row],[UDC]],TableMJRUSCPH1[],7,FALSE),"")</f>
        <v/>
      </c>
      <c r="AL286" s="209" t="str">
        <f>IFERROR(VLOOKUP(TableHandbook[[#This Row],[UDC]],TableMJRUSCPS1[],7,FALSE),"")</f>
        <v/>
      </c>
      <c r="AM286" s="211" t="str">
        <f>IFERROR(VLOOKUP(TableHandbook[[#This Row],[UDC]],TableSTRUBIOLB[],7,FALSE),"")</f>
        <v/>
      </c>
      <c r="AN286" s="209" t="str">
        <f>IFERROR(VLOOKUP(TableHandbook[[#This Row],[UDC]],TableSTRUBSCIM[],7,FALSE),"")</f>
        <v/>
      </c>
      <c r="AO286" s="209" t="str">
        <f>IFERROR(VLOOKUP(TableHandbook[[#This Row],[UDC]],TableSTRUCHEMB[],7,FALSE),"")</f>
        <v/>
      </c>
      <c r="AP286" s="209" t="str">
        <f>IFERROR(VLOOKUP(TableHandbook[[#This Row],[UDC]],TableSTRUECOB1[],7,FALSE),"")</f>
        <v/>
      </c>
      <c r="AQ286" s="209" t="str">
        <f>IFERROR(VLOOKUP(TableHandbook[[#This Row],[UDC]],TableSTRUENGLB[],7,FALSE),"")</f>
        <v/>
      </c>
      <c r="AR286" s="209" t="str">
        <f>IFERROR(VLOOKUP(TableHandbook[[#This Row],[UDC]],TableSTRUENGLM[],7,FALSE),"")</f>
        <v/>
      </c>
      <c r="AS286" s="209" t="str">
        <f>IFERROR(VLOOKUP(TableHandbook[[#This Row],[UDC]],TableSTRUGEOB1[],7,FALSE),"")</f>
        <v/>
      </c>
      <c r="AT286" s="209" t="str">
        <f>IFERROR(VLOOKUP(TableHandbook[[#This Row],[UDC]],TableSTRUGEOGM[],7,FALSE),"")</f>
        <v/>
      </c>
      <c r="AU286" s="209" t="str">
        <f>IFERROR(VLOOKUP(TableHandbook[[#This Row],[UDC]],TableSTRUHISB1[],7,FALSE),"")</f>
        <v/>
      </c>
      <c r="AV286" s="209" t="str">
        <f>IFERROR(VLOOKUP(TableHandbook[[#This Row],[UDC]],TableSTRUHISTM[],7,FALSE),"")</f>
        <v/>
      </c>
      <c r="AW286" s="209" t="str">
        <f>IFERROR(VLOOKUP(TableHandbook[[#This Row],[UDC]],TableSTRUHPEB1[],7,FALSE),"")</f>
        <v/>
      </c>
      <c r="AX286" s="209" t="str">
        <f>IFERROR(VLOOKUP(TableHandbook[[#This Row],[UDC]],TableSTRUHUMBB[],7,FALSE),"")</f>
        <v/>
      </c>
      <c r="AY286" s="209" t="str">
        <f>IFERROR(VLOOKUP(TableHandbook[[#This Row],[UDC]],TableSTRUMARTM[],7,FALSE),"")</f>
        <v/>
      </c>
      <c r="AZ286" s="209" t="str">
        <f>IFERROR(VLOOKUP(TableHandbook[[#This Row],[UDC]],TableSTRUMATHB[],7,FALSE),"")</f>
        <v/>
      </c>
      <c r="BA286" s="209" t="str">
        <f>IFERROR(VLOOKUP(TableHandbook[[#This Row],[UDC]],TableSTRUMATHM[],7,FALSE),"")</f>
        <v/>
      </c>
      <c r="BB286" s="209" t="str">
        <f>IFERROR(VLOOKUP(TableHandbook[[#This Row],[UDC]],TableSTRUPARTB[],7,FALSE),"")</f>
        <v/>
      </c>
      <c r="BC286" s="209" t="str">
        <f>IFERROR(VLOOKUP(TableHandbook[[#This Row],[UDC]],TableSTRUPARTM[],7,FALSE),"")</f>
        <v/>
      </c>
      <c r="BD286" s="209" t="str">
        <f>IFERROR(VLOOKUP(TableHandbook[[#This Row],[UDC]],TableSTRUPOLB1[],7,FALSE),"")</f>
        <v/>
      </c>
      <c r="BE286" s="209" t="str">
        <f>IFERROR(VLOOKUP(TableHandbook[[#This Row],[UDC]],TableSTRUPSYCB[],7,FALSE),"")</f>
        <v/>
      </c>
      <c r="BF286" s="209" t="str">
        <f>IFERROR(VLOOKUP(TableHandbook[[#This Row],[UDC]],TableSTRUPSYCM[],7,FALSE),"")</f>
        <v/>
      </c>
      <c r="BG286" s="209" t="str">
        <f>IFERROR(VLOOKUP(TableHandbook[[#This Row],[UDC]],TableSTRUVARTB[],7,FALSE),"")</f>
        <v/>
      </c>
      <c r="BH286" s="209" t="str">
        <f>IFERROR(VLOOKUP(TableHandbook[[#This Row],[UDC]],TableSTRUVARTM[],7,FALSE),"")</f>
        <v/>
      </c>
    </row>
    <row r="287" spans="1:60" x14ac:dyDescent="0.25">
      <c r="A287" s="305" t="s">
        <v>746</v>
      </c>
      <c r="B287" s="7">
        <v>0</v>
      </c>
      <c r="C287" s="7"/>
      <c r="D287" s="207" t="s">
        <v>1090</v>
      </c>
      <c r="E287" s="310">
        <v>50</v>
      </c>
      <c r="F287" s="84"/>
      <c r="G287" s="75" t="str">
        <f>IFERROR(IF(VLOOKUP(TableHandbook[[#This Row],[UDC]],TableAvailabilities[],2,FALSE)&gt;0,"Y",""),"")</f>
        <v/>
      </c>
      <c r="H287" s="75" t="str">
        <f>IFERROR(IF(VLOOKUP(TableHandbook[[#This Row],[UDC]],TableAvailabilities[],3,FALSE)&gt;0,"Y",""),"")</f>
        <v/>
      </c>
      <c r="I287" s="75" t="str">
        <f>IFERROR(IF(VLOOKUP(TableHandbook[[#This Row],[UDC]],TableAvailabilities[],4,FALSE)&gt;0,"Y",""),"")</f>
        <v/>
      </c>
      <c r="J287" s="75" t="str">
        <f>IFERROR(IF(VLOOKUP(TableHandbook[[#This Row],[UDC]],TableAvailabilities[],5,FALSE)&gt;0,"Y",""),"")</f>
        <v/>
      </c>
      <c r="K287" s="75" t="str">
        <f>IFERROR(IF(VLOOKUP(TableHandbook[[#This Row],[UDC]],TableAvailabilities[],6,FALSE)&gt;0,"Y",""),"")</f>
        <v/>
      </c>
      <c r="L287" s="75" t="str">
        <f>IFERROR(IF(VLOOKUP(TableHandbook[[#This Row],[UDC]],TableAvailabilities[],7,FALSE)&gt;0,"Y",""),"")</f>
        <v/>
      </c>
      <c r="M287" s="207" t="s">
        <v>1091</v>
      </c>
      <c r="N287" s="209" t="str">
        <f>IFERROR(VLOOKUP(TableHandbook[[#This Row],[UDC]],TableBEDUC[],7,FALSE),"")</f>
        <v/>
      </c>
      <c r="O287" s="209" t="str">
        <f>IFERROR(VLOOKUP(TableHandbook[[#This Row],[UDC]],TableBEDEC[],7,FALSE),"")</f>
        <v/>
      </c>
      <c r="P287" s="211" t="str">
        <f>IFERROR(VLOOKUP(TableHandbook[[#This Row],[UDC]],TableBEDPR[],7,FALSE),"")</f>
        <v/>
      </c>
      <c r="Q287" s="209" t="str">
        <f>IFERROR(VLOOKUP(TableHandbook[[#This Row],[UDC]],TableSTRUCATHL[],7,FALSE),"")</f>
        <v/>
      </c>
      <c r="R287" s="209" t="str">
        <f>IFERROR(VLOOKUP(TableHandbook[[#This Row],[UDC]],TableSTRUENGLL[],7,FALSE),"")</f>
        <v/>
      </c>
      <c r="S287" s="209" t="str">
        <f>IFERROR(VLOOKUP(TableHandbook[[#This Row],[UDC]],TableSTRUHLTPE[],7,FALSE),"")</f>
        <v/>
      </c>
      <c r="T287" s="209" t="str">
        <f>IFERROR(VLOOKUP(TableHandbook[[#This Row],[UDC]],TableSTRUISTEM[],7,FALSE),"")</f>
        <v/>
      </c>
      <c r="U287" s="209" t="str">
        <f>IFERROR(VLOOKUP(TableHandbook[[#This Row],[UDC]],TableSTRULITNU[],7,FALSE),"")</f>
        <v/>
      </c>
      <c r="V287" s="209" t="str">
        <f>IFERROR(VLOOKUP(TableHandbook[[#This Row],[UDC]],TableSTRUTECHS[],7,FALSE),"")</f>
        <v/>
      </c>
      <c r="W287" s="211" t="str">
        <f>IFERROR(VLOOKUP(TableHandbook[[#This Row],[UDC]],TableBEDSC[],7,FALSE),"")</f>
        <v/>
      </c>
      <c r="X287" s="211" t="str">
        <f>IFERROR(VLOOKUP(TableHandbook[[#This Row],[UDC]],TableMJRUARDR1[],7,FALSE),"")</f>
        <v/>
      </c>
      <c r="Y287" s="209" t="str">
        <f>IFERROR(VLOOKUP(TableHandbook[[#This Row],[UDC]],TableMJRUARME1[],7,FALSE),"")</f>
        <v/>
      </c>
      <c r="Z287" s="209" t="str">
        <f>IFERROR(VLOOKUP(TableHandbook[[#This Row],[UDC]],TableMJRUARVA1[],7,FALSE),"")</f>
        <v/>
      </c>
      <c r="AA287" s="209" t="str">
        <f>IFERROR(VLOOKUP(TableHandbook[[#This Row],[UDC]],TableMJRUENGL1[],7,FALSE),"")</f>
        <v/>
      </c>
      <c r="AB287" s="209" t="str">
        <f>IFERROR(VLOOKUP(TableHandbook[[#This Row],[UDC]],TableMJRUHSEC1[],7,FALSE),"")</f>
        <v/>
      </c>
      <c r="AC287" s="209" t="str">
        <f>IFERROR(VLOOKUP(TableHandbook[[#This Row],[UDC]],TableMJRUHSGE1[],7,FALSE),"")</f>
        <v/>
      </c>
      <c r="AD287" s="209" t="str">
        <f>IFERROR(VLOOKUP(TableHandbook[[#This Row],[UDC]],TableMJRUHSHI1[],7,FALSE),"")</f>
        <v/>
      </c>
      <c r="AE287" s="209" t="str">
        <f>IFERROR(VLOOKUP(TableHandbook[[#This Row],[UDC]],TableMJRUHSPL1[],7,FALSE),"")</f>
        <v/>
      </c>
      <c r="AF287" s="209" t="str">
        <f>IFERROR(VLOOKUP(TableHandbook[[#This Row],[UDC]],TableMJRUMATH1[],7,FALSE),"")</f>
        <v/>
      </c>
      <c r="AG287" s="209" t="str">
        <f>IFERROR(VLOOKUP(TableHandbook[[#This Row],[UDC]],TableMJRUPHYSE[],7,FALSE),"")</f>
        <v/>
      </c>
      <c r="AH287" s="209" t="str">
        <f>IFERROR(VLOOKUP(TableHandbook[[#This Row],[UDC]],TableMJRUSCBI1[],7,FALSE),"")</f>
        <v/>
      </c>
      <c r="AI287" s="209" t="str">
        <f>IFERROR(VLOOKUP(TableHandbook[[#This Row],[UDC]],TableMJRUSCCH1[],7,FALSE),"")</f>
        <v/>
      </c>
      <c r="AJ287" s="209" t="str">
        <f>IFERROR(VLOOKUP(TableHandbook[[#This Row],[UDC]],TableMJRUSCHB1[],7,FALSE),"")</f>
        <v/>
      </c>
      <c r="AK287" s="209" t="str">
        <f>IFERROR(VLOOKUP(TableHandbook[[#This Row],[UDC]],TableMJRUSCPH1[],7,FALSE),"")</f>
        <v/>
      </c>
      <c r="AL287" s="209" t="str">
        <f>IFERROR(VLOOKUP(TableHandbook[[#This Row],[UDC]],TableMJRUSCPS1[],7,FALSE),"")</f>
        <v/>
      </c>
      <c r="AM287" s="211" t="str">
        <f>IFERROR(VLOOKUP(TableHandbook[[#This Row],[UDC]],TableSTRUBIOLB[],7,FALSE),"")</f>
        <v/>
      </c>
      <c r="AN287" s="209" t="str">
        <f>IFERROR(VLOOKUP(TableHandbook[[#This Row],[UDC]],TableSTRUBSCIM[],7,FALSE),"")</f>
        <v/>
      </c>
      <c r="AO287" s="209" t="str">
        <f>IFERROR(VLOOKUP(TableHandbook[[#This Row],[UDC]],TableSTRUCHEMB[],7,FALSE),"")</f>
        <v/>
      </c>
      <c r="AP287" s="209" t="str">
        <f>IFERROR(VLOOKUP(TableHandbook[[#This Row],[UDC]],TableSTRUECOB1[],7,FALSE),"")</f>
        <v/>
      </c>
      <c r="AQ287" s="209" t="str">
        <f>IFERROR(VLOOKUP(TableHandbook[[#This Row],[UDC]],TableSTRUENGLB[],7,FALSE),"")</f>
        <v/>
      </c>
      <c r="AR287" s="209" t="str">
        <f>IFERROR(VLOOKUP(TableHandbook[[#This Row],[UDC]],TableSTRUENGLM[],7,FALSE),"")</f>
        <v/>
      </c>
      <c r="AS287" s="209" t="str">
        <f>IFERROR(VLOOKUP(TableHandbook[[#This Row],[UDC]],TableSTRUGEOB1[],7,FALSE),"")</f>
        <v/>
      </c>
      <c r="AT287" s="209" t="str">
        <f>IFERROR(VLOOKUP(TableHandbook[[#This Row],[UDC]],TableSTRUGEOGM[],7,FALSE),"")</f>
        <v/>
      </c>
      <c r="AU287" s="209" t="str">
        <f>IFERROR(VLOOKUP(TableHandbook[[#This Row],[UDC]],TableSTRUHISB1[],7,FALSE),"")</f>
        <v/>
      </c>
      <c r="AV287" s="209" t="str">
        <f>IFERROR(VLOOKUP(TableHandbook[[#This Row],[UDC]],TableSTRUHISTM[],7,FALSE),"")</f>
        <v/>
      </c>
      <c r="AW287" s="209" t="str">
        <f>IFERROR(VLOOKUP(TableHandbook[[#This Row],[UDC]],TableSTRUHPEB1[],7,FALSE),"")</f>
        <v/>
      </c>
      <c r="AX287" s="209" t="str">
        <f>IFERROR(VLOOKUP(TableHandbook[[#This Row],[UDC]],TableSTRUHUMBB[],7,FALSE),"")</f>
        <v/>
      </c>
      <c r="AY287" s="209" t="str">
        <f>IFERROR(VLOOKUP(TableHandbook[[#This Row],[UDC]],TableSTRUMARTM[],7,FALSE),"")</f>
        <v/>
      </c>
      <c r="AZ287" s="209" t="str">
        <f>IFERROR(VLOOKUP(TableHandbook[[#This Row],[UDC]],TableSTRUMATHB[],7,FALSE),"")</f>
        <v/>
      </c>
      <c r="BA287" s="209" t="str">
        <f>IFERROR(VLOOKUP(TableHandbook[[#This Row],[UDC]],TableSTRUMATHM[],7,FALSE),"")</f>
        <v/>
      </c>
      <c r="BB287" s="209" t="str">
        <f>IFERROR(VLOOKUP(TableHandbook[[#This Row],[UDC]],TableSTRUPARTB[],7,FALSE),"")</f>
        <v/>
      </c>
      <c r="BC287" s="209" t="str">
        <f>IFERROR(VLOOKUP(TableHandbook[[#This Row],[UDC]],TableSTRUPARTM[],7,FALSE),"")</f>
        <v/>
      </c>
      <c r="BD287" s="209" t="str">
        <f>IFERROR(VLOOKUP(TableHandbook[[#This Row],[UDC]],TableSTRUPOLB1[],7,FALSE),"")</f>
        <v/>
      </c>
      <c r="BE287" s="209" t="str">
        <f>IFERROR(VLOOKUP(TableHandbook[[#This Row],[UDC]],TableSTRUPSYCB[],7,FALSE),"")</f>
        <v/>
      </c>
      <c r="BF287" s="209" t="str">
        <f>IFERROR(VLOOKUP(TableHandbook[[#This Row],[UDC]],TableSTRUPSYCM[],7,FALSE),"")</f>
        <v/>
      </c>
      <c r="BG287" s="209" t="str">
        <f>IFERROR(VLOOKUP(TableHandbook[[#This Row],[UDC]],TableSTRUVARTB[],7,FALSE),"")</f>
        <v/>
      </c>
      <c r="BH287" s="209" t="str">
        <f>IFERROR(VLOOKUP(TableHandbook[[#This Row],[UDC]],TableSTRUVARTM[],7,FALSE),"")</f>
        <v/>
      </c>
    </row>
    <row r="288" spans="1:60" x14ac:dyDescent="0.25">
      <c r="A288" s="305" t="s">
        <v>698</v>
      </c>
      <c r="B288" s="7">
        <v>0</v>
      </c>
      <c r="C288" s="7"/>
      <c r="D288" s="207" t="s">
        <v>1088</v>
      </c>
      <c r="E288" s="310">
        <v>25</v>
      </c>
      <c r="F288" s="84" t="s">
        <v>769</v>
      </c>
      <c r="G288" s="75" t="str">
        <f>IFERROR(IF(VLOOKUP(TableHandbook[[#This Row],[UDC]],TableAvailabilities[],2,FALSE)&gt;0,"Y",""),"")</f>
        <v/>
      </c>
      <c r="H288" s="75" t="str">
        <f>IFERROR(IF(VLOOKUP(TableHandbook[[#This Row],[UDC]],TableAvailabilities[],3,FALSE)&gt;0,"Y",""),"")</f>
        <v/>
      </c>
      <c r="I288" s="75" t="str">
        <f>IFERROR(IF(VLOOKUP(TableHandbook[[#This Row],[UDC]],TableAvailabilities[],4,FALSE)&gt;0,"Y",""),"")</f>
        <v/>
      </c>
      <c r="J288" s="75" t="str">
        <f>IFERROR(IF(VLOOKUP(TableHandbook[[#This Row],[UDC]],TableAvailabilities[],5,FALSE)&gt;0,"Y",""),"")</f>
        <v/>
      </c>
      <c r="K288" s="75" t="str">
        <f>IFERROR(IF(VLOOKUP(TableHandbook[[#This Row],[UDC]],TableAvailabilities[],6,FALSE)&gt;0,"Y",""),"")</f>
        <v/>
      </c>
      <c r="L288" s="75" t="str">
        <f>IFERROR(IF(VLOOKUP(TableHandbook[[#This Row],[UDC]],TableAvailabilities[],7,FALSE)&gt;0,"Y",""),"")</f>
        <v/>
      </c>
      <c r="M288" s="207"/>
      <c r="N288" s="209" t="str">
        <f>IFERROR(VLOOKUP(TableHandbook[[#This Row],[UDC]],TableBEDUC[],7,FALSE),"")</f>
        <v/>
      </c>
      <c r="O288" s="209" t="str">
        <f>IFERROR(VLOOKUP(TableHandbook[[#This Row],[UDC]],TableBEDEC[],7,FALSE),"")</f>
        <v/>
      </c>
      <c r="P288" s="211" t="str">
        <f>IFERROR(VLOOKUP(TableHandbook[[#This Row],[UDC]],TableBEDPR[],7,FALSE),"")</f>
        <v/>
      </c>
      <c r="Q288" s="209" t="str">
        <f>IFERROR(VLOOKUP(TableHandbook[[#This Row],[UDC]],TableSTRUCATHL[],7,FALSE),"")</f>
        <v/>
      </c>
      <c r="R288" s="209" t="str">
        <f>IFERROR(VLOOKUP(TableHandbook[[#This Row],[UDC]],TableSTRUENGLL[],7,FALSE),"")</f>
        <v/>
      </c>
      <c r="S288" s="209" t="str">
        <f>IFERROR(VLOOKUP(TableHandbook[[#This Row],[UDC]],TableSTRUHLTPE[],7,FALSE),"")</f>
        <v/>
      </c>
      <c r="T288" s="209" t="str">
        <f>IFERROR(VLOOKUP(TableHandbook[[#This Row],[UDC]],TableSTRUISTEM[],7,FALSE),"")</f>
        <v/>
      </c>
      <c r="U288" s="209" t="str">
        <f>IFERROR(VLOOKUP(TableHandbook[[#This Row],[UDC]],TableSTRULITNU[],7,FALSE),"")</f>
        <v/>
      </c>
      <c r="V288" s="209" t="str">
        <f>IFERROR(VLOOKUP(TableHandbook[[#This Row],[UDC]],TableSTRUTECHS[],7,FALSE),"")</f>
        <v/>
      </c>
      <c r="W288" s="211" t="str">
        <f>IFERROR(VLOOKUP(TableHandbook[[#This Row],[UDC]],TableBEDSC[],7,FALSE),"")</f>
        <v/>
      </c>
      <c r="X288" s="211" t="str">
        <f>IFERROR(VLOOKUP(TableHandbook[[#This Row],[UDC]],TableMJRUARDR1[],7,FALSE),"")</f>
        <v/>
      </c>
      <c r="Y288" s="209" t="str">
        <f>IFERROR(VLOOKUP(TableHandbook[[#This Row],[UDC]],TableMJRUARME1[],7,FALSE),"")</f>
        <v/>
      </c>
      <c r="Z288" s="209" t="str">
        <f>IFERROR(VLOOKUP(TableHandbook[[#This Row],[UDC]],TableMJRUARVA1[],7,FALSE),"")</f>
        <v/>
      </c>
      <c r="AA288" s="209" t="str">
        <f>IFERROR(VLOOKUP(TableHandbook[[#This Row],[UDC]],TableMJRUENGL1[],7,FALSE),"")</f>
        <v/>
      </c>
      <c r="AB288" s="209" t="str">
        <f>IFERROR(VLOOKUP(TableHandbook[[#This Row],[UDC]],TableMJRUHSEC1[],7,FALSE),"")</f>
        <v/>
      </c>
      <c r="AC288" s="209" t="str">
        <f>IFERROR(VLOOKUP(TableHandbook[[#This Row],[UDC]],TableMJRUHSGE1[],7,FALSE),"")</f>
        <v/>
      </c>
      <c r="AD288" s="209" t="str">
        <f>IFERROR(VLOOKUP(TableHandbook[[#This Row],[UDC]],TableMJRUHSHI1[],7,FALSE),"")</f>
        <v/>
      </c>
      <c r="AE288" s="209" t="str">
        <f>IFERROR(VLOOKUP(TableHandbook[[#This Row],[UDC]],TableMJRUHSPL1[],7,FALSE),"")</f>
        <v/>
      </c>
      <c r="AF288" s="209" t="str">
        <f>IFERROR(VLOOKUP(TableHandbook[[#This Row],[UDC]],TableMJRUMATH1[],7,FALSE),"")</f>
        <v/>
      </c>
      <c r="AG288" s="209" t="str">
        <f>IFERROR(VLOOKUP(TableHandbook[[#This Row],[UDC]],TableMJRUPHYSE[],7,FALSE),"")</f>
        <v/>
      </c>
      <c r="AH288" s="209" t="str">
        <f>IFERROR(VLOOKUP(TableHandbook[[#This Row],[UDC]],TableMJRUSCBI1[],7,FALSE),"")</f>
        <v/>
      </c>
      <c r="AI288" s="209" t="str">
        <f>IFERROR(VLOOKUP(TableHandbook[[#This Row],[UDC]],TableMJRUSCCH1[],7,FALSE),"")</f>
        <v/>
      </c>
      <c r="AJ288" s="209" t="str">
        <f>IFERROR(VLOOKUP(TableHandbook[[#This Row],[UDC]],TableMJRUSCHB1[],7,FALSE),"")</f>
        <v/>
      </c>
      <c r="AK288" s="209" t="str">
        <f>IFERROR(VLOOKUP(TableHandbook[[#This Row],[UDC]],TableMJRUSCPH1[],7,FALSE),"")</f>
        <v/>
      </c>
      <c r="AL288" s="209" t="str">
        <f>IFERROR(VLOOKUP(TableHandbook[[#This Row],[UDC]],TableMJRUSCPS1[],7,FALSE),"")</f>
        <v/>
      </c>
      <c r="AM288" s="211" t="str">
        <f>IFERROR(VLOOKUP(TableHandbook[[#This Row],[UDC]],TableSTRUBIOLB[],7,FALSE),"")</f>
        <v/>
      </c>
      <c r="AN288" s="209" t="str">
        <f>IFERROR(VLOOKUP(TableHandbook[[#This Row],[UDC]],TableSTRUBSCIM[],7,FALSE),"")</f>
        <v/>
      </c>
      <c r="AO288" s="209" t="str">
        <f>IFERROR(VLOOKUP(TableHandbook[[#This Row],[UDC]],TableSTRUCHEMB[],7,FALSE),"")</f>
        <v/>
      </c>
      <c r="AP288" s="209" t="str">
        <f>IFERROR(VLOOKUP(TableHandbook[[#This Row],[UDC]],TableSTRUECOB1[],7,FALSE),"")</f>
        <v/>
      </c>
      <c r="AQ288" s="209" t="str">
        <f>IFERROR(VLOOKUP(TableHandbook[[#This Row],[UDC]],TableSTRUENGLB[],7,FALSE),"")</f>
        <v/>
      </c>
      <c r="AR288" s="209" t="str">
        <f>IFERROR(VLOOKUP(TableHandbook[[#This Row],[UDC]],TableSTRUENGLM[],7,FALSE),"")</f>
        <v/>
      </c>
      <c r="AS288" s="209" t="str">
        <f>IFERROR(VLOOKUP(TableHandbook[[#This Row],[UDC]],TableSTRUGEOB1[],7,FALSE),"")</f>
        <v/>
      </c>
      <c r="AT288" s="209" t="str">
        <f>IFERROR(VLOOKUP(TableHandbook[[#This Row],[UDC]],TableSTRUGEOGM[],7,FALSE),"")</f>
        <v/>
      </c>
      <c r="AU288" s="209" t="str">
        <f>IFERROR(VLOOKUP(TableHandbook[[#This Row],[UDC]],TableSTRUHISB1[],7,FALSE),"")</f>
        <v/>
      </c>
      <c r="AV288" s="209" t="str">
        <f>IFERROR(VLOOKUP(TableHandbook[[#This Row],[UDC]],TableSTRUHISTM[],7,FALSE),"")</f>
        <v/>
      </c>
      <c r="AW288" s="209" t="str">
        <f>IFERROR(VLOOKUP(TableHandbook[[#This Row],[UDC]],TableSTRUHPEB1[],7,FALSE),"")</f>
        <v/>
      </c>
      <c r="AX288" s="209" t="str">
        <f>IFERROR(VLOOKUP(TableHandbook[[#This Row],[UDC]],TableSTRUHUMBB[],7,FALSE),"")</f>
        <v/>
      </c>
      <c r="AY288" s="209" t="str">
        <f>IFERROR(VLOOKUP(TableHandbook[[#This Row],[UDC]],TableSTRUMARTM[],7,FALSE),"")</f>
        <v/>
      </c>
      <c r="AZ288" s="209" t="str">
        <f>IFERROR(VLOOKUP(TableHandbook[[#This Row],[UDC]],TableSTRUMATHB[],7,FALSE),"")</f>
        <v>Option</v>
      </c>
      <c r="BA288" s="209" t="str">
        <f>IFERROR(VLOOKUP(TableHandbook[[#This Row],[UDC]],TableSTRUMATHM[],7,FALSE),"")</f>
        <v/>
      </c>
      <c r="BB288" s="209" t="str">
        <f>IFERROR(VLOOKUP(TableHandbook[[#This Row],[UDC]],TableSTRUPARTB[],7,FALSE),"")</f>
        <v/>
      </c>
      <c r="BC288" s="209" t="str">
        <f>IFERROR(VLOOKUP(TableHandbook[[#This Row],[UDC]],TableSTRUPARTM[],7,FALSE),"")</f>
        <v/>
      </c>
      <c r="BD288" s="209" t="str">
        <f>IFERROR(VLOOKUP(TableHandbook[[#This Row],[UDC]],TableSTRUPOLB1[],7,FALSE),"")</f>
        <v/>
      </c>
      <c r="BE288" s="209" t="str">
        <f>IFERROR(VLOOKUP(TableHandbook[[#This Row],[UDC]],TableSTRUPSYCB[],7,FALSE),"")</f>
        <v/>
      </c>
      <c r="BF288" s="209" t="str">
        <f>IFERROR(VLOOKUP(TableHandbook[[#This Row],[UDC]],TableSTRUPSYCM[],7,FALSE),"")</f>
        <v/>
      </c>
      <c r="BG288" s="209" t="str">
        <f>IFERROR(VLOOKUP(TableHandbook[[#This Row],[UDC]],TableSTRUVARTB[],7,FALSE),"")</f>
        <v/>
      </c>
      <c r="BH288" s="209" t="str">
        <f>IFERROR(VLOOKUP(TableHandbook[[#This Row],[UDC]],TableSTRUVARTM[],7,FALSE),"")</f>
        <v/>
      </c>
    </row>
    <row r="289" spans="1:60" x14ac:dyDescent="0.25">
      <c r="A289" s="305" t="s">
        <v>733</v>
      </c>
      <c r="B289" s="7">
        <v>0</v>
      </c>
      <c r="C289" s="7"/>
      <c r="D289" s="207" t="s">
        <v>1088</v>
      </c>
      <c r="E289" s="7">
        <v>25</v>
      </c>
      <c r="F289" s="84" t="s">
        <v>769</v>
      </c>
      <c r="G289" s="75" t="str">
        <f>IFERROR(IF(VLOOKUP(TableHandbook[[#This Row],[UDC]],TableAvailabilities[],2,FALSE)&gt;0,"Y",""),"")</f>
        <v/>
      </c>
      <c r="H289" s="75" t="str">
        <f>IFERROR(IF(VLOOKUP(TableHandbook[[#This Row],[UDC]],TableAvailabilities[],3,FALSE)&gt;0,"Y",""),"")</f>
        <v/>
      </c>
      <c r="I289" s="75" t="str">
        <f>IFERROR(IF(VLOOKUP(TableHandbook[[#This Row],[UDC]],TableAvailabilities[],4,FALSE)&gt;0,"Y",""),"")</f>
        <v/>
      </c>
      <c r="J289" s="75" t="str">
        <f>IFERROR(IF(VLOOKUP(TableHandbook[[#This Row],[UDC]],TableAvailabilities[],5,FALSE)&gt;0,"Y",""),"")</f>
        <v/>
      </c>
      <c r="K289" s="75" t="str">
        <f>IFERROR(IF(VLOOKUP(TableHandbook[[#This Row],[UDC]],TableAvailabilities[],6,FALSE)&gt;0,"Y",""),"")</f>
        <v/>
      </c>
      <c r="L289" s="75" t="str">
        <f>IFERROR(IF(VLOOKUP(TableHandbook[[#This Row],[UDC]],TableAvailabilities[],7,FALSE)&gt;0,"Y",""),"")</f>
        <v/>
      </c>
      <c r="M289" s="207"/>
      <c r="N289" s="209" t="str">
        <f>IFERROR(VLOOKUP(TableHandbook[[#This Row],[UDC]],TableBEDUC[],7,FALSE),"")</f>
        <v/>
      </c>
      <c r="O289" s="209" t="str">
        <f>IFERROR(VLOOKUP(TableHandbook[[#This Row],[UDC]],TableBEDEC[],7,FALSE),"")</f>
        <v/>
      </c>
      <c r="P289" s="211" t="str">
        <f>IFERROR(VLOOKUP(TableHandbook[[#This Row],[UDC]],TableBEDPR[],7,FALSE),"")</f>
        <v/>
      </c>
      <c r="Q289" s="209" t="str">
        <f>IFERROR(VLOOKUP(TableHandbook[[#This Row],[UDC]],TableSTRUCATHL[],7,FALSE),"")</f>
        <v/>
      </c>
      <c r="R289" s="209" t="str">
        <f>IFERROR(VLOOKUP(TableHandbook[[#This Row],[UDC]],TableSTRUENGLL[],7,FALSE),"")</f>
        <v/>
      </c>
      <c r="S289" s="209" t="str">
        <f>IFERROR(VLOOKUP(TableHandbook[[#This Row],[UDC]],TableSTRUHLTPE[],7,FALSE),"")</f>
        <v/>
      </c>
      <c r="T289" s="209" t="str">
        <f>IFERROR(VLOOKUP(TableHandbook[[#This Row],[UDC]],TableSTRUISTEM[],7,FALSE),"")</f>
        <v/>
      </c>
      <c r="U289" s="209" t="str">
        <f>IFERROR(VLOOKUP(TableHandbook[[#This Row],[UDC]],TableSTRULITNU[],7,FALSE),"")</f>
        <v/>
      </c>
      <c r="V289" s="209" t="str">
        <f>IFERROR(VLOOKUP(TableHandbook[[#This Row],[UDC]],TableSTRUTECHS[],7,FALSE),"")</f>
        <v/>
      </c>
      <c r="W289" s="211" t="str">
        <f>IFERROR(VLOOKUP(TableHandbook[[#This Row],[UDC]],TableBEDSC[],7,FALSE),"")</f>
        <v/>
      </c>
      <c r="X289" s="211" t="str">
        <f>IFERROR(VLOOKUP(TableHandbook[[#This Row],[UDC]],TableMJRUARDR1[],7,FALSE),"")</f>
        <v/>
      </c>
      <c r="Y289" s="209" t="str">
        <f>IFERROR(VLOOKUP(TableHandbook[[#This Row],[UDC]],TableMJRUARME1[],7,FALSE),"")</f>
        <v/>
      </c>
      <c r="Z289" s="209" t="str">
        <f>IFERROR(VLOOKUP(TableHandbook[[#This Row],[UDC]],TableMJRUARVA1[],7,FALSE),"")</f>
        <v/>
      </c>
      <c r="AA289" s="209" t="str">
        <f>IFERROR(VLOOKUP(TableHandbook[[#This Row],[UDC]],TableMJRUENGL1[],7,FALSE),"")</f>
        <v/>
      </c>
      <c r="AB289" s="209" t="str">
        <f>IFERROR(VLOOKUP(TableHandbook[[#This Row],[UDC]],TableMJRUHSEC1[],7,FALSE),"")</f>
        <v/>
      </c>
      <c r="AC289" s="209" t="str">
        <f>IFERROR(VLOOKUP(TableHandbook[[#This Row],[UDC]],TableMJRUHSGE1[],7,FALSE),"")</f>
        <v/>
      </c>
      <c r="AD289" s="209" t="str">
        <f>IFERROR(VLOOKUP(TableHandbook[[#This Row],[UDC]],TableMJRUHSHI1[],7,FALSE),"")</f>
        <v/>
      </c>
      <c r="AE289" s="209" t="str">
        <f>IFERROR(VLOOKUP(TableHandbook[[#This Row],[UDC]],TableMJRUHSPL1[],7,FALSE),"")</f>
        <v/>
      </c>
      <c r="AF289" s="209" t="str">
        <f>IFERROR(VLOOKUP(TableHandbook[[#This Row],[UDC]],TableMJRUMATH1[],7,FALSE),"")</f>
        <v/>
      </c>
      <c r="AG289" s="209" t="str">
        <f>IFERROR(VLOOKUP(TableHandbook[[#This Row],[UDC]],TableMJRUPHYSE[],7,FALSE),"")</f>
        <v/>
      </c>
      <c r="AH289" s="209" t="str">
        <f>IFERROR(VLOOKUP(TableHandbook[[#This Row],[UDC]],TableMJRUSCBI1[],7,FALSE),"")</f>
        <v/>
      </c>
      <c r="AI289" s="209" t="str">
        <f>IFERROR(VLOOKUP(TableHandbook[[#This Row],[UDC]],TableMJRUSCCH1[],7,FALSE),"")</f>
        <v/>
      </c>
      <c r="AJ289" s="209" t="str">
        <f>IFERROR(VLOOKUP(TableHandbook[[#This Row],[UDC]],TableMJRUSCHB1[],7,FALSE),"")</f>
        <v/>
      </c>
      <c r="AK289" s="209" t="str">
        <f>IFERROR(VLOOKUP(TableHandbook[[#This Row],[UDC]],TableMJRUSCPH1[],7,FALSE),"")</f>
        <v/>
      </c>
      <c r="AL289" s="209" t="str">
        <f>IFERROR(VLOOKUP(TableHandbook[[#This Row],[UDC]],TableMJRUSCPS1[],7,FALSE),"")</f>
        <v/>
      </c>
      <c r="AM289" s="211" t="str">
        <f>IFERROR(VLOOKUP(TableHandbook[[#This Row],[UDC]],TableSTRUBIOLB[],7,FALSE),"")</f>
        <v/>
      </c>
      <c r="AN289" s="209" t="str">
        <f>IFERROR(VLOOKUP(TableHandbook[[#This Row],[UDC]],TableSTRUBSCIM[],7,FALSE),"")</f>
        <v/>
      </c>
      <c r="AO289" s="209" t="str">
        <f>IFERROR(VLOOKUP(TableHandbook[[#This Row],[UDC]],TableSTRUCHEMB[],7,FALSE),"")</f>
        <v/>
      </c>
      <c r="AP289" s="209" t="str">
        <f>IFERROR(VLOOKUP(TableHandbook[[#This Row],[UDC]],TableSTRUECOB1[],7,FALSE),"")</f>
        <v/>
      </c>
      <c r="AQ289" s="209" t="str">
        <f>IFERROR(VLOOKUP(TableHandbook[[#This Row],[UDC]],TableSTRUENGLB[],7,FALSE),"")</f>
        <v/>
      </c>
      <c r="AR289" s="209" t="str">
        <f>IFERROR(VLOOKUP(TableHandbook[[#This Row],[UDC]],TableSTRUENGLM[],7,FALSE),"")</f>
        <v/>
      </c>
      <c r="AS289" s="209" t="str">
        <f>IFERROR(VLOOKUP(TableHandbook[[#This Row],[UDC]],TableSTRUGEOB1[],7,FALSE),"")</f>
        <v/>
      </c>
      <c r="AT289" s="209" t="str">
        <f>IFERROR(VLOOKUP(TableHandbook[[#This Row],[UDC]],TableSTRUGEOGM[],7,FALSE),"")</f>
        <v/>
      </c>
      <c r="AU289" s="209" t="str">
        <f>IFERROR(VLOOKUP(TableHandbook[[#This Row],[UDC]],TableSTRUHISB1[],7,FALSE),"")</f>
        <v/>
      </c>
      <c r="AV289" s="209" t="str">
        <f>IFERROR(VLOOKUP(TableHandbook[[#This Row],[UDC]],TableSTRUHISTM[],7,FALSE),"")</f>
        <v/>
      </c>
      <c r="AW289" s="209" t="str">
        <f>IFERROR(VLOOKUP(TableHandbook[[#This Row],[UDC]],TableSTRUHPEB1[],7,FALSE),"")</f>
        <v/>
      </c>
      <c r="AX289" s="209" t="str">
        <f>IFERROR(VLOOKUP(TableHandbook[[#This Row],[UDC]],TableSTRUHUMBB[],7,FALSE),"")</f>
        <v/>
      </c>
      <c r="AY289" s="209" t="str">
        <f>IFERROR(VLOOKUP(TableHandbook[[#This Row],[UDC]],TableSTRUMARTM[],7,FALSE),"")</f>
        <v/>
      </c>
      <c r="AZ289" s="209" t="str">
        <f>IFERROR(VLOOKUP(TableHandbook[[#This Row],[UDC]],TableSTRUMATHB[],7,FALSE),"")</f>
        <v/>
      </c>
      <c r="BA289" s="209" t="str">
        <f>IFERROR(VLOOKUP(TableHandbook[[#This Row],[UDC]],TableSTRUMATHM[],7,FALSE),"")</f>
        <v/>
      </c>
      <c r="BB289" s="209" t="str">
        <f>IFERROR(VLOOKUP(TableHandbook[[#This Row],[UDC]],TableSTRUPARTB[],7,FALSE),"")</f>
        <v>Option</v>
      </c>
      <c r="BC289" s="209" t="str">
        <f>IFERROR(VLOOKUP(TableHandbook[[#This Row],[UDC]],TableSTRUPARTM[],7,FALSE),"")</f>
        <v/>
      </c>
      <c r="BD289" s="209" t="str">
        <f>IFERROR(VLOOKUP(TableHandbook[[#This Row],[UDC]],TableSTRUPOLB1[],7,FALSE),"")</f>
        <v/>
      </c>
      <c r="BE289" s="209" t="str">
        <f>IFERROR(VLOOKUP(TableHandbook[[#This Row],[UDC]],TableSTRUPSYCB[],7,FALSE),"")</f>
        <v/>
      </c>
      <c r="BF289" s="209" t="str">
        <f>IFERROR(VLOOKUP(TableHandbook[[#This Row],[UDC]],TableSTRUPSYCM[],7,FALSE),"")</f>
        <v/>
      </c>
      <c r="BG289" s="209" t="str">
        <f>IFERROR(VLOOKUP(TableHandbook[[#This Row],[UDC]],TableSTRUVARTB[],7,FALSE),"")</f>
        <v/>
      </c>
      <c r="BH289" s="209" t="str">
        <f>IFERROR(VLOOKUP(TableHandbook[[#This Row],[UDC]],TableSTRUVARTM[],7,FALSE),"")</f>
        <v/>
      </c>
    </row>
    <row r="290" spans="1:60" x14ac:dyDescent="0.25">
      <c r="A290" s="305" t="s">
        <v>735</v>
      </c>
      <c r="B290" s="7">
        <v>0</v>
      </c>
      <c r="C290" s="7"/>
      <c r="D290" s="207" t="s">
        <v>1088</v>
      </c>
      <c r="E290" s="7">
        <v>25</v>
      </c>
      <c r="F290" s="84" t="s">
        <v>769</v>
      </c>
      <c r="G290" s="75" t="str">
        <f>IFERROR(IF(VLOOKUP(TableHandbook[[#This Row],[UDC]],TableAvailabilities[],2,FALSE)&gt;0,"Y",""),"")</f>
        <v/>
      </c>
      <c r="H290" s="75" t="str">
        <f>IFERROR(IF(VLOOKUP(TableHandbook[[#This Row],[UDC]],TableAvailabilities[],3,FALSE)&gt;0,"Y",""),"")</f>
        <v/>
      </c>
      <c r="I290" s="75" t="str">
        <f>IFERROR(IF(VLOOKUP(TableHandbook[[#This Row],[UDC]],TableAvailabilities[],4,FALSE)&gt;0,"Y",""),"")</f>
        <v/>
      </c>
      <c r="J290" s="75" t="str">
        <f>IFERROR(IF(VLOOKUP(TableHandbook[[#This Row],[UDC]],TableAvailabilities[],5,FALSE)&gt;0,"Y",""),"")</f>
        <v/>
      </c>
      <c r="K290" s="75" t="str">
        <f>IFERROR(IF(VLOOKUP(TableHandbook[[#This Row],[UDC]],TableAvailabilities[],6,FALSE)&gt;0,"Y",""),"")</f>
        <v/>
      </c>
      <c r="L290" s="75" t="str">
        <f>IFERROR(IF(VLOOKUP(TableHandbook[[#This Row],[UDC]],TableAvailabilities[],7,FALSE)&gt;0,"Y",""),"")</f>
        <v/>
      </c>
      <c r="M290" s="207"/>
      <c r="N290" s="209" t="str">
        <f>IFERROR(VLOOKUP(TableHandbook[[#This Row],[UDC]],TableBEDUC[],7,FALSE),"")</f>
        <v/>
      </c>
      <c r="O290" s="209" t="str">
        <f>IFERROR(VLOOKUP(TableHandbook[[#This Row],[UDC]],TableBEDEC[],7,FALSE),"")</f>
        <v/>
      </c>
      <c r="P290" s="211" t="str">
        <f>IFERROR(VLOOKUP(TableHandbook[[#This Row],[UDC]],TableBEDPR[],7,FALSE),"")</f>
        <v/>
      </c>
      <c r="Q290" s="209" t="str">
        <f>IFERROR(VLOOKUP(TableHandbook[[#This Row],[UDC]],TableSTRUCATHL[],7,FALSE),"")</f>
        <v/>
      </c>
      <c r="R290" s="209" t="str">
        <f>IFERROR(VLOOKUP(TableHandbook[[#This Row],[UDC]],TableSTRUENGLL[],7,FALSE),"")</f>
        <v/>
      </c>
      <c r="S290" s="209" t="str">
        <f>IFERROR(VLOOKUP(TableHandbook[[#This Row],[UDC]],TableSTRUHLTPE[],7,FALSE),"")</f>
        <v/>
      </c>
      <c r="T290" s="209" t="str">
        <f>IFERROR(VLOOKUP(TableHandbook[[#This Row],[UDC]],TableSTRUISTEM[],7,FALSE),"")</f>
        <v/>
      </c>
      <c r="U290" s="209" t="str">
        <f>IFERROR(VLOOKUP(TableHandbook[[#This Row],[UDC]],TableSTRULITNU[],7,FALSE),"")</f>
        <v/>
      </c>
      <c r="V290" s="209" t="str">
        <f>IFERROR(VLOOKUP(TableHandbook[[#This Row],[UDC]],TableSTRUTECHS[],7,FALSE),"")</f>
        <v/>
      </c>
      <c r="W290" s="211" t="str">
        <f>IFERROR(VLOOKUP(TableHandbook[[#This Row],[UDC]],TableBEDSC[],7,FALSE),"")</f>
        <v/>
      </c>
      <c r="X290" s="211" t="str">
        <f>IFERROR(VLOOKUP(TableHandbook[[#This Row],[UDC]],TableMJRUARDR1[],7,FALSE),"")</f>
        <v/>
      </c>
      <c r="Y290" s="209" t="str">
        <f>IFERROR(VLOOKUP(TableHandbook[[#This Row],[UDC]],TableMJRUARME1[],7,FALSE),"")</f>
        <v/>
      </c>
      <c r="Z290" s="209" t="str">
        <f>IFERROR(VLOOKUP(TableHandbook[[#This Row],[UDC]],TableMJRUARVA1[],7,FALSE),"")</f>
        <v/>
      </c>
      <c r="AA290" s="209" t="str">
        <f>IFERROR(VLOOKUP(TableHandbook[[#This Row],[UDC]],TableMJRUENGL1[],7,FALSE),"")</f>
        <v/>
      </c>
      <c r="AB290" s="209" t="str">
        <f>IFERROR(VLOOKUP(TableHandbook[[#This Row],[UDC]],TableMJRUHSEC1[],7,FALSE),"")</f>
        <v/>
      </c>
      <c r="AC290" s="209" t="str">
        <f>IFERROR(VLOOKUP(TableHandbook[[#This Row],[UDC]],TableMJRUHSGE1[],7,FALSE),"")</f>
        <v/>
      </c>
      <c r="AD290" s="209" t="str">
        <f>IFERROR(VLOOKUP(TableHandbook[[#This Row],[UDC]],TableMJRUHSHI1[],7,FALSE),"")</f>
        <v/>
      </c>
      <c r="AE290" s="209" t="str">
        <f>IFERROR(VLOOKUP(TableHandbook[[#This Row],[UDC]],TableMJRUHSPL1[],7,FALSE),"")</f>
        <v/>
      </c>
      <c r="AF290" s="209" t="str">
        <f>IFERROR(VLOOKUP(TableHandbook[[#This Row],[UDC]],TableMJRUMATH1[],7,FALSE),"")</f>
        <v/>
      </c>
      <c r="AG290" s="209" t="str">
        <f>IFERROR(VLOOKUP(TableHandbook[[#This Row],[UDC]],TableMJRUPHYSE[],7,FALSE),"")</f>
        <v/>
      </c>
      <c r="AH290" s="209" t="str">
        <f>IFERROR(VLOOKUP(TableHandbook[[#This Row],[UDC]],TableMJRUSCBI1[],7,FALSE),"")</f>
        <v/>
      </c>
      <c r="AI290" s="209" t="str">
        <f>IFERROR(VLOOKUP(TableHandbook[[#This Row],[UDC]],TableMJRUSCCH1[],7,FALSE),"")</f>
        <v/>
      </c>
      <c r="AJ290" s="209" t="str">
        <f>IFERROR(VLOOKUP(TableHandbook[[#This Row],[UDC]],TableMJRUSCHB1[],7,FALSE),"")</f>
        <v/>
      </c>
      <c r="AK290" s="209" t="str">
        <f>IFERROR(VLOOKUP(TableHandbook[[#This Row],[UDC]],TableMJRUSCPH1[],7,FALSE),"")</f>
        <v/>
      </c>
      <c r="AL290" s="209" t="str">
        <f>IFERROR(VLOOKUP(TableHandbook[[#This Row],[UDC]],TableMJRUSCPS1[],7,FALSE),"")</f>
        <v/>
      </c>
      <c r="AM290" s="211" t="str">
        <f>IFERROR(VLOOKUP(TableHandbook[[#This Row],[UDC]],TableSTRUBIOLB[],7,FALSE),"")</f>
        <v/>
      </c>
      <c r="AN290" s="209" t="str">
        <f>IFERROR(VLOOKUP(TableHandbook[[#This Row],[UDC]],TableSTRUBSCIM[],7,FALSE),"")</f>
        <v/>
      </c>
      <c r="AO290" s="209" t="str">
        <f>IFERROR(VLOOKUP(TableHandbook[[#This Row],[UDC]],TableSTRUCHEMB[],7,FALSE),"")</f>
        <v/>
      </c>
      <c r="AP290" s="209" t="str">
        <f>IFERROR(VLOOKUP(TableHandbook[[#This Row],[UDC]],TableSTRUECOB1[],7,FALSE),"")</f>
        <v/>
      </c>
      <c r="AQ290" s="209" t="str">
        <f>IFERROR(VLOOKUP(TableHandbook[[#This Row],[UDC]],TableSTRUENGLB[],7,FALSE),"")</f>
        <v/>
      </c>
      <c r="AR290" s="209" t="str">
        <f>IFERROR(VLOOKUP(TableHandbook[[#This Row],[UDC]],TableSTRUENGLM[],7,FALSE),"")</f>
        <v/>
      </c>
      <c r="AS290" s="209" t="str">
        <f>IFERROR(VLOOKUP(TableHandbook[[#This Row],[UDC]],TableSTRUGEOB1[],7,FALSE),"")</f>
        <v/>
      </c>
      <c r="AT290" s="209" t="str">
        <f>IFERROR(VLOOKUP(TableHandbook[[#This Row],[UDC]],TableSTRUGEOGM[],7,FALSE),"")</f>
        <v/>
      </c>
      <c r="AU290" s="209" t="str">
        <f>IFERROR(VLOOKUP(TableHandbook[[#This Row],[UDC]],TableSTRUHISB1[],7,FALSE),"")</f>
        <v/>
      </c>
      <c r="AV290" s="209" t="str">
        <f>IFERROR(VLOOKUP(TableHandbook[[#This Row],[UDC]],TableSTRUHISTM[],7,FALSE),"")</f>
        <v/>
      </c>
      <c r="AW290" s="209" t="str">
        <f>IFERROR(VLOOKUP(TableHandbook[[#This Row],[UDC]],TableSTRUHPEB1[],7,FALSE),"")</f>
        <v/>
      </c>
      <c r="AX290" s="209" t="str">
        <f>IFERROR(VLOOKUP(TableHandbook[[#This Row],[UDC]],TableSTRUHUMBB[],7,FALSE),"")</f>
        <v/>
      </c>
      <c r="AY290" s="209" t="str">
        <f>IFERROR(VLOOKUP(TableHandbook[[#This Row],[UDC]],TableSTRUMARTM[],7,FALSE),"")</f>
        <v/>
      </c>
      <c r="AZ290" s="209" t="str">
        <f>IFERROR(VLOOKUP(TableHandbook[[#This Row],[UDC]],TableSTRUMATHB[],7,FALSE),"")</f>
        <v/>
      </c>
      <c r="BA290" s="209" t="str">
        <f>IFERROR(VLOOKUP(TableHandbook[[#This Row],[UDC]],TableSTRUMATHM[],7,FALSE),"")</f>
        <v/>
      </c>
      <c r="BB290" s="209" t="str">
        <f>IFERROR(VLOOKUP(TableHandbook[[#This Row],[UDC]],TableSTRUPARTB[],7,FALSE),"")</f>
        <v/>
      </c>
      <c r="BC290" s="209" t="str">
        <f>IFERROR(VLOOKUP(TableHandbook[[#This Row],[UDC]],TableSTRUPARTM[],7,FALSE),"")</f>
        <v/>
      </c>
      <c r="BD290" s="209" t="str">
        <f>IFERROR(VLOOKUP(TableHandbook[[#This Row],[UDC]],TableSTRUPOLB1[],7,FALSE),"")</f>
        <v>Option</v>
      </c>
      <c r="BE290" s="209" t="str">
        <f>IFERROR(VLOOKUP(TableHandbook[[#This Row],[UDC]],TableSTRUPSYCB[],7,FALSE),"")</f>
        <v/>
      </c>
      <c r="BF290" s="209" t="str">
        <f>IFERROR(VLOOKUP(TableHandbook[[#This Row],[UDC]],TableSTRUPSYCM[],7,FALSE),"")</f>
        <v/>
      </c>
      <c r="BG290" s="209" t="str">
        <f>IFERROR(VLOOKUP(TableHandbook[[#This Row],[UDC]],TableSTRUVARTB[],7,FALSE),"")</f>
        <v/>
      </c>
      <c r="BH290" s="209" t="str">
        <f>IFERROR(VLOOKUP(TableHandbook[[#This Row],[UDC]],TableSTRUVARTM[],7,FALSE),"")</f>
        <v/>
      </c>
    </row>
    <row r="291" spans="1:60" x14ac:dyDescent="0.25">
      <c r="A291" s="305" t="s">
        <v>736</v>
      </c>
      <c r="B291" s="7">
        <v>0</v>
      </c>
      <c r="C291" s="7"/>
      <c r="D291" s="207" t="s">
        <v>1088</v>
      </c>
      <c r="E291" s="7">
        <v>25</v>
      </c>
      <c r="F291" s="84" t="s">
        <v>769</v>
      </c>
      <c r="G291" s="75" t="str">
        <f>IFERROR(IF(VLOOKUP(TableHandbook[[#This Row],[UDC]],TableAvailabilities[],2,FALSE)&gt;0,"Y",""),"")</f>
        <v/>
      </c>
      <c r="H291" s="75" t="str">
        <f>IFERROR(IF(VLOOKUP(TableHandbook[[#This Row],[UDC]],TableAvailabilities[],3,FALSE)&gt;0,"Y",""),"")</f>
        <v/>
      </c>
      <c r="I291" s="75" t="str">
        <f>IFERROR(IF(VLOOKUP(TableHandbook[[#This Row],[UDC]],TableAvailabilities[],4,FALSE)&gt;0,"Y",""),"")</f>
        <v/>
      </c>
      <c r="J291" s="75" t="str">
        <f>IFERROR(IF(VLOOKUP(TableHandbook[[#This Row],[UDC]],TableAvailabilities[],5,FALSE)&gt;0,"Y",""),"")</f>
        <v/>
      </c>
      <c r="K291" s="75" t="str">
        <f>IFERROR(IF(VLOOKUP(TableHandbook[[#This Row],[UDC]],TableAvailabilities[],6,FALSE)&gt;0,"Y",""),"")</f>
        <v/>
      </c>
      <c r="L291" s="75" t="str">
        <f>IFERROR(IF(VLOOKUP(TableHandbook[[#This Row],[UDC]],TableAvailabilities[],7,FALSE)&gt;0,"Y",""),"")</f>
        <v/>
      </c>
      <c r="M291" s="207"/>
      <c r="N291" s="209" t="str">
        <f>IFERROR(VLOOKUP(TableHandbook[[#This Row],[UDC]],TableBEDUC[],7,FALSE),"")</f>
        <v/>
      </c>
      <c r="O291" s="209" t="str">
        <f>IFERROR(VLOOKUP(TableHandbook[[#This Row],[UDC]],TableBEDEC[],7,FALSE),"")</f>
        <v/>
      </c>
      <c r="P291" s="211" t="str">
        <f>IFERROR(VLOOKUP(TableHandbook[[#This Row],[UDC]],TableBEDPR[],7,FALSE),"")</f>
        <v/>
      </c>
      <c r="Q291" s="209" t="str">
        <f>IFERROR(VLOOKUP(TableHandbook[[#This Row],[UDC]],TableSTRUCATHL[],7,FALSE),"")</f>
        <v/>
      </c>
      <c r="R291" s="209" t="str">
        <f>IFERROR(VLOOKUP(TableHandbook[[#This Row],[UDC]],TableSTRUENGLL[],7,FALSE),"")</f>
        <v/>
      </c>
      <c r="S291" s="209" t="str">
        <f>IFERROR(VLOOKUP(TableHandbook[[#This Row],[UDC]],TableSTRUHLTPE[],7,FALSE),"")</f>
        <v/>
      </c>
      <c r="T291" s="209" t="str">
        <f>IFERROR(VLOOKUP(TableHandbook[[#This Row],[UDC]],TableSTRUISTEM[],7,FALSE),"")</f>
        <v/>
      </c>
      <c r="U291" s="209" t="str">
        <f>IFERROR(VLOOKUP(TableHandbook[[#This Row],[UDC]],TableSTRULITNU[],7,FALSE),"")</f>
        <v/>
      </c>
      <c r="V291" s="209" t="str">
        <f>IFERROR(VLOOKUP(TableHandbook[[#This Row],[UDC]],TableSTRUTECHS[],7,FALSE),"")</f>
        <v/>
      </c>
      <c r="W291" s="211" t="str">
        <f>IFERROR(VLOOKUP(TableHandbook[[#This Row],[UDC]],TableBEDSC[],7,FALSE),"")</f>
        <v/>
      </c>
      <c r="X291" s="211" t="str">
        <f>IFERROR(VLOOKUP(TableHandbook[[#This Row],[UDC]],TableMJRUARDR1[],7,FALSE),"")</f>
        <v/>
      </c>
      <c r="Y291" s="209" t="str">
        <f>IFERROR(VLOOKUP(TableHandbook[[#This Row],[UDC]],TableMJRUARME1[],7,FALSE),"")</f>
        <v/>
      </c>
      <c r="Z291" s="209" t="str">
        <f>IFERROR(VLOOKUP(TableHandbook[[#This Row],[UDC]],TableMJRUARVA1[],7,FALSE),"")</f>
        <v/>
      </c>
      <c r="AA291" s="209" t="str">
        <f>IFERROR(VLOOKUP(TableHandbook[[#This Row],[UDC]],TableMJRUENGL1[],7,FALSE),"")</f>
        <v/>
      </c>
      <c r="AB291" s="209" t="str">
        <f>IFERROR(VLOOKUP(TableHandbook[[#This Row],[UDC]],TableMJRUHSEC1[],7,FALSE),"")</f>
        <v/>
      </c>
      <c r="AC291" s="209" t="str">
        <f>IFERROR(VLOOKUP(TableHandbook[[#This Row],[UDC]],TableMJRUHSGE1[],7,FALSE),"")</f>
        <v/>
      </c>
      <c r="AD291" s="209" t="str">
        <f>IFERROR(VLOOKUP(TableHandbook[[#This Row],[UDC]],TableMJRUHSHI1[],7,FALSE),"")</f>
        <v/>
      </c>
      <c r="AE291" s="209" t="str">
        <f>IFERROR(VLOOKUP(TableHandbook[[#This Row],[UDC]],TableMJRUHSPL1[],7,FALSE),"")</f>
        <v/>
      </c>
      <c r="AF291" s="209" t="str">
        <f>IFERROR(VLOOKUP(TableHandbook[[#This Row],[UDC]],TableMJRUMATH1[],7,FALSE),"")</f>
        <v/>
      </c>
      <c r="AG291" s="209" t="str">
        <f>IFERROR(VLOOKUP(TableHandbook[[#This Row],[UDC]],TableMJRUPHYSE[],7,FALSE),"")</f>
        <v/>
      </c>
      <c r="AH291" s="209" t="str">
        <f>IFERROR(VLOOKUP(TableHandbook[[#This Row],[UDC]],TableMJRUSCBI1[],7,FALSE),"")</f>
        <v/>
      </c>
      <c r="AI291" s="209" t="str">
        <f>IFERROR(VLOOKUP(TableHandbook[[#This Row],[UDC]],TableMJRUSCCH1[],7,FALSE),"")</f>
        <v/>
      </c>
      <c r="AJ291" s="209" t="str">
        <f>IFERROR(VLOOKUP(TableHandbook[[#This Row],[UDC]],TableMJRUSCHB1[],7,FALSE),"")</f>
        <v/>
      </c>
      <c r="AK291" s="209" t="str">
        <f>IFERROR(VLOOKUP(TableHandbook[[#This Row],[UDC]],TableMJRUSCPH1[],7,FALSE),"")</f>
        <v/>
      </c>
      <c r="AL291" s="209" t="str">
        <f>IFERROR(VLOOKUP(TableHandbook[[#This Row],[UDC]],TableMJRUSCPS1[],7,FALSE),"")</f>
        <v/>
      </c>
      <c r="AM291" s="211" t="str">
        <f>IFERROR(VLOOKUP(TableHandbook[[#This Row],[UDC]],TableSTRUBIOLB[],7,FALSE),"")</f>
        <v/>
      </c>
      <c r="AN291" s="209" t="str">
        <f>IFERROR(VLOOKUP(TableHandbook[[#This Row],[UDC]],TableSTRUBSCIM[],7,FALSE),"")</f>
        <v/>
      </c>
      <c r="AO291" s="209" t="str">
        <f>IFERROR(VLOOKUP(TableHandbook[[#This Row],[UDC]],TableSTRUCHEMB[],7,FALSE),"")</f>
        <v/>
      </c>
      <c r="AP291" s="209" t="str">
        <f>IFERROR(VLOOKUP(TableHandbook[[#This Row],[UDC]],TableSTRUECOB1[],7,FALSE),"")</f>
        <v/>
      </c>
      <c r="AQ291" s="209" t="str">
        <f>IFERROR(VLOOKUP(TableHandbook[[#This Row],[UDC]],TableSTRUENGLB[],7,FALSE),"")</f>
        <v/>
      </c>
      <c r="AR291" s="209" t="str">
        <f>IFERROR(VLOOKUP(TableHandbook[[#This Row],[UDC]],TableSTRUENGLM[],7,FALSE),"")</f>
        <v/>
      </c>
      <c r="AS291" s="209" t="str">
        <f>IFERROR(VLOOKUP(TableHandbook[[#This Row],[UDC]],TableSTRUGEOB1[],7,FALSE),"")</f>
        <v/>
      </c>
      <c r="AT291" s="209" t="str">
        <f>IFERROR(VLOOKUP(TableHandbook[[#This Row],[UDC]],TableSTRUGEOGM[],7,FALSE),"")</f>
        <v/>
      </c>
      <c r="AU291" s="209" t="str">
        <f>IFERROR(VLOOKUP(TableHandbook[[#This Row],[UDC]],TableSTRUHISB1[],7,FALSE),"")</f>
        <v/>
      </c>
      <c r="AV291" s="209" t="str">
        <f>IFERROR(VLOOKUP(TableHandbook[[#This Row],[UDC]],TableSTRUHISTM[],7,FALSE),"")</f>
        <v/>
      </c>
      <c r="AW291" s="209" t="str">
        <f>IFERROR(VLOOKUP(TableHandbook[[#This Row],[UDC]],TableSTRUHPEB1[],7,FALSE),"")</f>
        <v/>
      </c>
      <c r="AX291" s="209" t="str">
        <f>IFERROR(VLOOKUP(TableHandbook[[#This Row],[UDC]],TableSTRUHUMBB[],7,FALSE),"")</f>
        <v/>
      </c>
      <c r="AY291" s="209" t="str">
        <f>IFERROR(VLOOKUP(TableHandbook[[#This Row],[UDC]],TableSTRUMARTM[],7,FALSE),"")</f>
        <v/>
      </c>
      <c r="AZ291" s="209" t="str">
        <f>IFERROR(VLOOKUP(TableHandbook[[#This Row],[UDC]],TableSTRUMATHB[],7,FALSE),"")</f>
        <v/>
      </c>
      <c r="BA291" s="209" t="str">
        <f>IFERROR(VLOOKUP(TableHandbook[[#This Row],[UDC]],TableSTRUMATHM[],7,FALSE),"")</f>
        <v/>
      </c>
      <c r="BB291" s="209" t="str">
        <f>IFERROR(VLOOKUP(TableHandbook[[#This Row],[UDC]],TableSTRUPARTB[],7,FALSE),"")</f>
        <v/>
      </c>
      <c r="BC291" s="209" t="str">
        <f>IFERROR(VLOOKUP(TableHandbook[[#This Row],[UDC]],TableSTRUPARTM[],7,FALSE),"")</f>
        <v/>
      </c>
      <c r="BD291" s="209" t="str">
        <f>IFERROR(VLOOKUP(TableHandbook[[#This Row],[UDC]],TableSTRUPOLB1[],7,FALSE),"")</f>
        <v/>
      </c>
      <c r="BE291" s="209" t="str">
        <f>IFERROR(VLOOKUP(TableHandbook[[#This Row],[UDC]],TableSTRUPSYCB[],7,FALSE),"")</f>
        <v>Option</v>
      </c>
      <c r="BF291" s="209" t="str">
        <f>IFERROR(VLOOKUP(TableHandbook[[#This Row],[UDC]],TableSTRUPSYCM[],7,FALSE),"")</f>
        <v/>
      </c>
      <c r="BG291" s="209" t="str">
        <f>IFERROR(VLOOKUP(TableHandbook[[#This Row],[UDC]],TableSTRUVARTB[],7,FALSE),"")</f>
        <v/>
      </c>
      <c r="BH291" s="209" t="str">
        <f>IFERROR(VLOOKUP(TableHandbook[[#This Row],[UDC]],TableSTRUVARTM[],7,FALSE),"")</f>
        <v/>
      </c>
    </row>
    <row r="292" spans="1:60" x14ac:dyDescent="0.25">
      <c r="A292" s="296" t="s">
        <v>560</v>
      </c>
      <c r="B292" s="7">
        <v>0</v>
      </c>
      <c r="C292" s="7"/>
      <c r="D292" s="207" t="s">
        <v>1081</v>
      </c>
      <c r="E292" s="7">
        <v>25</v>
      </c>
      <c r="F292" s="84" t="s">
        <v>769</v>
      </c>
      <c r="G292" s="75" t="str">
        <f>IFERROR(IF(VLOOKUP(TableHandbook[[#This Row],[UDC]],TableAvailabilities[],2,FALSE)&gt;0,"Y",""),"")</f>
        <v/>
      </c>
      <c r="H292" s="75" t="str">
        <f>IFERROR(IF(VLOOKUP(TableHandbook[[#This Row],[UDC]],TableAvailabilities[],3,FALSE)&gt;0,"Y",""),"")</f>
        <v/>
      </c>
      <c r="I292" s="75" t="str">
        <f>IFERROR(IF(VLOOKUP(TableHandbook[[#This Row],[UDC]],TableAvailabilities[],4,FALSE)&gt;0,"Y",""),"")</f>
        <v/>
      </c>
      <c r="J292" s="75" t="str">
        <f>IFERROR(IF(VLOOKUP(TableHandbook[[#This Row],[UDC]],TableAvailabilities[],5,FALSE)&gt;0,"Y",""),"")</f>
        <v/>
      </c>
      <c r="K292" s="75" t="str">
        <f>IFERROR(IF(VLOOKUP(TableHandbook[[#This Row],[UDC]],TableAvailabilities[],6,FALSE)&gt;0,"Y",""),"")</f>
        <v/>
      </c>
      <c r="L292" s="75" t="str">
        <f>IFERROR(IF(VLOOKUP(TableHandbook[[#This Row],[UDC]],TableAvailabilities[],7,FALSE)&gt;0,"Y",""),"")</f>
        <v/>
      </c>
      <c r="M292" s="207"/>
      <c r="N292" s="209" t="str">
        <f>IFERROR(VLOOKUP(TableHandbook[[#This Row],[UDC]],TableBEDUC[],7,FALSE),"")</f>
        <v/>
      </c>
      <c r="O292" s="209" t="str">
        <f>IFERROR(VLOOKUP(TableHandbook[[#This Row],[UDC]],TableBEDEC[],7,FALSE),"")</f>
        <v/>
      </c>
      <c r="P292" s="211" t="str">
        <f>IFERROR(VLOOKUP(TableHandbook[[#This Row],[UDC]],TableBEDPR[],7,FALSE),"")</f>
        <v/>
      </c>
      <c r="Q292" s="209" t="str">
        <f>IFERROR(VLOOKUP(TableHandbook[[#This Row],[UDC]],TableSTRUCATHL[],7,FALSE),"")</f>
        <v/>
      </c>
      <c r="R292" s="209" t="str">
        <f>IFERROR(VLOOKUP(TableHandbook[[#This Row],[UDC]],TableSTRUENGLL[],7,FALSE),"")</f>
        <v/>
      </c>
      <c r="S292" s="209" t="str">
        <f>IFERROR(VLOOKUP(TableHandbook[[#This Row],[UDC]],TableSTRUHLTPE[],7,FALSE),"")</f>
        <v/>
      </c>
      <c r="T292" s="209" t="str">
        <f>IFERROR(VLOOKUP(TableHandbook[[#This Row],[UDC]],TableSTRUISTEM[],7,FALSE),"")</f>
        <v/>
      </c>
      <c r="U292" s="209" t="str">
        <f>IFERROR(VLOOKUP(TableHandbook[[#This Row],[UDC]],TableSTRULITNU[],7,FALSE),"")</f>
        <v/>
      </c>
      <c r="V292" s="209" t="str">
        <f>IFERROR(VLOOKUP(TableHandbook[[#This Row],[UDC]],TableSTRUTECHS[],7,FALSE),"")</f>
        <v/>
      </c>
      <c r="W292" s="211" t="str">
        <f>IFERROR(VLOOKUP(TableHandbook[[#This Row],[UDC]],TableBEDSC[],7,FALSE),"")</f>
        <v/>
      </c>
      <c r="X292" s="211" t="str">
        <f>IFERROR(VLOOKUP(TableHandbook[[#This Row],[UDC]],TableMJRUARDR1[],7,FALSE),"")</f>
        <v/>
      </c>
      <c r="Y292" s="209" t="str">
        <f>IFERROR(VLOOKUP(TableHandbook[[#This Row],[UDC]],TableMJRUARME1[],7,FALSE),"")</f>
        <v/>
      </c>
      <c r="Z292" s="209" t="str">
        <f>IFERROR(VLOOKUP(TableHandbook[[#This Row],[UDC]],TableMJRUARVA1[],7,FALSE),"")</f>
        <v/>
      </c>
      <c r="AA292" s="209" t="str">
        <f>IFERROR(VLOOKUP(TableHandbook[[#This Row],[UDC]],TableMJRUENGL1[],7,FALSE),"")</f>
        <v/>
      </c>
      <c r="AB292" s="209" t="str">
        <f>IFERROR(VLOOKUP(TableHandbook[[#This Row],[UDC]],TableMJRUHSEC1[],7,FALSE),"")</f>
        <v/>
      </c>
      <c r="AC292" s="209" t="str">
        <f>IFERROR(VLOOKUP(TableHandbook[[#This Row],[UDC]],TableMJRUHSGE1[],7,FALSE),"")</f>
        <v/>
      </c>
      <c r="AD292" s="209" t="str">
        <f>IFERROR(VLOOKUP(TableHandbook[[#This Row],[UDC]],TableMJRUHSHI1[],7,FALSE),"")</f>
        <v/>
      </c>
      <c r="AE292" s="209" t="str">
        <f>IFERROR(VLOOKUP(TableHandbook[[#This Row],[UDC]],TableMJRUHSPL1[],7,FALSE),"")</f>
        <v/>
      </c>
      <c r="AF292" s="209" t="str">
        <f>IFERROR(VLOOKUP(TableHandbook[[#This Row],[UDC]],TableMJRUMATH1[],7,FALSE),"")</f>
        <v/>
      </c>
      <c r="AG292" s="209" t="str">
        <f>IFERROR(VLOOKUP(TableHandbook[[#This Row],[UDC]],TableMJRUPHYSE[],7,FALSE),"")</f>
        <v/>
      </c>
      <c r="AH292" s="209" t="str">
        <f>IFERROR(VLOOKUP(TableHandbook[[#This Row],[UDC]],TableMJRUSCBI1[],7,FALSE),"")</f>
        <v>Option</v>
      </c>
      <c r="AI292" s="209" t="str">
        <f>IFERROR(VLOOKUP(TableHandbook[[#This Row],[UDC]],TableMJRUSCCH1[],7,FALSE),"")</f>
        <v/>
      </c>
      <c r="AJ292" s="209" t="str">
        <f>IFERROR(VLOOKUP(TableHandbook[[#This Row],[UDC]],TableMJRUSCHB1[],7,FALSE),"")</f>
        <v/>
      </c>
      <c r="AK292" s="209" t="str">
        <f>IFERROR(VLOOKUP(TableHandbook[[#This Row],[UDC]],TableMJRUSCPH1[],7,FALSE),"")</f>
        <v/>
      </c>
      <c r="AL292" s="209" t="str">
        <f>IFERROR(VLOOKUP(TableHandbook[[#This Row],[UDC]],TableMJRUSCPS1[],7,FALSE),"")</f>
        <v/>
      </c>
      <c r="AM292" s="211" t="str">
        <f>IFERROR(VLOOKUP(TableHandbook[[#This Row],[UDC]],TableSTRUBIOLB[],7,FALSE),"")</f>
        <v/>
      </c>
      <c r="AN292" s="209" t="str">
        <f>IFERROR(VLOOKUP(TableHandbook[[#This Row],[UDC]],TableSTRUBSCIM[],7,FALSE),"")</f>
        <v/>
      </c>
      <c r="AO292" s="209" t="str">
        <f>IFERROR(VLOOKUP(TableHandbook[[#This Row],[UDC]],TableSTRUCHEMB[],7,FALSE),"")</f>
        <v/>
      </c>
      <c r="AP292" s="209" t="str">
        <f>IFERROR(VLOOKUP(TableHandbook[[#This Row],[UDC]],TableSTRUECOB1[],7,FALSE),"")</f>
        <v/>
      </c>
      <c r="AQ292" s="209" t="str">
        <f>IFERROR(VLOOKUP(TableHandbook[[#This Row],[UDC]],TableSTRUENGLB[],7,FALSE),"")</f>
        <v/>
      </c>
      <c r="AR292" s="209" t="str">
        <f>IFERROR(VLOOKUP(TableHandbook[[#This Row],[UDC]],TableSTRUENGLM[],7,FALSE),"")</f>
        <v/>
      </c>
      <c r="AS292" s="209" t="str">
        <f>IFERROR(VLOOKUP(TableHandbook[[#This Row],[UDC]],TableSTRUGEOB1[],7,FALSE),"")</f>
        <v/>
      </c>
      <c r="AT292" s="209" t="str">
        <f>IFERROR(VLOOKUP(TableHandbook[[#This Row],[UDC]],TableSTRUGEOGM[],7,FALSE),"")</f>
        <v/>
      </c>
      <c r="AU292" s="209" t="str">
        <f>IFERROR(VLOOKUP(TableHandbook[[#This Row],[UDC]],TableSTRUHISB1[],7,FALSE),"")</f>
        <v/>
      </c>
      <c r="AV292" s="209" t="str">
        <f>IFERROR(VLOOKUP(TableHandbook[[#This Row],[UDC]],TableSTRUHISTM[],7,FALSE),"")</f>
        <v/>
      </c>
      <c r="AW292" s="209" t="str">
        <f>IFERROR(VLOOKUP(TableHandbook[[#This Row],[UDC]],TableSTRUHPEB1[],7,FALSE),"")</f>
        <v/>
      </c>
      <c r="AX292" s="209" t="str">
        <f>IFERROR(VLOOKUP(TableHandbook[[#This Row],[UDC]],TableSTRUHUMBB[],7,FALSE),"")</f>
        <v/>
      </c>
      <c r="AY292" s="209" t="str">
        <f>IFERROR(VLOOKUP(TableHandbook[[#This Row],[UDC]],TableSTRUMARTM[],7,FALSE),"")</f>
        <v/>
      </c>
      <c r="AZ292" s="209" t="str">
        <f>IFERROR(VLOOKUP(TableHandbook[[#This Row],[UDC]],TableSTRUMATHB[],7,FALSE),"")</f>
        <v/>
      </c>
      <c r="BA292" s="209" t="str">
        <f>IFERROR(VLOOKUP(TableHandbook[[#This Row],[UDC]],TableSTRUMATHM[],7,FALSE),"")</f>
        <v/>
      </c>
      <c r="BB292" s="209" t="str">
        <f>IFERROR(VLOOKUP(TableHandbook[[#This Row],[UDC]],TableSTRUPARTB[],7,FALSE),"")</f>
        <v/>
      </c>
      <c r="BC292" s="209" t="str">
        <f>IFERROR(VLOOKUP(TableHandbook[[#This Row],[UDC]],TableSTRUPARTM[],7,FALSE),"")</f>
        <v/>
      </c>
      <c r="BD292" s="209" t="str">
        <f>IFERROR(VLOOKUP(TableHandbook[[#This Row],[UDC]],TableSTRUPOLB1[],7,FALSE),"")</f>
        <v/>
      </c>
      <c r="BE292" s="209" t="str">
        <f>IFERROR(VLOOKUP(TableHandbook[[#This Row],[UDC]],TableSTRUPSYCB[],7,FALSE),"")</f>
        <v/>
      </c>
      <c r="BF292" s="209" t="str">
        <f>IFERROR(VLOOKUP(TableHandbook[[#This Row],[UDC]],TableSTRUPSYCM[],7,FALSE),"")</f>
        <v/>
      </c>
      <c r="BG292" s="209" t="str">
        <f>IFERROR(VLOOKUP(TableHandbook[[#This Row],[UDC]],TableSTRUVARTB[],7,FALSE),"")</f>
        <v/>
      </c>
      <c r="BH292" s="209" t="str">
        <f>IFERROR(VLOOKUP(TableHandbook[[#This Row],[UDC]],TableSTRUVARTM[],7,FALSE),"")</f>
        <v/>
      </c>
    </row>
    <row r="293" spans="1:60" x14ac:dyDescent="0.25">
      <c r="A293" s="296" t="s">
        <v>561</v>
      </c>
      <c r="B293" s="7">
        <v>0</v>
      </c>
      <c r="C293" s="7"/>
      <c r="D293" s="207" t="s">
        <v>1081</v>
      </c>
      <c r="E293" s="7">
        <v>25</v>
      </c>
      <c r="F293" s="84" t="s">
        <v>769</v>
      </c>
      <c r="G293" s="75" t="str">
        <f>IFERROR(IF(VLOOKUP(TableHandbook[[#This Row],[UDC]],TableAvailabilities[],2,FALSE)&gt;0,"Y",""),"")</f>
        <v/>
      </c>
      <c r="H293" s="75" t="str">
        <f>IFERROR(IF(VLOOKUP(TableHandbook[[#This Row],[UDC]],TableAvailabilities[],3,FALSE)&gt;0,"Y",""),"")</f>
        <v/>
      </c>
      <c r="I293" s="75" t="str">
        <f>IFERROR(IF(VLOOKUP(TableHandbook[[#This Row],[UDC]],TableAvailabilities[],4,FALSE)&gt;0,"Y",""),"")</f>
        <v/>
      </c>
      <c r="J293" s="75" t="str">
        <f>IFERROR(IF(VLOOKUP(TableHandbook[[#This Row],[UDC]],TableAvailabilities[],5,FALSE)&gt;0,"Y",""),"")</f>
        <v/>
      </c>
      <c r="K293" s="75" t="str">
        <f>IFERROR(IF(VLOOKUP(TableHandbook[[#This Row],[UDC]],TableAvailabilities[],6,FALSE)&gt;0,"Y",""),"")</f>
        <v/>
      </c>
      <c r="L293" s="75" t="str">
        <f>IFERROR(IF(VLOOKUP(TableHandbook[[#This Row],[UDC]],TableAvailabilities[],7,FALSE)&gt;0,"Y",""),"")</f>
        <v/>
      </c>
      <c r="M293" s="207"/>
      <c r="N293" s="209" t="str">
        <f>IFERROR(VLOOKUP(TableHandbook[[#This Row],[UDC]],TableBEDUC[],7,FALSE),"")</f>
        <v/>
      </c>
      <c r="O293" s="209" t="str">
        <f>IFERROR(VLOOKUP(TableHandbook[[#This Row],[UDC]],TableBEDEC[],7,FALSE),"")</f>
        <v/>
      </c>
      <c r="P293" s="211" t="str">
        <f>IFERROR(VLOOKUP(TableHandbook[[#This Row],[UDC]],TableBEDPR[],7,FALSE),"")</f>
        <v/>
      </c>
      <c r="Q293" s="209" t="str">
        <f>IFERROR(VLOOKUP(TableHandbook[[#This Row],[UDC]],TableSTRUCATHL[],7,FALSE),"")</f>
        <v/>
      </c>
      <c r="R293" s="209" t="str">
        <f>IFERROR(VLOOKUP(TableHandbook[[#This Row],[UDC]],TableSTRUENGLL[],7,FALSE),"")</f>
        <v/>
      </c>
      <c r="S293" s="209" t="str">
        <f>IFERROR(VLOOKUP(TableHandbook[[#This Row],[UDC]],TableSTRUHLTPE[],7,FALSE),"")</f>
        <v/>
      </c>
      <c r="T293" s="209" t="str">
        <f>IFERROR(VLOOKUP(TableHandbook[[#This Row],[UDC]],TableSTRUISTEM[],7,FALSE),"")</f>
        <v/>
      </c>
      <c r="U293" s="209" t="str">
        <f>IFERROR(VLOOKUP(TableHandbook[[#This Row],[UDC]],TableSTRULITNU[],7,FALSE),"")</f>
        <v/>
      </c>
      <c r="V293" s="209" t="str">
        <f>IFERROR(VLOOKUP(TableHandbook[[#This Row],[UDC]],TableSTRUTECHS[],7,FALSE),"")</f>
        <v/>
      </c>
      <c r="W293" s="211" t="str">
        <f>IFERROR(VLOOKUP(TableHandbook[[#This Row],[UDC]],TableBEDSC[],7,FALSE),"")</f>
        <v/>
      </c>
      <c r="X293" s="211" t="str">
        <f>IFERROR(VLOOKUP(TableHandbook[[#This Row],[UDC]],TableMJRUARDR1[],7,FALSE),"")</f>
        <v/>
      </c>
      <c r="Y293" s="209" t="str">
        <f>IFERROR(VLOOKUP(TableHandbook[[#This Row],[UDC]],TableMJRUARME1[],7,FALSE),"")</f>
        <v/>
      </c>
      <c r="Z293" s="209" t="str">
        <f>IFERROR(VLOOKUP(TableHandbook[[#This Row],[UDC]],TableMJRUARVA1[],7,FALSE),"")</f>
        <v/>
      </c>
      <c r="AA293" s="209" t="str">
        <f>IFERROR(VLOOKUP(TableHandbook[[#This Row],[UDC]],TableMJRUENGL1[],7,FALSE),"")</f>
        <v/>
      </c>
      <c r="AB293" s="209" t="str">
        <f>IFERROR(VLOOKUP(TableHandbook[[#This Row],[UDC]],TableMJRUHSEC1[],7,FALSE),"")</f>
        <v/>
      </c>
      <c r="AC293" s="209" t="str">
        <f>IFERROR(VLOOKUP(TableHandbook[[#This Row],[UDC]],TableMJRUHSGE1[],7,FALSE),"")</f>
        <v/>
      </c>
      <c r="AD293" s="209" t="str">
        <f>IFERROR(VLOOKUP(TableHandbook[[#This Row],[UDC]],TableMJRUHSHI1[],7,FALSE),"")</f>
        <v/>
      </c>
      <c r="AE293" s="209" t="str">
        <f>IFERROR(VLOOKUP(TableHandbook[[#This Row],[UDC]],TableMJRUHSPL1[],7,FALSE),"")</f>
        <v/>
      </c>
      <c r="AF293" s="209" t="str">
        <f>IFERROR(VLOOKUP(TableHandbook[[#This Row],[UDC]],TableMJRUMATH1[],7,FALSE),"")</f>
        <v/>
      </c>
      <c r="AG293" s="209" t="str">
        <f>IFERROR(VLOOKUP(TableHandbook[[#This Row],[UDC]],TableMJRUPHYSE[],7,FALSE),"")</f>
        <v/>
      </c>
      <c r="AH293" s="209" t="str">
        <f>IFERROR(VLOOKUP(TableHandbook[[#This Row],[UDC]],TableMJRUSCBI1[],7,FALSE),"")</f>
        <v/>
      </c>
      <c r="AI293" s="209" t="str">
        <f>IFERROR(VLOOKUP(TableHandbook[[#This Row],[UDC]],TableMJRUSCCH1[],7,FALSE),"")</f>
        <v>Option</v>
      </c>
      <c r="AJ293" s="209" t="str">
        <f>IFERROR(VLOOKUP(TableHandbook[[#This Row],[UDC]],TableMJRUSCHB1[],7,FALSE),"")</f>
        <v/>
      </c>
      <c r="AK293" s="209" t="str">
        <f>IFERROR(VLOOKUP(TableHandbook[[#This Row],[UDC]],TableMJRUSCPH1[],7,FALSE),"")</f>
        <v/>
      </c>
      <c r="AL293" s="209" t="str">
        <f>IFERROR(VLOOKUP(TableHandbook[[#This Row],[UDC]],TableMJRUSCPS1[],7,FALSE),"")</f>
        <v/>
      </c>
      <c r="AM293" s="211" t="str">
        <f>IFERROR(VLOOKUP(TableHandbook[[#This Row],[UDC]],TableSTRUBIOLB[],7,FALSE),"")</f>
        <v/>
      </c>
      <c r="AN293" s="209" t="str">
        <f>IFERROR(VLOOKUP(TableHandbook[[#This Row],[UDC]],TableSTRUBSCIM[],7,FALSE),"")</f>
        <v/>
      </c>
      <c r="AO293" s="209" t="str">
        <f>IFERROR(VLOOKUP(TableHandbook[[#This Row],[UDC]],TableSTRUCHEMB[],7,FALSE),"")</f>
        <v/>
      </c>
      <c r="AP293" s="209" t="str">
        <f>IFERROR(VLOOKUP(TableHandbook[[#This Row],[UDC]],TableSTRUECOB1[],7,FALSE),"")</f>
        <v/>
      </c>
      <c r="AQ293" s="209" t="str">
        <f>IFERROR(VLOOKUP(TableHandbook[[#This Row],[UDC]],TableSTRUENGLB[],7,FALSE),"")</f>
        <v/>
      </c>
      <c r="AR293" s="209" t="str">
        <f>IFERROR(VLOOKUP(TableHandbook[[#This Row],[UDC]],TableSTRUENGLM[],7,FALSE),"")</f>
        <v/>
      </c>
      <c r="AS293" s="209" t="str">
        <f>IFERROR(VLOOKUP(TableHandbook[[#This Row],[UDC]],TableSTRUGEOB1[],7,FALSE),"")</f>
        <v/>
      </c>
      <c r="AT293" s="209" t="str">
        <f>IFERROR(VLOOKUP(TableHandbook[[#This Row],[UDC]],TableSTRUGEOGM[],7,FALSE),"")</f>
        <v/>
      </c>
      <c r="AU293" s="209" t="str">
        <f>IFERROR(VLOOKUP(TableHandbook[[#This Row],[UDC]],TableSTRUHISB1[],7,FALSE),"")</f>
        <v/>
      </c>
      <c r="AV293" s="209" t="str">
        <f>IFERROR(VLOOKUP(TableHandbook[[#This Row],[UDC]],TableSTRUHISTM[],7,FALSE),"")</f>
        <v/>
      </c>
      <c r="AW293" s="209" t="str">
        <f>IFERROR(VLOOKUP(TableHandbook[[#This Row],[UDC]],TableSTRUHPEB1[],7,FALSE),"")</f>
        <v/>
      </c>
      <c r="AX293" s="209" t="str">
        <f>IFERROR(VLOOKUP(TableHandbook[[#This Row],[UDC]],TableSTRUHUMBB[],7,FALSE),"")</f>
        <v/>
      </c>
      <c r="AY293" s="209" t="str">
        <f>IFERROR(VLOOKUP(TableHandbook[[#This Row],[UDC]],TableSTRUMARTM[],7,FALSE),"")</f>
        <v/>
      </c>
      <c r="AZ293" s="209" t="str">
        <f>IFERROR(VLOOKUP(TableHandbook[[#This Row],[UDC]],TableSTRUMATHB[],7,FALSE),"")</f>
        <v/>
      </c>
      <c r="BA293" s="209" t="str">
        <f>IFERROR(VLOOKUP(TableHandbook[[#This Row],[UDC]],TableSTRUMATHM[],7,FALSE),"")</f>
        <v/>
      </c>
      <c r="BB293" s="209" t="str">
        <f>IFERROR(VLOOKUP(TableHandbook[[#This Row],[UDC]],TableSTRUPARTB[],7,FALSE),"")</f>
        <v/>
      </c>
      <c r="BC293" s="209" t="str">
        <f>IFERROR(VLOOKUP(TableHandbook[[#This Row],[UDC]],TableSTRUPARTM[],7,FALSE),"")</f>
        <v/>
      </c>
      <c r="BD293" s="209" t="str">
        <f>IFERROR(VLOOKUP(TableHandbook[[#This Row],[UDC]],TableSTRUPOLB1[],7,FALSE),"")</f>
        <v/>
      </c>
      <c r="BE293" s="209" t="str">
        <f>IFERROR(VLOOKUP(TableHandbook[[#This Row],[UDC]],TableSTRUPSYCB[],7,FALSE),"")</f>
        <v/>
      </c>
      <c r="BF293" s="209" t="str">
        <f>IFERROR(VLOOKUP(TableHandbook[[#This Row],[UDC]],TableSTRUPSYCM[],7,FALSE),"")</f>
        <v/>
      </c>
      <c r="BG293" s="209" t="str">
        <f>IFERROR(VLOOKUP(TableHandbook[[#This Row],[UDC]],TableSTRUVARTB[],7,FALSE),"")</f>
        <v/>
      </c>
      <c r="BH293" s="209" t="str">
        <f>IFERROR(VLOOKUP(TableHandbook[[#This Row],[UDC]],TableSTRUVARTM[],7,FALSE),"")</f>
        <v/>
      </c>
    </row>
    <row r="294" spans="1:60" x14ac:dyDescent="0.25">
      <c r="A294" s="296" t="s">
        <v>562</v>
      </c>
      <c r="B294" s="7">
        <v>0</v>
      </c>
      <c r="C294" s="7"/>
      <c r="D294" s="207" t="s">
        <v>1081</v>
      </c>
      <c r="E294" s="7">
        <v>25</v>
      </c>
      <c r="F294" s="84" t="s">
        <v>769</v>
      </c>
      <c r="G294" s="75" t="str">
        <f>IFERROR(IF(VLOOKUP(TableHandbook[[#This Row],[UDC]],TableAvailabilities[],2,FALSE)&gt;0,"Y",""),"")</f>
        <v/>
      </c>
      <c r="H294" s="75" t="str">
        <f>IFERROR(IF(VLOOKUP(TableHandbook[[#This Row],[UDC]],TableAvailabilities[],3,FALSE)&gt;0,"Y",""),"")</f>
        <v/>
      </c>
      <c r="I294" s="75" t="str">
        <f>IFERROR(IF(VLOOKUP(TableHandbook[[#This Row],[UDC]],TableAvailabilities[],4,FALSE)&gt;0,"Y",""),"")</f>
        <v/>
      </c>
      <c r="J294" s="75" t="str">
        <f>IFERROR(IF(VLOOKUP(TableHandbook[[#This Row],[UDC]],TableAvailabilities[],5,FALSE)&gt;0,"Y",""),"")</f>
        <v/>
      </c>
      <c r="K294" s="75" t="str">
        <f>IFERROR(IF(VLOOKUP(TableHandbook[[#This Row],[UDC]],TableAvailabilities[],6,FALSE)&gt;0,"Y",""),"")</f>
        <v/>
      </c>
      <c r="L294" s="75" t="str">
        <f>IFERROR(IF(VLOOKUP(TableHandbook[[#This Row],[UDC]],TableAvailabilities[],7,FALSE)&gt;0,"Y",""),"")</f>
        <v/>
      </c>
      <c r="M294" s="207"/>
      <c r="N294" s="209" t="str">
        <f>IFERROR(VLOOKUP(TableHandbook[[#This Row],[UDC]],TableBEDUC[],7,FALSE),"")</f>
        <v/>
      </c>
      <c r="O294" s="209" t="str">
        <f>IFERROR(VLOOKUP(TableHandbook[[#This Row],[UDC]],TableBEDEC[],7,FALSE),"")</f>
        <v/>
      </c>
      <c r="P294" s="211" t="str">
        <f>IFERROR(VLOOKUP(TableHandbook[[#This Row],[UDC]],TableBEDPR[],7,FALSE),"")</f>
        <v/>
      </c>
      <c r="Q294" s="209" t="str">
        <f>IFERROR(VLOOKUP(TableHandbook[[#This Row],[UDC]],TableSTRUCATHL[],7,FALSE),"")</f>
        <v/>
      </c>
      <c r="R294" s="209" t="str">
        <f>IFERROR(VLOOKUP(TableHandbook[[#This Row],[UDC]],TableSTRUENGLL[],7,FALSE),"")</f>
        <v/>
      </c>
      <c r="S294" s="209" t="str">
        <f>IFERROR(VLOOKUP(TableHandbook[[#This Row],[UDC]],TableSTRUHLTPE[],7,FALSE),"")</f>
        <v/>
      </c>
      <c r="T294" s="209" t="str">
        <f>IFERROR(VLOOKUP(TableHandbook[[#This Row],[UDC]],TableSTRUISTEM[],7,FALSE),"")</f>
        <v/>
      </c>
      <c r="U294" s="209" t="str">
        <f>IFERROR(VLOOKUP(TableHandbook[[#This Row],[UDC]],TableSTRULITNU[],7,FALSE),"")</f>
        <v/>
      </c>
      <c r="V294" s="209" t="str">
        <f>IFERROR(VLOOKUP(TableHandbook[[#This Row],[UDC]],TableSTRUTECHS[],7,FALSE),"")</f>
        <v/>
      </c>
      <c r="W294" s="211" t="str">
        <f>IFERROR(VLOOKUP(TableHandbook[[#This Row],[UDC]],TableBEDSC[],7,FALSE),"")</f>
        <v/>
      </c>
      <c r="X294" s="211" t="str">
        <f>IFERROR(VLOOKUP(TableHandbook[[#This Row],[UDC]],TableMJRUARDR1[],7,FALSE),"")</f>
        <v/>
      </c>
      <c r="Y294" s="209" t="str">
        <f>IFERROR(VLOOKUP(TableHandbook[[#This Row],[UDC]],TableMJRUARME1[],7,FALSE),"")</f>
        <v/>
      </c>
      <c r="Z294" s="209" t="str">
        <f>IFERROR(VLOOKUP(TableHandbook[[#This Row],[UDC]],TableMJRUARVA1[],7,FALSE),"")</f>
        <v/>
      </c>
      <c r="AA294" s="209" t="str">
        <f>IFERROR(VLOOKUP(TableHandbook[[#This Row],[UDC]],TableMJRUENGL1[],7,FALSE),"")</f>
        <v/>
      </c>
      <c r="AB294" s="209" t="str">
        <f>IFERROR(VLOOKUP(TableHandbook[[#This Row],[UDC]],TableMJRUHSEC1[],7,FALSE),"")</f>
        <v/>
      </c>
      <c r="AC294" s="209" t="str">
        <f>IFERROR(VLOOKUP(TableHandbook[[#This Row],[UDC]],TableMJRUHSGE1[],7,FALSE),"")</f>
        <v/>
      </c>
      <c r="AD294" s="209" t="str">
        <f>IFERROR(VLOOKUP(TableHandbook[[#This Row],[UDC]],TableMJRUHSHI1[],7,FALSE),"")</f>
        <v/>
      </c>
      <c r="AE294" s="209" t="str">
        <f>IFERROR(VLOOKUP(TableHandbook[[#This Row],[UDC]],TableMJRUHSPL1[],7,FALSE),"")</f>
        <v/>
      </c>
      <c r="AF294" s="209" t="str">
        <f>IFERROR(VLOOKUP(TableHandbook[[#This Row],[UDC]],TableMJRUMATH1[],7,FALSE),"")</f>
        <v/>
      </c>
      <c r="AG294" s="209" t="str">
        <f>IFERROR(VLOOKUP(TableHandbook[[#This Row],[UDC]],TableMJRUPHYSE[],7,FALSE),"")</f>
        <v/>
      </c>
      <c r="AH294" s="209" t="str">
        <f>IFERROR(VLOOKUP(TableHandbook[[#This Row],[UDC]],TableMJRUSCBI1[],7,FALSE),"")</f>
        <v/>
      </c>
      <c r="AI294" s="209" t="str">
        <f>IFERROR(VLOOKUP(TableHandbook[[#This Row],[UDC]],TableMJRUSCCH1[],7,FALSE),"")</f>
        <v/>
      </c>
      <c r="AJ294" s="209" t="str">
        <f>IFERROR(VLOOKUP(TableHandbook[[#This Row],[UDC]],TableMJRUSCHB1[],7,FALSE),"")</f>
        <v>Option</v>
      </c>
      <c r="AK294" s="209" t="str">
        <f>IFERROR(VLOOKUP(TableHandbook[[#This Row],[UDC]],TableMJRUSCPH1[],7,FALSE),"")</f>
        <v/>
      </c>
      <c r="AL294" s="209" t="str">
        <f>IFERROR(VLOOKUP(TableHandbook[[#This Row],[UDC]],TableMJRUSCPS1[],7,FALSE),"")</f>
        <v/>
      </c>
      <c r="AM294" s="211" t="str">
        <f>IFERROR(VLOOKUP(TableHandbook[[#This Row],[UDC]],TableSTRUBIOLB[],7,FALSE),"")</f>
        <v/>
      </c>
      <c r="AN294" s="209" t="str">
        <f>IFERROR(VLOOKUP(TableHandbook[[#This Row],[UDC]],TableSTRUBSCIM[],7,FALSE),"")</f>
        <v/>
      </c>
      <c r="AO294" s="209" t="str">
        <f>IFERROR(VLOOKUP(TableHandbook[[#This Row],[UDC]],TableSTRUCHEMB[],7,FALSE),"")</f>
        <v/>
      </c>
      <c r="AP294" s="209" t="str">
        <f>IFERROR(VLOOKUP(TableHandbook[[#This Row],[UDC]],TableSTRUECOB1[],7,FALSE),"")</f>
        <v/>
      </c>
      <c r="AQ294" s="209" t="str">
        <f>IFERROR(VLOOKUP(TableHandbook[[#This Row],[UDC]],TableSTRUENGLB[],7,FALSE),"")</f>
        <v/>
      </c>
      <c r="AR294" s="209" t="str">
        <f>IFERROR(VLOOKUP(TableHandbook[[#This Row],[UDC]],TableSTRUENGLM[],7,FALSE),"")</f>
        <v/>
      </c>
      <c r="AS294" s="209" t="str">
        <f>IFERROR(VLOOKUP(TableHandbook[[#This Row],[UDC]],TableSTRUGEOB1[],7,FALSE),"")</f>
        <v/>
      </c>
      <c r="AT294" s="209" t="str">
        <f>IFERROR(VLOOKUP(TableHandbook[[#This Row],[UDC]],TableSTRUGEOGM[],7,FALSE),"")</f>
        <v/>
      </c>
      <c r="AU294" s="209" t="str">
        <f>IFERROR(VLOOKUP(TableHandbook[[#This Row],[UDC]],TableSTRUHISB1[],7,FALSE),"")</f>
        <v/>
      </c>
      <c r="AV294" s="209" t="str">
        <f>IFERROR(VLOOKUP(TableHandbook[[#This Row],[UDC]],TableSTRUHISTM[],7,FALSE),"")</f>
        <v/>
      </c>
      <c r="AW294" s="209" t="str">
        <f>IFERROR(VLOOKUP(TableHandbook[[#This Row],[UDC]],TableSTRUHPEB1[],7,FALSE),"")</f>
        <v/>
      </c>
      <c r="AX294" s="209" t="str">
        <f>IFERROR(VLOOKUP(TableHandbook[[#This Row],[UDC]],TableSTRUHUMBB[],7,FALSE),"")</f>
        <v/>
      </c>
      <c r="AY294" s="209" t="str">
        <f>IFERROR(VLOOKUP(TableHandbook[[#This Row],[UDC]],TableSTRUMARTM[],7,FALSE),"")</f>
        <v/>
      </c>
      <c r="AZ294" s="209" t="str">
        <f>IFERROR(VLOOKUP(TableHandbook[[#This Row],[UDC]],TableSTRUMATHB[],7,FALSE),"")</f>
        <v/>
      </c>
      <c r="BA294" s="209" t="str">
        <f>IFERROR(VLOOKUP(TableHandbook[[#This Row],[UDC]],TableSTRUMATHM[],7,FALSE),"")</f>
        <v/>
      </c>
      <c r="BB294" s="209" t="str">
        <f>IFERROR(VLOOKUP(TableHandbook[[#This Row],[UDC]],TableSTRUPARTB[],7,FALSE),"")</f>
        <v/>
      </c>
      <c r="BC294" s="209" t="str">
        <f>IFERROR(VLOOKUP(TableHandbook[[#This Row],[UDC]],TableSTRUPARTM[],7,FALSE),"")</f>
        <v/>
      </c>
      <c r="BD294" s="209" t="str">
        <f>IFERROR(VLOOKUP(TableHandbook[[#This Row],[UDC]],TableSTRUPOLB1[],7,FALSE),"")</f>
        <v/>
      </c>
      <c r="BE294" s="209" t="str">
        <f>IFERROR(VLOOKUP(TableHandbook[[#This Row],[UDC]],TableSTRUPSYCB[],7,FALSE),"")</f>
        <v/>
      </c>
      <c r="BF294" s="209" t="str">
        <f>IFERROR(VLOOKUP(TableHandbook[[#This Row],[UDC]],TableSTRUPSYCM[],7,FALSE),"")</f>
        <v/>
      </c>
      <c r="BG294" s="209" t="str">
        <f>IFERROR(VLOOKUP(TableHandbook[[#This Row],[UDC]],TableSTRUVARTB[],7,FALSE),"")</f>
        <v/>
      </c>
      <c r="BH294" s="209" t="str">
        <f>IFERROR(VLOOKUP(TableHandbook[[#This Row],[UDC]],TableSTRUVARTM[],7,FALSE),"")</f>
        <v/>
      </c>
    </row>
    <row r="295" spans="1:60" x14ac:dyDescent="0.25">
      <c r="A295" s="296" t="s">
        <v>563</v>
      </c>
      <c r="B295" s="7">
        <v>0</v>
      </c>
      <c r="C295" s="7"/>
      <c r="D295" s="207" t="s">
        <v>1081</v>
      </c>
      <c r="E295" s="7" t="s">
        <v>373</v>
      </c>
      <c r="F295" s="84" t="s">
        <v>769</v>
      </c>
      <c r="G295" s="75" t="str">
        <f>IFERROR(IF(VLOOKUP(TableHandbook[[#This Row],[UDC]],TableAvailabilities[],2,FALSE)&gt;0,"Y",""),"")</f>
        <v/>
      </c>
      <c r="H295" s="75" t="str">
        <f>IFERROR(IF(VLOOKUP(TableHandbook[[#This Row],[UDC]],TableAvailabilities[],3,FALSE)&gt;0,"Y",""),"")</f>
        <v/>
      </c>
      <c r="I295" s="75" t="str">
        <f>IFERROR(IF(VLOOKUP(TableHandbook[[#This Row],[UDC]],TableAvailabilities[],4,FALSE)&gt;0,"Y",""),"")</f>
        <v/>
      </c>
      <c r="J295" s="75" t="str">
        <f>IFERROR(IF(VLOOKUP(TableHandbook[[#This Row],[UDC]],TableAvailabilities[],5,FALSE)&gt;0,"Y",""),"")</f>
        <v/>
      </c>
      <c r="K295" s="75" t="str">
        <f>IFERROR(IF(VLOOKUP(TableHandbook[[#This Row],[UDC]],TableAvailabilities[],6,FALSE)&gt;0,"Y",""),"")</f>
        <v/>
      </c>
      <c r="L295" s="75" t="str">
        <f>IFERROR(IF(VLOOKUP(TableHandbook[[#This Row],[UDC]],TableAvailabilities[],7,FALSE)&gt;0,"Y",""),"")</f>
        <v/>
      </c>
      <c r="M295" s="207"/>
      <c r="N295" s="209" t="str">
        <f>IFERROR(VLOOKUP(TableHandbook[[#This Row],[UDC]],TableBEDUC[],7,FALSE),"")</f>
        <v/>
      </c>
      <c r="O295" s="209" t="str">
        <f>IFERROR(VLOOKUP(TableHandbook[[#This Row],[UDC]],TableBEDEC[],7,FALSE),"")</f>
        <v/>
      </c>
      <c r="P295" s="211" t="str">
        <f>IFERROR(VLOOKUP(TableHandbook[[#This Row],[UDC]],TableBEDPR[],7,FALSE),"")</f>
        <v/>
      </c>
      <c r="Q295" s="209" t="str">
        <f>IFERROR(VLOOKUP(TableHandbook[[#This Row],[UDC]],TableSTRUCATHL[],7,FALSE),"")</f>
        <v/>
      </c>
      <c r="R295" s="209" t="str">
        <f>IFERROR(VLOOKUP(TableHandbook[[#This Row],[UDC]],TableSTRUENGLL[],7,FALSE),"")</f>
        <v/>
      </c>
      <c r="S295" s="209" t="str">
        <f>IFERROR(VLOOKUP(TableHandbook[[#This Row],[UDC]],TableSTRUHLTPE[],7,FALSE),"")</f>
        <v/>
      </c>
      <c r="T295" s="209" t="str">
        <f>IFERROR(VLOOKUP(TableHandbook[[#This Row],[UDC]],TableSTRUISTEM[],7,FALSE),"")</f>
        <v/>
      </c>
      <c r="U295" s="209" t="str">
        <f>IFERROR(VLOOKUP(TableHandbook[[#This Row],[UDC]],TableSTRULITNU[],7,FALSE),"")</f>
        <v/>
      </c>
      <c r="V295" s="209" t="str">
        <f>IFERROR(VLOOKUP(TableHandbook[[#This Row],[UDC]],TableSTRUTECHS[],7,FALSE),"")</f>
        <v/>
      </c>
      <c r="W295" s="211" t="str">
        <f>IFERROR(VLOOKUP(TableHandbook[[#This Row],[UDC]],TableBEDSC[],7,FALSE),"")</f>
        <v/>
      </c>
      <c r="X295" s="211" t="str">
        <f>IFERROR(VLOOKUP(TableHandbook[[#This Row],[UDC]],TableMJRUARDR1[],7,FALSE),"")</f>
        <v/>
      </c>
      <c r="Y295" s="209" t="str">
        <f>IFERROR(VLOOKUP(TableHandbook[[#This Row],[UDC]],TableMJRUARME1[],7,FALSE),"")</f>
        <v/>
      </c>
      <c r="Z295" s="209" t="str">
        <f>IFERROR(VLOOKUP(TableHandbook[[#This Row],[UDC]],TableMJRUARVA1[],7,FALSE),"")</f>
        <v/>
      </c>
      <c r="AA295" s="209" t="str">
        <f>IFERROR(VLOOKUP(TableHandbook[[#This Row],[UDC]],TableMJRUENGL1[],7,FALSE),"")</f>
        <v/>
      </c>
      <c r="AB295" s="209" t="str">
        <f>IFERROR(VLOOKUP(TableHandbook[[#This Row],[UDC]],TableMJRUHSEC1[],7,FALSE),"")</f>
        <v/>
      </c>
      <c r="AC295" s="209" t="str">
        <f>IFERROR(VLOOKUP(TableHandbook[[#This Row],[UDC]],TableMJRUHSGE1[],7,FALSE),"")</f>
        <v/>
      </c>
      <c r="AD295" s="209" t="str">
        <f>IFERROR(VLOOKUP(TableHandbook[[#This Row],[UDC]],TableMJRUHSHI1[],7,FALSE),"")</f>
        <v/>
      </c>
      <c r="AE295" s="209" t="str">
        <f>IFERROR(VLOOKUP(TableHandbook[[#This Row],[UDC]],TableMJRUHSPL1[],7,FALSE),"")</f>
        <v/>
      </c>
      <c r="AF295" s="209" t="str">
        <f>IFERROR(VLOOKUP(TableHandbook[[#This Row],[UDC]],TableMJRUMATH1[],7,FALSE),"")</f>
        <v/>
      </c>
      <c r="AG295" s="209" t="str">
        <f>IFERROR(VLOOKUP(TableHandbook[[#This Row],[UDC]],TableMJRUPHYSE[],7,FALSE),"")</f>
        <v/>
      </c>
      <c r="AH295" s="209" t="str">
        <f>IFERROR(VLOOKUP(TableHandbook[[#This Row],[UDC]],TableMJRUSCBI1[],7,FALSE),"")</f>
        <v/>
      </c>
      <c r="AI295" s="209" t="str">
        <f>IFERROR(VLOOKUP(TableHandbook[[#This Row],[UDC]],TableMJRUSCCH1[],7,FALSE),"")</f>
        <v/>
      </c>
      <c r="AJ295" s="209" t="str">
        <f>IFERROR(VLOOKUP(TableHandbook[[#This Row],[UDC]],TableMJRUSCHB1[],7,FALSE),"")</f>
        <v/>
      </c>
      <c r="AK295" s="209" t="str">
        <f>IFERROR(VLOOKUP(TableHandbook[[#This Row],[UDC]],TableMJRUSCPH1[],7,FALSE),"")</f>
        <v/>
      </c>
      <c r="AL295" s="209" t="str">
        <f>IFERROR(VLOOKUP(TableHandbook[[#This Row],[UDC]],TableMJRUSCPS1[],7,FALSE),"")</f>
        <v>Option</v>
      </c>
      <c r="AM295" s="211" t="str">
        <f>IFERROR(VLOOKUP(TableHandbook[[#This Row],[UDC]],TableSTRUBIOLB[],7,FALSE),"")</f>
        <v/>
      </c>
      <c r="AN295" s="209" t="str">
        <f>IFERROR(VLOOKUP(TableHandbook[[#This Row],[UDC]],TableSTRUBSCIM[],7,FALSE),"")</f>
        <v/>
      </c>
      <c r="AO295" s="209" t="str">
        <f>IFERROR(VLOOKUP(TableHandbook[[#This Row],[UDC]],TableSTRUCHEMB[],7,FALSE),"")</f>
        <v/>
      </c>
      <c r="AP295" s="209" t="str">
        <f>IFERROR(VLOOKUP(TableHandbook[[#This Row],[UDC]],TableSTRUECOB1[],7,FALSE),"")</f>
        <v/>
      </c>
      <c r="AQ295" s="209" t="str">
        <f>IFERROR(VLOOKUP(TableHandbook[[#This Row],[UDC]],TableSTRUENGLB[],7,FALSE),"")</f>
        <v/>
      </c>
      <c r="AR295" s="209" t="str">
        <f>IFERROR(VLOOKUP(TableHandbook[[#This Row],[UDC]],TableSTRUENGLM[],7,FALSE),"")</f>
        <v/>
      </c>
      <c r="AS295" s="209" t="str">
        <f>IFERROR(VLOOKUP(TableHandbook[[#This Row],[UDC]],TableSTRUGEOB1[],7,FALSE),"")</f>
        <v/>
      </c>
      <c r="AT295" s="209" t="str">
        <f>IFERROR(VLOOKUP(TableHandbook[[#This Row],[UDC]],TableSTRUGEOGM[],7,FALSE),"")</f>
        <v/>
      </c>
      <c r="AU295" s="209" t="str">
        <f>IFERROR(VLOOKUP(TableHandbook[[#This Row],[UDC]],TableSTRUHISB1[],7,FALSE),"")</f>
        <v/>
      </c>
      <c r="AV295" s="209" t="str">
        <f>IFERROR(VLOOKUP(TableHandbook[[#This Row],[UDC]],TableSTRUHISTM[],7,FALSE),"")</f>
        <v/>
      </c>
      <c r="AW295" s="209" t="str">
        <f>IFERROR(VLOOKUP(TableHandbook[[#This Row],[UDC]],TableSTRUHPEB1[],7,FALSE),"")</f>
        <v/>
      </c>
      <c r="AX295" s="209" t="str">
        <f>IFERROR(VLOOKUP(TableHandbook[[#This Row],[UDC]],TableSTRUHUMBB[],7,FALSE),"")</f>
        <v/>
      </c>
      <c r="AY295" s="209" t="str">
        <f>IFERROR(VLOOKUP(TableHandbook[[#This Row],[UDC]],TableSTRUMARTM[],7,FALSE),"")</f>
        <v/>
      </c>
      <c r="AZ295" s="209" t="str">
        <f>IFERROR(VLOOKUP(TableHandbook[[#This Row],[UDC]],TableSTRUMATHB[],7,FALSE),"")</f>
        <v/>
      </c>
      <c r="BA295" s="209" t="str">
        <f>IFERROR(VLOOKUP(TableHandbook[[#This Row],[UDC]],TableSTRUMATHM[],7,FALSE),"")</f>
        <v/>
      </c>
      <c r="BB295" s="209" t="str">
        <f>IFERROR(VLOOKUP(TableHandbook[[#This Row],[UDC]],TableSTRUPARTB[],7,FALSE),"")</f>
        <v/>
      </c>
      <c r="BC295" s="209" t="str">
        <f>IFERROR(VLOOKUP(TableHandbook[[#This Row],[UDC]],TableSTRUPARTM[],7,FALSE),"")</f>
        <v/>
      </c>
      <c r="BD295" s="209" t="str">
        <f>IFERROR(VLOOKUP(TableHandbook[[#This Row],[UDC]],TableSTRUPOLB1[],7,FALSE),"")</f>
        <v/>
      </c>
      <c r="BE295" s="209" t="str">
        <f>IFERROR(VLOOKUP(TableHandbook[[#This Row],[UDC]],TableSTRUPSYCB[],7,FALSE),"")</f>
        <v/>
      </c>
      <c r="BF295" s="209" t="str">
        <f>IFERROR(VLOOKUP(TableHandbook[[#This Row],[UDC]],TableSTRUPSYCM[],7,FALSE),"")</f>
        <v/>
      </c>
      <c r="BG295" s="209" t="str">
        <f>IFERROR(VLOOKUP(TableHandbook[[#This Row],[UDC]],TableSTRUVARTB[],7,FALSE),"")</f>
        <v/>
      </c>
      <c r="BH295" s="209" t="str">
        <f>IFERROR(VLOOKUP(TableHandbook[[#This Row],[UDC]],TableSTRUVARTM[],7,FALSE),"")</f>
        <v/>
      </c>
    </row>
    <row r="296" spans="1:60" x14ac:dyDescent="0.25">
      <c r="A296" s="305" t="s">
        <v>737</v>
      </c>
      <c r="B296" s="7">
        <v>0</v>
      </c>
      <c r="C296" s="7"/>
      <c r="D296" s="207" t="s">
        <v>1088</v>
      </c>
      <c r="E296" s="7">
        <v>25</v>
      </c>
      <c r="F296" s="84" t="s">
        <v>769</v>
      </c>
      <c r="G296" s="75" t="str">
        <f>IFERROR(IF(VLOOKUP(TableHandbook[[#This Row],[UDC]],TableAvailabilities[],2,FALSE)&gt;0,"Y",""),"")</f>
        <v/>
      </c>
      <c r="H296" s="75" t="str">
        <f>IFERROR(IF(VLOOKUP(TableHandbook[[#This Row],[UDC]],TableAvailabilities[],3,FALSE)&gt;0,"Y",""),"")</f>
        <v/>
      </c>
      <c r="I296" s="75" t="str">
        <f>IFERROR(IF(VLOOKUP(TableHandbook[[#This Row],[UDC]],TableAvailabilities[],4,FALSE)&gt;0,"Y",""),"")</f>
        <v/>
      </c>
      <c r="J296" s="75" t="str">
        <f>IFERROR(IF(VLOOKUP(TableHandbook[[#This Row],[UDC]],TableAvailabilities[],5,FALSE)&gt;0,"Y",""),"")</f>
        <v/>
      </c>
      <c r="K296" s="75" t="str">
        <f>IFERROR(IF(VLOOKUP(TableHandbook[[#This Row],[UDC]],TableAvailabilities[],6,FALSE)&gt;0,"Y",""),"")</f>
        <v/>
      </c>
      <c r="L296" s="75" t="str">
        <f>IFERROR(IF(VLOOKUP(TableHandbook[[#This Row],[UDC]],TableAvailabilities[],7,FALSE)&gt;0,"Y",""),"")</f>
        <v/>
      </c>
      <c r="M296" s="207"/>
      <c r="N296" s="209" t="str">
        <f>IFERROR(VLOOKUP(TableHandbook[[#This Row],[UDC]],TableBEDUC[],7,FALSE),"")</f>
        <v/>
      </c>
      <c r="O296" s="209" t="str">
        <f>IFERROR(VLOOKUP(TableHandbook[[#This Row],[UDC]],TableBEDEC[],7,FALSE),"")</f>
        <v/>
      </c>
      <c r="P296" s="211" t="str">
        <f>IFERROR(VLOOKUP(TableHandbook[[#This Row],[UDC]],TableBEDPR[],7,FALSE),"")</f>
        <v/>
      </c>
      <c r="Q296" s="209" t="str">
        <f>IFERROR(VLOOKUP(TableHandbook[[#This Row],[UDC]],TableSTRUCATHL[],7,FALSE),"")</f>
        <v/>
      </c>
      <c r="R296" s="209" t="str">
        <f>IFERROR(VLOOKUP(TableHandbook[[#This Row],[UDC]],TableSTRUENGLL[],7,FALSE),"")</f>
        <v/>
      </c>
      <c r="S296" s="209" t="str">
        <f>IFERROR(VLOOKUP(TableHandbook[[#This Row],[UDC]],TableSTRUHLTPE[],7,FALSE),"")</f>
        <v/>
      </c>
      <c r="T296" s="209" t="str">
        <f>IFERROR(VLOOKUP(TableHandbook[[#This Row],[UDC]],TableSTRUISTEM[],7,FALSE),"")</f>
        <v/>
      </c>
      <c r="U296" s="209" t="str">
        <f>IFERROR(VLOOKUP(TableHandbook[[#This Row],[UDC]],TableSTRULITNU[],7,FALSE),"")</f>
        <v/>
      </c>
      <c r="V296" s="209" t="str">
        <f>IFERROR(VLOOKUP(TableHandbook[[#This Row],[UDC]],TableSTRUTECHS[],7,FALSE),"")</f>
        <v/>
      </c>
      <c r="W296" s="211" t="str">
        <f>IFERROR(VLOOKUP(TableHandbook[[#This Row],[UDC]],TableBEDSC[],7,FALSE),"")</f>
        <v/>
      </c>
      <c r="X296" s="211" t="str">
        <f>IFERROR(VLOOKUP(TableHandbook[[#This Row],[UDC]],TableMJRUARDR1[],7,FALSE),"")</f>
        <v/>
      </c>
      <c r="Y296" s="209" t="str">
        <f>IFERROR(VLOOKUP(TableHandbook[[#This Row],[UDC]],TableMJRUARME1[],7,FALSE),"")</f>
        <v/>
      </c>
      <c r="Z296" s="209" t="str">
        <f>IFERROR(VLOOKUP(TableHandbook[[#This Row],[UDC]],TableMJRUARVA1[],7,FALSE),"")</f>
        <v/>
      </c>
      <c r="AA296" s="209" t="str">
        <f>IFERROR(VLOOKUP(TableHandbook[[#This Row],[UDC]],TableMJRUENGL1[],7,FALSE),"")</f>
        <v/>
      </c>
      <c r="AB296" s="209" t="str">
        <f>IFERROR(VLOOKUP(TableHandbook[[#This Row],[UDC]],TableMJRUHSEC1[],7,FALSE),"")</f>
        <v/>
      </c>
      <c r="AC296" s="209" t="str">
        <f>IFERROR(VLOOKUP(TableHandbook[[#This Row],[UDC]],TableMJRUHSGE1[],7,FALSE),"")</f>
        <v/>
      </c>
      <c r="AD296" s="209" t="str">
        <f>IFERROR(VLOOKUP(TableHandbook[[#This Row],[UDC]],TableMJRUHSHI1[],7,FALSE),"")</f>
        <v/>
      </c>
      <c r="AE296" s="209" t="str">
        <f>IFERROR(VLOOKUP(TableHandbook[[#This Row],[UDC]],TableMJRUHSPL1[],7,FALSE),"")</f>
        <v/>
      </c>
      <c r="AF296" s="209" t="str">
        <f>IFERROR(VLOOKUP(TableHandbook[[#This Row],[UDC]],TableMJRUMATH1[],7,FALSE),"")</f>
        <v/>
      </c>
      <c r="AG296" s="209" t="str">
        <f>IFERROR(VLOOKUP(TableHandbook[[#This Row],[UDC]],TableMJRUPHYSE[],7,FALSE),"")</f>
        <v/>
      </c>
      <c r="AH296" s="209" t="str">
        <f>IFERROR(VLOOKUP(TableHandbook[[#This Row],[UDC]],TableMJRUSCBI1[],7,FALSE),"")</f>
        <v/>
      </c>
      <c r="AI296" s="209" t="str">
        <f>IFERROR(VLOOKUP(TableHandbook[[#This Row],[UDC]],TableMJRUSCCH1[],7,FALSE),"")</f>
        <v/>
      </c>
      <c r="AJ296" s="209" t="str">
        <f>IFERROR(VLOOKUP(TableHandbook[[#This Row],[UDC]],TableMJRUSCHB1[],7,FALSE),"")</f>
        <v/>
      </c>
      <c r="AK296" s="209" t="str">
        <f>IFERROR(VLOOKUP(TableHandbook[[#This Row],[UDC]],TableMJRUSCPH1[],7,FALSE),"")</f>
        <v/>
      </c>
      <c r="AL296" s="209" t="str">
        <f>IFERROR(VLOOKUP(TableHandbook[[#This Row],[UDC]],TableMJRUSCPS1[],7,FALSE),"")</f>
        <v/>
      </c>
      <c r="AM296" s="211" t="str">
        <f>IFERROR(VLOOKUP(TableHandbook[[#This Row],[UDC]],TableSTRUBIOLB[],7,FALSE),"")</f>
        <v/>
      </c>
      <c r="AN296" s="209" t="str">
        <f>IFERROR(VLOOKUP(TableHandbook[[#This Row],[UDC]],TableSTRUBSCIM[],7,FALSE),"")</f>
        <v/>
      </c>
      <c r="AO296" s="209" t="str">
        <f>IFERROR(VLOOKUP(TableHandbook[[#This Row],[UDC]],TableSTRUCHEMB[],7,FALSE),"")</f>
        <v/>
      </c>
      <c r="AP296" s="209" t="str">
        <f>IFERROR(VLOOKUP(TableHandbook[[#This Row],[UDC]],TableSTRUECOB1[],7,FALSE),"")</f>
        <v/>
      </c>
      <c r="AQ296" s="209" t="str">
        <f>IFERROR(VLOOKUP(TableHandbook[[#This Row],[UDC]],TableSTRUENGLB[],7,FALSE),"")</f>
        <v/>
      </c>
      <c r="AR296" s="209" t="str">
        <f>IFERROR(VLOOKUP(TableHandbook[[#This Row],[UDC]],TableSTRUENGLM[],7,FALSE),"")</f>
        <v/>
      </c>
      <c r="AS296" s="209" t="str">
        <f>IFERROR(VLOOKUP(TableHandbook[[#This Row],[UDC]],TableSTRUGEOB1[],7,FALSE),"")</f>
        <v/>
      </c>
      <c r="AT296" s="209" t="str">
        <f>IFERROR(VLOOKUP(TableHandbook[[#This Row],[UDC]],TableSTRUGEOGM[],7,FALSE),"")</f>
        <v/>
      </c>
      <c r="AU296" s="209" t="str">
        <f>IFERROR(VLOOKUP(TableHandbook[[#This Row],[UDC]],TableSTRUHISB1[],7,FALSE),"")</f>
        <v/>
      </c>
      <c r="AV296" s="209" t="str">
        <f>IFERROR(VLOOKUP(TableHandbook[[#This Row],[UDC]],TableSTRUHISTM[],7,FALSE),"")</f>
        <v/>
      </c>
      <c r="AW296" s="209" t="str">
        <f>IFERROR(VLOOKUP(TableHandbook[[#This Row],[UDC]],TableSTRUHPEB1[],7,FALSE),"")</f>
        <v/>
      </c>
      <c r="AX296" s="209" t="str">
        <f>IFERROR(VLOOKUP(TableHandbook[[#This Row],[UDC]],TableSTRUHUMBB[],7,FALSE),"")</f>
        <v/>
      </c>
      <c r="AY296" s="209" t="str">
        <f>IFERROR(VLOOKUP(TableHandbook[[#This Row],[UDC]],TableSTRUMARTM[],7,FALSE),"")</f>
        <v/>
      </c>
      <c r="AZ296" s="209" t="str">
        <f>IFERROR(VLOOKUP(TableHandbook[[#This Row],[UDC]],TableSTRUMATHB[],7,FALSE),"")</f>
        <v/>
      </c>
      <c r="BA296" s="209" t="str">
        <f>IFERROR(VLOOKUP(TableHandbook[[#This Row],[UDC]],TableSTRUMATHM[],7,FALSE),"")</f>
        <v/>
      </c>
      <c r="BB296" s="209" t="str">
        <f>IFERROR(VLOOKUP(TableHandbook[[#This Row],[UDC]],TableSTRUPARTB[],7,FALSE),"")</f>
        <v/>
      </c>
      <c r="BC296" s="209" t="str">
        <f>IFERROR(VLOOKUP(TableHandbook[[#This Row],[UDC]],TableSTRUPARTM[],7,FALSE),"")</f>
        <v/>
      </c>
      <c r="BD296" s="209" t="str">
        <f>IFERROR(VLOOKUP(TableHandbook[[#This Row],[UDC]],TableSTRUPOLB1[],7,FALSE),"")</f>
        <v/>
      </c>
      <c r="BE296" s="209" t="str">
        <f>IFERROR(VLOOKUP(TableHandbook[[#This Row],[UDC]],TableSTRUPSYCB[],7,FALSE),"")</f>
        <v/>
      </c>
      <c r="BF296" s="209" t="str">
        <f>IFERROR(VLOOKUP(TableHandbook[[#This Row],[UDC]],TableSTRUPSYCM[],7,FALSE),"")</f>
        <v/>
      </c>
      <c r="BG296" s="209" t="str">
        <f>IFERROR(VLOOKUP(TableHandbook[[#This Row],[UDC]],TableSTRUVARTB[],7,FALSE),"")</f>
        <v>Option</v>
      </c>
      <c r="BH296" s="209" t="str">
        <f>IFERROR(VLOOKUP(TableHandbook[[#This Row],[UDC]],TableSTRUVARTM[],7,FALSE),"")</f>
        <v/>
      </c>
    </row>
    <row r="297" spans="1:60" x14ac:dyDescent="0.25">
      <c r="A297" s="6" t="s">
        <v>191</v>
      </c>
      <c r="B297" s="7"/>
      <c r="C297" s="7"/>
      <c r="D297" s="207" t="s">
        <v>1092</v>
      </c>
      <c r="E297" s="7"/>
      <c r="F297" s="84" t="s">
        <v>590</v>
      </c>
      <c r="G297" s="75" t="str">
        <f>IFERROR(IF(VLOOKUP(TableHandbook[[#This Row],[UDC]],TableAvailabilities[],2,FALSE)&gt;0,"Y",""),"")</f>
        <v/>
      </c>
      <c r="H297" s="75" t="str">
        <f>IFERROR(IF(VLOOKUP(TableHandbook[[#This Row],[UDC]],TableAvailabilities[],3,FALSE)&gt;0,"Y",""),"")</f>
        <v/>
      </c>
      <c r="I297" s="75" t="str">
        <f>IFERROR(IF(VLOOKUP(TableHandbook[[#This Row],[UDC]],TableAvailabilities[],4,FALSE)&gt;0,"Y",""),"")</f>
        <v/>
      </c>
      <c r="J297" s="75" t="str">
        <f>IFERROR(IF(VLOOKUP(TableHandbook[[#This Row],[UDC]],TableAvailabilities[],5,FALSE)&gt;0,"Y",""),"")</f>
        <v/>
      </c>
      <c r="K297" s="75" t="str">
        <f>IFERROR(IF(VLOOKUP(TableHandbook[[#This Row],[UDC]],TableAvailabilities[],6,FALSE)&gt;0,"Y",""),"")</f>
        <v/>
      </c>
      <c r="L297" s="75" t="str">
        <f>IFERROR(IF(VLOOKUP(TableHandbook[[#This Row],[UDC]],TableAvailabilities[],7,FALSE)&gt;0,"Y",""),"")</f>
        <v/>
      </c>
      <c r="M297" s="207" t="s">
        <v>1074</v>
      </c>
      <c r="N297" s="209" t="str">
        <f>IFERROR(VLOOKUP(TableHandbook[[#This Row],[UDC]],TableBEDUC[],7,FALSE),"")</f>
        <v/>
      </c>
      <c r="O297" s="209" t="str">
        <f>IFERROR(VLOOKUP(TableHandbook[[#This Row],[UDC]],TableBEDEC[],7,FALSE),"")</f>
        <v/>
      </c>
      <c r="P297" s="211" t="str">
        <f>IFERROR(VLOOKUP(TableHandbook[[#This Row],[UDC]],TableBEDPR[],7,FALSE),"")</f>
        <v/>
      </c>
      <c r="Q297" s="209" t="str">
        <f>IFERROR(VLOOKUP(TableHandbook[[#This Row],[UDC]],TableSTRUCATHL[],7,FALSE),"")</f>
        <v/>
      </c>
      <c r="R297" s="209" t="str">
        <f>IFERROR(VLOOKUP(TableHandbook[[#This Row],[UDC]],TableSTRUENGLL[],7,FALSE),"")</f>
        <v/>
      </c>
      <c r="S297" s="209" t="str">
        <f>IFERROR(VLOOKUP(TableHandbook[[#This Row],[UDC]],TableSTRUHLTPE[],7,FALSE),"")</f>
        <v/>
      </c>
      <c r="T297" s="209" t="str">
        <f>IFERROR(VLOOKUP(TableHandbook[[#This Row],[UDC]],TableSTRUISTEM[],7,FALSE),"")</f>
        <v/>
      </c>
      <c r="U297" s="209" t="str">
        <f>IFERROR(VLOOKUP(TableHandbook[[#This Row],[UDC]],TableSTRULITNU[],7,FALSE),"")</f>
        <v/>
      </c>
      <c r="V297" s="209" t="str">
        <f>IFERROR(VLOOKUP(TableHandbook[[#This Row],[UDC]],TableSTRUTECHS[],7,FALSE),"")</f>
        <v/>
      </c>
      <c r="W297" s="211" t="str">
        <f>IFERROR(VLOOKUP(TableHandbook[[#This Row],[UDC]],TableBEDSC[],7,FALSE),"")</f>
        <v/>
      </c>
      <c r="X297" s="211" t="str">
        <f>IFERROR(VLOOKUP(TableHandbook[[#This Row],[UDC]],TableMJRUARDR1[],7,FALSE),"")</f>
        <v/>
      </c>
      <c r="Y297" s="209" t="str">
        <f>IFERROR(VLOOKUP(TableHandbook[[#This Row],[UDC]],TableMJRUARME1[],7,FALSE),"")</f>
        <v/>
      </c>
      <c r="Z297" s="209" t="str">
        <f>IFERROR(VLOOKUP(TableHandbook[[#This Row],[UDC]],TableMJRUARVA1[],7,FALSE),"")</f>
        <v/>
      </c>
      <c r="AA297" s="209" t="str">
        <f>IFERROR(VLOOKUP(TableHandbook[[#This Row],[UDC]],TableMJRUENGL1[],7,FALSE),"")</f>
        <v/>
      </c>
      <c r="AB297" s="209" t="str">
        <f>IFERROR(VLOOKUP(TableHandbook[[#This Row],[UDC]],TableMJRUHSEC1[],7,FALSE),"")</f>
        <v/>
      </c>
      <c r="AC297" s="209" t="str">
        <f>IFERROR(VLOOKUP(TableHandbook[[#This Row],[UDC]],TableMJRUHSGE1[],7,FALSE),"")</f>
        <v/>
      </c>
      <c r="AD297" s="209" t="str">
        <f>IFERROR(VLOOKUP(TableHandbook[[#This Row],[UDC]],TableMJRUHSHI1[],7,FALSE),"")</f>
        <v/>
      </c>
      <c r="AE297" s="209" t="str">
        <f>IFERROR(VLOOKUP(TableHandbook[[#This Row],[UDC]],TableMJRUHSPL1[],7,FALSE),"")</f>
        <v/>
      </c>
      <c r="AF297" s="209" t="str">
        <f>IFERROR(VLOOKUP(TableHandbook[[#This Row],[UDC]],TableMJRUMATH1[],7,FALSE),"")</f>
        <v/>
      </c>
      <c r="AG297" s="209" t="str">
        <f>IFERROR(VLOOKUP(TableHandbook[[#This Row],[UDC]],TableMJRUPHYSE[],7,FALSE),"")</f>
        <v/>
      </c>
      <c r="AH297" s="209" t="str">
        <f>IFERROR(VLOOKUP(TableHandbook[[#This Row],[UDC]],TableMJRUSCBI1[],7,FALSE),"")</f>
        <v/>
      </c>
      <c r="AI297" s="209" t="str">
        <f>IFERROR(VLOOKUP(TableHandbook[[#This Row],[UDC]],TableMJRUSCCH1[],7,FALSE),"")</f>
        <v/>
      </c>
      <c r="AJ297" s="209" t="str">
        <f>IFERROR(VLOOKUP(TableHandbook[[#This Row],[UDC]],TableMJRUSCHB1[],7,FALSE),"")</f>
        <v/>
      </c>
      <c r="AK297" s="209" t="str">
        <f>IFERROR(VLOOKUP(TableHandbook[[#This Row],[UDC]],TableMJRUSCPH1[],7,FALSE),"")</f>
        <v/>
      </c>
      <c r="AL297" s="209" t="str">
        <f>IFERROR(VLOOKUP(TableHandbook[[#This Row],[UDC]],TableMJRUSCPS1[],7,FALSE),"")</f>
        <v/>
      </c>
      <c r="AM297" s="211" t="str">
        <f>IFERROR(VLOOKUP(TableHandbook[[#This Row],[UDC]],TableSTRUBIOLB[],7,FALSE),"")</f>
        <v/>
      </c>
      <c r="AN297" s="209" t="str">
        <f>IFERROR(VLOOKUP(TableHandbook[[#This Row],[UDC]],TableSTRUBSCIM[],7,FALSE),"")</f>
        <v/>
      </c>
      <c r="AO297" s="209" t="str">
        <f>IFERROR(VLOOKUP(TableHandbook[[#This Row],[UDC]],TableSTRUCHEMB[],7,FALSE),"")</f>
        <v/>
      </c>
      <c r="AP297" s="209" t="str">
        <f>IFERROR(VLOOKUP(TableHandbook[[#This Row],[UDC]],TableSTRUECOB1[],7,FALSE),"")</f>
        <v/>
      </c>
      <c r="AQ297" s="209" t="str">
        <f>IFERROR(VLOOKUP(TableHandbook[[#This Row],[UDC]],TableSTRUENGLB[],7,FALSE),"")</f>
        <v/>
      </c>
      <c r="AR297" s="209" t="str">
        <f>IFERROR(VLOOKUP(TableHandbook[[#This Row],[UDC]],TableSTRUENGLM[],7,FALSE),"")</f>
        <v/>
      </c>
      <c r="AS297" s="209" t="str">
        <f>IFERROR(VLOOKUP(TableHandbook[[#This Row],[UDC]],TableSTRUGEOB1[],7,FALSE),"")</f>
        <v/>
      </c>
      <c r="AT297" s="209" t="str">
        <f>IFERROR(VLOOKUP(TableHandbook[[#This Row],[UDC]],TableSTRUGEOGM[],7,FALSE),"")</f>
        <v/>
      </c>
      <c r="AU297" s="209" t="str">
        <f>IFERROR(VLOOKUP(TableHandbook[[#This Row],[UDC]],TableSTRUHISB1[],7,FALSE),"")</f>
        <v/>
      </c>
      <c r="AV297" s="209" t="str">
        <f>IFERROR(VLOOKUP(TableHandbook[[#This Row],[UDC]],TableSTRUHISTM[],7,FALSE),"")</f>
        <v/>
      </c>
      <c r="AW297" s="209" t="str">
        <f>IFERROR(VLOOKUP(TableHandbook[[#This Row],[UDC]],TableSTRUHPEB1[],7,FALSE),"")</f>
        <v/>
      </c>
      <c r="AX297" s="209" t="str">
        <f>IFERROR(VLOOKUP(TableHandbook[[#This Row],[UDC]],TableSTRUHUMBB[],7,FALSE),"")</f>
        <v/>
      </c>
      <c r="AY297" s="209" t="str">
        <f>IFERROR(VLOOKUP(TableHandbook[[#This Row],[UDC]],TableSTRUMARTM[],7,FALSE),"")</f>
        <v/>
      </c>
      <c r="AZ297" s="209" t="str">
        <f>IFERROR(VLOOKUP(TableHandbook[[#This Row],[UDC]],TableSTRUMATHB[],7,FALSE),"")</f>
        <v/>
      </c>
      <c r="BA297" s="209" t="str">
        <f>IFERROR(VLOOKUP(TableHandbook[[#This Row],[UDC]],TableSTRUMATHM[],7,FALSE),"")</f>
        <v/>
      </c>
      <c r="BB297" s="209" t="str">
        <f>IFERROR(VLOOKUP(TableHandbook[[#This Row],[UDC]],TableSTRUPARTB[],7,FALSE),"")</f>
        <v/>
      </c>
      <c r="BC297" s="209" t="str">
        <f>IFERROR(VLOOKUP(TableHandbook[[#This Row],[UDC]],TableSTRUPARTM[],7,FALSE),"")</f>
        <v/>
      </c>
      <c r="BD297" s="209" t="str">
        <f>IFERROR(VLOOKUP(TableHandbook[[#This Row],[UDC]],TableSTRUPOLB1[],7,FALSE),"")</f>
        <v/>
      </c>
      <c r="BE297" s="209" t="str">
        <f>IFERROR(VLOOKUP(TableHandbook[[#This Row],[UDC]],TableSTRUPSYCB[],7,FALSE),"")</f>
        <v/>
      </c>
      <c r="BF297" s="209" t="str">
        <f>IFERROR(VLOOKUP(TableHandbook[[#This Row],[UDC]],TableSTRUPSYCM[],7,FALSE),"")</f>
        <v/>
      </c>
      <c r="BG297" s="209" t="str">
        <f>IFERROR(VLOOKUP(TableHandbook[[#This Row],[UDC]],TableSTRUVARTB[],7,FALSE),"")</f>
        <v/>
      </c>
      <c r="BH297" s="209" t="str">
        <f>IFERROR(VLOOKUP(TableHandbook[[#This Row],[UDC]],TableSTRUVARTM[],7,FALSE),"")</f>
        <v/>
      </c>
    </row>
    <row r="298" spans="1:60" x14ac:dyDescent="0.25">
      <c r="A298" s="6" t="s">
        <v>568</v>
      </c>
      <c r="B298" s="7">
        <v>1</v>
      </c>
      <c r="C298" s="7"/>
      <c r="D298" s="207" t="s">
        <v>1093</v>
      </c>
      <c r="E298" s="7">
        <v>25</v>
      </c>
      <c r="F298" s="84" t="s">
        <v>783</v>
      </c>
      <c r="G298" s="75" t="str">
        <f>IFERROR(IF(VLOOKUP(TableHandbook[[#This Row],[UDC]],TableAvailabilities[],2,FALSE)&gt;0,"Y",""),"")</f>
        <v/>
      </c>
      <c r="H298" s="75" t="str">
        <f>IFERROR(IF(VLOOKUP(TableHandbook[[#This Row],[UDC]],TableAvailabilities[],3,FALSE)&gt;0,"Y",""),"")</f>
        <v/>
      </c>
      <c r="I298" s="75" t="str">
        <f>IFERROR(IF(VLOOKUP(TableHandbook[[#This Row],[UDC]],TableAvailabilities[],4,FALSE)&gt;0,"Y",""),"")</f>
        <v/>
      </c>
      <c r="J298" s="75" t="str">
        <f>IFERROR(IF(VLOOKUP(TableHandbook[[#This Row],[UDC]],TableAvailabilities[],5,FALSE)&gt;0,"Y",""),"")</f>
        <v>Y</v>
      </c>
      <c r="K298" s="75" t="str">
        <f>IFERROR(IF(VLOOKUP(TableHandbook[[#This Row],[UDC]],TableAvailabilities[],6,FALSE)&gt;0,"Y",""),"")</f>
        <v>Y</v>
      </c>
      <c r="L298" s="75" t="str">
        <f>IFERROR(IF(VLOOKUP(TableHandbook[[#This Row],[UDC]],TableAvailabilities[],7,FALSE)&gt;0,"Y",""),"")</f>
        <v/>
      </c>
      <c r="M298" s="207"/>
      <c r="N298" s="209" t="str">
        <f>IFERROR(VLOOKUP(TableHandbook[[#This Row],[UDC]],TableBEDUC[],7,FALSE),"")</f>
        <v/>
      </c>
      <c r="O298" s="209" t="str">
        <f>IFERROR(VLOOKUP(TableHandbook[[#This Row],[UDC]],TableBEDEC[],7,FALSE),"")</f>
        <v/>
      </c>
      <c r="P298" s="211" t="str">
        <f>IFERROR(VLOOKUP(TableHandbook[[#This Row],[UDC]],TableBEDPR[],7,FALSE),"")</f>
        <v/>
      </c>
      <c r="Q298" s="209" t="str">
        <f>IFERROR(VLOOKUP(TableHandbook[[#This Row],[UDC]],TableSTRUCATHL[],7,FALSE),"")</f>
        <v/>
      </c>
      <c r="R298" s="209" t="str">
        <f>IFERROR(VLOOKUP(TableHandbook[[#This Row],[UDC]],TableSTRUENGLL[],7,FALSE),"")</f>
        <v/>
      </c>
      <c r="S298" s="209" t="str">
        <f>IFERROR(VLOOKUP(TableHandbook[[#This Row],[UDC]],TableSTRUHLTPE[],7,FALSE),"")</f>
        <v/>
      </c>
      <c r="T298" s="209" t="str">
        <f>IFERROR(VLOOKUP(TableHandbook[[#This Row],[UDC]],TableSTRUISTEM[],7,FALSE),"")</f>
        <v/>
      </c>
      <c r="U298" s="209" t="str">
        <f>IFERROR(VLOOKUP(TableHandbook[[#This Row],[UDC]],TableSTRULITNU[],7,FALSE),"")</f>
        <v/>
      </c>
      <c r="V298" s="209" t="str">
        <f>IFERROR(VLOOKUP(TableHandbook[[#This Row],[UDC]],TableSTRUTECHS[],7,FALSE),"")</f>
        <v/>
      </c>
      <c r="W298" s="211" t="str">
        <f>IFERROR(VLOOKUP(TableHandbook[[#This Row],[UDC]],TableBEDSC[],7,FALSE),"")</f>
        <v/>
      </c>
      <c r="X298" s="211" t="str">
        <f>IFERROR(VLOOKUP(TableHandbook[[#This Row],[UDC]],TableMJRUARDR1[],7,FALSE),"")</f>
        <v/>
      </c>
      <c r="Y298" s="209" t="str">
        <f>IFERROR(VLOOKUP(TableHandbook[[#This Row],[UDC]],TableMJRUARME1[],7,FALSE),"")</f>
        <v/>
      </c>
      <c r="Z298" s="209" t="str">
        <f>IFERROR(VLOOKUP(TableHandbook[[#This Row],[UDC]],TableMJRUARVA1[],7,FALSE),"")</f>
        <v/>
      </c>
      <c r="AA298" s="209" t="str">
        <f>IFERROR(VLOOKUP(TableHandbook[[#This Row],[UDC]],TableMJRUENGL1[],7,FALSE),"")</f>
        <v/>
      </c>
      <c r="AB298" s="209" t="str">
        <f>IFERROR(VLOOKUP(TableHandbook[[#This Row],[UDC]],TableMJRUHSEC1[],7,FALSE),"")</f>
        <v/>
      </c>
      <c r="AC298" s="209" t="str">
        <f>IFERROR(VLOOKUP(TableHandbook[[#This Row],[UDC]],TableMJRUHSGE1[],7,FALSE),"")</f>
        <v>AltCore</v>
      </c>
      <c r="AD298" s="209" t="str">
        <f>IFERROR(VLOOKUP(TableHandbook[[#This Row],[UDC]],TableMJRUHSHI1[],7,FALSE),"")</f>
        <v/>
      </c>
      <c r="AE298" s="209" t="str">
        <f>IFERROR(VLOOKUP(TableHandbook[[#This Row],[UDC]],TableMJRUHSPL1[],7,FALSE),"")</f>
        <v/>
      </c>
      <c r="AF298" s="209" t="str">
        <f>IFERROR(VLOOKUP(TableHandbook[[#This Row],[UDC]],TableMJRUMATH1[],7,FALSE),"")</f>
        <v/>
      </c>
      <c r="AG298" s="209" t="str">
        <f>IFERROR(VLOOKUP(TableHandbook[[#This Row],[UDC]],TableMJRUPHYSE[],7,FALSE),"")</f>
        <v/>
      </c>
      <c r="AH298" s="209" t="str">
        <f>IFERROR(VLOOKUP(TableHandbook[[#This Row],[UDC]],TableMJRUSCBI1[],7,FALSE),"")</f>
        <v/>
      </c>
      <c r="AI298" s="209" t="str">
        <f>IFERROR(VLOOKUP(TableHandbook[[#This Row],[UDC]],TableMJRUSCCH1[],7,FALSE),"")</f>
        <v/>
      </c>
      <c r="AJ298" s="209" t="str">
        <f>IFERROR(VLOOKUP(TableHandbook[[#This Row],[UDC]],TableMJRUSCHB1[],7,FALSE),"")</f>
        <v/>
      </c>
      <c r="AK298" s="209" t="str">
        <f>IFERROR(VLOOKUP(TableHandbook[[#This Row],[UDC]],TableMJRUSCPH1[],7,FALSE),"")</f>
        <v/>
      </c>
      <c r="AL298" s="209" t="str">
        <f>IFERROR(VLOOKUP(TableHandbook[[#This Row],[UDC]],TableMJRUSCPS1[],7,FALSE),"")</f>
        <v/>
      </c>
      <c r="AM298" s="211" t="str">
        <f>IFERROR(VLOOKUP(TableHandbook[[#This Row],[UDC]],TableSTRUBIOLB[],7,FALSE),"")</f>
        <v/>
      </c>
      <c r="AN298" s="209" t="str">
        <f>IFERROR(VLOOKUP(TableHandbook[[#This Row],[UDC]],TableSTRUBSCIM[],7,FALSE),"")</f>
        <v/>
      </c>
      <c r="AO298" s="209" t="str">
        <f>IFERROR(VLOOKUP(TableHandbook[[#This Row],[UDC]],TableSTRUCHEMB[],7,FALSE),"")</f>
        <v/>
      </c>
      <c r="AP298" s="209" t="str">
        <f>IFERROR(VLOOKUP(TableHandbook[[#This Row],[UDC]],TableSTRUECOB1[],7,FALSE),"")</f>
        <v/>
      </c>
      <c r="AQ298" s="209" t="str">
        <f>IFERROR(VLOOKUP(TableHandbook[[#This Row],[UDC]],TableSTRUENGLB[],7,FALSE),"")</f>
        <v/>
      </c>
      <c r="AR298" s="209" t="str">
        <f>IFERROR(VLOOKUP(TableHandbook[[#This Row],[UDC]],TableSTRUENGLM[],7,FALSE),"")</f>
        <v/>
      </c>
      <c r="AS298" s="209" t="str">
        <f>IFERROR(VLOOKUP(TableHandbook[[#This Row],[UDC]],TableSTRUGEOB1[],7,FALSE),"")</f>
        <v/>
      </c>
      <c r="AT298" s="209" t="str">
        <f>IFERROR(VLOOKUP(TableHandbook[[#This Row],[UDC]],TableSTRUGEOGM[],7,FALSE),"")</f>
        <v>Core</v>
      </c>
      <c r="AU298" s="209" t="str">
        <f>IFERROR(VLOOKUP(TableHandbook[[#This Row],[UDC]],TableSTRUHISB1[],7,FALSE),"")</f>
        <v>Core</v>
      </c>
      <c r="AV298" s="209" t="str">
        <f>IFERROR(VLOOKUP(TableHandbook[[#This Row],[UDC]],TableSTRUHISTM[],7,FALSE),"")</f>
        <v/>
      </c>
      <c r="AW298" s="209" t="str">
        <f>IFERROR(VLOOKUP(TableHandbook[[#This Row],[UDC]],TableSTRUHPEB1[],7,FALSE),"")</f>
        <v/>
      </c>
      <c r="AX298" s="209" t="str">
        <f>IFERROR(VLOOKUP(TableHandbook[[#This Row],[UDC]],TableSTRUHUMBB[],7,FALSE),"")</f>
        <v/>
      </c>
      <c r="AY298" s="209" t="str">
        <f>IFERROR(VLOOKUP(TableHandbook[[#This Row],[UDC]],TableSTRUMARTM[],7,FALSE),"")</f>
        <v/>
      </c>
      <c r="AZ298" s="209" t="str">
        <f>IFERROR(VLOOKUP(TableHandbook[[#This Row],[UDC]],TableSTRUMATHB[],7,FALSE),"")</f>
        <v/>
      </c>
      <c r="BA298" s="209" t="str">
        <f>IFERROR(VLOOKUP(TableHandbook[[#This Row],[UDC]],TableSTRUMATHM[],7,FALSE),"")</f>
        <v/>
      </c>
      <c r="BB298" s="209" t="str">
        <f>IFERROR(VLOOKUP(TableHandbook[[#This Row],[UDC]],TableSTRUPARTB[],7,FALSE),"")</f>
        <v/>
      </c>
      <c r="BC298" s="209" t="str">
        <f>IFERROR(VLOOKUP(TableHandbook[[#This Row],[UDC]],TableSTRUPARTM[],7,FALSE),"")</f>
        <v/>
      </c>
      <c r="BD298" s="209" t="str">
        <f>IFERROR(VLOOKUP(TableHandbook[[#This Row],[UDC]],TableSTRUPOLB1[],7,FALSE),"")</f>
        <v>Core</v>
      </c>
      <c r="BE298" s="209" t="str">
        <f>IFERROR(VLOOKUP(TableHandbook[[#This Row],[UDC]],TableSTRUPSYCB[],7,FALSE),"")</f>
        <v/>
      </c>
      <c r="BF298" s="209" t="str">
        <f>IFERROR(VLOOKUP(TableHandbook[[#This Row],[UDC]],TableSTRUPSYCM[],7,FALSE),"")</f>
        <v/>
      </c>
      <c r="BG298" s="209" t="str">
        <f>IFERROR(VLOOKUP(TableHandbook[[#This Row],[UDC]],TableSTRUVARTB[],7,FALSE),"")</f>
        <v/>
      </c>
      <c r="BH298" s="209" t="str">
        <f>IFERROR(VLOOKUP(TableHandbook[[#This Row],[UDC]],TableSTRUVARTM[],7,FALSE),"")</f>
        <v/>
      </c>
    </row>
    <row r="299" spans="1:60" x14ac:dyDescent="0.25">
      <c r="A299" s="6" t="s">
        <v>602</v>
      </c>
      <c r="B299" s="7">
        <v>1</v>
      </c>
      <c r="C299" s="7"/>
      <c r="D299" s="207" t="s">
        <v>1094</v>
      </c>
      <c r="E299" s="7">
        <v>25</v>
      </c>
      <c r="F299" s="84" t="s">
        <v>783</v>
      </c>
      <c r="G299" s="75" t="str">
        <f>IFERROR(IF(VLOOKUP(TableHandbook[[#This Row],[UDC]],TableAvailabilities[],2,FALSE)&gt;0,"Y",""),"")</f>
        <v/>
      </c>
      <c r="H299" s="75" t="str">
        <f>IFERROR(IF(VLOOKUP(TableHandbook[[#This Row],[UDC]],TableAvailabilities[],3,FALSE)&gt;0,"Y",""),"")</f>
        <v/>
      </c>
      <c r="I299" s="75" t="str">
        <f>IFERROR(IF(VLOOKUP(TableHandbook[[#This Row],[UDC]],TableAvailabilities[],4,FALSE)&gt;0,"Y",""),"")</f>
        <v/>
      </c>
      <c r="J299" s="75" t="str">
        <f>IFERROR(IF(VLOOKUP(TableHandbook[[#This Row],[UDC]],TableAvailabilities[],5,FALSE)&gt;0,"Y",""),"")</f>
        <v>Y</v>
      </c>
      <c r="K299" s="75" t="str">
        <f>IFERROR(IF(VLOOKUP(TableHandbook[[#This Row],[UDC]],TableAvailabilities[],6,FALSE)&gt;0,"Y",""),"")</f>
        <v>Y</v>
      </c>
      <c r="L299" s="75" t="str">
        <f>IFERROR(IF(VLOOKUP(TableHandbook[[#This Row],[UDC]],TableAvailabilities[],7,FALSE)&gt;0,"Y",""),"")</f>
        <v/>
      </c>
      <c r="M299" s="207"/>
      <c r="N299" s="209" t="str">
        <f>IFERROR(VLOOKUP(TableHandbook[[#This Row],[UDC]],TableBEDUC[],7,FALSE),"")</f>
        <v/>
      </c>
      <c r="O299" s="209" t="str">
        <f>IFERROR(VLOOKUP(TableHandbook[[#This Row],[UDC]],TableBEDEC[],7,FALSE),"")</f>
        <v/>
      </c>
      <c r="P299" s="211" t="str">
        <f>IFERROR(VLOOKUP(TableHandbook[[#This Row],[UDC]],TableBEDPR[],7,FALSE),"")</f>
        <v/>
      </c>
      <c r="Q299" s="209" t="str">
        <f>IFERROR(VLOOKUP(TableHandbook[[#This Row],[UDC]],TableSTRUCATHL[],7,FALSE),"")</f>
        <v/>
      </c>
      <c r="R299" s="209" t="str">
        <f>IFERROR(VLOOKUP(TableHandbook[[#This Row],[UDC]],TableSTRUENGLL[],7,FALSE),"")</f>
        <v/>
      </c>
      <c r="S299" s="209" t="str">
        <f>IFERROR(VLOOKUP(TableHandbook[[#This Row],[UDC]],TableSTRUHLTPE[],7,FALSE),"")</f>
        <v/>
      </c>
      <c r="T299" s="209" t="str">
        <f>IFERROR(VLOOKUP(TableHandbook[[#This Row],[UDC]],TableSTRUISTEM[],7,FALSE),"")</f>
        <v/>
      </c>
      <c r="U299" s="209" t="str">
        <f>IFERROR(VLOOKUP(TableHandbook[[#This Row],[UDC]],TableSTRULITNU[],7,FALSE),"")</f>
        <v/>
      </c>
      <c r="V299" s="209" t="str">
        <f>IFERROR(VLOOKUP(TableHandbook[[#This Row],[UDC]],TableSTRUTECHS[],7,FALSE),"")</f>
        <v/>
      </c>
      <c r="W299" s="211" t="str">
        <f>IFERROR(VLOOKUP(TableHandbook[[#This Row],[UDC]],TableBEDSC[],7,FALSE),"")</f>
        <v/>
      </c>
      <c r="X299" s="211" t="str">
        <f>IFERROR(VLOOKUP(TableHandbook[[#This Row],[UDC]],TableMJRUARDR1[],7,FALSE),"")</f>
        <v/>
      </c>
      <c r="Y299" s="209" t="str">
        <f>IFERROR(VLOOKUP(TableHandbook[[#This Row],[UDC]],TableMJRUARME1[],7,FALSE),"")</f>
        <v/>
      </c>
      <c r="Z299" s="209" t="str">
        <f>IFERROR(VLOOKUP(TableHandbook[[#This Row],[UDC]],TableMJRUARVA1[],7,FALSE),"")</f>
        <v/>
      </c>
      <c r="AA299" s="209" t="str">
        <f>IFERROR(VLOOKUP(TableHandbook[[#This Row],[UDC]],TableMJRUENGL1[],7,FALSE),"")</f>
        <v/>
      </c>
      <c r="AB299" s="209" t="str">
        <f>IFERROR(VLOOKUP(TableHandbook[[#This Row],[UDC]],TableMJRUHSEC1[],7,FALSE),"")</f>
        <v/>
      </c>
      <c r="AC299" s="209" t="str">
        <f>IFERROR(VLOOKUP(TableHandbook[[#This Row],[UDC]],TableMJRUHSGE1[],7,FALSE),"")</f>
        <v>AltCore</v>
      </c>
      <c r="AD299" s="209" t="str">
        <f>IFERROR(VLOOKUP(TableHandbook[[#This Row],[UDC]],TableMJRUHSHI1[],7,FALSE),"")</f>
        <v/>
      </c>
      <c r="AE299" s="209" t="str">
        <f>IFERROR(VLOOKUP(TableHandbook[[#This Row],[UDC]],TableMJRUHSPL1[],7,FALSE),"")</f>
        <v/>
      </c>
      <c r="AF299" s="209" t="str">
        <f>IFERROR(VLOOKUP(TableHandbook[[#This Row],[UDC]],TableMJRUMATH1[],7,FALSE),"")</f>
        <v/>
      </c>
      <c r="AG299" s="209" t="str">
        <f>IFERROR(VLOOKUP(TableHandbook[[#This Row],[UDC]],TableMJRUPHYSE[],7,FALSE),"")</f>
        <v/>
      </c>
      <c r="AH299" s="209" t="str">
        <f>IFERROR(VLOOKUP(TableHandbook[[#This Row],[UDC]],TableMJRUSCBI1[],7,FALSE),"")</f>
        <v/>
      </c>
      <c r="AI299" s="209" t="str">
        <f>IFERROR(VLOOKUP(TableHandbook[[#This Row],[UDC]],TableMJRUSCCH1[],7,FALSE),"")</f>
        <v/>
      </c>
      <c r="AJ299" s="209" t="str">
        <f>IFERROR(VLOOKUP(TableHandbook[[#This Row],[UDC]],TableMJRUSCHB1[],7,FALSE),"")</f>
        <v/>
      </c>
      <c r="AK299" s="209" t="str">
        <f>IFERROR(VLOOKUP(TableHandbook[[#This Row],[UDC]],TableMJRUSCPH1[],7,FALSE),"")</f>
        <v/>
      </c>
      <c r="AL299" s="209" t="str">
        <f>IFERROR(VLOOKUP(TableHandbook[[#This Row],[UDC]],TableMJRUSCPS1[],7,FALSE),"")</f>
        <v/>
      </c>
      <c r="AM299" s="211" t="str">
        <f>IFERROR(VLOOKUP(TableHandbook[[#This Row],[UDC]],TableSTRUBIOLB[],7,FALSE),"")</f>
        <v/>
      </c>
      <c r="AN299" s="209" t="str">
        <f>IFERROR(VLOOKUP(TableHandbook[[#This Row],[UDC]],TableSTRUBSCIM[],7,FALSE),"")</f>
        <v/>
      </c>
      <c r="AO299" s="209" t="str">
        <f>IFERROR(VLOOKUP(TableHandbook[[#This Row],[UDC]],TableSTRUCHEMB[],7,FALSE),"")</f>
        <v/>
      </c>
      <c r="AP299" s="209" t="str">
        <f>IFERROR(VLOOKUP(TableHandbook[[#This Row],[UDC]],TableSTRUECOB1[],7,FALSE),"")</f>
        <v/>
      </c>
      <c r="AQ299" s="209" t="str">
        <f>IFERROR(VLOOKUP(TableHandbook[[#This Row],[UDC]],TableSTRUENGLB[],7,FALSE),"")</f>
        <v/>
      </c>
      <c r="AR299" s="209" t="str">
        <f>IFERROR(VLOOKUP(TableHandbook[[#This Row],[UDC]],TableSTRUENGLM[],7,FALSE),"")</f>
        <v/>
      </c>
      <c r="AS299" s="209" t="str">
        <f>IFERROR(VLOOKUP(TableHandbook[[#This Row],[UDC]],TableSTRUGEOB1[],7,FALSE),"")</f>
        <v/>
      </c>
      <c r="AT299" s="209" t="str">
        <f>IFERROR(VLOOKUP(TableHandbook[[#This Row],[UDC]],TableSTRUGEOGM[],7,FALSE),"")</f>
        <v/>
      </c>
      <c r="AU299" s="209" t="str">
        <f>IFERROR(VLOOKUP(TableHandbook[[#This Row],[UDC]],TableSTRUHISB1[],7,FALSE),"")</f>
        <v/>
      </c>
      <c r="AV299" s="209" t="str">
        <f>IFERROR(VLOOKUP(TableHandbook[[#This Row],[UDC]],TableSTRUHISTM[],7,FALSE),"")</f>
        <v/>
      </c>
      <c r="AW299" s="209" t="str">
        <f>IFERROR(VLOOKUP(TableHandbook[[#This Row],[UDC]],TableSTRUHPEB1[],7,FALSE),"")</f>
        <v/>
      </c>
      <c r="AX299" s="209" t="str">
        <f>IFERROR(VLOOKUP(TableHandbook[[#This Row],[UDC]],TableSTRUHUMBB[],7,FALSE),"")</f>
        <v/>
      </c>
      <c r="AY299" s="209" t="str">
        <f>IFERROR(VLOOKUP(TableHandbook[[#This Row],[UDC]],TableSTRUMARTM[],7,FALSE),"")</f>
        <v/>
      </c>
      <c r="AZ299" s="209" t="str">
        <f>IFERROR(VLOOKUP(TableHandbook[[#This Row],[UDC]],TableSTRUMATHB[],7,FALSE),"")</f>
        <v/>
      </c>
      <c r="BA299" s="209" t="str">
        <f>IFERROR(VLOOKUP(TableHandbook[[#This Row],[UDC]],TableSTRUMATHM[],7,FALSE),"")</f>
        <v/>
      </c>
      <c r="BB299" s="209" t="str">
        <f>IFERROR(VLOOKUP(TableHandbook[[#This Row],[UDC]],TableSTRUPARTB[],7,FALSE),"")</f>
        <v/>
      </c>
      <c r="BC299" s="209" t="str">
        <f>IFERROR(VLOOKUP(TableHandbook[[#This Row],[UDC]],TableSTRUPARTM[],7,FALSE),"")</f>
        <v/>
      </c>
      <c r="BD299" s="209" t="str">
        <f>IFERROR(VLOOKUP(TableHandbook[[#This Row],[UDC]],TableSTRUPOLB1[],7,FALSE),"")</f>
        <v/>
      </c>
      <c r="BE299" s="209" t="str">
        <f>IFERROR(VLOOKUP(TableHandbook[[#This Row],[UDC]],TableSTRUPSYCB[],7,FALSE),"")</f>
        <v/>
      </c>
      <c r="BF299" s="209" t="str">
        <f>IFERROR(VLOOKUP(TableHandbook[[#This Row],[UDC]],TableSTRUPSYCM[],7,FALSE),"")</f>
        <v/>
      </c>
      <c r="BG299" s="209" t="str">
        <f>IFERROR(VLOOKUP(TableHandbook[[#This Row],[UDC]],TableSTRUVARTB[],7,FALSE),"")</f>
        <v/>
      </c>
      <c r="BH299" s="209" t="str">
        <f>IFERROR(VLOOKUP(TableHandbook[[#This Row],[UDC]],TableSTRUVARTM[],7,FALSE),"")</f>
        <v/>
      </c>
    </row>
    <row r="300" spans="1:60" x14ac:dyDescent="0.25">
      <c r="A300" s="6" t="s">
        <v>630</v>
      </c>
      <c r="B300" s="7">
        <v>3</v>
      </c>
      <c r="C300" s="7"/>
      <c r="D300" s="207" t="s">
        <v>1095</v>
      </c>
      <c r="E300" s="7">
        <v>25</v>
      </c>
      <c r="F300" s="84" t="s">
        <v>783</v>
      </c>
      <c r="G300" s="75" t="str">
        <f>IFERROR(IF(VLOOKUP(TableHandbook[[#This Row],[UDC]],TableAvailabilities[],2,FALSE)&gt;0,"Y",""),"")</f>
        <v/>
      </c>
      <c r="H300" s="75" t="str">
        <f>IFERROR(IF(VLOOKUP(TableHandbook[[#This Row],[UDC]],TableAvailabilities[],3,FALSE)&gt;0,"Y",""),"")</f>
        <v/>
      </c>
      <c r="I300" s="75" t="str">
        <f>IFERROR(IF(VLOOKUP(TableHandbook[[#This Row],[UDC]],TableAvailabilities[],4,FALSE)&gt;0,"Y",""),"")</f>
        <v/>
      </c>
      <c r="J300" s="75" t="str">
        <f>IFERROR(IF(VLOOKUP(TableHandbook[[#This Row],[UDC]],TableAvailabilities[],5,FALSE)&gt;0,"Y",""),"")</f>
        <v>Y</v>
      </c>
      <c r="K300" s="75" t="str">
        <f>IFERROR(IF(VLOOKUP(TableHandbook[[#This Row],[UDC]],TableAvailabilities[],6,FALSE)&gt;0,"Y",""),"")</f>
        <v>Y</v>
      </c>
      <c r="L300" s="75" t="str">
        <f>IFERROR(IF(VLOOKUP(TableHandbook[[#This Row],[UDC]],TableAvailabilities[],7,FALSE)&gt;0,"Y",""),"")</f>
        <v/>
      </c>
      <c r="M300" s="207"/>
      <c r="N300" s="209" t="str">
        <f>IFERROR(VLOOKUP(TableHandbook[[#This Row],[UDC]],TableBEDUC[],7,FALSE),"")</f>
        <v/>
      </c>
      <c r="O300" s="209" t="str">
        <f>IFERROR(VLOOKUP(TableHandbook[[#This Row],[UDC]],TableBEDEC[],7,FALSE),"")</f>
        <v/>
      </c>
      <c r="P300" s="211" t="str">
        <f>IFERROR(VLOOKUP(TableHandbook[[#This Row],[UDC]],TableBEDPR[],7,FALSE),"")</f>
        <v/>
      </c>
      <c r="Q300" s="209" t="str">
        <f>IFERROR(VLOOKUP(TableHandbook[[#This Row],[UDC]],TableSTRUCATHL[],7,FALSE),"")</f>
        <v/>
      </c>
      <c r="R300" s="209" t="str">
        <f>IFERROR(VLOOKUP(TableHandbook[[#This Row],[UDC]],TableSTRUENGLL[],7,FALSE),"")</f>
        <v/>
      </c>
      <c r="S300" s="209" t="str">
        <f>IFERROR(VLOOKUP(TableHandbook[[#This Row],[UDC]],TableSTRUHLTPE[],7,FALSE),"")</f>
        <v/>
      </c>
      <c r="T300" s="209" t="str">
        <f>IFERROR(VLOOKUP(TableHandbook[[#This Row],[UDC]],TableSTRUISTEM[],7,FALSE),"")</f>
        <v/>
      </c>
      <c r="U300" s="209" t="str">
        <f>IFERROR(VLOOKUP(TableHandbook[[#This Row],[UDC]],TableSTRULITNU[],7,FALSE),"")</f>
        <v/>
      </c>
      <c r="V300" s="209" t="str">
        <f>IFERROR(VLOOKUP(TableHandbook[[#This Row],[UDC]],TableSTRUTECHS[],7,FALSE),"")</f>
        <v/>
      </c>
      <c r="W300" s="211" t="str">
        <f>IFERROR(VLOOKUP(TableHandbook[[#This Row],[UDC]],TableBEDSC[],7,FALSE),"")</f>
        <v/>
      </c>
      <c r="X300" s="211" t="str">
        <f>IFERROR(VLOOKUP(TableHandbook[[#This Row],[UDC]],TableMJRUARDR1[],7,FALSE),"")</f>
        <v/>
      </c>
      <c r="Y300" s="209" t="str">
        <f>IFERROR(VLOOKUP(TableHandbook[[#This Row],[UDC]],TableMJRUARME1[],7,FALSE),"")</f>
        <v/>
      </c>
      <c r="Z300" s="209" t="str">
        <f>IFERROR(VLOOKUP(TableHandbook[[#This Row],[UDC]],TableMJRUARVA1[],7,FALSE),"")</f>
        <v/>
      </c>
      <c r="AA300" s="209" t="str">
        <f>IFERROR(VLOOKUP(TableHandbook[[#This Row],[UDC]],TableMJRUENGL1[],7,FALSE),"")</f>
        <v/>
      </c>
      <c r="AB300" s="209" t="str">
        <f>IFERROR(VLOOKUP(TableHandbook[[#This Row],[UDC]],TableMJRUHSEC1[],7,FALSE),"")</f>
        <v/>
      </c>
      <c r="AC300" s="209" t="str">
        <f>IFERROR(VLOOKUP(TableHandbook[[#This Row],[UDC]],TableMJRUHSGE1[],7,FALSE),"")</f>
        <v>AltCore</v>
      </c>
      <c r="AD300" s="209" t="str">
        <f>IFERROR(VLOOKUP(TableHandbook[[#This Row],[UDC]],TableMJRUHSHI1[],7,FALSE),"")</f>
        <v/>
      </c>
      <c r="AE300" s="209" t="str">
        <f>IFERROR(VLOOKUP(TableHandbook[[#This Row],[UDC]],TableMJRUHSPL1[],7,FALSE),"")</f>
        <v/>
      </c>
      <c r="AF300" s="209" t="str">
        <f>IFERROR(VLOOKUP(TableHandbook[[#This Row],[UDC]],TableMJRUMATH1[],7,FALSE),"")</f>
        <v/>
      </c>
      <c r="AG300" s="209" t="str">
        <f>IFERROR(VLOOKUP(TableHandbook[[#This Row],[UDC]],TableMJRUPHYSE[],7,FALSE),"")</f>
        <v/>
      </c>
      <c r="AH300" s="209" t="str">
        <f>IFERROR(VLOOKUP(TableHandbook[[#This Row],[UDC]],TableMJRUSCBI1[],7,FALSE),"")</f>
        <v/>
      </c>
      <c r="AI300" s="209" t="str">
        <f>IFERROR(VLOOKUP(TableHandbook[[#This Row],[UDC]],TableMJRUSCCH1[],7,FALSE),"")</f>
        <v/>
      </c>
      <c r="AJ300" s="209" t="str">
        <f>IFERROR(VLOOKUP(TableHandbook[[#This Row],[UDC]],TableMJRUSCHB1[],7,FALSE),"")</f>
        <v/>
      </c>
      <c r="AK300" s="209" t="str">
        <f>IFERROR(VLOOKUP(TableHandbook[[#This Row],[UDC]],TableMJRUSCPH1[],7,FALSE),"")</f>
        <v/>
      </c>
      <c r="AL300" s="209" t="str">
        <f>IFERROR(VLOOKUP(TableHandbook[[#This Row],[UDC]],TableMJRUSCPS1[],7,FALSE),"")</f>
        <v/>
      </c>
      <c r="AM300" s="211" t="str">
        <f>IFERROR(VLOOKUP(TableHandbook[[#This Row],[UDC]],TableSTRUBIOLB[],7,FALSE),"")</f>
        <v/>
      </c>
      <c r="AN300" s="209" t="str">
        <f>IFERROR(VLOOKUP(TableHandbook[[#This Row],[UDC]],TableSTRUBSCIM[],7,FALSE),"")</f>
        <v/>
      </c>
      <c r="AO300" s="209" t="str">
        <f>IFERROR(VLOOKUP(TableHandbook[[#This Row],[UDC]],TableSTRUCHEMB[],7,FALSE),"")</f>
        <v/>
      </c>
      <c r="AP300" s="209" t="str">
        <f>IFERROR(VLOOKUP(TableHandbook[[#This Row],[UDC]],TableSTRUECOB1[],7,FALSE),"")</f>
        <v/>
      </c>
      <c r="AQ300" s="209" t="str">
        <f>IFERROR(VLOOKUP(TableHandbook[[#This Row],[UDC]],TableSTRUENGLB[],7,FALSE),"")</f>
        <v/>
      </c>
      <c r="AR300" s="209" t="str">
        <f>IFERROR(VLOOKUP(TableHandbook[[#This Row],[UDC]],TableSTRUENGLM[],7,FALSE),"")</f>
        <v/>
      </c>
      <c r="AS300" s="209" t="str">
        <f>IFERROR(VLOOKUP(TableHandbook[[#This Row],[UDC]],TableSTRUGEOB1[],7,FALSE),"")</f>
        <v/>
      </c>
      <c r="AT300" s="209" t="str">
        <f>IFERROR(VLOOKUP(TableHandbook[[#This Row],[UDC]],TableSTRUGEOGM[],7,FALSE),"")</f>
        <v/>
      </c>
      <c r="AU300" s="209" t="str">
        <f>IFERROR(VLOOKUP(TableHandbook[[#This Row],[UDC]],TableSTRUHISB1[],7,FALSE),"")</f>
        <v/>
      </c>
      <c r="AV300" s="209" t="str">
        <f>IFERROR(VLOOKUP(TableHandbook[[#This Row],[UDC]],TableSTRUHISTM[],7,FALSE),"")</f>
        <v/>
      </c>
      <c r="AW300" s="209" t="str">
        <f>IFERROR(VLOOKUP(TableHandbook[[#This Row],[UDC]],TableSTRUHPEB1[],7,FALSE),"")</f>
        <v/>
      </c>
      <c r="AX300" s="209" t="str">
        <f>IFERROR(VLOOKUP(TableHandbook[[#This Row],[UDC]],TableSTRUHUMBB[],7,FALSE),"")</f>
        <v/>
      </c>
      <c r="AY300" s="209" t="str">
        <f>IFERROR(VLOOKUP(TableHandbook[[#This Row],[UDC]],TableSTRUMARTM[],7,FALSE),"")</f>
        <v/>
      </c>
      <c r="AZ300" s="209" t="str">
        <f>IFERROR(VLOOKUP(TableHandbook[[#This Row],[UDC]],TableSTRUMATHB[],7,FALSE),"")</f>
        <v/>
      </c>
      <c r="BA300" s="209" t="str">
        <f>IFERROR(VLOOKUP(TableHandbook[[#This Row],[UDC]],TableSTRUMATHM[],7,FALSE),"")</f>
        <v/>
      </c>
      <c r="BB300" s="209" t="str">
        <f>IFERROR(VLOOKUP(TableHandbook[[#This Row],[UDC]],TableSTRUPARTB[],7,FALSE),"")</f>
        <v/>
      </c>
      <c r="BC300" s="209" t="str">
        <f>IFERROR(VLOOKUP(TableHandbook[[#This Row],[UDC]],TableSTRUPARTM[],7,FALSE),"")</f>
        <v/>
      </c>
      <c r="BD300" s="209" t="str">
        <f>IFERROR(VLOOKUP(TableHandbook[[#This Row],[UDC]],TableSTRUPOLB1[],7,FALSE),"")</f>
        <v/>
      </c>
      <c r="BE300" s="209" t="str">
        <f>IFERROR(VLOOKUP(TableHandbook[[#This Row],[UDC]],TableSTRUPSYCB[],7,FALSE),"")</f>
        <v/>
      </c>
      <c r="BF300" s="209" t="str">
        <f>IFERROR(VLOOKUP(TableHandbook[[#This Row],[UDC]],TableSTRUPSYCM[],7,FALSE),"")</f>
        <v/>
      </c>
      <c r="BG300" s="209" t="str">
        <f>IFERROR(VLOOKUP(TableHandbook[[#This Row],[UDC]],TableSTRUVARTB[],7,FALSE),"")</f>
        <v/>
      </c>
      <c r="BH300" s="209" t="str">
        <f>IFERROR(VLOOKUP(TableHandbook[[#This Row],[UDC]],TableSTRUVARTM[],7,FALSE),"")</f>
        <v/>
      </c>
    </row>
    <row r="301" spans="1:60" x14ac:dyDescent="0.25">
      <c r="A301" s="296" t="s">
        <v>642</v>
      </c>
      <c r="B301" s="7">
        <v>1</v>
      </c>
      <c r="C301" s="7"/>
      <c r="D301" s="207" t="s">
        <v>1096</v>
      </c>
      <c r="E301" s="7">
        <v>25</v>
      </c>
      <c r="F301" s="311" t="s">
        <v>783</v>
      </c>
      <c r="G301" s="75" t="str">
        <f>IFERROR(IF(VLOOKUP(TableHandbook[[#This Row],[UDC]],TableAvailabilities[],2,FALSE)&gt;0,"Y",""),"")</f>
        <v>Y</v>
      </c>
      <c r="H301" s="75" t="str">
        <f>IFERROR(IF(VLOOKUP(TableHandbook[[#This Row],[UDC]],TableAvailabilities[],3,FALSE)&gt;0,"Y",""),"")</f>
        <v>Y</v>
      </c>
      <c r="I301" s="75" t="str">
        <f>IFERROR(IF(VLOOKUP(TableHandbook[[#This Row],[UDC]],TableAvailabilities[],4,FALSE)&gt;0,"Y",""),"")</f>
        <v/>
      </c>
      <c r="J301" s="75" t="str">
        <f>IFERROR(IF(VLOOKUP(TableHandbook[[#This Row],[UDC]],TableAvailabilities[],5,FALSE)&gt;0,"Y",""),"")</f>
        <v/>
      </c>
      <c r="K301" s="75" t="str">
        <f>IFERROR(IF(VLOOKUP(TableHandbook[[#This Row],[UDC]],TableAvailabilities[],6,FALSE)&gt;0,"Y",""),"")</f>
        <v/>
      </c>
      <c r="L301" s="75" t="str">
        <f>IFERROR(IF(VLOOKUP(TableHandbook[[#This Row],[UDC]],TableAvailabilities[],7,FALSE)&gt;0,"Y",""),"")</f>
        <v/>
      </c>
      <c r="M301" s="207"/>
      <c r="N301" s="209" t="str">
        <f>IFERROR(VLOOKUP(TableHandbook[[#This Row],[UDC]],TableBEDUC[],7,FALSE),"")</f>
        <v/>
      </c>
      <c r="O301" s="209" t="str">
        <f>IFERROR(VLOOKUP(TableHandbook[[#This Row],[UDC]],TableBEDEC[],7,FALSE),"")</f>
        <v/>
      </c>
      <c r="P301" s="211" t="str">
        <f>IFERROR(VLOOKUP(TableHandbook[[#This Row],[UDC]],TableBEDPR[],7,FALSE),"")</f>
        <v/>
      </c>
      <c r="Q301" s="209" t="str">
        <f>IFERROR(VLOOKUP(TableHandbook[[#This Row],[UDC]],TableSTRUCATHL[],7,FALSE),"")</f>
        <v/>
      </c>
      <c r="R301" s="209" t="str">
        <f>IFERROR(VLOOKUP(TableHandbook[[#This Row],[UDC]],TableSTRUENGLL[],7,FALSE),"")</f>
        <v/>
      </c>
      <c r="S301" s="209" t="str">
        <f>IFERROR(VLOOKUP(TableHandbook[[#This Row],[UDC]],TableSTRUHLTPE[],7,FALSE),"")</f>
        <v/>
      </c>
      <c r="T301" s="209" t="str">
        <f>IFERROR(VLOOKUP(TableHandbook[[#This Row],[UDC]],TableSTRUISTEM[],7,FALSE),"")</f>
        <v/>
      </c>
      <c r="U301" s="209" t="str">
        <f>IFERROR(VLOOKUP(TableHandbook[[#This Row],[UDC]],TableSTRULITNU[],7,FALSE),"")</f>
        <v/>
      </c>
      <c r="V301" s="209" t="str">
        <f>IFERROR(VLOOKUP(TableHandbook[[#This Row],[UDC]],TableSTRUTECHS[],7,FALSE),"")</f>
        <v/>
      </c>
      <c r="W301" s="211" t="str">
        <f>IFERROR(VLOOKUP(TableHandbook[[#This Row],[UDC]],TableBEDSC[],7,FALSE),"")</f>
        <v/>
      </c>
      <c r="X301" s="211" t="str">
        <f>IFERROR(VLOOKUP(TableHandbook[[#This Row],[UDC]],TableMJRUARDR1[],7,FALSE),"")</f>
        <v/>
      </c>
      <c r="Y301" s="209" t="str">
        <f>IFERROR(VLOOKUP(TableHandbook[[#This Row],[UDC]],TableMJRUARME1[],7,FALSE),"")</f>
        <v/>
      </c>
      <c r="Z301" s="209" t="str">
        <f>IFERROR(VLOOKUP(TableHandbook[[#This Row],[UDC]],TableMJRUARVA1[],7,FALSE),"")</f>
        <v/>
      </c>
      <c r="AA301" s="209" t="str">
        <f>IFERROR(VLOOKUP(TableHandbook[[#This Row],[UDC]],TableMJRUENGL1[],7,FALSE),"")</f>
        <v/>
      </c>
      <c r="AB301" s="209" t="str">
        <f>IFERROR(VLOOKUP(TableHandbook[[#This Row],[UDC]],TableMJRUHSEC1[],7,FALSE),"")</f>
        <v/>
      </c>
      <c r="AC301" s="209" t="str">
        <f>IFERROR(VLOOKUP(TableHandbook[[#This Row],[UDC]],TableMJRUHSGE1[],7,FALSE),"")</f>
        <v>Option</v>
      </c>
      <c r="AD301" s="209" t="str">
        <f>IFERROR(VLOOKUP(TableHandbook[[#This Row],[UDC]],TableMJRUHSHI1[],7,FALSE),"")</f>
        <v/>
      </c>
      <c r="AE301" s="209" t="str">
        <f>IFERROR(VLOOKUP(TableHandbook[[#This Row],[UDC]],TableMJRUHSPL1[],7,FALSE),"")</f>
        <v/>
      </c>
      <c r="AF301" s="209" t="str">
        <f>IFERROR(VLOOKUP(TableHandbook[[#This Row],[UDC]],TableMJRUMATH1[],7,FALSE),"")</f>
        <v/>
      </c>
      <c r="AG301" s="209" t="str">
        <f>IFERROR(VLOOKUP(TableHandbook[[#This Row],[UDC]],TableMJRUPHYSE[],7,FALSE),"")</f>
        <v/>
      </c>
      <c r="AH301" s="209" t="str">
        <f>IFERROR(VLOOKUP(TableHandbook[[#This Row],[UDC]],TableMJRUSCBI1[],7,FALSE),"")</f>
        <v/>
      </c>
      <c r="AI301" s="209" t="str">
        <f>IFERROR(VLOOKUP(TableHandbook[[#This Row],[UDC]],TableMJRUSCCH1[],7,FALSE),"")</f>
        <v/>
      </c>
      <c r="AJ301" s="209" t="str">
        <f>IFERROR(VLOOKUP(TableHandbook[[#This Row],[UDC]],TableMJRUSCHB1[],7,FALSE),"")</f>
        <v/>
      </c>
      <c r="AK301" s="209" t="str">
        <f>IFERROR(VLOOKUP(TableHandbook[[#This Row],[UDC]],TableMJRUSCPH1[],7,FALSE),"")</f>
        <v/>
      </c>
      <c r="AL301" s="209" t="str">
        <f>IFERROR(VLOOKUP(TableHandbook[[#This Row],[UDC]],TableMJRUSCPS1[],7,FALSE),"")</f>
        <v/>
      </c>
      <c r="AM301" s="211" t="str">
        <f>IFERROR(VLOOKUP(TableHandbook[[#This Row],[UDC]],TableSTRUBIOLB[],7,FALSE),"")</f>
        <v/>
      </c>
      <c r="AN301" s="209" t="str">
        <f>IFERROR(VLOOKUP(TableHandbook[[#This Row],[UDC]],TableSTRUBSCIM[],7,FALSE),"")</f>
        <v/>
      </c>
      <c r="AO301" s="209" t="str">
        <f>IFERROR(VLOOKUP(TableHandbook[[#This Row],[UDC]],TableSTRUCHEMB[],7,FALSE),"")</f>
        <v/>
      </c>
      <c r="AP301" s="209" t="str">
        <f>IFERROR(VLOOKUP(TableHandbook[[#This Row],[UDC]],TableSTRUECOB1[],7,FALSE),"")</f>
        <v/>
      </c>
      <c r="AQ301" s="209" t="str">
        <f>IFERROR(VLOOKUP(TableHandbook[[#This Row],[UDC]],TableSTRUENGLB[],7,FALSE),"")</f>
        <v/>
      </c>
      <c r="AR301" s="209" t="str">
        <f>IFERROR(VLOOKUP(TableHandbook[[#This Row],[UDC]],TableSTRUENGLM[],7,FALSE),"")</f>
        <v/>
      </c>
      <c r="AS301" s="209" t="str">
        <f>IFERROR(VLOOKUP(TableHandbook[[#This Row],[UDC]],TableSTRUGEOB1[],7,FALSE),"")</f>
        <v/>
      </c>
      <c r="AT301" s="209" t="str">
        <f>IFERROR(VLOOKUP(TableHandbook[[#This Row],[UDC]],TableSTRUGEOGM[],7,FALSE),"")</f>
        <v/>
      </c>
      <c r="AU301" s="209" t="str">
        <f>IFERROR(VLOOKUP(TableHandbook[[#This Row],[UDC]],TableSTRUHISB1[],7,FALSE),"")</f>
        <v/>
      </c>
      <c r="AV301" s="209" t="str">
        <f>IFERROR(VLOOKUP(TableHandbook[[#This Row],[UDC]],TableSTRUHISTM[],7,FALSE),"")</f>
        <v/>
      </c>
      <c r="AW301" s="209" t="str">
        <f>IFERROR(VLOOKUP(TableHandbook[[#This Row],[UDC]],TableSTRUHPEB1[],7,FALSE),"")</f>
        <v/>
      </c>
      <c r="AX301" s="209" t="str">
        <f>IFERROR(VLOOKUP(TableHandbook[[#This Row],[UDC]],TableSTRUHUMBB[],7,FALSE),"")</f>
        <v/>
      </c>
      <c r="AY301" s="209" t="str">
        <f>IFERROR(VLOOKUP(TableHandbook[[#This Row],[UDC]],TableSTRUMARTM[],7,FALSE),"")</f>
        <v/>
      </c>
      <c r="AZ301" s="209" t="str">
        <f>IFERROR(VLOOKUP(TableHandbook[[#This Row],[UDC]],TableSTRUMATHB[],7,FALSE),"")</f>
        <v/>
      </c>
      <c r="BA301" s="209" t="str">
        <f>IFERROR(VLOOKUP(TableHandbook[[#This Row],[UDC]],TableSTRUMATHM[],7,FALSE),"")</f>
        <v/>
      </c>
      <c r="BB301" s="209" t="str">
        <f>IFERROR(VLOOKUP(TableHandbook[[#This Row],[UDC]],TableSTRUPARTB[],7,FALSE),"")</f>
        <v/>
      </c>
      <c r="BC301" s="209" t="str">
        <f>IFERROR(VLOOKUP(TableHandbook[[#This Row],[UDC]],TableSTRUPARTM[],7,FALSE),"")</f>
        <v/>
      </c>
      <c r="BD301" s="209" t="str">
        <f>IFERROR(VLOOKUP(TableHandbook[[#This Row],[UDC]],TableSTRUPOLB1[],7,FALSE),"")</f>
        <v/>
      </c>
      <c r="BE301" s="209" t="str">
        <f>IFERROR(VLOOKUP(TableHandbook[[#This Row],[UDC]],TableSTRUPSYCB[],7,FALSE),"")</f>
        <v/>
      </c>
      <c r="BF301" s="209" t="str">
        <f>IFERROR(VLOOKUP(TableHandbook[[#This Row],[UDC]],TableSTRUPSYCM[],7,FALSE),"")</f>
        <v/>
      </c>
      <c r="BG301" s="209" t="str">
        <f>IFERROR(VLOOKUP(TableHandbook[[#This Row],[UDC]],TableSTRUVARTB[],7,FALSE),"")</f>
        <v/>
      </c>
      <c r="BH301" s="209" t="str">
        <f>IFERROR(VLOOKUP(TableHandbook[[#This Row],[UDC]],TableSTRUVARTM[],7,FALSE),"")</f>
        <v/>
      </c>
    </row>
    <row r="302" spans="1:60" x14ac:dyDescent="0.25">
      <c r="A302" s="6" t="s">
        <v>702</v>
      </c>
      <c r="B302" s="7">
        <v>1</v>
      </c>
      <c r="C302" s="7"/>
      <c r="D302" s="207" t="s">
        <v>1097</v>
      </c>
      <c r="E302" s="7">
        <v>25</v>
      </c>
      <c r="F302" s="84" t="s">
        <v>783</v>
      </c>
      <c r="G302" s="75" t="str">
        <f>IFERROR(IF(VLOOKUP(TableHandbook[[#This Row],[UDC]],TableAvailabilities[],2,FALSE)&gt;0,"Y",""),"")</f>
        <v>Y</v>
      </c>
      <c r="H302" s="75" t="str">
        <f>IFERROR(IF(VLOOKUP(TableHandbook[[#This Row],[UDC]],TableAvailabilities[],3,FALSE)&gt;0,"Y",""),"")</f>
        <v/>
      </c>
      <c r="I302" s="75" t="str">
        <f>IFERROR(IF(VLOOKUP(TableHandbook[[#This Row],[UDC]],TableAvailabilities[],4,FALSE)&gt;0,"Y",""),"")</f>
        <v/>
      </c>
      <c r="J302" s="75" t="str">
        <f>IFERROR(IF(VLOOKUP(TableHandbook[[#This Row],[UDC]],TableAvailabilities[],5,FALSE)&gt;0,"Y",""),"")</f>
        <v/>
      </c>
      <c r="K302" s="75" t="str">
        <f>IFERROR(IF(VLOOKUP(TableHandbook[[#This Row],[UDC]],TableAvailabilities[],6,FALSE)&gt;0,"Y",""),"")</f>
        <v/>
      </c>
      <c r="L302" s="75" t="str">
        <f>IFERROR(IF(VLOOKUP(TableHandbook[[#This Row],[UDC]],TableAvailabilities[],7,FALSE)&gt;0,"Y",""),"")</f>
        <v/>
      </c>
      <c r="M302" s="207"/>
      <c r="N302" s="209" t="str">
        <f>IFERROR(VLOOKUP(TableHandbook[[#This Row],[UDC]],TableBEDUC[],7,FALSE),"")</f>
        <v/>
      </c>
      <c r="O302" s="209" t="str">
        <f>IFERROR(VLOOKUP(TableHandbook[[#This Row],[UDC]],TableBEDEC[],7,FALSE),"")</f>
        <v/>
      </c>
      <c r="P302" s="211" t="str">
        <f>IFERROR(VLOOKUP(TableHandbook[[#This Row],[UDC]],TableBEDPR[],7,FALSE),"")</f>
        <v/>
      </c>
      <c r="Q302" s="209" t="str">
        <f>IFERROR(VLOOKUP(TableHandbook[[#This Row],[UDC]],TableSTRUCATHL[],7,FALSE),"")</f>
        <v/>
      </c>
      <c r="R302" s="209" t="str">
        <f>IFERROR(VLOOKUP(TableHandbook[[#This Row],[UDC]],TableSTRUENGLL[],7,FALSE),"")</f>
        <v/>
      </c>
      <c r="S302" s="209" t="str">
        <f>IFERROR(VLOOKUP(TableHandbook[[#This Row],[UDC]],TableSTRUHLTPE[],7,FALSE),"")</f>
        <v/>
      </c>
      <c r="T302" s="209" t="str">
        <f>IFERROR(VLOOKUP(TableHandbook[[#This Row],[UDC]],TableSTRUISTEM[],7,FALSE),"")</f>
        <v/>
      </c>
      <c r="U302" s="209" t="str">
        <f>IFERROR(VLOOKUP(TableHandbook[[#This Row],[UDC]],TableSTRULITNU[],7,FALSE),"")</f>
        <v/>
      </c>
      <c r="V302" s="209" t="str">
        <f>IFERROR(VLOOKUP(TableHandbook[[#This Row],[UDC]],TableSTRUTECHS[],7,FALSE),"")</f>
        <v/>
      </c>
      <c r="W302" s="211" t="str">
        <f>IFERROR(VLOOKUP(TableHandbook[[#This Row],[UDC]],TableBEDSC[],7,FALSE),"")</f>
        <v/>
      </c>
      <c r="X302" s="211" t="str">
        <f>IFERROR(VLOOKUP(TableHandbook[[#This Row],[UDC]],TableMJRUARDR1[],7,FALSE),"")</f>
        <v/>
      </c>
      <c r="Y302" s="209" t="str">
        <f>IFERROR(VLOOKUP(TableHandbook[[#This Row],[UDC]],TableMJRUARME1[],7,FALSE),"")</f>
        <v/>
      </c>
      <c r="Z302" s="209" t="str">
        <f>IFERROR(VLOOKUP(TableHandbook[[#This Row],[UDC]],TableMJRUARVA1[],7,FALSE),"")</f>
        <v/>
      </c>
      <c r="AA302" s="209" t="str">
        <f>IFERROR(VLOOKUP(TableHandbook[[#This Row],[UDC]],TableMJRUENGL1[],7,FALSE),"")</f>
        <v/>
      </c>
      <c r="AB302" s="209" t="str">
        <f>IFERROR(VLOOKUP(TableHandbook[[#This Row],[UDC]],TableMJRUHSEC1[],7,FALSE),"")</f>
        <v/>
      </c>
      <c r="AC302" s="209" t="str">
        <f>IFERROR(VLOOKUP(TableHandbook[[#This Row],[UDC]],TableMJRUHSGE1[],7,FALSE),"")</f>
        <v/>
      </c>
      <c r="AD302" s="209" t="str">
        <f>IFERROR(VLOOKUP(TableHandbook[[#This Row],[UDC]],TableMJRUHSHI1[],7,FALSE),"")</f>
        <v/>
      </c>
      <c r="AE302" s="209" t="str">
        <f>IFERROR(VLOOKUP(TableHandbook[[#This Row],[UDC]],TableMJRUHSPL1[],7,FALSE),"")</f>
        <v/>
      </c>
      <c r="AF302" s="209" t="str">
        <f>IFERROR(VLOOKUP(TableHandbook[[#This Row],[UDC]],TableMJRUMATH1[],7,FALSE),"")</f>
        <v/>
      </c>
      <c r="AG302" s="209" t="str">
        <f>IFERROR(VLOOKUP(TableHandbook[[#This Row],[UDC]],TableMJRUPHYSE[],7,FALSE),"")</f>
        <v/>
      </c>
      <c r="AH302" s="209" t="str">
        <f>IFERROR(VLOOKUP(TableHandbook[[#This Row],[UDC]],TableMJRUSCBI1[],7,FALSE),"")</f>
        <v/>
      </c>
      <c r="AI302" s="209" t="str">
        <f>IFERROR(VLOOKUP(TableHandbook[[#This Row],[UDC]],TableMJRUSCCH1[],7,FALSE),"")</f>
        <v/>
      </c>
      <c r="AJ302" s="209" t="str">
        <f>IFERROR(VLOOKUP(TableHandbook[[#This Row],[UDC]],TableMJRUSCHB1[],7,FALSE),"")</f>
        <v/>
      </c>
      <c r="AK302" s="209" t="str">
        <f>IFERROR(VLOOKUP(TableHandbook[[#This Row],[UDC]],TableMJRUSCPH1[],7,FALSE),"")</f>
        <v>Core</v>
      </c>
      <c r="AL302" s="209" t="str">
        <f>IFERROR(VLOOKUP(TableHandbook[[#This Row],[UDC]],TableMJRUSCPS1[],7,FALSE),"")</f>
        <v/>
      </c>
      <c r="AM302" s="211" t="str">
        <f>IFERROR(VLOOKUP(TableHandbook[[#This Row],[UDC]],TableSTRUBIOLB[],7,FALSE),"")</f>
        <v>AltCore</v>
      </c>
      <c r="AN302" s="209" t="str">
        <f>IFERROR(VLOOKUP(TableHandbook[[#This Row],[UDC]],TableSTRUBSCIM[],7,FALSE),"")</f>
        <v/>
      </c>
      <c r="AO302" s="209" t="str">
        <f>IFERROR(VLOOKUP(TableHandbook[[#This Row],[UDC]],TableSTRUCHEMB[],7,FALSE),"")</f>
        <v>AltCore</v>
      </c>
      <c r="AP302" s="209" t="str">
        <f>IFERROR(VLOOKUP(TableHandbook[[#This Row],[UDC]],TableSTRUECOB1[],7,FALSE),"")</f>
        <v/>
      </c>
      <c r="AQ302" s="209" t="str">
        <f>IFERROR(VLOOKUP(TableHandbook[[#This Row],[UDC]],TableSTRUENGLB[],7,FALSE),"")</f>
        <v/>
      </c>
      <c r="AR302" s="209" t="str">
        <f>IFERROR(VLOOKUP(TableHandbook[[#This Row],[UDC]],TableSTRUENGLM[],7,FALSE),"")</f>
        <v/>
      </c>
      <c r="AS302" s="209" t="str">
        <f>IFERROR(VLOOKUP(TableHandbook[[#This Row],[UDC]],TableSTRUGEOB1[],7,FALSE),"")</f>
        <v/>
      </c>
      <c r="AT302" s="209" t="str">
        <f>IFERROR(VLOOKUP(TableHandbook[[#This Row],[UDC]],TableSTRUGEOGM[],7,FALSE),"")</f>
        <v/>
      </c>
      <c r="AU302" s="209" t="str">
        <f>IFERROR(VLOOKUP(TableHandbook[[#This Row],[UDC]],TableSTRUHISB1[],7,FALSE),"")</f>
        <v/>
      </c>
      <c r="AV302" s="209" t="str">
        <f>IFERROR(VLOOKUP(TableHandbook[[#This Row],[UDC]],TableSTRUHISTM[],7,FALSE),"")</f>
        <v/>
      </c>
      <c r="AW302" s="209" t="str">
        <f>IFERROR(VLOOKUP(TableHandbook[[#This Row],[UDC]],TableSTRUHPEB1[],7,FALSE),"")</f>
        <v/>
      </c>
      <c r="AX302" s="209" t="str">
        <f>IFERROR(VLOOKUP(TableHandbook[[#This Row],[UDC]],TableSTRUHUMBB[],7,FALSE),"")</f>
        <v>AltCore</v>
      </c>
      <c r="AY302" s="209" t="str">
        <f>IFERROR(VLOOKUP(TableHandbook[[#This Row],[UDC]],TableSTRUMARTM[],7,FALSE),"")</f>
        <v/>
      </c>
      <c r="AZ302" s="209" t="str">
        <f>IFERROR(VLOOKUP(TableHandbook[[#This Row],[UDC]],TableSTRUMATHB[],7,FALSE),"")</f>
        <v/>
      </c>
      <c r="BA302" s="209" t="str">
        <f>IFERROR(VLOOKUP(TableHandbook[[#This Row],[UDC]],TableSTRUMATHM[],7,FALSE),"")</f>
        <v/>
      </c>
      <c r="BB302" s="209" t="str">
        <f>IFERROR(VLOOKUP(TableHandbook[[#This Row],[UDC]],TableSTRUPARTB[],7,FALSE),"")</f>
        <v/>
      </c>
      <c r="BC302" s="209" t="str">
        <f>IFERROR(VLOOKUP(TableHandbook[[#This Row],[UDC]],TableSTRUPARTM[],7,FALSE),"")</f>
        <v/>
      </c>
      <c r="BD302" s="209" t="str">
        <f>IFERROR(VLOOKUP(TableHandbook[[#This Row],[UDC]],TableSTRUPOLB1[],7,FALSE),"")</f>
        <v/>
      </c>
      <c r="BE302" s="209" t="str">
        <f>IFERROR(VLOOKUP(TableHandbook[[#This Row],[UDC]],TableSTRUPSYCB[],7,FALSE),"")</f>
        <v>AltCore</v>
      </c>
      <c r="BF302" s="209" t="str">
        <f>IFERROR(VLOOKUP(TableHandbook[[#This Row],[UDC]],TableSTRUPSYCM[],7,FALSE),"")</f>
        <v/>
      </c>
      <c r="BG302" s="209" t="str">
        <f>IFERROR(VLOOKUP(TableHandbook[[#This Row],[UDC]],TableSTRUVARTB[],7,FALSE),"")</f>
        <v/>
      </c>
      <c r="BH302" s="209" t="str">
        <f>IFERROR(VLOOKUP(TableHandbook[[#This Row],[UDC]],TableSTRUVARTM[],7,FALSE),"")</f>
        <v/>
      </c>
    </row>
    <row r="303" spans="1:60" x14ac:dyDescent="0.25">
      <c r="A303" s="305" t="s">
        <v>751</v>
      </c>
      <c r="B303" s="7">
        <v>1</v>
      </c>
      <c r="C303" s="7"/>
      <c r="D303" s="207" t="s">
        <v>1098</v>
      </c>
      <c r="E303" s="7">
        <v>25</v>
      </c>
      <c r="F303" s="311" t="s">
        <v>783</v>
      </c>
      <c r="G303" s="75" t="str">
        <f>IFERROR(IF(VLOOKUP(TableHandbook[[#This Row],[UDC]],TableAvailabilities[],2,FALSE)&gt;0,"Y",""),"")</f>
        <v>Y</v>
      </c>
      <c r="H303" s="75" t="str">
        <f>IFERROR(IF(VLOOKUP(TableHandbook[[#This Row],[UDC]],TableAvailabilities[],3,FALSE)&gt;0,"Y",""),"")</f>
        <v>Y</v>
      </c>
      <c r="I303" s="75" t="str">
        <f>IFERROR(IF(VLOOKUP(TableHandbook[[#This Row],[UDC]],TableAvailabilities[],4,FALSE)&gt;0,"Y",""),"")</f>
        <v/>
      </c>
      <c r="J303" s="75" t="str">
        <f>IFERROR(IF(VLOOKUP(TableHandbook[[#This Row],[UDC]],TableAvailabilities[],5,FALSE)&gt;0,"Y",""),"")</f>
        <v>Y</v>
      </c>
      <c r="K303" s="75" t="str">
        <f>IFERROR(IF(VLOOKUP(TableHandbook[[#This Row],[UDC]],TableAvailabilities[],6,FALSE)&gt;0,"Y",""),"")</f>
        <v/>
      </c>
      <c r="L303" s="75" t="str">
        <f>IFERROR(IF(VLOOKUP(TableHandbook[[#This Row],[UDC]],TableAvailabilities[],7,FALSE)&gt;0,"Y",""),"")</f>
        <v/>
      </c>
      <c r="M303" s="207"/>
      <c r="N303" s="209" t="str">
        <f>IFERROR(VLOOKUP(TableHandbook[[#This Row],[UDC]],TableBEDUC[],7,FALSE),"")</f>
        <v/>
      </c>
      <c r="O303" s="209" t="str">
        <f>IFERROR(VLOOKUP(TableHandbook[[#This Row],[UDC]],TableBEDEC[],7,FALSE),"")</f>
        <v/>
      </c>
      <c r="P303" s="211" t="str">
        <f>IFERROR(VLOOKUP(TableHandbook[[#This Row],[UDC]],TableBEDPR[],7,FALSE),"")</f>
        <v/>
      </c>
      <c r="Q303" s="209" t="str">
        <f>IFERROR(VLOOKUP(TableHandbook[[#This Row],[UDC]],TableSTRUCATHL[],7,FALSE),"")</f>
        <v/>
      </c>
      <c r="R303" s="209" t="str">
        <f>IFERROR(VLOOKUP(TableHandbook[[#This Row],[UDC]],TableSTRUENGLL[],7,FALSE),"")</f>
        <v/>
      </c>
      <c r="S303" s="209" t="str">
        <f>IFERROR(VLOOKUP(TableHandbook[[#This Row],[UDC]],TableSTRUHLTPE[],7,FALSE),"")</f>
        <v/>
      </c>
      <c r="T303" s="209" t="str">
        <f>IFERROR(VLOOKUP(TableHandbook[[#This Row],[UDC]],TableSTRUISTEM[],7,FALSE),"")</f>
        <v/>
      </c>
      <c r="U303" s="209" t="str">
        <f>IFERROR(VLOOKUP(TableHandbook[[#This Row],[UDC]],TableSTRULITNU[],7,FALSE),"")</f>
        <v/>
      </c>
      <c r="V303" s="209" t="str">
        <f>IFERROR(VLOOKUP(TableHandbook[[#This Row],[UDC]],TableSTRUTECHS[],7,FALSE),"")</f>
        <v/>
      </c>
      <c r="W303" s="211" t="str">
        <f>IFERROR(VLOOKUP(TableHandbook[[#This Row],[UDC]],TableBEDSC[],7,FALSE),"")</f>
        <v/>
      </c>
      <c r="X303" s="211" t="str">
        <f>IFERROR(VLOOKUP(TableHandbook[[#This Row],[UDC]],TableMJRUARDR1[],7,FALSE),"")</f>
        <v/>
      </c>
      <c r="Y303" s="209" t="str">
        <f>IFERROR(VLOOKUP(TableHandbook[[#This Row],[UDC]],TableMJRUARME1[],7,FALSE),"")</f>
        <v/>
      </c>
      <c r="Z303" s="209" t="str">
        <f>IFERROR(VLOOKUP(TableHandbook[[#This Row],[UDC]],TableMJRUARVA1[],7,FALSE),"")</f>
        <v/>
      </c>
      <c r="AA303" s="209" t="str">
        <f>IFERROR(VLOOKUP(TableHandbook[[#This Row],[UDC]],TableMJRUENGL1[],7,FALSE),"")</f>
        <v/>
      </c>
      <c r="AB303" s="209" t="str">
        <f>IFERROR(VLOOKUP(TableHandbook[[#This Row],[UDC]],TableMJRUHSEC1[],7,FALSE),"")</f>
        <v/>
      </c>
      <c r="AC303" s="209" t="str">
        <f>IFERROR(VLOOKUP(TableHandbook[[#This Row],[UDC]],TableMJRUHSGE1[],7,FALSE),"")</f>
        <v/>
      </c>
      <c r="AD303" s="209" t="str">
        <f>IFERROR(VLOOKUP(TableHandbook[[#This Row],[UDC]],TableMJRUHSHI1[],7,FALSE),"")</f>
        <v/>
      </c>
      <c r="AE303" s="209" t="str">
        <f>IFERROR(VLOOKUP(TableHandbook[[#This Row],[UDC]],TableMJRUHSPL1[],7,FALSE),"")</f>
        <v/>
      </c>
      <c r="AF303" s="209" t="str">
        <f>IFERROR(VLOOKUP(TableHandbook[[#This Row],[UDC]],TableMJRUMATH1[],7,FALSE),"")</f>
        <v/>
      </c>
      <c r="AG303" s="209" t="str">
        <f>IFERROR(VLOOKUP(TableHandbook[[#This Row],[UDC]],TableMJRUPHYSE[],7,FALSE),"")</f>
        <v/>
      </c>
      <c r="AH303" s="209" t="str">
        <f>IFERROR(VLOOKUP(TableHandbook[[#This Row],[UDC]],TableMJRUSCBI1[],7,FALSE),"")</f>
        <v/>
      </c>
      <c r="AI303" s="209" t="str">
        <f>IFERROR(VLOOKUP(TableHandbook[[#This Row],[UDC]],TableMJRUSCCH1[],7,FALSE),"")</f>
        <v/>
      </c>
      <c r="AJ303" s="209" t="str">
        <f>IFERROR(VLOOKUP(TableHandbook[[#This Row],[UDC]],TableMJRUSCHB1[],7,FALSE),"")</f>
        <v/>
      </c>
      <c r="AK303" s="209" t="str">
        <f>IFERROR(VLOOKUP(TableHandbook[[#This Row],[UDC]],TableMJRUSCPH1[],7,FALSE),"")</f>
        <v/>
      </c>
      <c r="AL303" s="209" t="str">
        <f>IFERROR(VLOOKUP(TableHandbook[[#This Row],[UDC]],TableMJRUSCPS1[],7,FALSE),"")</f>
        <v/>
      </c>
      <c r="AM303" s="211" t="str">
        <f>IFERROR(VLOOKUP(TableHandbook[[#This Row],[UDC]],TableSTRUBIOLB[],7,FALSE),"")</f>
        <v>AltCore</v>
      </c>
      <c r="AN303" s="209" t="str">
        <f>IFERROR(VLOOKUP(TableHandbook[[#This Row],[UDC]],TableSTRUBSCIM[],7,FALSE),"")</f>
        <v/>
      </c>
      <c r="AO303" s="209" t="str">
        <f>IFERROR(VLOOKUP(TableHandbook[[#This Row],[UDC]],TableSTRUCHEMB[],7,FALSE),"")</f>
        <v>AltCore</v>
      </c>
      <c r="AP303" s="209" t="str">
        <f>IFERROR(VLOOKUP(TableHandbook[[#This Row],[UDC]],TableSTRUECOB1[],7,FALSE),"")</f>
        <v/>
      </c>
      <c r="AQ303" s="209" t="str">
        <f>IFERROR(VLOOKUP(TableHandbook[[#This Row],[UDC]],TableSTRUENGLB[],7,FALSE),"")</f>
        <v/>
      </c>
      <c r="AR303" s="209" t="str">
        <f>IFERROR(VLOOKUP(TableHandbook[[#This Row],[UDC]],TableSTRUENGLM[],7,FALSE),"")</f>
        <v/>
      </c>
      <c r="AS303" s="209" t="str">
        <f>IFERROR(VLOOKUP(TableHandbook[[#This Row],[UDC]],TableSTRUGEOB1[],7,FALSE),"")</f>
        <v/>
      </c>
      <c r="AT303" s="209" t="str">
        <f>IFERROR(VLOOKUP(TableHandbook[[#This Row],[UDC]],TableSTRUGEOGM[],7,FALSE),"")</f>
        <v/>
      </c>
      <c r="AU303" s="209" t="str">
        <f>IFERROR(VLOOKUP(TableHandbook[[#This Row],[UDC]],TableSTRUHISB1[],7,FALSE),"")</f>
        <v/>
      </c>
      <c r="AV303" s="209" t="str">
        <f>IFERROR(VLOOKUP(TableHandbook[[#This Row],[UDC]],TableSTRUHISTM[],7,FALSE),"")</f>
        <v/>
      </c>
      <c r="AW303" s="209" t="str">
        <f>IFERROR(VLOOKUP(TableHandbook[[#This Row],[UDC]],TableSTRUHPEB1[],7,FALSE),"")</f>
        <v/>
      </c>
      <c r="AX303" s="209" t="str">
        <f>IFERROR(VLOOKUP(TableHandbook[[#This Row],[UDC]],TableSTRUHUMBB[],7,FALSE),"")</f>
        <v>AltCore</v>
      </c>
      <c r="AY303" s="209" t="str">
        <f>IFERROR(VLOOKUP(TableHandbook[[#This Row],[UDC]],TableSTRUMARTM[],7,FALSE),"")</f>
        <v/>
      </c>
      <c r="AZ303" s="209" t="str">
        <f>IFERROR(VLOOKUP(TableHandbook[[#This Row],[UDC]],TableSTRUMATHB[],7,FALSE),"")</f>
        <v/>
      </c>
      <c r="BA303" s="209" t="str">
        <f>IFERROR(VLOOKUP(TableHandbook[[#This Row],[UDC]],TableSTRUMATHM[],7,FALSE),"")</f>
        <v/>
      </c>
      <c r="BB303" s="209" t="str">
        <f>IFERROR(VLOOKUP(TableHandbook[[#This Row],[UDC]],TableSTRUPARTB[],7,FALSE),"")</f>
        <v/>
      </c>
      <c r="BC303" s="209" t="str">
        <f>IFERROR(VLOOKUP(TableHandbook[[#This Row],[UDC]],TableSTRUPARTM[],7,FALSE),"")</f>
        <v/>
      </c>
      <c r="BD303" s="209" t="str">
        <f>IFERROR(VLOOKUP(TableHandbook[[#This Row],[UDC]],TableSTRUPOLB1[],7,FALSE),"")</f>
        <v/>
      </c>
      <c r="BE303" s="209" t="str">
        <f>IFERROR(VLOOKUP(TableHandbook[[#This Row],[UDC]],TableSTRUPSYCB[],7,FALSE),"")</f>
        <v>AltCore</v>
      </c>
      <c r="BF303" s="209" t="str">
        <f>IFERROR(VLOOKUP(TableHandbook[[#This Row],[UDC]],TableSTRUPSYCM[],7,FALSE),"")</f>
        <v/>
      </c>
      <c r="BG303" s="209" t="str">
        <f>IFERROR(VLOOKUP(TableHandbook[[#This Row],[UDC]],TableSTRUVARTB[],7,FALSE),"")</f>
        <v/>
      </c>
      <c r="BH303" s="209" t="str">
        <f>IFERROR(VLOOKUP(TableHandbook[[#This Row],[UDC]],TableSTRUVARTM[],7,FALSE),"")</f>
        <v/>
      </c>
    </row>
    <row r="304" spans="1:60" x14ac:dyDescent="0.25">
      <c r="A304" s="6" t="s">
        <v>710</v>
      </c>
      <c r="B304" s="7">
        <v>2</v>
      </c>
      <c r="C304" s="7"/>
      <c r="D304" s="207" t="s">
        <v>1099</v>
      </c>
      <c r="E304" s="7">
        <v>25</v>
      </c>
      <c r="F304" s="311" t="s">
        <v>446</v>
      </c>
      <c r="G304" s="75" t="str">
        <f>IFERROR(IF(VLOOKUP(TableHandbook[[#This Row],[UDC]],TableAvailabilities[],2,FALSE)&gt;0,"Y",""),"")</f>
        <v/>
      </c>
      <c r="H304" s="75" t="str">
        <f>IFERROR(IF(VLOOKUP(TableHandbook[[#This Row],[UDC]],TableAvailabilities[],3,FALSE)&gt;0,"Y",""),"")</f>
        <v/>
      </c>
      <c r="I304" s="75" t="str">
        <f>IFERROR(IF(VLOOKUP(TableHandbook[[#This Row],[UDC]],TableAvailabilities[],4,FALSE)&gt;0,"Y",""),"")</f>
        <v/>
      </c>
      <c r="J304" s="75" t="str">
        <f>IFERROR(IF(VLOOKUP(TableHandbook[[#This Row],[UDC]],TableAvailabilities[],5,FALSE)&gt;0,"Y",""),"")</f>
        <v>Y</v>
      </c>
      <c r="K304" s="75" t="str">
        <f>IFERROR(IF(VLOOKUP(TableHandbook[[#This Row],[UDC]],TableAvailabilities[],6,FALSE)&gt;0,"Y",""),"")</f>
        <v/>
      </c>
      <c r="L304" s="75" t="str">
        <f>IFERROR(IF(VLOOKUP(TableHandbook[[#This Row],[UDC]],TableAvailabilities[],7,FALSE)&gt;0,"Y",""),"")</f>
        <v/>
      </c>
      <c r="M304" s="207"/>
      <c r="N304" s="209" t="str">
        <f>IFERROR(VLOOKUP(TableHandbook[[#This Row],[UDC]],TableBEDUC[],7,FALSE),"")</f>
        <v/>
      </c>
      <c r="O304" s="209" t="str">
        <f>IFERROR(VLOOKUP(TableHandbook[[#This Row],[UDC]],TableBEDEC[],7,FALSE),"")</f>
        <v/>
      </c>
      <c r="P304" s="211" t="str">
        <f>IFERROR(VLOOKUP(TableHandbook[[#This Row],[UDC]],TableBEDPR[],7,FALSE),"")</f>
        <v/>
      </c>
      <c r="Q304" s="209" t="str">
        <f>IFERROR(VLOOKUP(TableHandbook[[#This Row],[UDC]],TableSTRUCATHL[],7,FALSE),"")</f>
        <v/>
      </c>
      <c r="R304" s="209" t="str">
        <f>IFERROR(VLOOKUP(TableHandbook[[#This Row],[UDC]],TableSTRUENGLL[],7,FALSE),"")</f>
        <v/>
      </c>
      <c r="S304" s="209" t="str">
        <f>IFERROR(VLOOKUP(TableHandbook[[#This Row],[UDC]],TableSTRUHLTPE[],7,FALSE),"")</f>
        <v/>
      </c>
      <c r="T304" s="209" t="str">
        <f>IFERROR(VLOOKUP(TableHandbook[[#This Row],[UDC]],TableSTRUISTEM[],7,FALSE),"")</f>
        <v/>
      </c>
      <c r="U304" s="209" t="str">
        <f>IFERROR(VLOOKUP(TableHandbook[[#This Row],[UDC]],TableSTRULITNU[],7,FALSE),"")</f>
        <v/>
      </c>
      <c r="V304" s="209" t="str">
        <f>IFERROR(VLOOKUP(TableHandbook[[#This Row],[UDC]],TableSTRUTECHS[],7,FALSE),"")</f>
        <v/>
      </c>
      <c r="W304" s="211" t="str">
        <f>IFERROR(VLOOKUP(TableHandbook[[#This Row],[UDC]],TableBEDSC[],7,FALSE),"")</f>
        <v/>
      </c>
      <c r="X304" s="211" t="str">
        <f>IFERROR(VLOOKUP(TableHandbook[[#This Row],[UDC]],TableMJRUARDR1[],7,FALSE),"")</f>
        <v/>
      </c>
      <c r="Y304" s="209" t="str">
        <f>IFERROR(VLOOKUP(TableHandbook[[#This Row],[UDC]],TableMJRUARME1[],7,FALSE),"")</f>
        <v/>
      </c>
      <c r="Z304" s="209" t="str">
        <f>IFERROR(VLOOKUP(TableHandbook[[#This Row],[UDC]],TableMJRUARVA1[],7,FALSE),"")</f>
        <v/>
      </c>
      <c r="AA304" s="209" t="str">
        <f>IFERROR(VLOOKUP(TableHandbook[[#This Row],[UDC]],TableMJRUENGL1[],7,FALSE),"")</f>
        <v/>
      </c>
      <c r="AB304" s="209" t="str">
        <f>IFERROR(VLOOKUP(TableHandbook[[#This Row],[UDC]],TableMJRUHSEC1[],7,FALSE),"")</f>
        <v/>
      </c>
      <c r="AC304" s="209" t="str">
        <f>IFERROR(VLOOKUP(TableHandbook[[#This Row],[UDC]],TableMJRUHSGE1[],7,FALSE),"")</f>
        <v/>
      </c>
      <c r="AD304" s="209" t="str">
        <f>IFERROR(VLOOKUP(TableHandbook[[#This Row],[UDC]],TableMJRUHSHI1[],7,FALSE),"")</f>
        <v/>
      </c>
      <c r="AE304" s="209" t="str">
        <f>IFERROR(VLOOKUP(TableHandbook[[#This Row],[UDC]],TableMJRUHSPL1[],7,FALSE),"")</f>
        <v/>
      </c>
      <c r="AF304" s="209" t="str">
        <f>IFERROR(VLOOKUP(TableHandbook[[#This Row],[UDC]],TableMJRUMATH1[],7,FALSE),"")</f>
        <v/>
      </c>
      <c r="AG304" s="209" t="str">
        <f>IFERROR(VLOOKUP(TableHandbook[[#This Row],[UDC]],TableMJRUPHYSE[],7,FALSE),"")</f>
        <v/>
      </c>
      <c r="AH304" s="209" t="str">
        <f>IFERROR(VLOOKUP(TableHandbook[[#This Row],[UDC]],TableMJRUSCBI1[],7,FALSE),"")</f>
        <v/>
      </c>
      <c r="AI304" s="209" t="str">
        <f>IFERROR(VLOOKUP(TableHandbook[[#This Row],[UDC]],TableMJRUSCCH1[],7,FALSE),"")</f>
        <v/>
      </c>
      <c r="AJ304" s="209" t="str">
        <f>IFERROR(VLOOKUP(TableHandbook[[#This Row],[UDC]],TableMJRUSCHB1[],7,FALSE),"")</f>
        <v/>
      </c>
      <c r="AK304" s="209" t="str">
        <f>IFERROR(VLOOKUP(TableHandbook[[#This Row],[UDC]],TableMJRUSCPH1[],7,FALSE),"")</f>
        <v>Core</v>
      </c>
      <c r="AL304" s="209" t="str">
        <f>IFERROR(VLOOKUP(TableHandbook[[#This Row],[UDC]],TableMJRUSCPS1[],7,FALSE),"")</f>
        <v/>
      </c>
      <c r="AM304" s="211" t="str">
        <f>IFERROR(VLOOKUP(TableHandbook[[#This Row],[UDC]],TableSTRUBIOLB[],7,FALSE),"")</f>
        <v/>
      </c>
      <c r="AN304" s="209" t="str">
        <f>IFERROR(VLOOKUP(TableHandbook[[#This Row],[UDC]],TableSTRUBSCIM[],7,FALSE),"")</f>
        <v/>
      </c>
      <c r="AO304" s="209" t="str">
        <f>IFERROR(VLOOKUP(TableHandbook[[#This Row],[UDC]],TableSTRUCHEMB[],7,FALSE),"")</f>
        <v/>
      </c>
      <c r="AP304" s="209" t="str">
        <f>IFERROR(VLOOKUP(TableHandbook[[#This Row],[UDC]],TableSTRUECOB1[],7,FALSE),"")</f>
        <v/>
      </c>
      <c r="AQ304" s="209" t="str">
        <f>IFERROR(VLOOKUP(TableHandbook[[#This Row],[UDC]],TableSTRUENGLB[],7,FALSE),"")</f>
        <v/>
      </c>
      <c r="AR304" s="209" t="str">
        <f>IFERROR(VLOOKUP(TableHandbook[[#This Row],[UDC]],TableSTRUENGLM[],7,FALSE),"")</f>
        <v/>
      </c>
      <c r="AS304" s="209" t="str">
        <f>IFERROR(VLOOKUP(TableHandbook[[#This Row],[UDC]],TableSTRUGEOB1[],7,FALSE),"")</f>
        <v/>
      </c>
      <c r="AT304" s="209" t="str">
        <f>IFERROR(VLOOKUP(TableHandbook[[#This Row],[UDC]],TableSTRUGEOGM[],7,FALSE),"")</f>
        <v/>
      </c>
      <c r="AU304" s="209" t="str">
        <f>IFERROR(VLOOKUP(TableHandbook[[#This Row],[UDC]],TableSTRUHISB1[],7,FALSE),"")</f>
        <v/>
      </c>
      <c r="AV304" s="209" t="str">
        <f>IFERROR(VLOOKUP(TableHandbook[[#This Row],[UDC]],TableSTRUHISTM[],7,FALSE),"")</f>
        <v/>
      </c>
      <c r="AW304" s="209" t="str">
        <f>IFERROR(VLOOKUP(TableHandbook[[#This Row],[UDC]],TableSTRUHPEB1[],7,FALSE),"")</f>
        <v/>
      </c>
      <c r="AX304" s="209" t="str">
        <f>IFERROR(VLOOKUP(TableHandbook[[#This Row],[UDC]],TableSTRUHUMBB[],7,FALSE),"")</f>
        <v/>
      </c>
      <c r="AY304" s="209" t="str">
        <f>IFERROR(VLOOKUP(TableHandbook[[#This Row],[UDC]],TableSTRUMARTM[],7,FALSE),"")</f>
        <v/>
      </c>
      <c r="AZ304" s="209" t="str">
        <f>IFERROR(VLOOKUP(TableHandbook[[#This Row],[UDC]],TableSTRUMATHB[],7,FALSE),"")</f>
        <v/>
      </c>
      <c r="BA304" s="209" t="str">
        <f>IFERROR(VLOOKUP(TableHandbook[[#This Row],[UDC]],TableSTRUMATHM[],7,FALSE),"")</f>
        <v/>
      </c>
      <c r="BB304" s="209" t="str">
        <f>IFERROR(VLOOKUP(TableHandbook[[#This Row],[UDC]],TableSTRUPARTB[],7,FALSE),"")</f>
        <v/>
      </c>
      <c r="BC304" s="209" t="str">
        <f>IFERROR(VLOOKUP(TableHandbook[[#This Row],[UDC]],TableSTRUPARTM[],7,FALSE),"")</f>
        <v/>
      </c>
      <c r="BD304" s="209" t="str">
        <f>IFERROR(VLOOKUP(TableHandbook[[#This Row],[UDC]],TableSTRUPOLB1[],7,FALSE),"")</f>
        <v/>
      </c>
      <c r="BE304" s="209" t="str">
        <f>IFERROR(VLOOKUP(TableHandbook[[#This Row],[UDC]],TableSTRUPSYCB[],7,FALSE),"")</f>
        <v/>
      </c>
      <c r="BF304" s="209" t="str">
        <f>IFERROR(VLOOKUP(TableHandbook[[#This Row],[UDC]],TableSTRUPSYCM[],7,FALSE),"")</f>
        <v/>
      </c>
      <c r="BG304" s="209" t="str">
        <f>IFERROR(VLOOKUP(TableHandbook[[#This Row],[UDC]],TableSTRUVARTB[],7,FALSE),"")</f>
        <v/>
      </c>
      <c r="BH304" s="209" t="str">
        <f>IFERROR(VLOOKUP(TableHandbook[[#This Row],[UDC]],TableSTRUVARTM[],7,FALSE),"")</f>
        <v/>
      </c>
    </row>
    <row r="305" spans="1:60" x14ac:dyDescent="0.25">
      <c r="A305" s="6" t="s">
        <v>718</v>
      </c>
      <c r="B305" s="7">
        <v>1</v>
      </c>
      <c r="C305" s="7"/>
      <c r="D305" s="207" t="s">
        <v>1100</v>
      </c>
      <c r="E305" s="7">
        <v>25</v>
      </c>
      <c r="F305" s="311" t="s">
        <v>1101</v>
      </c>
      <c r="G305" s="75" t="str">
        <f>IFERROR(IF(VLOOKUP(TableHandbook[[#This Row],[UDC]],TableAvailabilities[],2,FALSE)&gt;0,"Y",""),"")</f>
        <v>Y</v>
      </c>
      <c r="H305" s="75" t="str">
        <f>IFERROR(IF(VLOOKUP(TableHandbook[[#This Row],[UDC]],TableAvailabilities[],3,FALSE)&gt;0,"Y",""),"")</f>
        <v/>
      </c>
      <c r="I305" s="75" t="str">
        <f>IFERROR(IF(VLOOKUP(TableHandbook[[#This Row],[UDC]],TableAvailabilities[],4,FALSE)&gt;0,"Y",""),"")</f>
        <v/>
      </c>
      <c r="J305" s="75" t="str">
        <f>IFERROR(IF(VLOOKUP(TableHandbook[[#This Row],[UDC]],TableAvailabilities[],5,FALSE)&gt;0,"Y",""),"")</f>
        <v/>
      </c>
      <c r="K305" s="75" t="str">
        <f>IFERROR(IF(VLOOKUP(TableHandbook[[#This Row],[UDC]],TableAvailabilities[],6,FALSE)&gt;0,"Y",""),"")</f>
        <v/>
      </c>
      <c r="L305" s="75" t="str">
        <f>IFERROR(IF(VLOOKUP(TableHandbook[[#This Row],[UDC]],TableAvailabilities[],7,FALSE)&gt;0,"Y",""),"")</f>
        <v/>
      </c>
      <c r="M305" s="207"/>
      <c r="N305" s="209" t="str">
        <f>IFERROR(VLOOKUP(TableHandbook[[#This Row],[UDC]],TableBEDUC[],7,FALSE),"")</f>
        <v/>
      </c>
      <c r="O305" s="209" t="str">
        <f>IFERROR(VLOOKUP(TableHandbook[[#This Row],[UDC]],TableBEDEC[],7,FALSE),"")</f>
        <v/>
      </c>
      <c r="P305" s="211" t="str">
        <f>IFERROR(VLOOKUP(TableHandbook[[#This Row],[UDC]],TableBEDPR[],7,FALSE),"")</f>
        <v/>
      </c>
      <c r="Q305" s="209" t="str">
        <f>IFERROR(VLOOKUP(TableHandbook[[#This Row],[UDC]],TableSTRUCATHL[],7,FALSE),"")</f>
        <v/>
      </c>
      <c r="R305" s="209" t="str">
        <f>IFERROR(VLOOKUP(TableHandbook[[#This Row],[UDC]],TableSTRUENGLL[],7,FALSE),"")</f>
        <v/>
      </c>
      <c r="S305" s="209" t="str">
        <f>IFERROR(VLOOKUP(TableHandbook[[#This Row],[UDC]],TableSTRUHLTPE[],7,FALSE),"")</f>
        <v/>
      </c>
      <c r="T305" s="209" t="str">
        <f>IFERROR(VLOOKUP(TableHandbook[[#This Row],[UDC]],TableSTRUISTEM[],7,FALSE),"")</f>
        <v/>
      </c>
      <c r="U305" s="209" t="str">
        <f>IFERROR(VLOOKUP(TableHandbook[[#This Row],[UDC]],TableSTRULITNU[],7,FALSE),"")</f>
        <v/>
      </c>
      <c r="V305" s="209" t="str">
        <f>IFERROR(VLOOKUP(TableHandbook[[#This Row],[UDC]],TableSTRUTECHS[],7,FALSE),"")</f>
        <v/>
      </c>
      <c r="W305" s="211" t="str">
        <f>IFERROR(VLOOKUP(TableHandbook[[#This Row],[UDC]],TableBEDSC[],7,FALSE),"")</f>
        <v/>
      </c>
      <c r="X305" s="211" t="str">
        <f>IFERROR(VLOOKUP(TableHandbook[[#This Row],[UDC]],TableMJRUARDR1[],7,FALSE),"")</f>
        <v/>
      </c>
      <c r="Y305" s="209" t="str">
        <f>IFERROR(VLOOKUP(TableHandbook[[#This Row],[UDC]],TableMJRUARME1[],7,FALSE),"")</f>
        <v/>
      </c>
      <c r="Z305" s="209" t="str">
        <f>IFERROR(VLOOKUP(TableHandbook[[#This Row],[UDC]],TableMJRUARVA1[],7,FALSE),"")</f>
        <v/>
      </c>
      <c r="AA305" s="209" t="str">
        <f>IFERROR(VLOOKUP(TableHandbook[[#This Row],[UDC]],TableMJRUENGL1[],7,FALSE),"")</f>
        <v/>
      </c>
      <c r="AB305" s="209" t="str">
        <f>IFERROR(VLOOKUP(TableHandbook[[#This Row],[UDC]],TableMJRUHSEC1[],7,FALSE),"")</f>
        <v/>
      </c>
      <c r="AC305" s="209" t="str">
        <f>IFERROR(VLOOKUP(TableHandbook[[#This Row],[UDC]],TableMJRUHSGE1[],7,FALSE),"")</f>
        <v/>
      </c>
      <c r="AD305" s="209" t="str">
        <f>IFERROR(VLOOKUP(TableHandbook[[#This Row],[UDC]],TableMJRUHSHI1[],7,FALSE),"")</f>
        <v/>
      </c>
      <c r="AE305" s="209" t="str">
        <f>IFERROR(VLOOKUP(TableHandbook[[#This Row],[UDC]],TableMJRUHSPL1[],7,FALSE),"")</f>
        <v/>
      </c>
      <c r="AF305" s="209" t="str">
        <f>IFERROR(VLOOKUP(TableHandbook[[#This Row],[UDC]],TableMJRUMATH1[],7,FALSE),"")</f>
        <v/>
      </c>
      <c r="AG305" s="209" t="str">
        <f>IFERROR(VLOOKUP(TableHandbook[[#This Row],[UDC]],TableMJRUPHYSE[],7,FALSE),"")</f>
        <v/>
      </c>
      <c r="AH305" s="209" t="str">
        <f>IFERROR(VLOOKUP(TableHandbook[[#This Row],[UDC]],TableMJRUSCBI1[],7,FALSE),"")</f>
        <v/>
      </c>
      <c r="AI305" s="209" t="str">
        <f>IFERROR(VLOOKUP(TableHandbook[[#This Row],[UDC]],TableMJRUSCCH1[],7,FALSE),"")</f>
        <v/>
      </c>
      <c r="AJ305" s="209" t="str">
        <f>IFERROR(VLOOKUP(TableHandbook[[#This Row],[UDC]],TableMJRUSCHB1[],7,FALSE),"")</f>
        <v/>
      </c>
      <c r="AK305" s="209" t="str">
        <f>IFERROR(VLOOKUP(TableHandbook[[#This Row],[UDC]],TableMJRUSCPH1[],7,FALSE),"")</f>
        <v>Core</v>
      </c>
      <c r="AL305" s="209" t="str">
        <f>IFERROR(VLOOKUP(TableHandbook[[#This Row],[UDC]],TableMJRUSCPS1[],7,FALSE),"")</f>
        <v/>
      </c>
      <c r="AM305" s="211" t="str">
        <f>IFERROR(VLOOKUP(TableHandbook[[#This Row],[UDC]],TableSTRUBIOLB[],7,FALSE),"")</f>
        <v/>
      </c>
      <c r="AN305" s="209" t="str">
        <f>IFERROR(VLOOKUP(TableHandbook[[#This Row],[UDC]],TableSTRUBSCIM[],7,FALSE),"")</f>
        <v/>
      </c>
      <c r="AO305" s="209" t="str">
        <f>IFERROR(VLOOKUP(TableHandbook[[#This Row],[UDC]],TableSTRUCHEMB[],7,FALSE),"")</f>
        <v/>
      </c>
      <c r="AP305" s="209" t="str">
        <f>IFERROR(VLOOKUP(TableHandbook[[#This Row],[UDC]],TableSTRUECOB1[],7,FALSE),"")</f>
        <v/>
      </c>
      <c r="AQ305" s="209" t="str">
        <f>IFERROR(VLOOKUP(TableHandbook[[#This Row],[UDC]],TableSTRUENGLB[],7,FALSE),"")</f>
        <v/>
      </c>
      <c r="AR305" s="209" t="str">
        <f>IFERROR(VLOOKUP(TableHandbook[[#This Row],[UDC]],TableSTRUENGLM[],7,FALSE),"")</f>
        <v/>
      </c>
      <c r="AS305" s="209" t="str">
        <f>IFERROR(VLOOKUP(TableHandbook[[#This Row],[UDC]],TableSTRUGEOB1[],7,FALSE),"")</f>
        <v/>
      </c>
      <c r="AT305" s="209" t="str">
        <f>IFERROR(VLOOKUP(TableHandbook[[#This Row],[UDC]],TableSTRUGEOGM[],7,FALSE),"")</f>
        <v/>
      </c>
      <c r="AU305" s="209" t="str">
        <f>IFERROR(VLOOKUP(TableHandbook[[#This Row],[UDC]],TableSTRUHISB1[],7,FALSE),"")</f>
        <v/>
      </c>
      <c r="AV305" s="209" t="str">
        <f>IFERROR(VLOOKUP(TableHandbook[[#This Row],[UDC]],TableSTRUHISTM[],7,FALSE),"")</f>
        <v/>
      </c>
      <c r="AW305" s="209" t="str">
        <f>IFERROR(VLOOKUP(TableHandbook[[#This Row],[UDC]],TableSTRUHPEB1[],7,FALSE),"")</f>
        <v/>
      </c>
      <c r="AX305" s="209" t="str">
        <f>IFERROR(VLOOKUP(TableHandbook[[#This Row],[UDC]],TableSTRUHUMBB[],7,FALSE),"")</f>
        <v/>
      </c>
      <c r="AY305" s="209" t="str">
        <f>IFERROR(VLOOKUP(TableHandbook[[#This Row],[UDC]],TableSTRUMARTM[],7,FALSE),"")</f>
        <v/>
      </c>
      <c r="AZ305" s="209" t="str">
        <f>IFERROR(VLOOKUP(TableHandbook[[#This Row],[UDC]],TableSTRUMATHB[],7,FALSE),"")</f>
        <v/>
      </c>
      <c r="BA305" s="209" t="str">
        <f>IFERROR(VLOOKUP(TableHandbook[[#This Row],[UDC]],TableSTRUMATHM[],7,FALSE),"")</f>
        <v/>
      </c>
      <c r="BB305" s="209" t="str">
        <f>IFERROR(VLOOKUP(TableHandbook[[#This Row],[UDC]],TableSTRUPARTB[],7,FALSE),"")</f>
        <v/>
      </c>
      <c r="BC305" s="209" t="str">
        <f>IFERROR(VLOOKUP(TableHandbook[[#This Row],[UDC]],TableSTRUPARTM[],7,FALSE),"")</f>
        <v/>
      </c>
      <c r="BD305" s="209" t="str">
        <f>IFERROR(VLOOKUP(TableHandbook[[#This Row],[UDC]],TableSTRUPOLB1[],7,FALSE),"")</f>
        <v/>
      </c>
      <c r="BE305" s="209" t="str">
        <f>IFERROR(VLOOKUP(TableHandbook[[#This Row],[UDC]],TableSTRUPSYCB[],7,FALSE),"")</f>
        <v/>
      </c>
      <c r="BF305" s="209" t="str">
        <f>IFERROR(VLOOKUP(TableHandbook[[#This Row],[UDC]],TableSTRUPSYCM[],7,FALSE),"")</f>
        <v/>
      </c>
      <c r="BG305" s="209" t="str">
        <f>IFERROR(VLOOKUP(TableHandbook[[#This Row],[UDC]],TableSTRUVARTB[],7,FALSE),"")</f>
        <v/>
      </c>
      <c r="BH305" s="209" t="str">
        <f>IFERROR(VLOOKUP(TableHandbook[[#This Row],[UDC]],TableSTRUVARTM[],7,FALSE),"")</f>
        <v/>
      </c>
    </row>
    <row r="306" spans="1:60" x14ac:dyDescent="0.25">
      <c r="A306" s="6" t="s">
        <v>535</v>
      </c>
      <c r="B306" s="7">
        <v>1</v>
      </c>
      <c r="C306" s="7"/>
      <c r="D306" s="207" t="s">
        <v>1102</v>
      </c>
      <c r="E306" s="7">
        <v>25</v>
      </c>
      <c r="F306" s="311" t="s">
        <v>718</v>
      </c>
      <c r="G306" s="75" t="str">
        <f>IFERROR(IF(VLOOKUP(TableHandbook[[#This Row],[UDC]],TableAvailabilities[],2,FALSE)&gt;0,"Y",""),"")</f>
        <v>Y</v>
      </c>
      <c r="H306" s="75" t="str">
        <f>IFERROR(IF(VLOOKUP(TableHandbook[[#This Row],[UDC]],TableAvailabilities[],3,FALSE)&gt;0,"Y",""),"")</f>
        <v/>
      </c>
      <c r="I306" s="75" t="str">
        <f>IFERROR(IF(VLOOKUP(TableHandbook[[#This Row],[UDC]],TableAvailabilities[],4,FALSE)&gt;0,"Y",""),"")</f>
        <v/>
      </c>
      <c r="J306" s="75" t="str">
        <f>IFERROR(IF(VLOOKUP(TableHandbook[[#This Row],[UDC]],TableAvailabilities[],5,FALSE)&gt;0,"Y",""),"")</f>
        <v/>
      </c>
      <c r="K306" s="75" t="str">
        <f>IFERROR(IF(VLOOKUP(TableHandbook[[#This Row],[UDC]],TableAvailabilities[],6,FALSE)&gt;0,"Y",""),"")</f>
        <v/>
      </c>
      <c r="L306" s="75" t="str">
        <f>IFERROR(IF(VLOOKUP(TableHandbook[[#This Row],[UDC]],TableAvailabilities[],7,FALSE)&gt;0,"Y",""),"")</f>
        <v/>
      </c>
      <c r="M306" s="207"/>
      <c r="N306" s="209" t="str">
        <f>IFERROR(VLOOKUP(TableHandbook[[#This Row],[UDC]],TableBEDUC[],7,FALSE),"")</f>
        <v/>
      </c>
      <c r="O306" s="209" t="str">
        <f>IFERROR(VLOOKUP(TableHandbook[[#This Row],[UDC]],TableBEDEC[],7,FALSE),"")</f>
        <v/>
      </c>
      <c r="P306" s="211" t="str">
        <f>IFERROR(VLOOKUP(TableHandbook[[#This Row],[UDC]],TableBEDPR[],7,FALSE),"")</f>
        <v/>
      </c>
      <c r="Q306" s="209" t="str">
        <f>IFERROR(VLOOKUP(TableHandbook[[#This Row],[UDC]],TableSTRUCATHL[],7,FALSE),"")</f>
        <v/>
      </c>
      <c r="R306" s="209" t="str">
        <f>IFERROR(VLOOKUP(TableHandbook[[#This Row],[UDC]],TableSTRUENGLL[],7,FALSE),"")</f>
        <v/>
      </c>
      <c r="S306" s="209" t="str">
        <f>IFERROR(VLOOKUP(TableHandbook[[#This Row],[UDC]],TableSTRUHLTPE[],7,FALSE),"")</f>
        <v/>
      </c>
      <c r="T306" s="209" t="str">
        <f>IFERROR(VLOOKUP(TableHandbook[[#This Row],[UDC]],TableSTRUISTEM[],7,FALSE),"")</f>
        <v/>
      </c>
      <c r="U306" s="209" t="str">
        <f>IFERROR(VLOOKUP(TableHandbook[[#This Row],[UDC]],TableSTRULITNU[],7,FALSE),"")</f>
        <v/>
      </c>
      <c r="V306" s="209" t="str">
        <f>IFERROR(VLOOKUP(TableHandbook[[#This Row],[UDC]],TableSTRUTECHS[],7,FALSE),"")</f>
        <v/>
      </c>
      <c r="W306" s="211" t="str">
        <f>IFERROR(VLOOKUP(TableHandbook[[#This Row],[UDC]],TableBEDSC[],7,FALSE),"")</f>
        <v/>
      </c>
      <c r="X306" s="211" t="str">
        <f>IFERROR(VLOOKUP(TableHandbook[[#This Row],[UDC]],TableMJRUARDR1[],7,FALSE),"")</f>
        <v/>
      </c>
      <c r="Y306" s="209" t="str">
        <f>IFERROR(VLOOKUP(TableHandbook[[#This Row],[UDC]],TableMJRUARME1[],7,FALSE),"")</f>
        <v/>
      </c>
      <c r="Z306" s="209" t="str">
        <f>IFERROR(VLOOKUP(TableHandbook[[#This Row],[UDC]],TableMJRUARVA1[],7,FALSE),"")</f>
        <v/>
      </c>
      <c r="AA306" s="209" t="str">
        <f>IFERROR(VLOOKUP(TableHandbook[[#This Row],[UDC]],TableMJRUENGL1[],7,FALSE),"")</f>
        <v/>
      </c>
      <c r="AB306" s="209" t="str">
        <f>IFERROR(VLOOKUP(TableHandbook[[#This Row],[UDC]],TableMJRUHSEC1[],7,FALSE),"")</f>
        <v/>
      </c>
      <c r="AC306" s="209" t="str">
        <f>IFERROR(VLOOKUP(TableHandbook[[#This Row],[UDC]],TableMJRUHSGE1[],7,FALSE),"")</f>
        <v/>
      </c>
      <c r="AD306" s="209" t="str">
        <f>IFERROR(VLOOKUP(TableHandbook[[#This Row],[UDC]],TableMJRUHSHI1[],7,FALSE),"")</f>
        <v/>
      </c>
      <c r="AE306" s="209" t="str">
        <f>IFERROR(VLOOKUP(TableHandbook[[#This Row],[UDC]],TableMJRUHSPL1[],7,FALSE),"")</f>
        <v/>
      </c>
      <c r="AF306" s="209" t="str">
        <f>IFERROR(VLOOKUP(TableHandbook[[#This Row],[UDC]],TableMJRUMATH1[],7,FALSE),"")</f>
        <v/>
      </c>
      <c r="AG306" s="209" t="str">
        <f>IFERROR(VLOOKUP(TableHandbook[[#This Row],[UDC]],TableMJRUPHYSE[],7,FALSE),"")</f>
        <v/>
      </c>
      <c r="AH306" s="209" t="str">
        <f>IFERROR(VLOOKUP(TableHandbook[[#This Row],[UDC]],TableMJRUSCBI1[],7,FALSE),"")</f>
        <v/>
      </c>
      <c r="AI306" s="209" t="str">
        <f>IFERROR(VLOOKUP(TableHandbook[[#This Row],[UDC]],TableMJRUSCCH1[],7,FALSE),"")</f>
        <v/>
      </c>
      <c r="AJ306" s="209" t="str">
        <f>IFERROR(VLOOKUP(TableHandbook[[#This Row],[UDC]],TableMJRUSCHB1[],7,FALSE),"")</f>
        <v/>
      </c>
      <c r="AK306" s="209" t="str">
        <f>IFERROR(VLOOKUP(TableHandbook[[#This Row],[UDC]],TableMJRUSCPH1[],7,FALSE),"")</f>
        <v>Core</v>
      </c>
      <c r="AL306" s="209" t="str">
        <f>IFERROR(VLOOKUP(TableHandbook[[#This Row],[UDC]],TableMJRUSCPS1[],7,FALSE),"")</f>
        <v/>
      </c>
      <c r="AM306" s="211" t="str">
        <f>IFERROR(VLOOKUP(TableHandbook[[#This Row],[UDC]],TableSTRUBIOLB[],7,FALSE),"")</f>
        <v/>
      </c>
      <c r="AN306" s="209" t="str">
        <f>IFERROR(VLOOKUP(TableHandbook[[#This Row],[UDC]],TableSTRUBSCIM[],7,FALSE),"")</f>
        <v/>
      </c>
      <c r="AO306" s="209" t="str">
        <f>IFERROR(VLOOKUP(TableHandbook[[#This Row],[UDC]],TableSTRUCHEMB[],7,FALSE),"")</f>
        <v/>
      </c>
      <c r="AP306" s="209" t="str">
        <f>IFERROR(VLOOKUP(TableHandbook[[#This Row],[UDC]],TableSTRUECOB1[],7,FALSE),"")</f>
        <v/>
      </c>
      <c r="AQ306" s="209" t="str">
        <f>IFERROR(VLOOKUP(TableHandbook[[#This Row],[UDC]],TableSTRUENGLB[],7,FALSE),"")</f>
        <v/>
      </c>
      <c r="AR306" s="209" t="str">
        <f>IFERROR(VLOOKUP(TableHandbook[[#This Row],[UDC]],TableSTRUENGLM[],7,FALSE),"")</f>
        <v/>
      </c>
      <c r="AS306" s="209" t="str">
        <f>IFERROR(VLOOKUP(TableHandbook[[#This Row],[UDC]],TableSTRUGEOB1[],7,FALSE),"")</f>
        <v/>
      </c>
      <c r="AT306" s="209" t="str">
        <f>IFERROR(VLOOKUP(TableHandbook[[#This Row],[UDC]],TableSTRUGEOGM[],7,FALSE),"")</f>
        <v/>
      </c>
      <c r="AU306" s="209" t="str">
        <f>IFERROR(VLOOKUP(TableHandbook[[#This Row],[UDC]],TableSTRUHISB1[],7,FALSE),"")</f>
        <v/>
      </c>
      <c r="AV306" s="209" t="str">
        <f>IFERROR(VLOOKUP(TableHandbook[[#This Row],[UDC]],TableSTRUHISTM[],7,FALSE),"")</f>
        <v/>
      </c>
      <c r="AW306" s="209" t="str">
        <f>IFERROR(VLOOKUP(TableHandbook[[#This Row],[UDC]],TableSTRUHPEB1[],7,FALSE),"")</f>
        <v/>
      </c>
      <c r="AX306" s="209" t="str">
        <f>IFERROR(VLOOKUP(TableHandbook[[#This Row],[UDC]],TableSTRUHUMBB[],7,FALSE),"")</f>
        <v/>
      </c>
      <c r="AY306" s="209" t="str">
        <f>IFERROR(VLOOKUP(TableHandbook[[#This Row],[UDC]],TableSTRUMARTM[],7,FALSE),"")</f>
        <v/>
      </c>
      <c r="AZ306" s="209" t="str">
        <f>IFERROR(VLOOKUP(TableHandbook[[#This Row],[UDC]],TableSTRUMATHB[],7,FALSE),"")</f>
        <v/>
      </c>
      <c r="BA306" s="209" t="str">
        <f>IFERROR(VLOOKUP(TableHandbook[[#This Row],[UDC]],TableSTRUMATHM[],7,FALSE),"")</f>
        <v/>
      </c>
      <c r="BB306" s="209" t="str">
        <f>IFERROR(VLOOKUP(TableHandbook[[#This Row],[UDC]],TableSTRUPARTB[],7,FALSE),"")</f>
        <v/>
      </c>
      <c r="BC306" s="209" t="str">
        <f>IFERROR(VLOOKUP(TableHandbook[[#This Row],[UDC]],TableSTRUPARTM[],7,FALSE),"")</f>
        <v/>
      </c>
      <c r="BD306" s="209" t="str">
        <f>IFERROR(VLOOKUP(TableHandbook[[#This Row],[UDC]],TableSTRUPOLB1[],7,FALSE),"")</f>
        <v/>
      </c>
      <c r="BE306" s="209" t="str">
        <f>IFERROR(VLOOKUP(TableHandbook[[#This Row],[UDC]],TableSTRUPSYCB[],7,FALSE),"")</f>
        <v/>
      </c>
      <c r="BF306" s="209" t="str">
        <f>IFERROR(VLOOKUP(TableHandbook[[#This Row],[UDC]],TableSTRUPSYCM[],7,FALSE),"")</f>
        <v/>
      </c>
      <c r="BG306" s="209" t="str">
        <f>IFERROR(VLOOKUP(TableHandbook[[#This Row],[UDC]],TableSTRUVARTB[],7,FALSE),"")</f>
        <v/>
      </c>
      <c r="BH306" s="209" t="str">
        <f>IFERROR(VLOOKUP(TableHandbook[[#This Row],[UDC]],TableSTRUVARTM[],7,FALSE),"")</f>
        <v/>
      </c>
    </row>
    <row r="307" spans="1:60" x14ac:dyDescent="0.25">
      <c r="A307" s="6" t="s">
        <v>621</v>
      </c>
      <c r="B307" s="7">
        <v>1</v>
      </c>
      <c r="C307" s="7"/>
      <c r="D307" s="207" t="s">
        <v>1103</v>
      </c>
      <c r="E307" s="7">
        <v>25</v>
      </c>
      <c r="F307" s="84" t="s">
        <v>783</v>
      </c>
      <c r="G307" s="75" t="str">
        <f>IFERROR(IF(VLOOKUP(TableHandbook[[#This Row],[UDC]],TableAvailabilities[],2,FALSE)&gt;0,"Y",""),"")</f>
        <v/>
      </c>
      <c r="H307" s="75" t="str">
        <f>IFERROR(IF(VLOOKUP(TableHandbook[[#This Row],[UDC]],TableAvailabilities[],3,FALSE)&gt;0,"Y",""),"")</f>
        <v/>
      </c>
      <c r="I307" s="75" t="str">
        <f>IFERROR(IF(VLOOKUP(TableHandbook[[#This Row],[UDC]],TableAvailabilities[],4,FALSE)&gt;0,"Y",""),"")</f>
        <v/>
      </c>
      <c r="J307" s="75" t="str">
        <f>IFERROR(IF(VLOOKUP(TableHandbook[[#This Row],[UDC]],TableAvailabilities[],5,FALSE)&gt;0,"Y",""),"")</f>
        <v>Y</v>
      </c>
      <c r="K307" s="75" t="str">
        <f>IFERROR(IF(VLOOKUP(TableHandbook[[#This Row],[UDC]],TableAvailabilities[],6,FALSE)&gt;0,"Y",""),"")</f>
        <v>Y</v>
      </c>
      <c r="L307" s="75" t="str">
        <f>IFERROR(IF(VLOOKUP(TableHandbook[[#This Row],[UDC]],TableAvailabilities[],7,FALSE)&gt;0,"Y",""),"")</f>
        <v/>
      </c>
      <c r="M307" s="207"/>
      <c r="N307" s="209" t="str">
        <f>IFERROR(VLOOKUP(TableHandbook[[#This Row],[UDC]],TableBEDUC[],7,FALSE),"")</f>
        <v/>
      </c>
      <c r="O307" s="209" t="str">
        <f>IFERROR(VLOOKUP(TableHandbook[[#This Row],[UDC]],TableBEDEC[],7,FALSE),"")</f>
        <v/>
      </c>
      <c r="P307" s="211" t="str">
        <f>IFERROR(VLOOKUP(TableHandbook[[#This Row],[UDC]],TableBEDPR[],7,FALSE),"")</f>
        <v/>
      </c>
      <c r="Q307" s="209" t="str">
        <f>IFERROR(VLOOKUP(TableHandbook[[#This Row],[UDC]],TableSTRUCATHL[],7,FALSE),"")</f>
        <v/>
      </c>
      <c r="R307" s="209" t="str">
        <f>IFERROR(VLOOKUP(TableHandbook[[#This Row],[UDC]],TableSTRUENGLL[],7,FALSE),"")</f>
        <v/>
      </c>
      <c r="S307" s="209" t="str">
        <f>IFERROR(VLOOKUP(TableHandbook[[#This Row],[UDC]],TableSTRUHLTPE[],7,FALSE),"")</f>
        <v/>
      </c>
      <c r="T307" s="209" t="str">
        <f>IFERROR(VLOOKUP(TableHandbook[[#This Row],[UDC]],TableSTRUISTEM[],7,FALSE),"")</f>
        <v/>
      </c>
      <c r="U307" s="209" t="str">
        <f>IFERROR(VLOOKUP(TableHandbook[[#This Row],[UDC]],TableSTRULITNU[],7,FALSE),"")</f>
        <v/>
      </c>
      <c r="V307" s="209" t="str">
        <f>IFERROR(VLOOKUP(TableHandbook[[#This Row],[UDC]],TableSTRUTECHS[],7,FALSE),"")</f>
        <v/>
      </c>
      <c r="W307" s="211" t="str">
        <f>IFERROR(VLOOKUP(TableHandbook[[#This Row],[UDC]],TableBEDSC[],7,FALSE),"")</f>
        <v/>
      </c>
      <c r="X307" s="211" t="str">
        <f>IFERROR(VLOOKUP(TableHandbook[[#This Row],[UDC]],TableMJRUARDR1[],7,FALSE),"")</f>
        <v/>
      </c>
      <c r="Y307" s="209" t="str">
        <f>IFERROR(VLOOKUP(TableHandbook[[#This Row],[UDC]],TableMJRUARME1[],7,FALSE),"")</f>
        <v/>
      </c>
      <c r="Z307" s="209" t="str">
        <f>IFERROR(VLOOKUP(TableHandbook[[#This Row],[UDC]],TableMJRUARVA1[],7,FALSE),"")</f>
        <v/>
      </c>
      <c r="AA307" s="209" t="str">
        <f>IFERROR(VLOOKUP(TableHandbook[[#This Row],[UDC]],TableMJRUENGL1[],7,FALSE),"")</f>
        <v/>
      </c>
      <c r="AB307" s="209" t="str">
        <f>IFERROR(VLOOKUP(TableHandbook[[#This Row],[UDC]],TableMJRUHSEC1[],7,FALSE),"")</f>
        <v>Option</v>
      </c>
      <c r="AC307" s="209" t="str">
        <f>IFERROR(VLOOKUP(TableHandbook[[#This Row],[UDC]],TableMJRUHSGE1[],7,FALSE),"")</f>
        <v/>
      </c>
      <c r="AD307" s="209" t="str">
        <f>IFERROR(VLOOKUP(TableHandbook[[#This Row],[UDC]],TableMJRUHSHI1[],7,FALSE),"")</f>
        <v>Option</v>
      </c>
      <c r="AE307" s="209" t="str">
        <f>IFERROR(VLOOKUP(TableHandbook[[#This Row],[UDC]],TableMJRUHSPL1[],7,FALSE),"")</f>
        <v>AltCore</v>
      </c>
      <c r="AF307" s="209" t="str">
        <f>IFERROR(VLOOKUP(TableHandbook[[#This Row],[UDC]],TableMJRUMATH1[],7,FALSE),"")</f>
        <v/>
      </c>
      <c r="AG307" s="209" t="str">
        <f>IFERROR(VLOOKUP(TableHandbook[[#This Row],[UDC]],TableMJRUPHYSE[],7,FALSE),"")</f>
        <v/>
      </c>
      <c r="AH307" s="209" t="str">
        <f>IFERROR(VLOOKUP(TableHandbook[[#This Row],[UDC]],TableMJRUSCBI1[],7,FALSE),"")</f>
        <v/>
      </c>
      <c r="AI307" s="209" t="str">
        <f>IFERROR(VLOOKUP(TableHandbook[[#This Row],[UDC]],TableMJRUSCCH1[],7,FALSE),"")</f>
        <v/>
      </c>
      <c r="AJ307" s="209" t="str">
        <f>IFERROR(VLOOKUP(TableHandbook[[#This Row],[UDC]],TableMJRUSCHB1[],7,FALSE),"")</f>
        <v/>
      </c>
      <c r="AK307" s="209" t="str">
        <f>IFERROR(VLOOKUP(TableHandbook[[#This Row],[UDC]],TableMJRUSCPH1[],7,FALSE),"")</f>
        <v/>
      </c>
      <c r="AL307" s="209" t="str">
        <f>IFERROR(VLOOKUP(TableHandbook[[#This Row],[UDC]],TableMJRUSCPS1[],7,FALSE),"")</f>
        <v/>
      </c>
      <c r="AM307" s="211" t="str">
        <f>IFERROR(VLOOKUP(TableHandbook[[#This Row],[UDC]],TableSTRUBIOLB[],7,FALSE),"")</f>
        <v/>
      </c>
      <c r="AN307" s="209" t="str">
        <f>IFERROR(VLOOKUP(TableHandbook[[#This Row],[UDC]],TableSTRUBSCIM[],7,FALSE),"")</f>
        <v/>
      </c>
      <c r="AO307" s="209" t="str">
        <f>IFERROR(VLOOKUP(TableHandbook[[#This Row],[UDC]],TableSTRUCHEMB[],7,FALSE),"")</f>
        <v/>
      </c>
      <c r="AP307" s="209" t="str">
        <f>IFERROR(VLOOKUP(TableHandbook[[#This Row],[UDC]],TableSTRUECOB1[],7,FALSE),"")</f>
        <v/>
      </c>
      <c r="AQ307" s="209" t="str">
        <f>IFERROR(VLOOKUP(TableHandbook[[#This Row],[UDC]],TableSTRUENGLB[],7,FALSE),"")</f>
        <v/>
      </c>
      <c r="AR307" s="209" t="str">
        <f>IFERROR(VLOOKUP(TableHandbook[[#This Row],[UDC]],TableSTRUENGLM[],7,FALSE),"")</f>
        <v/>
      </c>
      <c r="AS307" s="209" t="str">
        <f>IFERROR(VLOOKUP(TableHandbook[[#This Row],[UDC]],TableSTRUGEOB1[],7,FALSE),"")</f>
        <v/>
      </c>
      <c r="AT307" s="209" t="str">
        <f>IFERROR(VLOOKUP(TableHandbook[[#This Row],[UDC]],TableSTRUGEOGM[],7,FALSE),"")</f>
        <v/>
      </c>
      <c r="AU307" s="209" t="str">
        <f>IFERROR(VLOOKUP(TableHandbook[[#This Row],[UDC]],TableSTRUHISB1[],7,FALSE),"")</f>
        <v/>
      </c>
      <c r="AV307" s="209" t="str">
        <f>IFERROR(VLOOKUP(TableHandbook[[#This Row],[UDC]],TableSTRUHISTM[],7,FALSE),"")</f>
        <v/>
      </c>
      <c r="AW307" s="209" t="str">
        <f>IFERROR(VLOOKUP(TableHandbook[[#This Row],[UDC]],TableSTRUHPEB1[],7,FALSE),"")</f>
        <v/>
      </c>
      <c r="AX307" s="209" t="str">
        <f>IFERROR(VLOOKUP(TableHandbook[[#This Row],[UDC]],TableSTRUHUMBB[],7,FALSE),"")</f>
        <v/>
      </c>
      <c r="AY307" s="209" t="str">
        <f>IFERROR(VLOOKUP(TableHandbook[[#This Row],[UDC]],TableSTRUMARTM[],7,FALSE),"")</f>
        <v/>
      </c>
      <c r="AZ307" s="209" t="str">
        <f>IFERROR(VLOOKUP(TableHandbook[[#This Row],[UDC]],TableSTRUMATHB[],7,FALSE),"")</f>
        <v/>
      </c>
      <c r="BA307" s="209" t="str">
        <f>IFERROR(VLOOKUP(TableHandbook[[#This Row],[UDC]],TableSTRUMATHM[],7,FALSE),"")</f>
        <v/>
      </c>
      <c r="BB307" s="209" t="str">
        <f>IFERROR(VLOOKUP(TableHandbook[[#This Row],[UDC]],TableSTRUPARTB[],7,FALSE),"")</f>
        <v/>
      </c>
      <c r="BC307" s="209" t="str">
        <f>IFERROR(VLOOKUP(TableHandbook[[#This Row],[UDC]],TableSTRUPARTM[],7,FALSE),"")</f>
        <v/>
      </c>
      <c r="BD307" s="209" t="str">
        <f>IFERROR(VLOOKUP(TableHandbook[[#This Row],[UDC]],TableSTRUPOLB1[],7,FALSE),"")</f>
        <v/>
      </c>
      <c r="BE307" s="209" t="str">
        <f>IFERROR(VLOOKUP(TableHandbook[[#This Row],[UDC]],TableSTRUPSYCB[],7,FALSE),"")</f>
        <v/>
      </c>
      <c r="BF307" s="209" t="str">
        <f>IFERROR(VLOOKUP(TableHandbook[[#This Row],[UDC]],TableSTRUPSYCM[],7,FALSE),"")</f>
        <v/>
      </c>
      <c r="BG307" s="209" t="str">
        <f>IFERROR(VLOOKUP(TableHandbook[[#This Row],[UDC]],TableSTRUVARTB[],7,FALSE),"")</f>
        <v/>
      </c>
      <c r="BH307" s="209" t="str">
        <f>IFERROR(VLOOKUP(TableHandbook[[#This Row],[UDC]],TableSTRUVARTM[],7,FALSE),"")</f>
        <v/>
      </c>
    </row>
    <row r="308" spans="1:60" x14ac:dyDescent="0.25">
      <c r="A308" s="6" t="s">
        <v>481</v>
      </c>
      <c r="B308" s="7">
        <v>1</v>
      </c>
      <c r="C308" s="7"/>
      <c r="D308" s="207" t="s">
        <v>1104</v>
      </c>
      <c r="E308" s="7">
        <v>25</v>
      </c>
      <c r="F308" s="84" t="s">
        <v>783</v>
      </c>
      <c r="G308" s="75" t="str">
        <f>IFERROR(IF(VLOOKUP(TableHandbook[[#This Row],[UDC]],TableAvailabilities[],2,FALSE)&gt;0,"Y",""),"")</f>
        <v>Y</v>
      </c>
      <c r="H308" s="75" t="str">
        <f>IFERROR(IF(VLOOKUP(TableHandbook[[#This Row],[UDC]],TableAvailabilities[],3,FALSE)&gt;0,"Y",""),"")</f>
        <v>Y</v>
      </c>
      <c r="I308" s="75" t="str">
        <f>IFERROR(IF(VLOOKUP(TableHandbook[[#This Row],[UDC]],TableAvailabilities[],4,FALSE)&gt;0,"Y",""),"")</f>
        <v>Y</v>
      </c>
      <c r="J308" s="75" t="str">
        <f>IFERROR(IF(VLOOKUP(TableHandbook[[#This Row],[UDC]],TableAvailabilities[],5,FALSE)&gt;0,"Y",""),"")</f>
        <v>Y</v>
      </c>
      <c r="K308" s="75" t="str">
        <f>IFERROR(IF(VLOOKUP(TableHandbook[[#This Row],[UDC]],TableAvailabilities[],6,FALSE)&gt;0,"Y",""),"")</f>
        <v>Y</v>
      </c>
      <c r="L308" s="75" t="str">
        <f>IFERROR(IF(VLOOKUP(TableHandbook[[#This Row],[UDC]],TableAvailabilities[],7,FALSE)&gt;0,"Y",""),"")</f>
        <v>Y</v>
      </c>
      <c r="M308" s="207"/>
      <c r="N308" s="209" t="str">
        <f>IFERROR(VLOOKUP(TableHandbook[[#This Row],[UDC]],TableBEDUC[],7,FALSE),"")</f>
        <v/>
      </c>
      <c r="O308" s="209" t="str">
        <f>IFERROR(VLOOKUP(TableHandbook[[#This Row],[UDC]],TableBEDEC[],7,FALSE),"")</f>
        <v/>
      </c>
      <c r="P308" s="211" t="str">
        <f>IFERROR(VLOOKUP(TableHandbook[[#This Row],[UDC]],TableBEDPR[],7,FALSE),"")</f>
        <v/>
      </c>
      <c r="Q308" s="209" t="str">
        <f>IFERROR(VLOOKUP(TableHandbook[[#This Row],[UDC]],TableSTRUCATHL[],7,FALSE),"")</f>
        <v/>
      </c>
      <c r="R308" s="209" t="str">
        <f>IFERROR(VLOOKUP(TableHandbook[[#This Row],[UDC]],TableSTRUENGLL[],7,FALSE),"")</f>
        <v/>
      </c>
      <c r="S308" s="209" t="str">
        <f>IFERROR(VLOOKUP(TableHandbook[[#This Row],[UDC]],TableSTRUHLTPE[],7,FALSE),"")</f>
        <v/>
      </c>
      <c r="T308" s="209" t="str">
        <f>IFERROR(VLOOKUP(TableHandbook[[#This Row],[UDC]],TableSTRUISTEM[],7,FALSE),"")</f>
        <v/>
      </c>
      <c r="U308" s="209" t="str">
        <f>IFERROR(VLOOKUP(TableHandbook[[#This Row],[UDC]],TableSTRULITNU[],7,FALSE),"")</f>
        <v/>
      </c>
      <c r="V308" s="209" t="str">
        <f>IFERROR(VLOOKUP(TableHandbook[[#This Row],[UDC]],TableSTRUTECHS[],7,FALSE),"")</f>
        <v/>
      </c>
      <c r="W308" s="211" t="str">
        <f>IFERROR(VLOOKUP(TableHandbook[[#This Row],[UDC]],TableBEDSC[],7,FALSE),"")</f>
        <v/>
      </c>
      <c r="X308" s="211" t="str">
        <f>IFERROR(VLOOKUP(TableHandbook[[#This Row],[UDC]],TableMJRUARDR1[],7,FALSE),"")</f>
        <v/>
      </c>
      <c r="Y308" s="209" t="str">
        <f>IFERROR(VLOOKUP(TableHandbook[[#This Row],[UDC]],TableMJRUARME1[],7,FALSE),"")</f>
        <v/>
      </c>
      <c r="Z308" s="209" t="str">
        <f>IFERROR(VLOOKUP(TableHandbook[[#This Row],[UDC]],TableMJRUARVA1[],7,FALSE),"")</f>
        <v/>
      </c>
      <c r="AA308" s="209" t="str">
        <f>IFERROR(VLOOKUP(TableHandbook[[#This Row],[UDC]],TableMJRUENGL1[],7,FALSE),"")</f>
        <v/>
      </c>
      <c r="AB308" s="209" t="str">
        <f>IFERROR(VLOOKUP(TableHandbook[[#This Row],[UDC]],TableMJRUHSEC1[],7,FALSE),"")</f>
        <v/>
      </c>
      <c r="AC308" s="209" t="str">
        <f>IFERROR(VLOOKUP(TableHandbook[[#This Row],[UDC]],TableMJRUHSGE1[],7,FALSE),"")</f>
        <v/>
      </c>
      <c r="AD308" s="209" t="str">
        <f>IFERROR(VLOOKUP(TableHandbook[[#This Row],[UDC]],TableMJRUHSHI1[],7,FALSE),"")</f>
        <v/>
      </c>
      <c r="AE308" s="209" t="str">
        <f>IFERROR(VLOOKUP(TableHandbook[[#This Row],[UDC]],TableMJRUHSPL1[],7,FALSE),"")</f>
        <v/>
      </c>
      <c r="AF308" s="209" t="str">
        <f>IFERROR(VLOOKUP(TableHandbook[[#This Row],[UDC]],TableMJRUMATH1[],7,FALSE),"")</f>
        <v/>
      </c>
      <c r="AG308" s="209" t="str">
        <f>IFERROR(VLOOKUP(TableHandbook[[#This Row],[UDC]],TableMJRUPHYSE[],7,FALSE),"")</f>
        <v/>
      </c>
      <c r="AH308" s="209" t="str">
        <f>IFERROR(VLOOKUP(TableHandbook[[#This Row],[UDC]],TableMJRUSCBI1[],7,FALSE),"")</f>
        <v/>
      </c>
      <c r="AI308" s="209" t="str">
        <f>IFERROR(VLOOKUP(TableHandbook[[#This Row],[UDC]],TableMJRUSCCH1[],7,FALSE),"")</f>
        <v/>
      </c>
      <c r="AJ308" s="209" t="str">
        <f>IFERROR(VLOOKUP(TableHandbook[[#This Row],[UDC]],TableMJRUSCHB1[],7,FALSE),"")</f>
        <v/>
      </c>
      <c r="AK308" s="209" t="str">
        <f>IFERROR(VLOOKUP(TableHandbook[[#This Row],[UDC]],TableMJRUSCPH1[],7,FALSE),"")</f>
        <v/>
      </c>
      <c r="AL308" s="209" t="str">
        <f>IFERROR(VLOOKUP(TableHandbook[[#This Row],[UDC]],TableMJRUSCPS1[],7,FALSE),"")</f>
        <v>Core</v>
      </c>
      <c r="AM308" s="211" t="str">
        <f>IFERROR(VLOOKUP(TableHandbook[[#This Row],[UDC]],TableSTRUBIOLB[],7,FALSE),"")</f>
        <v/>
      </c>
      <c r="AN308" s="209" t="str">
        <f>IFERROR(VLOOKUP(TableHandbook[[#This Row],[UDC]],TableSTRUBSCIM[],7,FALSE),"")</f>
        <v/>
      </c>
      <c r="AO308" s="209" t="str">
        <f>IFERROR(VLOOKUP(TableHandbook[[#This Row],[UDC]],TableSTRUCHEMB[],7,FALSE),"")</f>
        <v/>
      </c>
      <c r="AP308" s="209" t="str">
        <f>IFERROR(VLOOKUP(TableHandbook[[#This Row],[UDC]],TableSTRUECOB1[],7,FALSE),"")</f>
        <v/>
      </c>
      <c r="AQ308" s="209" t="str">
        <f>IFERROR(VLOOKUP(TableHandbook[[#This Row],[UDC]],TableSTRUENGLB[],7,FALSE),"")</f>
        <v/>
      </c>
      <c r="AR308" s="209" t="str">
        <f>IFERROR(VLOOKUP(TableHandbook[[#This Row],[UDC]],TableSTRUENGLM[],7,FALSE),"")</f>
        <v/>
      </c>
      <c r="AS308" s="209" t="str">
        <f>IFERROR(VLOOKUP(TableHandbook[[#This Row],[UDC]],TableSTRUGEOB1[],7,FALSE),"")</f>
        <v/>
      </c>
      <c r="AT308" s="209" t="str">
        <f>IFERROR(VLOOKUP(TableHandbook[[#This Row],[UDC]],TableSTRUGEOGM[],7,FALSE),"")</f>
        <v/>
      </c>
      <c r="AU308" s="209" t="str">
        <f>IFERROR(VLOOKUP(TableHandbook[[#This Row],[UDC]],TableSTRUHISB1[],7,FALSE),"")</f>
        <v/>
      </c>
      <c r="AV308" s="209" t="str">
        <f>IFERROR(VLOOKUP(TableHandbook[[#This Row],[UDC]],TableSTRUHISTM[],7,FALSE),"")</f>
        <v/>
      </c>
      <c r="AW308" s="209" t="str">
        <f>IFERROR(VLOOKUP(TableHandbook[[#This Row],[UDC]],TableSTRUHPEB1[],7,FALSE),"")</f>
        <v/>
      </c>
      <c r="AX308" s="209" t="str">
        <f>IFERROR(VLOOKUP(TableHandbook[[#This Row],[UDC]],TableSTRUHUMBB[],7,FALSE),"")</f>
        <v/>
      </c>
      <c r="AY308" s="209" t="str">
        <f>IFERROR(VLOOKUP(TableHandbook[[#This Row],[UDC]],TableSTRUMARTM[],7,FALSE),"")</f>
        <v/>
      </c>
      <c r="AZ308" s="209" t="str">
        <f>IFERROR(VLOOKUP(TableHandbook[[#This Row],[UDC]],TableSTRUMATHB[],7,FALSE),"")</f>
        <v/>
      </c>
      <c r="BA308" s="209" t="str">
        <f>IFERROR(VLOOKUP(TableHandbook[[#This Row],[UDC]],TableSTRUMATHM[],7,FALSE),"")</f>
        <v/>
      </c>
      <c r="BB308" s="209" t="str">
        <f>IFERROR(VLOOKUP(TableHandbook[[#This Row],[UDC]],TableSTRUPARTB[],7,FALSE),"")</f>
        <v/>
      </c>
      <c r="BC308" s="209" t="str">
        <f>IFERROR(VLOOKUP(TableHandbook[[#This Row],[UDC]],TableSTRUPARTM[],7,FALSE),"")</f>
        <v/>
      </c>
      <c r="BD308" s="209" t="str">
        <f>IFERROR(VLOOKUP(TableHandbook[[#This Row],[UDC]],TableSTRUPOLB1[],7,FALSE),"")</f>
        <v/>
      </c>
      <c r="BE308" s="209" t="str">
        <f>IFERROR(VLOOKUP(TableHandbook[[#This Row],[UDC]],TableSTRUPSYCB[],7,FALSE),"")</f>
        <v/>
      </c>
      <c r="BF308" s="209" t="str">
        <f>IFERROR(VLOOKUP(TableHandbook[[#This Row],[UDC]],TableSTRUPSYCM[],7,FALSE),"")</f>
        <v>Core</v>
      </c>
      <c r="BG308" s="209" t="str">
        <f>IFERROR(VLOOKUP(TableHandbook[[#This Row],[UDC]],TableSTRUVARTB[],7,FALSE),"")</f>
        <v/>
      </c>
      <c r="BH308" s="209" t="str">
        <f>IFERROR(VLOOKUP(TableHandbook[[#This Row],[UDC]],TableSTRUVARTM[],7,FALSE),"")</f>
        <v/>
      </c>
    </row>
    <row r="309" spans="1:60" x14ac:dyDescent="0.25">
      <c r="A309" s="6" t="s">
        <v>459</v>
      </c>
      <c r="B309" s="7">
        <v>1</v>
      </c>
      <c r="C309" s="7"/>
      <c r="D309" s="207" t="s">
        <v>1105</v>
      </c>
      <c r="E309" s="7">
        <v>25</v>
      </c>
      <c r="F309" s="84" t="s">
        <v>783</v>
      </c>
      <c r="G309" s="75" t="str">
        <f>IFERROR(IF(VLOOKUP(TableHandbook[[#This Row],[UDC]],TableAvailabilities[],2,FALSE)&gt;0,"Y",""),"")</f>
        <v/>
      </c>
      <c r="H309" s="75" t="str">
        <f>IFERROR(IF(VLOOKUP(TableHandbook[[#This Row],[UDC]],TableAvailabilities[],3,FALSE)&gt;0,"Y",""),"")</f>
        <v/>
      </c>
      <c r="I309" s="75" t="str">
        <f>IFERROR(IF(VLOOKUP(TableHandbook[[#This Row],[UDC]],TableAvailabilities[],4,FALSE)&gt;0,"Y",""),"")</f>
        <v/>
      </c>
      <c r="J309" s="75" t="str">
        <f>IFERROR(IF(VLOOKUP(TableHandbook[[#This Row],[UDC]],TableAvailabilities[],5,FALSE)&gt;0,"Y",""),"")</f>
        <v>Y</v>
      </c>
      <c r="K309" s="75" t="str">
        <f>IFERROR(IF(VLOOKUP(TableHandbook[[#This Row],[UDC]],TableAvailabilities[],6,FALSE)&gt;0,"Y",""),"")</f>
        <v>Y</v>
      </c>
      <c r="L309" s="75" t="str">
        <f>IFERROR(IF(VLOOKUP(TableHandbook[[#This Row],[UDC]],TableAvailabilities[],7,FALSE)&gt;0,"Y",""),"")</f>
        <v/>
      </c>
      <c r="M309" s="207"/>
      <c r="N309" s="209" t="str">
        <f>IFERROR(VLOOKUP(TableHandbook[[#This Row],[UDC]],TableBEDUC[],7,FALSE),"")</f>
        <v/>
      </c>
      <c r="O309" s="209" t="str">
        <f>IFERROR(VLOOKUP(TableHandbook[[#This Row],[UDC]],TableBEDEC[],7,FALSE),"")</f>
        <v/>
      </c>
      <c r="P309" s="211" t="str">
        <f>IFERROR(VLOOKUP(TableHandbook[[#This Row],[UDC]],TableBEDPR[],7,FALSE),"")</f>
        <v/>
      </c>
      <c r="Q309" s="209" t="str">
        <f>IFERROR(VLOOKUP(TableHandbook[[#This Row],[UDC]],TableSTRUCATHL[],7,FALSE),"")</f>
        <v/>
      </c>
      <c r="R309" s="209" t="str">
        <f>IFERROR(VLOOKUP(TableHandbook[[#This Row],[UDC]],TableSTRUENGLL[],7,FALSE),"")</f>
        <v/>
      </c>
      <c r="S309" s="209" t="str">
        <f>IFERROR(VLOOKUP(TableHandbook[[#This Row],[UDC]],TableSTRUHLTPE[],7,FALSE),"")</f>
        <v/>
      </c>
      <c r="T309" s="209" t="str">
        <f>IFERROR(VLOOKUP(TableHandbook[[#This Row],[UDC]],TableSTRUISTEM[],7,FALSE),"")</f>
        <v/>
      </c>
      <c r="U309" s="209" t="str">
        <f>IFERROR(VLOOKUP(TableHandbook[[#This Row],[UDC]],TableSTRULITNU[],7,FALSE),"")</f>
        <v/>
      </c>
      <c r="V309" s="209" t="str">
        <f>IFERROR(VLOOKUP(TableHandbook[[#This Row],[UDC]],TableSTRUTECHS[],7,FALSE),"")</f>
        <v/>
      </c>
      <c r="W309" s="211" t="str">
        <f>IFERROR(VLOOKUP(TableHandbook[[#This Row],[UDC]],TableBEDSC[],7,FALSE),"")</f>
        <v/>
      </c>
      <c r="X309" s="211" t="str">
        <f>IFERROR(VLOOKUP(TableHandbook[[#This Row],[UDC]],TableMJRUARDR1[],7,FALSE),"")</f>
        <v/>
      </c>
      <c r="Y309" s="209" t="str">
        <f>IFERROR(VLOOKUP(TableHandbook[[#This Row],[UDC]],TableMJRUARME1[],7,FALSE),"")</f>
        <v/>
      </c>
      <c r="Z309" s="209" t="str">
        <f>IFERROR(VLOOKUP(TableHandbook[[#This Row],[UDC]],TableMJRUARVA1[],7,FALSE),"")</f>
        <v/>
      </c>
      <c r="AA309" s="209" t="str">
        <f>IFERROR(VLOOKUP(TableHandbook[[#This Row],[UDC]],TableMJRUENGL1[],7,FALSE),"")</f>
        <v/>
      </c>
      <c r="AB309" s="209" t="str">
        <f>IFERROR(VLOOKUP(TableHandbook[[#This Row],[UDC]],TableMJRUHSEC1[],7,FALSE),"")</f>
        <v/>
      </c>
      <c r="AC309" s="209" t="str">
        <f>IFERROR(VLOOKUP(TableHandbook[[#This Row],[UDC]],TableMJRUHSGE1[],7,FALSE),"")</f>
        <v/>
      </c>
      <c r="AD309" s="209" t="str">
        <f>IFERROR(VLOOKUP(TableHandbook[[#This Row],[UDC]],TableMJRUHSHI1[],7,FALSE),"")</f>
        <v/>
      </c>
      <c r="AE309" s="209" t="str">
        <f>IFERROR(VLOOKUP(TableHandbook[[#This Row],[UDC]],TableMJRUHSPL1[],7,FALSE),"")</f>
        <v/>
      </c>
      <c r="AF309" s="209" t="str">
        <f>IFERROR(VLOOKUP(TableHandbook[[#This Row],[UDC]],TableMJRUMATH1[],7,FALSE),"")</f>
        <v/>
      </c>
      <c r="AG309" s="209" t="str">
        <f>IFERROR(VLOOKUP(TableHandbook[[#This Row],[UDC]],TableMJRUPHYSE[],7,FALSE),"")</f>
        <v/>
      </c>
      <c r="AH309" s="209" t="str">
        <f>IFERROR(VLOOKUP(TableHandbook[[#This Row],[UDC]],TableMJRUSCBI1[],7,FALSE),"")</f>
        <v/>
      </c>
      <c r="AI309" s="209" t="str">
        <f>IFERROR(VLOOKUP(TableHandbook[[#This Row],[UDC]],TableMJRUSCCH1[],7,FALSE),"")</f>
        <v/>
      </c>
      <c r="AJ309" s="209" t="str">
        <f>IFERROR(VLOOKUP(TableHandbook[[#This Row],[UDC]],TableMJRUSCHB1[],7,FALSE),"")</f>
        <v/>
      </c>
      <c r="AK309" s="209" t="str">
        <f>IFERROR(VLOOKUP(TableHandbook[[#This Row],[UDC]],TableMJRUSCPH1[],7,FALSE),"")</f>
        <v/>
      </c>
      <c r="AL309" s="209" t="str">
        <f>IFERROR(VLOOKUP(TableHandbook[[#This Row],[UDC]],TableMJRUSCPS1[],7,FALSE),"")</f>
        <v>Core</v>
      </c>
      <c r="AM309" s="211" t="str">
        <f>IFERROR(VLOOKUP(TableHandbook[[#This Row],[UDC]],TableSTRUBIOLB[],7,FALSE),"")</f>
        <v/>
      </c>
      <c r="AN309" s="209" t="str">
        <f>IFERROR(VLOOKUP(TableHandbook[[#This Row],[UDC]],TableSTRUBSCIM[],7,FALSE),"")</f>
        <v/>
      </c>
      <c r="AO309" s="209" t="str">
        <f>IFERROR(VLOOKUP(TableHandbook[[#This Row],[UDC]],TableSTRUCHEMB[],7,FALSE),"")</f>
        <v/>
      </c>
      <c r="AP309" s="209" t="str">
        <f>IFERROR(VLOOKUP(TableHandbook[[#This Row],[UDC]],TableSTRUECOB1[],7,FALSE),"")</f>
        <v/>
      </c>
      <c r="AQ309" s="209" t="str">
        <f>IFERROR(VLOOKUP(TableHandbook[[#This Row],[UDC]],TableSTRUENGLB[],7,FALSE),"")</f>
        <v/>
      </c>
      <c r="AR309" s="209" t="str">
        <f>IFERROR(VLOOKUP(TableHandbook[[#This Row],[UDC]],TableSTRUENGLM[],7,FALSE),"")</f>
        <v/>
      </c>
      <c r="AS309" s="209" t="str">
        <f>IFERROR(VLOOKUP(TableHandbook[[#This Row],[UDC]],TableSTRUGEOB1[],7,FALSE),"")</f>
        <v/>
      </c>
      <c r="AT309" s="209" t="str">
        <f>IFERROR(VLOOKUP(TableHandbook[[#This Row],[UDC]],TableSTRUGEOGM[],7,FALSE),"")</f>
        <v/>
      </c>
      <c r="AU309" s="209" t="str">
        <f>IFERROR(VLOOKUP(TableHandbook[[#This Row],[UDC]],TableSTRUHISB1[],7,FALSE),"")</f>
        <v/>
      </c>
      <c r="AV309" s="209" t="str">
        <f>IFERROR(VLOOKUP(TableHandbook[[#This Row],[UDC]],TableSTRUHISTM[],7,FALSE),"")</f>
        <v/>
      </c>
      <c r="AW309" s="209" t="str">
        <f>IFERROR(VLOOKUP(TableHandbook[[#This Row],[UDC]],TableSTRUHPEB1[],7,FALSE),"")</f>
        <v/>
      </c>
      <c r="AX309" s="209" t="str">
        <f>IFERROR(VLOOKUP(TableHandbook[[#This Row],[UDC]],TableSTRUHUMBB[],7,FALSE),"")</f>
        <v/>
      </c>
      <c r="AY309" s="209" t="str">
        <f>IFERROR(VLOOKUP(TableHandbook[[#This Row],[UDC]],TableSTRUMARTM[],7,FALSE),"")</f>
        <v/>
      </c>
      <c r="AZ309" s="209" t="str">
        <f>IFERROR(VLOOKUP(TableHandbook[[#This Row],[UDC]],TableSTRUMATHB[],7,FALSE),"")</f>
        <v/>
      </c>
      <c r="BA309" s="209" t="str">
        <f>IFERROR(VLOOKUP(TableHandbook[[#This Row],[UDC]],TableSTRUMATHM[],7,FALSE),"")</f>
        <v/>
      </c>
      <c r="BB309" s="209" t="str">
        <f>IFERROR(VLOOKUP(TableHandbook[[#This Row],[UDC]],TableSTRUPARTB[],7,FALSE),"")</f>
        <v/>
      </c>
      <c r="BC309" s="209" t="str">
        <f>IFERROR(VLOOKUP(TableHandbook[[#This Row],[UDC]],TableSTRUPARTM[],7,FALSE),"")</f>
        <v/>
      </c>
      <c r="BD309" s="209" t="str">
        <f>IFERROR(VLOOKUP(TableHandbook[[#This Row],[UDC]],TableSTRUPOLB1[],7,FALSE),"")</f>
        <v/>
      </c>
      <c r="BE309" s="209" t="str">
        <f>IFERROR(VLOOKUP(TableHandbook[[#This Row],[UDC]],TableSTRUPSYCB[],7,FALSE),"")</f>
        <v/>
      </c>
      <c r="BF309" s="209" t="str">
        <f>IFERROR(VLOOKUP(TableHandbook[[#This Row],[UDC]],TableSTRUPSYCM[],7,FALSE),"")</f>
        <v>Core</v>
      </c>
      <c r="BG309" s="209" t="str">
        <f>IFERROR(VLOOKUP(TableHandbook[[#This Row],[UDC]],TableSTRUVARTB[],7,FALSE),"")</f>
        <v/>
      </c>
      <c r="BH309" s="209" t="str">
        <f>IFERROR(VLOOKUP(TableHandbook[[#This Row],[UDC]],TableSTRUVARTM[],7,FALSE),"")</f>
        <v/>
      </c>
    </row>
    <row r="310" spans="1:60" x14ac:dyDescent="0.25">
      <c r="A310" s="296" t="s">
        <v>575</v>
      </c>
      <c r="B310" s="7">
        <v>1</v>
      </c>
      <c r="C310" s="7"/>
      <c r="D310" s="207" t="s">
        <v>1106</v>
      </c>
      <c r="E310" s="7">
        <v>25</v>
      </c>
      <c r="F310" s="311" t="s">
        <v>481</v>
      </c>
      <c r="G310" s="75" t="str">
        <f>IFERROR(IF(VLOOKUP(TableHandbook[[#This Row],[UDC]],TableAvailabilities[],2,FALSE)&gt;0,"Y",""),"")</f>
        <v>Y</v>
      </c>
      <c r="H310" s="75" t="str">
        <f>IFERROR(IF(VLOOKUP(TableHandbook[[#This Row],[UDC]],TableAvailabilities[],3,FALSE)&gt;0,"Y",""),"")</f>
        <v>Y</v>
      </c>
      <c r="I310" s="75" t="str">
        <f>IFERROR(IF(VLOOKUP(TableHandbook[[#This Row],[UDC]],TableAvailabilities[],4,FALSE)&gt;0,"Y",""),"")</f>
        <v/>
      </c>
      <c r="J310" s="75" t="str">
        <f>IFERROR(IF(VLOOKUP(TableHandbook[[#This Row],[UDC]],TableAvailabilities[],5,FALSE)&gt;0,"Y",""),"")</f>
        <v/>
      </c>
      <c r="K310" s="75" t="str">
        <f>IFERROR(IF(VLOOKUP(TableHandbook[[#This Row],[UDC]],TableAvailabilities[],6,FALSE)&gt;0,"Y",""),"")</f>
        <v/>
      </c>
      <c r="L310" s="75" t="str">
        <f>IFERROR(IF(VLOOKUP(TableHandbook[[#This Row],[UDC]],TableAvailabilities[],7,FALSE)&gt;0,"Y",""),"")</f>
        <v/>
      </c>
      <c r="M310" s="207"/>
      <c r="N310" s="209" t="str">
        <f>IFERROR(VLOOKUP(TableHandbook[[#This Row],[UDC]],TableBEDUC[],7,FALSE),"")</f>
        <v/>
      </c>
      <c r="O310" s="209" t="str">
        <f>IFERROR(VLOOKUP(TableHandbook[[#This Row],[UDC]],TableBEDEC[],7,FALSE),"")</f>
        <v/>
      </c>
      <c r="P310" s="211" t="str">
        <f>IFERROR(VLOOKUP(TableHandbook[[#This Row],[UDC]],TableBEDPR[],7,FALSE),"")</f>
        <v/>
      </c>
      <c r="Q310" s="209" t="str">
        <f>IFERROR(VLOOKUP(TableHandbook[[#This Row],[UDC]],TableSTRUCATHL[],7,FALSE),"")</f>
        <v/>
      </c>
      <c r="R310" s="209" t="str">
        <f>IFERROR(VLOOKUP(TableHandbook[[#This Row],[UDC]],TableSTRUENGLL[],7,FALSE),"")</f>
        <v/>
      </c>
      <c r="S310" s="209" t="str">
        <f>IFERROR(VLOOKUP(TableHandbook[[#This Row],[UDC]],TableSTRUHLTPE[],7,FALSE),"")</f>
        <v/>
      </c>
      <c r="T310" s="209" t="str">
        <f>IFERROR(VLOOKUP(TableHandbook[[#This Row],[UDC]],TableSTRUISTEM[],7,FALSE),"")</f>
        <v/>
      </c>
      <c r="U310" s="209" t="str">
        <f>IFERROR(VLOOKUP(TableHandbook[[#This Row],[UDC]],TableSTRULITNU[],7,FALSE),"")</f>
        <v/>
      </c>
      <c r="V310" s="209" t="str">
        <f>IFERROR(VLOOKUP(TableHandbook[[#This Row],[UDC]],TableSTRUTECHS[],7,FALSE),"")</f>
        <v/>
      </c>
      <c r="W310" s="211" t="str">
        <f>IFERROR(VLOOKUP(TableHandbook[[#This Row],[UDC]],TableBEDSC[],7,FALSE),"")</f>
        <v/>
      </c>
      <c r="X310" s="211" t="str">
        <f>IFERROR(VLOOKUP(TableHandbook[[#This Row],[UDC]],TableMJRUARDR1[],7,FALSE),"")</f>
        <v/>
      </c>
      <c r="Y310" s="209" t="str">
        <f>IFERROR(VLOOKUP(TableHandbook[[#This Row],[UDC]],TableMJRUARME1[],7,FALSE),"")</f>
        <v/>
      </c>
      <c r="Z310" s="209" t="str">
        <f>IFERROR(VLOOKUP(TableHandbook[[#This Row],[UDC]],TableMJRUARVA1[],7,FALSE),"")</f>
        <v/>
      </c>
      <c r="AA310" s="209" t="str">
        <f>IFERROR(VLOOKUP(TableHandbook[[#This Row],[UDC]],TableMJRUENGL1[],7,FALSE),"")</f>
        <v/>
      </c>
      <c r="AB310" s="209" t="str">
        <f>IFERROR(VLOOKUP(TableHandbook[[#This Row],[UDC]],TableMJRUHSEC1[],7,FALSE),"")</f>
        <v/>
      </c>
      <c r="AC310" s="209" t="str">
        <f>IFERROR(VLOOKUP(TableHandbook[[#This Row],[UDC]],TableMJRUHSGE1[],7,FALSE),"")</f>
        <v/>
      </c>
      <c r="AD310" s="209" t="str">
        <f>IFERROR(VLOOKUP(TableHandbook[[#This Row],[UDC]],TableMJRUHSHI1[],7,FALSE),"")</f>
        <v/>
      </c>
      <c r="AE310" s="209" t="str">
        <f>IFERROR(VLOOKUP(TableHandbook[[#This Row],[UDC]],TableMJRUHSPL1[],7,FALSE),"")</f>
        <v/>
      </c>
      <c r="AF310" s="209" t="str">
        <f>IFERROR(VLOOKUP(TableHandbook[[#This Row],[UDC]],TableMJRUMATH1[],7,FALSE),"")</f>
        <v/>
      </c>
      <c r="AG310" s="209" t="str">
        <f>IFERROR(VLOOKUP(TableHandbook[[#This Row],[UDC]],TableMJRUPHYSE[],7,FALSE),"")</f>
        <v/>
      </c>
      <c r="AH310" s="209" t="str">
        <f>IFERROR(VLOOKUP(TableHandbook[[#This Row],[UDC]],TableMJRUSCBI1[],7,FALSE),"")</f>
        <v/>
      </c>
      <c r="AI310" s="209" t="str">
        <f>IFERROR(VLOOKUP(TableHandbook[[#This Row],[UDC]],TableMJRUSCCH1[],7,FALSE),"")</f>
        <v/>
      </c>
      <c r="AJ310" s="209" t="str">
        <f>IFERROR(VLOOKUP(TableHandbook[[#This Row],[UDC]],TableMJRUSCHB1[],7,FALSE),"")</f>
        <v/>
      </c>
      <c r="AK310" s="209" t="str">
        <f>IFERROR(VLOOKUP(TableHandbook[[#This Row],[UDC]],TableMJRUSCPH1[],7,FALSE),"")</f>
        <v/>
      </c>
      <c r="AL310" s="209" t="str">
        <f>IFERROR(VLOOKUP(TableHandbook[[#This Row],[UDC]],TableMJRUSCPS1[],7,FALSE),"")</f>
        <v>Option</v>
      </c>
      <c r="AM310" s="211" t="str">
        <f>IFERROR(VLOOKUP(TableHandbook[[#This Row],[UDC]],TableSTRUBIOLB[],7,FALSE),"")</f>
        <v/>
      </c>
      <c r="AN310" s="209" t="str">
        <f>IFERROR(VLOOKUP(TableHandbook[[#This Row],[UDC]],TableSTRUBSCIM[],7,FALSE),"")</f>
        <v/>
      </c>
      <c r="AO310" s="209" t="str">
        <f>IFERROR(VLOOKUP(TableHandbook[[#This Row],[UDC]],TableSTRUCHEMB[],7,FALSE),"")</f>
        <v/>
      </c>
      <c r="AP310" s="209" t="str">
        <f>IFERROR(VLOOKUP(TableHandbook[[#This Row],[UDC]],TableSTRUECOB1[],7,FALSE),"")</f>
        <v/>
      </c>
      <c r="AQ310" s="209" t="str">
        <f>IFERROR(VLOOKUP(TableHandbook[[#This Row],[UDC]],TableSTRUENGLB[],7,FALSE),"")</f>
        <v/>
      </c>
      <c r="AR310" s="209" t="str">
        <f>IFERROR(VLOOKUP(TableHandbook[[#This Row],[UDC]],TableSTRUENGLM[],7,FALSE),"")</f>
        <v/>
      </c>
      <c r="AS310" s="209" t="str">
        <f>IFERROR(VLOOKUP(TableHandbook[[#This Row],[UDC]],TableSTRUGEOB1[],7,FALSE),"")</f>
        <v/>
      </c>
      <c r="AT310" s="209" t="str">
        <f>IFERROR(VLOOKUP(TableHandbook[[#This Row],[UDC]],TableSTRUGEOGM[],7,FALSE),"")</f>
        <v/>
      </c>
      <c r="AU310" s="209" t="str">
        <f>IFERROR(VLOOKUP(TableHandbook[[#This Row],[UDC]],TableSTRUHISB1[],7,FALSE),"")</f>
        <v/>
      </c>
      <c r="AV310" s="209" t="str">
        <f>IFERROR(VLOOKUP(TableHandbook[[#This Row],[UDC]],TableSTRUHISTM[],7,FALSE),"")</f>
        <v/>
      </c>
      <c r="AW310" s="209" t="str">
        <f>IFERROR(VLOOKUP(TableHandbook[[#This Row],[UDC]],TableSTRUHPEB1[],7,FALSE),"")</f>
        <v/>
      </c>
      <c r="AX310" s="209" t="str">
        <f>IFERROR(VLOOKUP(TableHandbook[[#This Row],[UDC]],TableSTRUHUMBB[],7,FALSE),"")</f>
        <v/>
      </c>
      <c r="AY310" s="209" t="str">
        <f>IFERROR(VLOOKUP(TableHandbook[[#This Row],[UDC]],TableSTRUMARTM[],7,FALSE),"")</f>
        <v/>
      </c>
      <c r="AZ310" s="209" t="str">
        <f>IFERROR(VLOOKUP(TableHandbook[[#This Row],[UDC]],TableSTRUMATHB[],7,FALSE),"")</f>
        <v/>
      </c>
      <c r="BA310" s="209" t="str">
        <f>IFERROR(VLOOKUP(TableHandbook[[#This Row],[UDC]],TableSTRUMATHM[],7,FALSE),"")</f>
        <v/>
      </c>
      <c r="BB310" s="209" t="str">
        <f>IFERROR(VLOOKUP(TableHandbook[[#This Row],[UDC]],TableSTRUPARTB[],7,FALSE),"")</f>
        <v/>
      </c>
      <c r="BC310" s="209" t="str">
        <f>IFERROR(VLOOKUP(TableHandbook[[#This Row],[UDC]],TableSTRUPARTM[],7,FALSE),"")</f>
        <v/>
      </c>
      <c r="BD310" s="209" t="str">
        <f>IFERROR(VLOOKUP(TableHandbook[[#This Row],[UDC]],TableSTRUPOLB1[],7,FALSE),"")</f>
        <v/>
      </c>
      <c r="BE310" s="209" t="str">
        <f>IFERROR(VLOOKUP(TableHandbook[[#This Row],[UDC]],TableSTRUPSYCB[],7,FALSE),"")</f>
        <v/>
      </c>
      <c r="BF310" s="209" t="str">
        <f>IFERROR(VLOOKUP(TableHandbook[[#This Row],[UDC]],TableSTRUPSYCM[],7,FALSE),"")</f>
        <v/>
      </c>
      <c r="BG310" s="209" t="str">
        <f>IFERROR(VLOOKUP(TableHandbook[[#This Row],[UDC]],TableSTRUVARTB[],7,FALSE),"")</f>
        <v/>
      </c>
      <c r="BH310" s="209" t="str">
        <f>IFERROR(VLOOKUP(TableHandbook[[#This Row],[UDC]],TableSTRUVARTM[],7,FALSE),"")</f>
        <v/>
      </c>
    </row>
    <row r="311" spans="1:60" x14ac:dyDescent="0.25">
      <c r="A311" s="6" t="s">
        <v>519</v>
      </c>
      <c r="B311" s="7">
        <v>1</v>
      </c>
      <c r="C311" s="7"/>
      <c r="D311" s="207" t="s">
        <v>1107</v>
      </c>
      <c r="E311" s="7">
        <v>25</v>
      </c>
      <c r="F311" s="311" t="s">
        <v>1108</v>
      </c>
      <c r="G311" s="75" t="str">
        <f>IFERROR(IF(VLOOKUP(TableHandbook[[#This Row],[UDC]],TableAvailabilities[],2,FALSE)&gt;0,"Y",""),"")</f>
        <v>Y</v>
      </c>
      <c r="H311" s="75" t="str">
        <f>IFERROR(IF(VLOOKUP(TableHandbook[[#This Row],[UDC]],TableAvailabilities[],3,FALSE)&gt;0,"Y",""),"")</f>
        <v>Y</v>
      </c>
      <c r="I311" s="75" t="str">
        <f>IFERROR(IF(VLOOKUP(TableHandbook[[#This Row],[UDC]],TableAvailabilities[],4,FALSE)&gt;0,"Y",""),"")</f>
        <v/>
      </c>
      <c r="J311" s="75" t="str">
        <f>IFERROR(IF(VLOOKUP(TableHandbook[[#This Row],[UDC]],TableAvailabilities[],5,FALSE)&gt;0,"Y",""),"")</f>
        <v/>
      </c>
      <c r="K311" s="75" t="str">
        <f>IFERROR(IF(VLOOKUP(TableHandbook[[#This Row],[UDC]],TableAvailabilities[],6,FALSE)&gt;0,"Y",""),"")</f>
        <v/>
      </c>
      <c r="L311" s="75" t="str">
        <f>IFERROR(IF(VLOOKUP(TableHandbook[[#This Row],[UDC]],TableAvailabilities[],7,FALSE)&gt;0,"Y",""),"")</f>
        <v/>
      </c>
      <c r="M311" s="207"/>
      <c r="N311" s="209" t="str">
        <f>IFERROR(VLOOKUP(TableHandbook[[#This Row],[UDC]],TableBEDUC[],7,FALSE),"")</f>
        <v/>
      </c>
      <c r="O311" s="209" t="str">
        <f>IFERROR(VLOOKUP(TableHandbook[[#This Row],[UDC]],TableBEDEC[],7,FALSE),"")</f>
        <v/>
      </c>
      <c r="P311" s="211" t="str">
        <f>IFERROR(VLOOKUP(TableHandbook[[#This Row],[UDC]],TableBEDPR[],7,FALSE),"")</f>
        <v/>
      </c>
      <c r="Q311" s="209" t="str">
        <f>IFERROR(VLOOKUP(TableHandbook[[#This Row],[UDC]],TableSTRUCATHL[],7,FALSE),"")</f>
        <v/>
      </c>
      <c r="R311" s="209" t="str">
        <f>IFERROR(VLOOKUP(TableHandbook[[#This Row],[UDC]],TableSTRUENGLL[],7,FALSE),"")</f>
        <v/>
      </c>
      <c r="S311" s="209" t="str">
        <f>IFERROR(VLOOKUP(TableHandbook[[#This Row],[UDC]],TableSTRUHLTPE[],7,FALSE),"")</f>
        <v/>
      </c>
      <c r="T311" s="209" t="str">
        <f>IFERROR(VLOOKUP(TableHandbook[[#This Row],[UDC]],TableSTRUISTEM[],7,FALSE),"")</f>
        <v/>
      </c>
      <c r="U311" s="209" t="str">
        <f>IFERROR(VLOOKUP(TableHandbook[[#This Row],[UDC]],TableSTRULITNU[],7,FALSE),"")</f>
        <v/>
      </c>
      <c r="V311" s="209" t="str">
        <f>IFERROR(VLOOKUP(TableHandbook[[#This Row],[UDC]],TableSTRUTECHS[],7,FALSE),"")</f>
        <v/>
      </c>
      <c r="W311" s="211" t="str">
        <f>IFERROR(VLOOKUP(TableHandbook[[#This Row],[UDC]],TableBEDSC[],7,FALSE),"")</f>
        <v/>
      </c>
      <c r="X311" s="211" t="str">
        <f>IFERROR(VLOOKUP(TableHandbook[[#This Row],[UDC]],TableMJRUARDR1[],7,FALSE),"")</f>
        <v/>
      </c>
      <c r="Y311" s="209" t="str">
        <f>IFERROR(VLOOKUP(TableHandbook[[#This Row],[UDC]],TableMJRUARME1[],7,FALSE),"")</f>
        <v/>
      </c>
      <c r="Z311" s="209" t="str">
        <f>IFERROR(VLOOKUP(TableHandbook[[#This Row],[UDC]],TableMJRUARVA1[],7,FALSE),"")</f>
        <v/>
      </c>
      <c r="AA311" s="209" t="str">
        <f>IFERROR(VLOOKUP(TableHandbook[[#This Row],[UDC]],TableMJRUENGL1[],7,FALSE),"")</f>
        <v/>
      </c>
      <c r="AB311" s="209" t="str">
        <f>IFERROR(VLOOKUP(TableHandbook[[#This Row],[UDC]],TableMJRUHSEC1[],7,FALSE),"")</f>
        <v/>
      </c>
      <c r="AC311" s="209" t="str">
        <f>IFERROR(VLOOKUP(TableHandbook[[#This Row],[UDC]],TableMJRUHSGE1[],7,FALSE),"")</f>
        <v/>
      </c>
      <c r="AD311" s="209" t="str">
        <f>IFERROR(VLOOKUP(TableHandbook[[#This Row],[UDC]],TableMJRUHSHI1[],7,FALSE),"")</f>
        <v/>
      </c>
      <c r="AE311" s="209" t="str">
        <f>IFERROR(VLOOKUP(TableHandbook[[#This Row],[UDC]],TableMJRUHSPL1[],7,FALSE),"")</f>
        <v/>
      </c>
      <c r="AF311" s="209" t="str">
        <f>IFERROR(VLOOKUP(TableHandbook[[#This Row],[UDC]],TableMJRUMATH1[],7,FALSE),"")</f>
        <v/>
      </c>
      <c r="AG311" s="209" t="str">
        <f>IFERROR(VLOOKUP(TableHandbook[[#This Row],[UDC]],TableMJRUPHYSE[],7,FALSE),"")</f>
        <v/>
      </c>
      <c r="AH311" s="209" t="str">
        <f>IFERROR(VLOOKUP(TableHandbook[[#This Row],[UDC]],TableMJRUSCBI1[],7,FALSE),"")</f>
        <v/>
      </c>
      <c r="AI311" s="209" t="str">
        <f>IFERROR(VLOOKUP(TableHandbook[[#This Row],[UDC]],TableMJRUSCCH1[],7,FALSE),"")</f>
        <v/>
      </c>
      <c r="AJ311" s="209" t="str">
        <f>IFERROR(VLOOKUP(TableHandbook[[#This Row],[UDC]],TableMJRUSCHB1[],7,FALSE),"")</f>
        <v/>
      </c>
      <c r="AK311" s="209" t="str">
        <f>IFERROR(VLOOKUP(TableHandbook[[#This Row],[UDC]],TableMJRUSCPH1[],7,FALSE),"")</f>
        <v/>
      </c>
      <c r="AL311" s="209" t="str">
        <f>IFERROR(VLOOKUP(TableHandbook[[#This Row],[UDC]],TableMJRUSCPS1[],7,FALSE),"")</f>
        <v>Core</v>
      </c>
      <c r="AM311" s="211" t="str">
        <f>IFERROR(VLOOKUP(TableHandbook[[#This Row],[UDC]],TableSTRUBIOLB[],7,FALSE),"")</f>
        <v/>
      </c>
      <c r="AN311" s="209" t="str">
        <f>IFERROR(VLOOKUP(TableHandbook[[#This Row],[UDC]],TableSTRUBSCIM[],7,FALSE),"")</f>
        <v/>
      </c>
      <c r="AO311" s="209" t="str">
        <f>IFERROR(VLOOKUP(TableHandbook[[#This Row],[UDC]],TableSTRUCHEMB[],7,FALSE),"")</f>
        <v/>
      </c>
      <c r="AP311" s="209" t="str">
        <f>IFERROR(VLOOKUP(TableHandbook[[#This Row],[UDC]],TableSTRUECOB1[],7,FALSE),"")</f>
        <v/>
      </c>
      <c r="AQ311" s="209" t="str">
        <f>IFERROR(VLOOKUP(TableHandbook[[#This Row],[UDC]],TableSTRUENGLB[],7,FALSE),"")</f>
        <v/>
      </c>
      <c r="AR311" s="209" t="str">
        <f>IFERROR(VLOOKUP(TableHandbook[[#This Row],[UDC]],TableSTRUENGLM[],7,FALSE),"")</f>
        <v/>
      </c>
      <c r="AS311" s="209" t="str">
        <f>IFERROR(VLOOKUP(TableHandbook[[#This Row],[UDC]],TableSTRUGEOB1[],7,FALSE),"")</f>
        <v/>
      </c>
      <c r="AT311" s="209" t="str">
        <f>IFERROR(VLOOKUP(TableHandbook[[#This Row],[UDC]],TableSTRUGEOGM[],7,FALSE),"")</f>
        <v/>
      </c>
      <c r="AU311" s="209" t="str">
        <f>IFERROR(VLOOKUP(TableHandbook[[#This Row],[UDC]],TableSTRUHISB1[],7,FALSE),"")</f>
        <v/>
      </c>
      <c r="AV311" s="209" t="str">
        <f>IFERROR(VLOOKUP(TableHandbook[[#This Row],[UDC]],TableSTRUHISTM[],7,FALSE),"")</f>
        <v/>
      </c>
      <c r="AW311" s="209" t="str">
        <f>IFERROR(VLOOKUP(TableHandbook[[#This Row],[UDC]],TableSTRUHPEB1[],7,FALSE),"")</f>
        <v/>
      </c>
      <c r="AX311" s="209" t="str">
        <f>IFERROR(VLOOKUP(TableHandbook[[#This Row],[UDC]],TableSTRUHUMBB[],7,FALSE),"")</f>
        <v/>
      </c>
      <c r="AY311" s="209" t="str">
        <f>IFERROR(VLOOKUP(TableHandbook[[#This Row],[UDC]],TableSTRUMARTM[],7,FALSE),"")</f>
        <v/>
      </c>
      <c r="AZ311" s="209" t="str">
        <f>IFERROR(VLOOKUP(TableHandbook[[#This Row],[UDC]],TableSTRUMATHB[],7,FALSE),"")</f>
        <v/>
      </c>
      <c r="BA311" s="209" t="str">
        <f>IFERROR(VLOOKUP(TableHandbook[[#This Row],[UDC]],TableSTRUMATHM[],7,FALSE),"")</f>
        <v/>
      </c>
      <c r="BB311" s="209" t="str">
        <f>IFERROR(VLOOKUP(TableHandbook[[#This Row],[UDC]],TableSTRUPARTB[],7,FALSE),"")</f>
        <v/>
      </c>
      <c r="BC311" s="209" t="str">
        <f>IFERROR(VLOOKUP(TableHandbook[[#This Row],[UDC]],TableSTRUPARTM[],7,FALSE),"")</f>
        <v/>
      </c>
      <c r="BD311" s="209" t="str">
        <f>IFERROR(VLOOKUP(TableHandbook[[#This Row],[UDC]],TableSTRUPOLB1[],7,FALSE),"")</f>
        <v/>
      </c>
      <c r="BE311" s="209" t="str">
        <f>IFERROR(VLOOKUP(TableHandbook[[#This Row],[UDC]],TableSTRUPSYCB[],7,FALSE),"")</f>
        <v/>
      </c>
      <c r="BF311" s="209" t="str">
        <f>IFERROR(VLOOKUP(TableHandbook[[#This Row],[UDC]],TableSTRUPSYCM[],7,FALSE),"")</f>
        <v>Core</v>
      </c>
      <c r="BG311" s="209" t="str">
        <f>IFERROR(VLOOKUP(TableHandbook[[#This Row],[UDC]],TableSTRUVARTB[],7,FALSE),"")</f>
        <v/>
      </c>
      <c r="BH311" s="209" t="str">
        <f>IFERROR(VLOOKUP(TableHandbook[[#This Row],[UDC]],TableSTRUVARTM[],7,FALSE),"")</f>
        <v/>
      </c>
    </row>
    <row r="312" spans="1:60" x14ac:dyDescent="0.25">
      <c r="A312" s="6" t="s">
        <v>744</v>
      </c>
      <c r="B312" s="7">
        <v>1</v>
      </c>
      <c r="C312" s="7"/>
      <c r="D312" s="207" t="s">
        <v>1109</v>
      </c>
      <c r="E312" s="7">
        <v>25</v>
      </c>
      <c r="F312" s="309" t="s">
        <v>1110</v>
      </c>
      <c r="G312" s="75" t="str">
        <f>IFERROR(IF(VLOOKUP(TableHandbook[[#This Row],[UDC]],TableAvailabilities[],2,FALSE)&gt;0,"Y",""),"")</f>
        <v/>
      </c>
      <c r="H312" s="75" t="str">
        <f>IFERROR(IF(VLOOKUP(TableHandbook[[#This Row],[UDC]],TableAvailabilities[],3,FALSE)&gt;0,"Y",""),"")</f>
        <v/>
      </c>
      <c r="I312" s="75" t="str">
        <f>IFERROR(IF(VLOOKUP(TableHandbook[[#This Row],[UDC]],TableAvailabilities[],4,FALSE)&gt;0,"Y",""),"")</f>
        <v/>
      </c>
      <c r="J312" s="75" t="str">
        <f>IFERROR(IF(VLOOKUP(TableHandbook[[#This Row],[UDC]],TableAvailabilities[],5,FALSE)&gt;0,"Y",""),"")</f>
        <v>Y</v>
      </c>
      <c r="K312" s="75" t="str">
        <f>IFERROR(IF(VLOOKUP(TableHandbook[[#This Row],[UDC]],TableAvailabilities[],6,FALSE)&gt;0,"Y",""),"")</f>
        <v>Y</v>
      </c>
      <c r="L312" s="75" t="str">
        <f>IFERROR(IF(VLOOKUP(TableHandbook[[#This Row],[UDC]],TableAvailabilities[],7,FALSE)&gt;0,"Y",""),"")</f>
        <v/>
      </c>
      <c r="M312" s="309" t="s">
        <v>1111</v>
      </c>
      <c r="N312" s="209" t="str">
        <f>IFERROR(VLOOKUP(TableHandbook[[#This Row],[UDC]],TableBEDUC[],7,FALSE),"")</f>
        <v/>
      </c>
      <c r="O312" s="209" t="str">
        <f>IFERROR(VLOOKUP(TableHandbook[[#This Row],[UDC]],TableBEDEC[],7,FALSE),"")</f>
        <v/>
      </c>
      <c r="P312" s="211" t="str">
        <f>IFERROR(VLOOKUP(TableHandbook[[#This Row],[UDC]],TableBEDPR[],7,FALSE),"")</f>
        <v/>
      </c>
      <c r="Q312" s="209" t="str">
        <f>IFERROR(VLOOKUP(TableHandbook[[#This Row],[UDC]],TableSTRUCATHL[],7,FALSE),"")</f>
        <v/>
      </c>
      <c r="R312" s="209" t="str">
        <f>IFERROR(VLOOKUP(TableHandbook[[#This Row],[UDC]],TableSTRUENGLL[],7,FALSE),"")</f>
        <v/>
      </c>
      <c r="S312" s="209" t="str">
        <f>IFERROR(VLOOKUP(TableHandbook[[#This Row],[UDC]],TableSTRUHLTPE[],7,FALSE),"")</f>
        <v/>
      </c>
      <c r="T312" s="209" t="str">
        <f>IFERROR(VLOOKUP(TableHandbook[[#This Row],[UDC]],TableSTRUISTEM[],7,FALSE),"")</f>
        <v/>
      </c>
      <c r="U312" s="209" t="str">
        <f>IFERROR(VLOOKUP(TableHandbook[[#This Row],[UDC]],TableSTRULITNU[],7,FALSE),"")</f>
        <v/>
      </c>
      <c r="V312" s="209" t="str">
        <f>IFERROR(VLOOKUP(TableHandbook[[#This Row],[UDC]],TableSTRUTECHS[],7,FALSE),"")</f>
        <v/>
      </c>
      <c r="W312" s="211" t="str">
        <f>IFERROR(VLOOKUP(TableHandbook[[#This Row],[UDC]],TableBEDSC[],7,FALSE),"")</f>
        <v/>
      </c>
      <c r="X312" s="211" t="str">
        <f>IFERROR(VLOOKUP(TableHandbook[[#This Row],[UDC]],TableMJRUARDR1[],7,FALSE),"")</f>
        <v/>
      </c>
      <c r="Y312" s="209" t="str">
        <f>IFERROR(VLOOKUP(TableHandbook[[#This Row],[UDC]],TableMJRUARME1[],7,FALSE),"")</f>
        <v/>
      </c>
      <c r="Z312" s="209" t="str">
        <f>IFERROR(VLOOKUP(TableHandbook[[#This Row],[UDC]],TableMJRUARVA1[],7,FALSE),"")</f>
        <v/>
      </c>
      <c r="AA312" s="209" t="str">
        <f>IFERROR(VLOOKUP(TableHandbook[[#This Row],[UDC]],TableMJRUENGL1[],7,FALSE),"")</f>
        <v/>
      </c>
      <c r="AB312" s="209" t="str">
        <f>IFERROR(VLOOKUP(TableHandbook[[#This Row],[UDC]],TableMJRUHSEC1[],7,FALSE),"")</f>
        <v/>
      </c>
      <c r="AC312" s="209" t="str">
        <f>IFERROR(VLOOKUP(TableHandbook[[#This Row],[UDC]],TableMJRUHSGE1[],7,FALSE),"")</f>
        <v/>
      </c>
      <c r="AD312" s="209" t="str">
        <f>IFERROR(VLOOKUP(TableHandbook[[#This Row],[UDC]],TableMJRUHSHI1[],7,FALSE),"")</f>
        <v/>
      </c>
      <c r="AE312" s="209" t="str">
        <f>IFERROR(VLOOKUP(TableHandbook[[#This Row],[UDC]],TableMJRUHSPL1[],7,FALSE),"")</f>
        <v/>
      </c>
      <c r="AF312" s="209" t="str">
        <f>IFERROR(VLOOKUP(TableHandbook[[#This Row],[UDC]],TableMJRUMATH1[],7,FALSE),"")</f>
        <v/>
      </c>
      <c r="AG312" s="209" t="str">
        <f>IFERROR(VLOOKUP(TableHandbook[[#This Row],[UDC]],TableMJRUPHYSE[],7,FALSE),"")</f>
        <v/>
      </c>
      <c r="AH312" s="209" t="str">
        <f>IFERROR(VLOOKUP(TableHandbook[[#This Row],[UDC]],TableMJRUSCBI1[],7,FALSE),"")</f>
        <v/>
      </c>
      <c r="AI312" s="209" t="str">
        <f>IFERROR(VLOOKUP(TableHandbook[[#This Row],[UDC]],TableMJRUSCCH1[],7,FALSE),"")</f>
        <v/>
      </c>
      <c r="AJ312" s="209" t="str">
        <f>IFERROR(VLOOKUP(TableHandbook[[#This Row],[UDC]],TableMJRUSCHB1[],7,FALSE),"")</f>
        <v/>
      </c>
      <c r="AK312" s="209" t="str">
        <f>IFERROR(VLOOKUP(TableHandbook[[#This Row],[UDC]],TableMJRUSCPH1[],7,FALSE),"")</f>
        <v/>
      </c>
      <c r="AL312" s="209" t="str">
        <f>IFERROR(VLOOKUP(TableHandbook[[#This Row],[UDC]],TableMJRUSCPS1[],7,FALSE),"")</f>
        <v/>
      </c>
      <c r="AM312" s="211" t="str">
        <f>IFERROR(VLOOKUP(TableHandbook[[#This Row],[UDC]],TableSTRUBIOLB[],7,FALSE),"")</f>
        <v/>
      </c>
      <c r="AN312" s="209" t="str">
        <f>IFERROR(VLOOKUP(TableHandbook[[#This Row],[UDC]],TableSTRUBSCIM[],7,FALSE),"")</f>
        <v/>
      </c>
      <c r="AO312" s="209" t="str">
        <f>IFERROR(VLOOKUP(TableHandbook[[#This Row],[UDC]],TableSTRUCHEMB[],7,FALSE),"")</f>
        <v/>
      </c>
      <c r="AP312" s="209" t="str">
        <f>IFERROR(VLOOKUP(TableHandbook[[#This Row],[UDC]],TableSTRUECOB1[],7,FALSE),"")</f>
        <v/>
      </c>
      <c r="AQ312" s="209" t="str">
        <f>IFERROR(VLOOKUP(TableHandbook[[#This Row],[UDC]],TableSTRUENGLB[],7,FALSE),"")</f>
        <v/>
      </c>
      <c r="AR312" s="209" t="str">
        <f>IFERROR(VLOOKUP(TableHandbook[[#This Row],[UDC]],TableSTRUENGLM[],7,FALSE),"")</f>
        <v/>
      </c>
      <c r="AS312" s="209" t="str">
        <f>IFERROR(VLOOKUP(TableHandbook[[#This Row],[UDC]],TableSTRUGEOB1[],7,FALSE),"")</f>
        <v/>
      </c>
      <c r="AT312" s="209" t="str">
        <f>IFERROR(VLOOKUP(TableHandbook[[#This Row],[UDC]],TableSTRUGEOGM[],7,FALSE),"")</f>
        <v/>
      </c>
      <c r="AU312" s="209" t="str">
        <f>IFERROR(VLOOKUP(TableHandbook[[#This Row],[UDC]],TableSTRUHISB1[],7,FALSE),"")</f>
        <v/>
      </c>
      <c r="AV312" s="209" t="str">
        <f>IFERROR(VLOOKUP(TableHandbook[[#This Row],[UDC]],TableSTRUHISTM[],7,FALSE),"")</f>
        <v/>
      </c>
      <c r="AW312" s="209" t="str">
        <f>IFERROR(VLOOKUP(TableHandbook[[#This Row],[UDC]],TableSTRUHPEB1[],7,FALSE),"")</f>
        <v/>
      </c>
      <c r="AX312" s="209" t="str">
        <f>IFERROR(VLOOKUP(TableHandbook[[#This Row],[UDC]],TableSTRUHUMBB[],7,FALSE),"")</f>
        <v/>
      </c>
      <c r="AY312" s="209" t="str">
        <f>IFERROR(VLOOKUP(TableHandbook[[#This Row],[UDC]],TableSTRUMARTM[],7,FALSE),"")</f>
        <v/>
      </c>
      <c r="AZ312" s="209" t="str">
        <f>IFERROR(VLOOKUP(TableHandbook[[#This Row],[UDC]],TableSTRUMATHB[],7,FALSE),"")</f>
        <v/>
      </c>
      <c r="BA312" s="209" t="str">
        <f>IFERROR(VLOOKUP(TableHandbook[[#This Row],[UDC]],TableSTRUMATHM[],7,FALSE),"")</f>
        <v/>
      </c>
      <c r="BB312" s="209" t="str">
        <f>IFERROR(VLOOKUP(TableHandbook[[#This Row],[UDC]],TableSTRUPARTB[],7,FALSE),"")</f>
        <v/>
      </c>
      <c r="BC312" s="209" t="str">
        <f>IFERROR(VLOOKUP(TableHandbook[[#This Row],[UDC]],TableSTRUPARTM[],7,FALSE),"")</f>
        <v/>
      </c>
      <c r="BD312" s="209" t="str">
        <f>IFERROR(VLOOKUP(TableHandbook[[#This Row],[UDC]],TableSTRUPOLB1[],7,FALSE),"")</f>
        <v/>
      </c>
      <c r="BE312" s="209" t="str">
        <f>IFERROR(VLOOKUP(TableHandbook[[#This Row],[UDC]],TableSTRUPSYCB[],7,FALSE),"")</f>
        <v>Core</v>
      </c>
      <c r="BF312" s="209" t="str">
        <f>IFERROR(VLOOKUP(TableHandbook[[#This Row],[UDC]],TableSTRUPSYCM[],7,FALSE),"")</f>
        <v/>
      </c>
      <c r="BG312" s="209" t="str">
        <f>IFERROR(VLOOKUP(TableHandbook[[#This Row],[UDC]],TableSTRUVARTB[],7,FALSE),"")</f>
        <v/>
      </c>
      <c r="BH312" s="209" t="str">
        <f>IFERROR(VLOOKUP(TableHandbook[[#This Row],[UDC]],TableSTRUVARTM[],7,FALSE),"")</f>
        <v/>
      </c>
    </row>
    <row r="313" spans="1:60" x14ac:dyDescent="0.25">
      <c r="A313" s="6" t="s">
        <v>490</v>
      </c>
      <c r="B313" s="7">
        <v>1</v>
      </c>
      <c r="C313" s="7"/>
      <c r="D313" s="207" t="s">
        <v>1112</v>
      </c>
      <c r="E313" s="7">
        <v>25</v>
      </c>
      <c r="F313" s="311" t="s">
        <v>481</v>
      </c>
      <c r="G313" s="75" t="str">
        <f>IFERROR(IF(VLOOKUP(TableHandbook[[#This Row],[UDC]],TableAvailabilities[],2,FALSE)&gt;0,"Y",""),"")</f>
        <v/>
      </c>
      <c r="H313" s="75" t="str">
        <f>IFERROR(IF(VLOOKUP(TableHandbook[[#This Row],[UDC]],TableAvailabilities[],3,FALSE)&gt;0,"Y",""),"")</f>
        <v/>
      </c>
      <c r="I313" s="75" t="str">
        <f>IFERROR(IF(VLOOKUP(TableHandbook[[#This Row],[UDC]],TableAvailabilities[],4,FALSE)&gt;0,"Y",""),"")</f>
        <v/>
      </c>
      <c r="J313" s="75" t="str">
        <f>IFERROR(IF(VLOOKUP(TableHandbook[[#This Row],[UDC]],TableAvailabilities[],5,FALSE)&gt;0,"Y",""),"")</f>
        <v>Y</v>
      </c>
      <c r="K313" s="75" t="str">
        <f>IFERROR(IF(VLOOKUP(TableHandbook[[#This Row],[UDC]],TableAvailabilities[],6,FALSE)&gt;0,"Y",""),"")</f>
        <v>Y</v>
      </c>
      <c r="L313" s="75" t="str">
        <f>IFERROR(IF(VLOOKUP(TableHandbook[[#This Row],[UDC]],TableAvailabilities[],7,FALSE)&gt;0,"Y",""),"")</f>
        <v/>
      </c>
      <c r="M313" s="207"/>
      <c r="N313" s="209" t="str">
        <f>IFERROR(VLOOKUP(TableHandbook[[#This Row],[UDC]],TableBEDUC[],7,FALSE),"")</f>
        <v/>
      </c>
      <c r="O313" s="209" t="str">
        <f>IFERROR(VLOOKUP(TableHandbook[[#This Row],[UDC]],TableBEDEC[],7,FALSE),"")</f>
        <v/>
      </c>
      <c r="P313" s="211" t="str">
        <f>IFERROR(VLOOKUP(TableHandbook[[#This Row],[UDC]],TableBEDPR[],7,FALSE),"")</f>
        <v/>
      </c>
      <c r="Q313" s="209" t="str">
        <f>IFERROR(VLOOKUP(TableHandbook[[#This Row],[UDC]],TableSTRUCATHL[],7,FALSE),"")</f>
        <v/>
      </c>
      <c r="R313" s="209" t="str">
        <f>IFERROR(VLOOKUP(TableHandbook[[#This Row],[UDC]],TableSTRUENGLL[],7,FALSE),"")</f>
        <v/>
      </c>
      <c r="S313" s="209" t="str">
        <f>IFERROR(VLOOKUP(TableHandbook[[#This Row],[UDC]],TableSTRUHLTPE[],7,FALSE),"")</f>
        <v/>
      </c>
      <c r="T313" s="209" t="str">
        <f>IFERROR(VLOOKUP(TableHandbook[[#This Row],[UDC]],TableSTRUISTEM[],7,FALSE),"")</f>
        <v/>
      </c>
      <c r="U313" s="209" t="str">
        <f>IFERROR(VLOOKUP(TableHandbook[[#This Row],[UDC]],TableSTRULITNU[],7,FALSE),"")</f>
        <v/>
      </c>
      <c r="V313" s="209" t="str">
        <f>IFERROR(VLOOKUP(TableHandbook[[#This Row],[UDC]],TableSTRUTECHS[],7,FALSE),"")</f>
        <v/>
      </c>
      <c r="W313" s="211" t="str">
        <f>IFERROR(VLOOKUP(TableHandbook[[#This Row],[UDC]],TableBEDSC[],7,FALSE),"")</f>
        <v/>
      </c>
      <c r="X313" s="211" t="str">
        <f>IFERROR(VLOOKUP(TableHandbook[[#This Row],[UDC]],TableMJRUARDR1[],7,FALSE),"")</f>
        <v/>
      </c>
      <c r="Y313" s="209" t="str">
        <f>IFERROR(VLOOKUP(TableHandbook[[#This Row],[UDC]],TableMJRUARME1[],7,FALSE),"")</f>
        <v/>
      </c>
      <c r="Z313" s="209" t="str">
        <f>IFERROR(VLOOKUP(TableHandbook[[#This Row],[UDC]],TableMJRUARVA1[],7,FALSE),"")</f>
        <v/>
      </c>
      <c r="AA313" s="209" t="str">
        <f>IFERROR(VLOOKUP(TableHandbook[[#This Row],[UDC]],TableMJRUENGL1[],7,FALSE),"")</f>
        <v/>
      </c>
      <c r="AB313" s="209" t="str">
        <f>IFERROR(VLOOKUP(TableHandbook[[#This Row],[UDC]],TableMJRUHSEC1[],7,FALSE),"")</f>
        <v/>
      </c>
      <c r="AC313" s="209" t="str">
        <f>IFERROR(VLOOKUP(TableHandbook[[#This Row],[UDC]],TableMJRUHSGE1[],7,FALSE),"")</f>
        <v/>
      </c>
      <c r="AD313" s="209" t="str">
        <f>IFERROR(VLOOKUP(TableHandbook[[#This Row],[UDC]],TableMJRUHSHI1[],7,FALSE),"")</f>
        <v/>
      </c>
      <c r="AE313" s="209" t="str">
        <f>IFERROR(VLOOKUP(TableHandbook[[#This Row],[UDC]],TableMJRUHSPL1[],7,FALSE),"")</f>
        <v/>
      </c>
      <c r="AF313" s="209" t="str">
        <f>IFERROR(VLOOKUP(TableHandbook[[#This Row],[UDC]],TableMJRUMATH1[],7,FALSE),"")</f>
        <v/>
      </c>
      <c r="AG313" s="209" t="str">
        <f>IFERROR(VLOOKUP(TableHandbook[[#This Row],[UDC]],TableMJRUPHYSE[],7,FALSE),"")</f>
        <v/>
      </c>
      <c r="AH313" s="209" t="str">
        <f>IFERROR(VLOOKUP(TableHandbook[[#This Row],[UDC]],TableMJRUSCBI1[],7,FALSE),"")</f>
        <v/>
      </c>
      <c r="AI313" s="209" t="str">
        <f>IFERROR(VLOOKUP(TableHandbook[[#This Row],[UDC]],TableMJRUSCCH1[],7,FALSE),"")</f>
        <v/>
      </c>
      <c r="AJ313" s="209" t="str">
        <f>IFERROR(VLOOKUP(TableHandbook[[#This Row],[UDC]],TableMJRUSCHB1[],7,FALSE),"")</f>
        <v/>
      </c>
      <c r="AK313" s="209" t="str">
        <f>IFERROR(VLOOKUP(TableHandbook[[#This Row],[UDC]],TableMJRUSCPH1[],7,FALSE),"")</f>
        <v/>
      </c>
      <c r="AL313" s="209" t="str">
        <f>IFERROR(VLOOKUP(TableHandbook[[#This Row],[UDC]],TableMJRUSCPS1[],7,FALSE),"")</f>
        <v>Core</v>
      </c>
      <c r="AM313" s="211" t="str">
        <f>IFERROR(VLOOKUP(TableHandbook[[#This Row],[UDC]],TableSTRUBIOLB[],7,FALSE),"")</f>
        <v/>
      </c>
      <c r="AN313" s="209" t="str">
        <f>IFERROR(VLOOKUP(TableHandbook[[#This Row],[UDC]],TableSTRUBSCIM[],7,FALSE),"")</f>
        <v/>
      </c>
      <c r="AO313" s="209" t="str">
        <f>IFERROR(VLOOKUP(TableHandbook[[#This Row],[UDC]],TableSTRUCHEMB[],7,FALSE),"")</f>
        <v/>
      </c>
      <c r="AP313" s="209" t="str">
        <f>IFERROR(VLOOKUP(TableHandbook[[#This Row],[UDC]],TableSTRUECOB1[],7,FALSE),"")</f>
        <v/>
      </c>
      <c r="AQ313" s="209" t="str">
        <f>IFERROR(VLOOKUP(TableHandbook[[#This Row],[UDC]],TableSTRUENGLB[],7,FALSE),"")</f>
        <v/>
      </c>
      <c r="AR313" s="209" t="str">
        <f>IFERROR(VLOOKUP(TableHandbook[[#This Row],[UDC]],TableSTRUENGLM[],7,FALSE),"")</f>
        <v/>
      </c>
      <c r="AS313" s="209" t="str">
        <f>IFERROR(VLOOKUP(TableHandbook[[#This Row],[UDC]],TableSTRUGEOB1[],7,FALSE),"")</f>
        <v/>
      </c>
      <c r="AT313" s="209" t="str">
        <f>IFERROR(VLOOKUP(TableHandbook[[#This Row],[UDC]],TableSTRUGEOGM[],7,FALSE),"")</f>
        <v/>
      </c>
      <c r="AU313" s="209" t="str">
        <f>IFERROR(VLOOKUP(TableHandbook[[#This Row],[UDC]],TableSTRUHISB1[],7,FALSE),"")</f>
        <v/>
      </c>
      <c r="AV313" s="209" t="str">
        <f>IFERROR(VLOOKUP(TableHandbook[[#This Row],[UDC]],TableSTRUHISTM[],7,FALSE),"")</f>
        <v/>
      </c>
      <c r="AW313" s="209" t="str">
        <f>IFERROR(VLOOKUP(TableHandbook[[#This Row],[UDC]],TableSTRUHPEB1[],7,FALSE),"")</f>
        <v/>
      </c>
      <c r="AX313" s="209" t="str">
        <f>IFERROR(VLOOKUP(TableHandbook[[#This Row],[UDC]],TableSTRUHUMBB[],7,FALSE),"")</f>
        <v/>
      </c>
      <c r="AY313" s="209" t="str">
        <f>IFERROR(VLOOKUP(TableHandbook[[#This Row],[UDC]],TableSTRUMARTM[],7,FALSE),"")</f>
        <v/>
      </c>
      <c r="AZ313" s="209" t="str">
        <f>IFERROR(VLOOKUP(TableHandbook[[#This Row],[UDC]],TableSTRUMATHB[],7,FALSE),"")</f>
        <v/>
      </c>
      <c r="BA313" s="209" t="str">
        <f>IFERROR(VLOOKUP(TableHandbook[[#This Row],[UDC]],TableSTRUMATHM[],7,FALSE),"")</f>
        <v/>
      </c>
      <c r="BB313" s="209" t="str">
        <f>IFERROR(VLOOKUP(TableHandbook[[#This Row],[UDC]],TableSTRUPARTB[],7,FALSE),"")</f>
        <v/>
      </c>
      <c r="BC313" s="209" t="str">
        <f>IFERROR(VLOOKUP(TableHandbook[[#This Row],[UDC]],TableSTRUPARTM[],7,FALSE),"")</f>
        <v/>
      </c>
      <c r="BD313" s="209" t="str">
        <f>IFERROR(VLOOKUP(TableHandbook[[#This Row],[UDC]],TableSTRUPOLB1[],7,FALSE),"")</f>
        <v/>
      </c>
      <c r="BE313" s="209" t="str">
        <f>IFERROR(VLOOKUP(TableHandbook[[#This Row],[UDC]],TableSTRUPSYCB[],7,FALSE),"")</f>
        <v/>
      </c>
      <c r="BF313" s="209" t="str">
        <f>IFERROR(VLOOKUP(TableHandbook[[#This Row],[UDC]],TableSTRUPSYCM[],7,FALSE),"")</f>
        <v>Core</v>
      </c>
      <c r="BG313" s="209" t="str">
        <f>IFERROR(VLOOKUP(TableHandbook[[#This Row],[UDC]],TableSTRUVARTB[],7,FALSE),"")</f>
        <v/>
      </c>
      <c r="BH313" s="209" t="str">
        <f>IFERROR(VLOOKUP(TableHandbook[[#This Row],[UDC]],TableSTRUVARTM[],7,FALSE),"")</f>
        <v/>
      </c>
    </row>
    <row r="314" spans="1:60" x14ac:dyDescent="0.25">
      <c r="A314" s="296" t="s">
        <v>587</v>
      </c>
      <c r="B314" s="7">
        <v>1</v>
      </c>
      <c r="C314" s="7"/>
      <c r="D314" s="207" t="s">
        <v>1113</v>
      </c>
      <c r="E314" s="7">
        <v>25</v>
      </c>
      <c r="F314" s="311" t="s">
        <v>1114</v>
      </c>
      <c r="G314" s="75" t="str">
        <f>IFERROR(IF(VLOOKUP(TableHandbook[[#This Row],[UDC]],TableAvailabilities[],2,FALSE)&gt;0,"Y",""),"")</f>
        <v/>
      </c>
      <c r="H314" s="75" t="str">
        <f>IFERROR(IF(VLOOKUP(TableHandbook[[#This Row],[UDC]],TableAvailabilities[],3,FALSE)&gt;0,"Y",""),"")</f>
        <v>Y</v>
      </c>
      <c r="I314" s="75" t="str">
        <f>IFERROR(IF(VLOOKUP(TableHandbook[[#This Row],[UDC]],TableAvailabilities[],4,FALSE)&gt;0,"Y",""),"")</f>
        <v/>
      </c>
      <c r="J314" s="75" t="str">
        <f>IFERROR(IF(VLOOKUP(TableHandbook[[#This Row],[UDC]],TableAvailabilities[],5,FALSE)&gt;0,"Y",""),"")</f>
        <v/>
      </c>
      <c r="K314" s="75" t="str">
        <f>IFERROR(IF(VLOOKUP(TableHandbook[[#This Row],[UDC]],TableAvailabilities[],6,FALSE)&gt;0,"Y",""),"")</f>
        <v/>
      </c>
      <c r="L314" s="75" t="str">
        <f>IFERROR(IF(VLOOKUP(TableHandbook[[#This Row],[UDC]],TableAvailabilities[],7,FALSE)&gt;0,"Y",""),"")</f>
        <v/>
      </c>
      <c r="M314" s="207"/>
      <c r="N314" s="209" t="str">
        <f>IFERROR(VLOOKUP(TableHandbook[[#This Row],[UDC]],TableBEDUC[],7,FALSE),"")</f>
        <v/>
      </c>
      <c r="O314" s="209" t="str">
        <f>IFERROR(VLOOKUP(TableHandbook[[#This Row],[UDC]],TableBEDEC[],7,FALSE),"")</f>
        <v/>
      </c>
      <c r="P314" s="211" t="str">
        <f>IFERROR(VLOOKUP(TableHandbook[[#This Row],[UDC]],TableBEDPR[],7,FALSE),"")</f>
        <v/>
      </c>
      <c r="Q314" s="209" t="str">
        <f>IFERROR(VLOOKUP(TableHandbook[[#This Row],[UDC]],TableSTRUCATHL[],7,FALSE),"")</f>
        <v/>
      </c>
      <c r="R314" s="209" t="str">
        <f>IFERROR(VLOOKUP(TableHandbook[[#This Row],[UDC]],TableSTRUENGLL[],7,FALSE),"")</f>
        <v/>
      </c>
      <c r="S314" s="209" t="str">
        <f>IFERROR(VLOOKUP(TableHandbook[[#This Row],[UDC]],TableSTRUHLTPE[],7,FALSE),"")</f>
        <v/>
      </c>
      <c r="T314" s="209" t="str">
        <f>IFERROR(VLOOKUP(TableHandbook[[#This Row],[UDC]],TableSTRUISTEM[],7,FALSE),"")</f>
        <v/>
      </c>
      <c r="U314" s="209" t="str">
        <f>IFERROR(VLOOKUP(TableHandbook[[#This Row],[UDC]],TableSTRULITNU[],7,FALSE),"")</f>
        <v/>
      </c>
      <c r="V314" s="209" t="str">
        <f>IFERROR(VLOOKUP(TableHandbook[[#This Row],[UDC]],TableSTRUTECHS[],7,FALSE),"")</f>
        <v/>
      </c>
      <c r="W314" s="211" t="str">
        <f>IFERROR(VLOOKUP(TableHandbook[[#This Row],[UDC]],TableBEDSC[],7,FALSE),"")</f>
        <v/>
      </c>
      <c r="X314" s="211" t="str">
        <f>IFERROR(VLOOKUP(TableHandbook[[#This Row],[UDC]],TableMJRUARDR1[],7,FALSE),"")</f>
        <v/>
      </c>
      <c r="Y314" s="209" t="str">
        <f>IFERROR(VLOOKUP(TableHandbook[[#This Row],[UDC]],TableMJRUARME1[],7,FALSE),"")</f>
        <v/>
      </c>
      <c r="Z314" s="209" t="str">
        <f>IFERROR(VLOOKUP(TableHandbook[[#This Row],[UDC]],TableMJRUARVA1[],7,FALSE),"")</f>
        <v/>
      </c>
      <c r="AA314" s="209" t="str">
        <f>IFERROR(VLOOKUP(TableHandbook[[#This Row],[UDC]],TableMJRUENGL1[],7,FALSE),"")</f>
        <v/>
      </c>
      <c r="AB314" s="209" t="str">
        <f>IFERROR(VLOOKUP(TableHandbook[[#This Row],[UDC]],TableMJRUHSEC1[],7,FALSE),"")</f>
        <v/>
      </c>
      <c r="AC314" s="209" t="str">
        <f>IFERROR(VLOOKUP(TableHandbook[[#This Row],[UDC]],TableMJRUHSGE1[],7,FALSE),"")</f>
        <v/>
      </c>
      <c r="AD314" s="209" t="str">
        <f>IFERROR(VLOOKUP(TableHandbook[[#This Row],[UDC]],TableMJRUHSHI1[],7,FALSE),"")</f>
        <v/>
      </c>
      <c r="AE314" s="209" t="str">
        <f>IFERROR(VLOOKUP(TableHandbook[[#This Row],[UDC]],TableMJRUHSPL1[],7,FALSE),"")</f>
        <v/>
      </c>
      <c r="AF314" s="209" t="str">
        <f>IFERROR(VLOOKUP(TableHandbook[[#This Row],[UDC]],TableMJRUMATH1[],7,FALSE),"")</f>
        <v/>
      </c>
      <c r="AG314" s="209" t="str">
        <f>IFERROR(VLOOKUP(TableHandbook[[#This Row],[UDC]],TableMJRUPHYSE[],7,FALSE),"")</f>
        <v/>
      </c>
      <c r="AH314" s="209" t="str">
        <f>IFERROR(VLOOKUP(TableHandbook[[#This Row],[UDC]],TableMJRUSCBI1[],7,FALSE),"")</f>
        <v/>
      </c>
      <c r="AI314" s="209" t="str">
        <f>IFERROR(VLOOKUP(TableHandbook[[#This Row],[UDC]],TableMJRUSCCH1[],7,FALSE),"")</f>
        <v/>
      </c>
      <c r="AJ314" s="209" t="str">
        <f>IFERROR(VLOOKUP(TableHandbook[[#This Row],[UDC]],TableMJRUSCHB1[],7,FALSE),"")</f>
        <v/>
      </c>
      <c r="AK314" s="209" t="str">
        <f>IFERROR(VLOOKUP(TableHandbook[[#This Row],[UDC]],TableMJRUSCPH1[],7,FALSE),"")</f>
        <v/>
      </c>
      <c r="AL314" s="209" t="str">
        <f>IFERROR(VLOOKUP(TableHandbook[[#This Row],[UDC]],TableMJRUSCPS1[],7,FALSE),"")</f>
        <v>Option</v>
      </c>
      <c r="AM314" s="211" t="str">
        <f>IFERROR(VLOOKUP(TableHandbook[[#This Row],[UDC]],TableSTRUBIOLB[],7,FALSE),"")</f>
        <v/>
      </c>
      <c r="AN314" s="209" t="str">
        <f>IFERROR(VLOOKUP(TableHandbook[[#This Row],[UDC]],TableSTRUBSCIM[],7,FALSE),"")</f>
        <v/>
      </c>
      <c r="AO314" s="209" t="str">
        <f>IFERROR(VLOOKUP(TableHandbook[[#This Row],[UDC]],TableSTRUCHEMB[],7,FALSE),"")</f>
        <v/>
      </c>
      <c r="AP314" s="209" t="str">
        <f>IFERROR(VLOOKUP(TableHandbook[[#This Row],[UDC]],TableSTRUECOB1[],7,FALSE),"")</f>
        <v/>
      </c>
      <c r="AQ314" s="209" t="str">
        <f>IFERROR(VLOOKUP(TableHandbook[[#This Row],[UDC]],TableSTRUENGLB[],7,FALSE),"")</f>
        <v/>
      </c>
      <c r="AR314" s="209" t="str">
        <f>IFERROR(VLOOKUP(TableHandbook[[#This Row],[UDC]],TableSTRUENGLM[],7,FALSE),"")</f>
        <v/>
      </c>
      <c r="AS314" s="209" t="str">
        <f>IFERROR(VLOOKUP(TableHandbook[[#This Row],[UDC]],TableSTRUGEOB1[],7,FALSE),"")</f>
        <v/>
      </c>
      <c r="AT314" s="209" t="str">
        <f>IFERROR(VLOOKUP(TableHandbook[[#This Row],[UDC]],TableSTRUGEOGM[],7,FALSE),"")</f>
        <v/>
      </c>
      <c r="AU314" s="209" t="str">
        <f>IFERROR(VLOOKUP(TableHandbook[[#This Row],[UDC]],TableSTRUHISB1[],7,FALSE),"")</f>
        <v/>
      </c>
      <c r="AV314" s="209" t="str">
        <f>IFERROR(VLOOKUP(TableHandbook[[#This Row],[UDC]],TableSTRUHISTM[],7,FALSE),"")</f>
        <v/>
      </c>
      <c r="AW314" s="209" t="str">
        <f>IFERROR(VLOOKUP(TableHandbook[[#This Row],[UDC]],TableSTRUHPEB1[],7,FALSE),"")</f>
        <v/>
      </c>
      <c r="AX314" s="209" t="str">
        <f>IFERROR(VLOOKUP(TableHandbook[[#This Row],[UDC]],TableSTRUHUMBB[],7,FALSE),"")</f>
        <v/>
      </c>
      <c r="AY314" s="209" t="str">
        <f>IFERROR(VLOOKUP(TableHandbook[[#This Row],[UDC]],TableSTRUMARTM[],7,FALSE),"")</f>
        <v/>
      </c>
      <c r="AZ314" s="209" t="str">
        <f>IFERROR(VLOOKUP(TableHandbook[[#This Row],[UDC]],TableSTRUMATHB[],7,FALSE),"")</f>
        <v/>
      </c>
      <c r="BA314" s="209" t="str">
        <f>IFERROR(VLOOKUP(TableHandbook[[#This Row],[UDC]],TableSTRUMATHM[],7,FALSE),"")</f>
        <v/>
      </c>
      <c r="BB314" s="209" t="str">
        <f>IFERROR(VLOOKUP(TableHandbook[[#This Row],[UDC]],TableSTRUPARTB[],7,FALSE),"")</f>
        <v/>
      </c>
      <c r="BC314" s="209" t="str">
        <f>IFERROR(VLOOKUP(TableHandbook[[#This Row],[UDC]],TableSTRUPARTM[],7,FALSE),"")</f>
        <v/>
      </c>
      <c r="BD314" s="209" t="str">
        <f>IFERROR(VLOOKUP(TableHandbook[[#This Row],[UDC]],TableSTRUPOLB1[],7,FALSE),"")</f>
        <v/>
      </c>
      <c r="BE314" s="209" t="str">
        <f>IFERROR(VLOOKUP(TableHandbook[[#This Row],[UDC]],TableSTRUPSYCB[],7,FALSE),"")</f>
        <v/>
      </c>
      <c r="BF314" s="209" t="str">
        <f>IFERROR(VLOOKUP(TableHandbook[[#This Row],[UDC]],TableSTRUPSYCM[],7,FALSE),"")</f>
        <v/>
      </c>
      <c r="BG314" s="209" t="str">
        <f>IFERROR(VLOOKUP(TableHandbook[[#This Row],[UDC]],TableSTRUVARTB[],7,FALSE),"")</f>
        <v/>
      </c>
      <c r="BH314" s="209" t="str">
        <f>IFERROR(VLOOKUP(TableHandbook[[#This Row],[UDC]],TableSTRUVARTM[],7,FALSE),"")</f>
        <v/>
      </c>
    </row>
    <row r="315" spans="1:60" x14ac:dyDescent="0.25">
      <c r="A315" s="6" t="s">
        <v>534</v>
      </c>
      <c r="B315" s="7">
        <v>1</v>
      </c>
      <c r="C315" s="7"/>
      <c r="D315" s="207" t="s">
        <v>1115</v>
      </c>
      <c r="E315" s="7">
        <v>25</v>
      </c>
      <c r="F315" s="309" t="s">
        <v>1116</v>
      </c>
      <c r="G315" s="75" t="str">
        <f>IFERROR(IF(VLOOKUP(TableHandbook[[#This Row],[UDC]],TableAvailabilities[],2,FALSE)&gt;0,"Y",""),"")</f>
        <v/>
      </c>
      <c r="H315" s="75" t="str">
        <f>IFERROR(IF(VLOOKUP(TableHandbook[[#This Row],[UDC]],TableAvailabilities[],3,FALSE)&gt;0,"Y",""),"")</f>
        <v/>
      </c>
      <c r="I315" s="75" t="str">
        <f>IFERROR(IF(VLOOKUP(TableHandbook[[#This Row],[UDC]],TableAvailabilities[],4,FALSE)&gt;0,"Y",""),"")</f>
        <v/>
      </c>
      <c r="J315" s="75" t="str">
        <f>IFERROR(IF(VLOOKUP(TableHandbook[[#This Row],[UDC]],TableAvailabilities[],5,FALSE)&gt;0,"Y",""),"")</f>
        <v>Y</v>
      </c>
      <c r="K315" s="75" t="str">
        <f>IFERROR(IF(VLOOKUP(TableHandbook[[#This Row],[UDC]],TableAvailabilities[],6,FALSE)&gt;0,"Y",""),"")</f>
        <v>Y</v>
      </c>
      <c r="L315" s="75" t="str">
        <f>IFERROR(IF(VLOOKUP(TableHandbook[[#This Row],[UDC]],TableAvailabilities[],7,FALSE)&gt;0,"Y",""),"")</f>
        <v/>
      </c>
      <c r="M315" s="309" t="s">
        <v>1117</v>
      </c>
      <c r="N315" s="209" t="str">
        <f>IFERROR(VLOOKUP(TableHandbook[[#This Row],[UDC]],TableBEDUC[],7,FALSE),"")</f>
        <v/>
      </c>
      <c r="O315" s="209" t="str">
        <f>IFERROR(VLOOKUP(TableHandbook[[#This Row],[UDC]],TableBEDEC[],7,FALSE),"")</f>
        <v/>
      </c>
      <c r="P315" s="211" t="str">
        <f>IFERROR(VLOOKUP(TableHandbook[[#This Row],[UDC]],TableBEDPR[],7,FALSE),"")</f>
        <v/>
      </c>
      <c r="Q315" s="209" t="str">
        <f>IFERROR(VLOOKUP(TableHandbook[[#This Row],[UDC]],TableSTRUCATHL[],7,FALSE),"")</f>
        <v/>
      </c>
      <c r="R315" s="209" t="str">
        <f>IFERROR(VLOOKUP(TableHandbook[[#This Row],[UDC]],TableSTRUENGLL[],7,FALSE),"")</f>
        <v/>
      </c>
      <c r="S315" s="209" t="str">
        <f>IFERROR(VLOOKUP(TableHandbook[[#This Row],[UDC]],TableSTRUHLTPE[],7,FALSE),"")</f>
        <v/>
      </c>
      <c r="T315" s="209" t="str">
        <f>IFERROR(VLOOKUP(TableHandbook[[#This Row],[UDC]],TableSTRUISTEM[],7,FALSE),"")</f>
        <v/>
      </c>
      <c r="U315" s="209" t="str">
        <f>IFERROR(VLOOKUP(TableHandbook[[#This Row],[UDC]],TableSTRULITNU[],7,FALSE),"")</f>
        <v/>
      </c>
      <c r="V315" s="209" t="str">
        <f>IFERROR(VLOOKUP(TableHandbook[[#This Row],[UDC]],TableSTRUTECHS[],7,FALSE),"")</f>
        <v/>
      </c>
      <c r="W315" s="211" t="str">
        <f>IFERROR(VLOOKUP(TableHandbook[[#This Row],[UDC]],TableBEDSC[],7,FALSE),"")</f>
        <v/>
      </c>
      <c r="X315" s="211" t="str">
        <f>IFERROR(VLOOKUP(TableHandbook[[#This Row],[UDC]],TableMJRUARDR1[],7,FALSE),"")</f>
        <v/>
      </c>
      <c r="Y315" s="209" t="str">
        <f>IFERROR(VLOOKUP(TableHandbook[[#This Row],[UDC]],TableMJRUARME1[],7,FALSE),"")</f>
        <v/>
      </c>
      <c r="Z315" s="209" t="str">
        <f>IFERROR(VLOOKUP(TableHandbook[[#This Row],[UDC]],TableMJRUARVA1[],7,FALSE),"")</f>
        <v/>
      </c>
      <c r="AA315" s="209" t="str">
        <f>IFERROR(VLOOKUP(TableHandbook[[#This Row],[UDC]],TableMJRUENGL1[],7,FALSE),"")</f>
        <v/>
      </c>
      <c r="AB315" s="209" t="str">
        <f>IFERROR(VLOOKUP(TableHandbook[[#This Row],[UDC]],TableMJRUHSEC1[],7,FALSE),"")</f>
        <v/>
      </c>
      <c r="AC315" s="209" t="str">
        <f>IFERROR(VLOOKUP(TableHandbook[[#This Row],[UDC]],TableMJRUHSGE1[],7,FALSE),"")</f>
        <v/>
      </c>
      <c r="AD315" s="209" t="str">
        <f>IFERROR(VLOOKUP(TableHandbook[[#This Row],[UDC]],TableMJRUHSHI1[],7,FALSE),"")</f>
        <v/>
      </c>
      <c r="AE315" s="209" t="str">
        <f>IFERROR(VLOOKUP(TableHandbook[[#This Row],[UDC]],TableMJRUHSPL1[],7,FALSE),"")</f>
        <v/>
      </c>
      <c r="AF315" s="209" t="str">
        <f>IFERROR(VLOOKUP(TableHandbook[[#This Row],[UDC]],TableMJRUMATH1[],7,FALSE),"")</f>
        <v/>
      </c>
      <c r="AG315" s="209" t="str">
        <f>IFERROR(VLOOKUP(TableHandbook[[#This Row],[UDC]],TableMJRUPHYSE[],7,FALSE),"")</f>
        <v/>
      </c>
      <c r="AH315" s="209" t="str">
        <f>IFERROR(VLOOKUP(TableHandbook[[#This Row],[UDC]],TableMJRUSCBI1[],7,FALSE),"")</f>
        <v/>
      </c>
      <c r="AI315" s="209" t="str">
        <f>IFERROR(VLOOKUP(TableHandbook[[#This Row],[UDC]],TableMJRUSCCH1[],7,FALSE),"")</f>
        <v/>
      </c>
      <c r="AJ315" s="209" t="str">
        <f>IFERROR(VLOOKUP(TableHandbook[[#This Row],[UDC]],TableMJRUSCHB1[],7,FALSE),"")</f>
        <v/>
      </c>
      <c r="AK315" s="209" t="str">
        <f>IFERROR(VLOOKUP(TableHandbook[[#This Row],[UDC]],TableMJRUSCPH1[],7,FALSE),"")</f>
        <v/>
      </c>
      <c r="AL315" s="209" t="str">
        <f>IFERROR(VLOOKUP(TableHandbook[[#This Row],[UDC]],TableMJRUSCPS1[],7,FALSE),"")</f>
        <v>Core</v>
      </c>
      <c r="AM315" s="211" t="str">
        <f>IFERROR(VLOOKUP(TableHandbook[[#This Row],[UDC]],TableSTRUBIOLB[],7,FALSE),"")</f>
        <v/>
      </c>
      <c r="AN315" s="209" t="str">
        <f>IFERROR(VLOOKUP(TableHandbook[[#This Row],[UDC]],TableSTRUBSCIM[],7,FALSE),"")</f>
        <v/>
      </c>
      <c r="AO315" s="209" t="str">
        <f>IFERROR(VLOOKUP(TableHandbook[[#This Row],[UDC]],TableSTRUCHEMB[],7,FALSE),"")</f>
        <v/>
      </c>
      <c r="AP315" s="209" t="str">
        <f>IFERROR(VLOOKUP(TableHandbook[[#This Row],[UDC]],TableSTRUECOB1[],7,FALSE),"")</f>
        <v/>
      </c>
      <c r="AQ315" s="209" t="str">
        <f>IFERROR(VLOOKUP(TableHandbook[[#This Row],[UDC]],TableSTRUENGLB[],7,FALSE),"")</f>
        <v/>
      </c>
      <c r="AR315" s="209" t="str">
        <f>IFERROR(VLOOKUP(TableHandbook[[#This Row],[UDC]],TableSTRUENGLM[],7,FALSE),"")</f>
        <v/>
      </c>
      <c r="AS315" s="209" t="str">
        <f>IFERROR(VLOOKUP(TableHandbook[[#This Row],[UDC]],TableSTRUGEOB1[],7,FALSE),"")</f>
        <v/>
      </c>
      <c r="AT315" s="209" t="str">
        <f>IFERROR(VLOOKUP(TableHandbook[[#This Row],[UDC]],TableSTRUGEOGM[],7,FALSE),"")</f>
        <v/>
      </c>
      <c r="AU315" s="209" t="str">
        <f>IFERROR(VLOOKUP(TableHandbook[[#This Row],[UDC]],TableSTRUHISB1[],7,FALSE),"")</f>
        <v/>
      </c>
      <c r="AV315" s="209" t="str">
        <f>IFERROR(VLOOKUP(TableHandbook[[#This Row],[UDC]],TableSTRUHISTM[],7,FALSE),"")</f>
        <v/>
      </c>
      <c r="AW315" s="209" t="str">
        <f>IFERROR(VLOOKUP(TableHandbook[[#This Row],[UDC]],TableSTRUHPEB1[],7,FALSE),"")</f>
        <v/>
      </c>
      <c r="AX315" s="209" t="str">
        <f>IFERROR(VLOOKUP(TableHandbook[[#This Row],[UDC]],TableSTRUHUMBB[],7,FALSE),"")</f>
        <v/>
      </c>
      <c r="AY315" s="209" t="str">
        <f>IFERROR(VLOOKUP(TableHandbook[[#This Row],[UDC]],TableSTRUMARTM[],7,FALSE),"")</f>
        <v/>
      </c>
      <c r="AZ315" s="209" t="str">
        <f>IFERROR(VLOOKUP(TableHandbook[[#This Row],[UDC]],TableSTRUMATHB[],7,FALSE),"")</f>
        <v/>
      </c>
      <c r="BA315" s="209" t="str">
        <f>IFERROR(VLOOKUP(TableHandbook[[#This Row],[UDC]],TableSTRUMATHM[],7,FALSE),"")</f>
        <v/>
      </c>
      <c r="BB315" s="209" t="str">
        <f>IFERROR(VLOOKUP(TableHandbook[[#This Row],[UDC]],TableSTRUPARTB[],7,FALSE),"")</f>
        <v/>
      </c>
      <c r="BC315" s="209" t="str">
        <f>IFERROR(VLOOKUP(TableHandbook[[#This Row],[UDC]],TableSTRUPARTM[],7,FALSE),"")</f>
        <v/>
      </c>
      <c r="BD315" s="209" t="str">
        <f>IFERROR(VLOOKUP(TableHandbook[[#This Row],[UDC]],TableSTRUPOLB1[],7,FALSE),"")</f>
        <v/>
      </c>
      <c r="BE315" s="209" t="str">
        <f>IFERROR(VLOOKUP(TableHandbook[[#This Row],[UDC]],TableSTRUPSYCB[],7,FALSE),"")</f>
        <v/>
      </c>
      <c r="BF315" s="209" t="str">
        <f>IFERROR(VLOOKUP(TableHandbook[[#This Row],[UDC]],TableSTRUPSYCM[],7,FALSE),"")</f>
        <v/>
      </c>
      <c r="BG315" s="209" t="str">
        <f>IFERROR(VLOOKUP(TableHandbook[[#This Row],[UDC]],TableSTRUVARTB[],7,FALSE),"")</f>
        <v/>
      </c>
      <c r="BH315" s="209" t="str">
        <f>IFERROR(VLOOKUP(TableHandbook[[#This Row],[UDC]],TableSTRUVARTM[],7,FALSE),"")</f>
        <v/>
      </c>
    </row>
    <row r="316" spans="1:60" x14ac:dyDescent="0.25">
      <c r="A316" s="296" t="s">
        <v>592</v>
      </c>
      <c r="B316" s="7">
        <v>1</v>
      </c>
      <c r="C316" s="7"/>
      <c r="D316" s="207" t="s">
        <v>1118</v>
      </c>
      <c r="E316" s="7">
        <v>25</v>
      </c>
      <c r="F316" s="311" t="s">
        <v>490</v>
      </c>
      <c r="G316" s="75" t="str">
        <f>IFERROR(IF(VLOOKUP(TableHandbook[[#This Row],[UDC]],TableAvailabilities[],2,FALSE)&gt;0,"Y",""),"")</f>
        <v/>
      </c>
      <c r="H316" s="75" t="str">
        <f>IFERROR(IF(VLOOKUP(TableHandbook[[#This Row],[UDC]],TableAvailabilities[],3,FALSE)&gt;0,"Y",""),"")</f>
        <v/>
      </c>
      <c r="I316" s="75" t="str">
        <f>IFERROR(IF(VLOOKUP(TableHandbook[[#This Row],[UDC]],TableAvailabilities[],4,FALSE)&gt;0,"Y",""),"")</f>
        <v/>
      </c>
      <c r="J316" s="75" t="str">
        <f>IFERROR(IF(VLOOKUP(TableHandbook[[#This Row],[UDC]],TableAvailabilities[],5,FALSE)&gt;0,"Y",""),"")</f>
        <v>Y</v>
      </c>
      <c r="K316" s="75" t="str">
        <f>IFERROR(IF(VLOOKUP(TableHandbook[[#This Row],[UDC]],TableAvailabilities[],6,FALSE)&gt;0,"Y",""),"")</f>
        <v>Y</v>
      </c>
      <c r="L316" s="75" t="str">
        <f>IFERROR(IF(VLOOKUP(TableHandbook[[#This Row],[UDC]],TableAvailabilities[],7,FALSE)&gt;0,"Y",""),"")</f>
        <v/>
      </c>
      <c r="M316" s="207"/>
      <c r="N316" s="209" t="str">
        <f>IFERROR(VLOOKUP(TableHandbook[[#This Row],[UDC]],TableBEDUC[],7,FALSE),"")</f>
        <v/>
      </c>
      <c r="O316" s="209" t="str">
        <f>IFERROR(VLOOKUP(TableHandbook[[#This Row],[UDC]],TableBEDEC[],7,FALSE),"")</f>
        <v/>
      </c>
      <c r="P316" s="211" t="str">
        <f>IFERROR(VLOOKUP(TableHandbook[[#This Row],[UDC]],TableBEDPR[],7,FALSE),"")</f>
        <v/>
      </c>
      <c r="Q316" s="209" t="str">
        <f>IFERROR(VLOOKUP(TableHandbook[[#This Row],[UDC]],TableSTRUCATHL[],7,FALSE),"")</f>
        <v/>
      </c>
      <c r="R316" s="209" t="str">
        <f>IFERROR(VLOOKUP(TableHandbook[[#This Row],[UDC]],TableSTRUENGLL[],7,FALSE),"")</f>
        <v/>
      </c>
      <c r="S316" s="209" t="str">
        <f>IFERROR(VLOOKUP(TableHandbook[[#This Row],[UDC]],TableSTRUHLTPE[],7,FALSE),"")</f>
        <v/>
      </c>
      <c r="T316" s="209" t="str">
        <f>IFERROR(VLOOKUP(TableHandbook[[#This Row],[UDC]],TableSTRUISTEM[],7,FALSE),"")</f>
        <v/>
      </c>
      <c r="U316" s="209" t="str">
        <f>IFERROR(VLOOKUP(TableHandbook[[#This Row],[UDC]],TableSTRULITNU[],7,FALSE),"")</f>
        <v/>
      </c>
      <c r="V316" s="209" t="str">
        <f>IFERROR(VLOOKUP(TableHandbook[[#This Row],[UDC]],TableSTRUTECHS[],7,FALSE),"")</f>
        <v/>
      </c>
      <c r="W316" s="211" t="str">
        <f>IFERROR(VLOOKUP(TableHandbook[[#This Row],[UDC]],TableBEDSC[],7,FALSE),"")</f>
        <v/>
      </c>
      <c r="X316" s="211" t="str">
        <f>IFERROR(VLOOKUP(TableHandbook[[#This Row],[UDC]],TableMJRUARDR1[],7,FALSE),"")</f>
        <v/>
      </c>
      <c r="Y316" s="209" t="str">
        <f>IFERROR(VLOOKUP(TableHandbook[[#This Row],[UDC]],TableMJRUARME1[],7,FALSE),"")</f>
        <v/>
      </c>
      <c r="Z316" s="209" t="str">
        <f>IFERROR(VLOOKUP(TableHandbook[[#This Row],[UDC]],TableMJRUARVA1[],7,FALSE),"")</f>
        <v/>
      </c>
      <c r="AA316" s="209" t="str">
        <f>IFERROR(VLOOKUP(TableHandbook[[#This Row],[UDC]],TableMJRUENGL1[],7,FALSE),"")</f>
        <v/>
      </c>
      <c r="AB316" s="209" t="str">
        <f>IFERROR(VLOOKUP(TableHandbook[[#This Row],[UDC]],TableMJRUHSEC1[],7,FALSE),"")</f>
        <v/>
      </c>
      <c r="AC316" s="209" t="str">
        <f>IFERROR(VLOOKUP(TableHandbook[[#This Row],[UDC]],TableMJRUHSGE1[],7,FALSE),"")</f>
        <v/>
      </c>
      <c r="AD316" s="209" t="str">
        <f>IFERROR(VLOOKUP(TableHandbook[[#This Row],[UDC]],TableMJRUHSHI1[],7,FALSE),"")</f>
        <v/>
      </c>
      <c r="AE316" s="209" t="str">
        <f>IFERROR(VLOOKUP(TableHandbook[[#This Row],[UDC]],TableMJRUHSPL1[],7,FALSE),"")</f>
        <v/>
      </c>
      <c r="AF316" s="209" t="str">
        <f>IFERROR(VLOOKUP(TableHandbook[[#This Row],[UDC]],TableMJRUMATH1[],7,FALSE),"")</f>
        <v/>
      </c>
      <c r="AG316" s="209" t="str">
        <f>IFERROR(VLOOKUP(TableHandbook[[#This Row],[UDC]],TableMJRUPHYSE[],7,FALSE),"")</f>
        <v/>
      </c>
      <c r="AH316" s="209" t="str">
        <f>IFERROR(VLOOKUP(TableHandbook[[#This Row],[UDC]],TableMJRUSCBI1[],7,FALSE),"")</f>
        <v/>
      </c>
      <c r="AI316" s="209" t="str">
        <f>IFERROR(VLOOKUP(TableHandbook[[#This Row],[UDC]],TableMJRUSCCH1[],7,FALSE),"")</f>
        <v/>
      </c>
      <c r="AJ316" s="209" t="str">
        <f>IFERROR(VLOOKUP(TableHandbook[[#This Row],[UDC]],TableMJRUSCHB1[],7,FALSE),"")</f>
        <v/>
      </c>
      <c r="AK316" s="209" t="str">
        <f>IFERROR(VLOOKUP(TableHandbook[[#This Row],[UDC]],TableMJRUSCPH1[],7,FALSE),"")</f>
        <v/>
      </c>
      <c r="AL316" s="209" t="str">
        <f>IFERROR(VLOOKUP(TableHandbook[[#This Row],[UDC]],TableMJRUSCPS1[],7,FALSE),"")</f>
        <v>Option</v>
      </c>
      <c r="AM316" s="211" t="str">
        <f>IFERROR(VLOOKUP(TableHandbook[[#This Row],[UDC]],TableSTRUBIOLB[],7,FALSE),"")</f>
        <v/>
      </c>
      <c r="AN316" s="209" t="str">
        <f>IFERROR(VLOOKUP(TableHandbook[[#This Row],[UDC]],TableSTRUBSCIM[],7,FALSE),"")</f>
        <v/>
      </c>
      <c r="AO316" s="209" t="str">
        <f>IFERROR(VLOOKUP(TableHandbook[[#This Row],[UDC]],TableSTRUCHEMB[],7,FALSE),"")</f>
        <v/>
      </c>
      <c r="AP316" s="209" t="str">
        <f>IFERROR(VLOOKUP(TableHandbook[[#This Row],[UDC]],TableSTRUECOB1[],7,FALSE),"")</f>
        <v/>
      </c>
      <c r="AQ316" s="209" t="str">
        <f>IFERROR(VLOOKUP(TableHandbook[[#This Row],[UDC]],TableSTRUENGLB[],7,FALSE),"")</f>
        <v/>
      </c>
      <c r="AR316" s="209" t="str">
        <f>IFERROR(VLOOKUP(TableHandbook[[#This Row],[UDC]],TableSTRUENGLM[],7,FALSE),"")</f>
        <v/>
      </c>
      <c r="AS316" s="209" t="str">
        <f>IFERROR(VLOOKUP(TableHandbook[[#This Row],[UDC]],TableSTRUGEOB1[],7,FALSE),"")</f>
        <v/>
      </c>
      <c r="AT316" s="209" t="str">
        <f>IFERROR(VLOOKUP(TableHandbook[[#This Row],[UDC]],TableSTRUGEOGM[],7,FALSE),"")</f>
        <v/>
      </c>
      <c r="AU316" s="209" t="str">
        <f>IFERROR(VLOOKUP(TableHandbook[[#This Row],[UDC]],TableSTRUHISB1[],7,FALSE),"")</f>
        <v/>
      </c>
      <c r="AV316" s="209" t="str">
        <f>IFERROR(VLOOKUP(TableHandbook[[#This Row],[UDC]],TableSTRUHISTM[],7,FALSE),"")</f>
        <v/>
      </c>
      <c r="AW316" s="209" t="str">
        <f>IFERROR(VLOOKUP(TableHandbook[[#This Row],[UDC]],TableSTRUHPEB1[],7,FALSE),"")</f>
        <v/>
      </c>
      <c r="AX316" s="209" t="str">
        <f>IFERROR(VLOOKUP(TableHandbook[[#This Row],[UDC]],TableSTRUHUMBB[],7,FALSE),"")</f>
        <v/>
      </c>
      <c r="AY316" s="209" t="str">
        <f>IFERROR(VLOOKUP(TableHandbook[[#This Row],[UDC]],TableSTRUMARTM[],7,FALSE),"")</f>
        <v/>
      </c>
      <c r="AZ316" s="209" t="str">
        <f>IFERROR(VLOOKUP(TableHandbook[[#This Row],[UDC]],TableSTRUMATHB[],7,FALSE),"")</f>
        <v/>
      </c>
      <c r="BA316" s="209" t="str">
        <f>IFERROR(VLOOKUP(TableHandbook[[#This Row],[UDC]],TableSTRUMATHM[],7,FALSE),"")</f>
        <v/>
      </c>
      <c r="BB316" s="209" t="str">
        <f>IFERROR(VLOOKUP(TableHandbook[[#This Row],[UDC]],TableSTRUPARTB[],7,FALSE),"")</f>
        <v/>
      </c>
      <c r="BC316" s="209" t="str">
        <f>IFERROR(VLOOKUP(TableHandbook[[#This Row],[UDC]],TableSTRUPARTM[],7,FALSE),"")</f>
        <v/>
      </c>
      <c r="BD316" s="209" t="str">
        <f>IFERROR(VLOOKUP(TableHandbook[[#This Row],[UDC]],TableSTRUPOLB1[],7,FALSE),"")</f>
        <v/>
      </c>
      <c r="BE316" s="209" t="str">
        <f>IFERROR(VLOOKUP(TableHandbook[[#This Row],[UDC]],TableSTRUPSYCB[],7,FALSE),"")</f>
        <v/>
      </c>
      <c r="BF316" s="209" t="str">
        <f>IFERROR(VLOOKUP(TableHandbook[[#This Row],[UDC]],TableSTRUPSYCM[],7,FALSE),"")</f>
        <v/>
      </c>
      <c r="BG316" s="209" t="str">
        <f>IFERROR(VLOOKUP(TableHandbook[[#This Row],[UDC]],TableSTRUVARTB[],7,FALSE),"")</f>
        <v/>
      </c>
      <c r="BH316" s="209" t="str">
        <f>IFERROR(VLOOKUP(TableHandbook[[#This Row],[UDC]],TableSTRUVARTM[],7,FALSE),"")</f>
        <v/>
      </c>
    </row>
    <row r="317" spans="1:60" x14ac:dyDescent="0.25">
      <c r="A317" s="6" t="s">
        <v>545</v>
      </c>
      <c r="B317" s="7">
        <v>3</v>
      </c>
      <c r="C317" s="7"/>
      <c r="D317" s="207" t="s">
        <v>1119</v>
      </c>
      <c r="E317" s="7">
        <v>25</v>
      </c>
      <c r="F317" s="309" t="s">
        <v>1120</v>
      </c>
      <c r="G317" s="75" t="str">
        <f>IFERROR(IF(VLOOKUP(TableHandbook[[#This Row],[UDC]],TableAvailabilities[],2,FALSE)&gt;0,"Y",""),"")</f>
        <v>Y</v>
      </c>
      <c r="H317" s="75" t="str">
        <f>IFERROR(IF(VLOOKUP(TableHandbook[[#This Row],[UDC]],TableAvailabilities[],3,FALSE)&gt;0,"Y",""),"")</f>
        <v/>
      </c>
      <c r="I317" s="75" t="str">
        <f>IFERROR(IF(VLOOKUP(TableHandbook[[#This Row],[UDC]],TableAvailabilities[],4,FALSE)&gt;0,"Y",""),"")</f>
        <v/>
      </c>
      <c r="J317" s="75" t="str">
        <f>IFERROR(IF(VLOOKUP(TableHandbook[[#This Row],[UDC]],TableAvailabilities[],5,FALSE)&gt;0,"Y",""),"")</f>
        <v/>
      </c>
      <c r="K317" s="75" t="str">
        <f>IFERROR(IF(VLOOKUP(TableHandbook[[#This Row],[UDC]],TableAvailabilities[],6,FALSE)&gt;0,"Y",""),"")</f>
        <v/>
      </c>
      <c r="L317" s="75" t="str">
        <f>IFERROR(IF(VLOOKUP(TableHandbook[[#This Row],[UDC]],TableAvailabilities[],7,FALSE)&gt;0,"Y",""),"")</f>
        <v/>
      </c>
      <c r="M317" s="309" t="s">
        <v>1111</v>
      </c>
      <c r="N317" s="209" t="str">
        <f>IFERROR(VLOOKUP(TableHandbook[[#This Row],[UDC]],TableBEDUC[],7,FALSE),"")</f>
        <v/>
      </c>
      <c r="O317" s="209" t="str">
        <f>IFERROR(VLOOKUP(TableHandbook[[#This Row],[UDC]],TableBEDEC[],7,FALSE),"")</f>
        <v/>
      </c>
      <c r="P317" s="211" t="str">
        <f>IFERROR(VLOOKUP(TableHandbook[[#This Row],[UDC]],TableBEDPR[],7,FALSE),"")</f>
        <v/>
      </c>
      <c r="Q317" s="209" t="str">
        <f>IFERROR(VLOOKUP(TableHandbook[[#This Row],[UDC]],TableSTRUCATHL[],7,FALSE),"")</f>
        <v/>
      </c>
      <c r="R317" s="209" t="str">
        <f>IFERROR(VLOOKUP(TableHandbook[[#This Row],[UDC]],TableSTRUENGLL[],7,FALSE),"")</f>
        <v/>
      </c>
      <c r="S317" s="209" t="str">
        <f>IFERROR(VLOOKUP(TableHandbook[[#This Row],[UDC]],TableSTRUHLTPE[],7,FALSE),"")</f>
        <v/>
      </c>
      <c r="T317" s="209" t="str">
        <f>IFERROR(VLOOKUP(TableHandbook[[#This Row],[UDC]],TableSTRUISTEM[],7,FALSE),"")</f>
        <v/>
      </c>
      <c r="U317" s="209" t="str">
        <f>IFERROR(VLOOKUP(TableHandbook[[#This Row],[UDC]],TableSTRULITNU[],7,FALSE),"")</f>
        <v/>
      </c>
      <c r="V317" s="209" t="str">
        <f>IFERROR(VLOOKUP(TableHandbook[[#This Row],[UDC]],TableSTRUTECHS[],7,FALSE),"")</f>
        <v/>
      </c>
      <c r="W317" s="211" t="str">
        <f>IFERROR(VLOOKUP(TableHandbook[[#This Row],[UDC]],TableBEDSC[],7,FALSE),"")</f>
        <v/>
      </c>
      <c r="X317" s="211" t="str">
        <f>IFERROR(VLOOKUP(TableHandbook[[#This Row],[UDC]],TableMJRUARDR1[],7,FALSE),"")</f>
        <v/>
      </c>
      <c r="Y317" s="209" t="str">
        <f>IFERROR(VLOOKUP(TableHandbook[[#This Row],[UDC]],TableMJRUARME1[],7,FALSE),"")</f>
        <v/>
      </c>
      <c r="Z317" s="209" t="str">
        <f>IFERROR(VLOOKUP(TableHandbook[[#This Row],[UDC]],TableMJRUARVA1[],7,FALSE),"")</f>
        <v/>
      </c>
      <c r="AA317" s="209" t="str">
        <f>IFERROR(VLOOKUP(TableHandbook[[#This Row],[UDC]],TableMJRUENGL1[],7,FALSE),"")</f>
        <v/>
      </c>
      <c r="AB317" s="209" t="str">
        <f>IFERROR(VLOOKUP(TableHandbook[[#This Row],[UDC]],TableMJRUHSEC1[],7,FALSE),"")</f>
        <v/>
      </c>
      <c r="AC317" s="209" t="str">
        <f>IFERROR(VLOOKUP(TableHandbook[[#This Row],[UDC]],TableMJRUHSGE1[],7,FALSE),"")</f>
        <v/>
      </c>
      <c r="AD317" s="209" t="str">
        <f>IFERROR(VLOOKUP(TableHandbook[[#This Row],[UDC]],TableMJRUHSHI1[],7,FALSE),"")</f>
        <v/>
      </c>
      <c r="AE317" s="209" t="str">
        <f>IFERROR(VLOOKUP(TableHandbook[[#This Row],[UDC]],TableMJRUHSPL1[],7,FALSE),"")</f>
        <v/>
      </c>
      <c r="AF317" s="209" t="str">
        <f>IFERROR(VLOOKUP(TableHandbook[[#This Row],[UDC]],TableMJRUMATH1[],7,FALSE),"")</f>
        <v/>
      </c>
      <c r="AG317" s="209" t="str">
        <f>IFERROR(VLOOKUP(TableHandbook[[#This Row],[UDC]],TableMJRUPHYSE[],7,FALSE),"")</f>
        <v>Core</v>
      </c>
      <c r="AH317" s="209" t="str">
        <f>IFERROR(VLOOKUP(TableHandbook[[#This Row],[UDC]],TableMJRUSCBI1[],7,FALSE),"")</f>
        <v/>
      </c>
      <c r="AI317" s="209" t="str">
        <f>IFERROR(VLOOKUP(TableHandbook[[#This Row],[UDC]],TableMJRUSCCH1[],7,FALSE),"")</f>
        <v/>
      </c>
      <c r="AJ317" s="209" t="str">
        <f>IFERROR(VLOOKUP(TableHandbook[[#This Row],[UDC]],TableMJRUSCHB1[],7,FALSE),"")</f>
        <v/>
      </c>
      <c r="AK317" s="209" t="str">
        <f>IFERROR(VLOOKUP(TableHandbook[[#This Row],[UDC]],TableMJRUSCPH1[],7,FALSE),"")</f>
        <v/>
      </c>
      <c r="AL317" s="209" t="str">
        <f>IFERROR(VLOOKUP(TableHandbook[[#This Row],[UDC]],TableMJRUSCPS1[],7,FALSE),"")</f>
        <v/>
      </c>
      <c r="AM317" s="211" t="str">
        <f>IFERROR(VLOOKUP(TableHandbook[[#This Row],[UDC]],TableSTRUBIOLB[],7,FALSE),"")</f>
        <v/>
      </c>
      <c r="AN317" s="209" t="str">
        <f>IFERROR(VLOOKUP(TableHandbook[[#This Row],[UDC]],TableSTRUBSCIM[],7,FALSE),"")</f>
        <v/>
      </c>
      <c r="AO317" s="209" t="str">
        <f>IFERROR(VLOOKUP(TableHandbook[[#This Row],[UDC]],TableSTRUCHEMB[],7,FALSE),"")</f>
        <v/>
      </c>
      <c r="AP317" s="209" t="str">
        <f>IFERROR(VLOOKUP(TableHandbook[[#This Row],[UDC]],TableSTRUECOB1[],7,FALSE),"")</f>
        <v/>
      </c>
      <c r="AQ317" s="209" t="str">
        <f>IFERROR(VLOOKUP(TableHandbook[[#This Row],[UDC]],TableSTRUENGLB[],7,FALSE),"")</f>
        <v/>
      </c>
      <c r="AR317" s="209" t="str">
        <f>IFERROR(VLOOKUP(TableHandbook[[#This Row],[UDC]],TableSTRUENGLM[],7,FALSE),"")</f>
        <v/>
      </c>
      <c r="AS317" s="209" t="str">
        <f>IFERROR(VLOOKUP(TableHandbook[[#This Row],[UDC]],TableSTRUGEOB1[],7,FALSE),"")</f>
        <v/>
      </c>
      <c r="AT317" s="209" t="str">
        <f>IFERROR(VLOOKUP(TableHandbook[[#This Row],[UDC]],TableSTRUGEOGM[],7,FALSE),"")</f>
        <v/>
      </c>
      <c r="AU317" s="209" t="str">
        <f>IFERROR(VLOOKUP(TableHandbook[[#This Row],[UDC]],TableSTRUHISB1[],7,FALSE),"")</f>
        <v/>
      </c>
      <c r="AV317" s="209" t="str">
        <f>IFERROR(VLOOKUP(TableHandbook[[#This Row],[UDC]],TableSTRUHISTM[],7,FALSE),"")</f>
        <v/>
      </c>
      <c r="AW317" s="209" t="str">
        <f>IFERROR(VLOOKUP(TableHandbook[[#This Row],[UDC]],TableSTRUHPEB1[],7,FALSE),"")</f>
        <v/>
      </c>
      <c r="AX317" s="209" t="str">
        <f>IFERROR(VLOOKUP(TableHandbook[[#This Row],[UDC]],TableSTRUHUMBB[],7,FALSE),"")</f>
        <v/>
      </c>
      <c r="AY317" s="209" t="str">
        <f>IFERROR(VLOOKUP(TableHandbook[[#This Row],[UDC]],TableSTRUMARTM[],7,FALSE),"")</f>
        <v/>
      </c>
      <c r="AZ317" s="209" t="str">
        <f>IFERROR(VLOOKUP(TableHandbook[[#This Row],[UDC]],TableSTRUMATHB[],7,FALSE),"")</f>
        <v/>
      </c>
      <c r="BA317" s="209" t="str">
        <f>IFERROR(VLOOKUP(TableHandbook[[#This Row],[UDC]],TableSTRUMATHM[],7,FALSE),"")</f>
        <v/>
      </c>
      <c r="BB317" s="209" t="str">
        <f>IFERROR(VLOOKUP(TableHandbook[[#This Row],[UDC]],TableSTRUPARTB[],7,FALSE),"")</f>
        <v/>
      </c>
      <c r="BC317" s="209" t="str">
        <f>IFERROR(VLOOKUP(TableHandbook[[#This Row],[UDC]],TableSTRUPARTM[],7,FALSE),"")</f>
        <v/>
      </c>
      <c r="BD317" s="209" t="str">
        <f>IFERROR(VLOOKUP(TableHandbook[[#This Row],[UDC]],TableSTRUPOLB1[],7,FALSE),"")</f>
        <v/>
      </c>
      <c r="BE317" s="209" t="str">
        <f>IFERROR(VLOOKUP(TableHandbook[[#This Row],[UDC]],TableSTRUPSYCB[],7,FALSE),"")</f>
        <v/>
      </c>
      <c r="BF317" s="209" t="str">
        <f>IFERROR(VLOOKUP(TableHandbook[[#This Row],[UDC]],TableSTRUPSYCM[],7,FALSE),"")</f>
        <v/>
      </c>
      <c r="BG317" s="209" t="str">
        <f>IFERROR(VLOOKUP(TableHandbook[[#This Row],[UDC]],TableSTRUVARTB[],7,FALSE),"")</f>
        <v/>
      </c>
      <c r="BH317" s="209" t="str">
        <f>IFERROR(VLOOKUP(TableHandbook[[#This Row],[UDC]],TableSTRUVARTM[],7,FALSE),"")</f>
        <v/>
      </c>
    </row>
    <row r="318" spans="1:60" ht="26.25" x14ac:dyDescent="0.25">
      <c r="A318" s="6" t="s">
        <v>548</v>
      </c>
      <c r="B318" s="7">
        <v>1</v>
      </c>
      <c r="C318" s="7"/>
      <c r="D318" s="207" t="s">
        <v>1121</v>
      </c>
      <c r="E318" s="7">
        <v>25</v>
      </c>
      <c r="F318" s="309" t="s">
        <v>1122</v>
      </c>
      <c r="G318" s="75" t="str">
        <f>IFERROR(IF(VLOOKUP(TableHandbook[[#This Row],[UDC]],TableAvailabilities[],2,FALSE)&gt;0,"Y",""),"")</f>
        <v>Y</v>
      </c>
      <c r="H318" s="75" t="str">
        <f>IFERROR(IF(VLOOKUP(TableHandbook[[#This Row],[UDC]],TableAvailabilities[],3,FALSE)&gt;0,"Y",""),"")</f>
        <v>Y</v>
      </c>
      <c r="I318" s="75" t="str">
        <f>IFERROR(IF(VLOOKUP(TableHandbook[[#This Row],[UDC]],TableAvailabilities[],4,FALSE)&gt;0,"Y",""),"")</f>
        <v/>
      </c>
      <c r="J318" s="75" t="str">
        <f>IFERROR(IF(VLOOKUP(TableHandbook[[#This Row],[UDC]],TableAvailabilities[],5,FALSE)&gt;0,"Y",""),"")</f>
        <v/>
      </c>
      <c r="K318" s="75" t="str">
        <f>IFERROR(IF(VLOOKUP(TableHandbook[[#This Row],[UDC]],TableAvailabilities[],6,FALSE)&gt;0,"Y",""),"")</f>
        <v/>
      </c>
      <c r="L318" s="75" t="str">
        <f>IFERROR(IF(VLOOKUP(TableHandbook[[#This Row],[UDC]],TableAvailabilities[],7,FALSE)&gt;0,"Y",""),"")</f>
        <v/>
      </c>
      <c r="M318" s="309" t="s">
        <v>1123</v>
      </c>
      <c r="N318" s="209" t="str">
        <f>IFERROR(VLOOKUP(TableHandbook[[#This Row],[UDC]],TableBEDUC[],7,FALSE),"")</f>
        <v/>
      </c>
      <c r="O318" s="209" t="str">
        <f>IFERROR(VLOOKUP(TableHandbook[[#This Row],[UDC]],TableBEDEC[],7,FALSE),"")</f>
        <v/>
      </c>
      <c r="P318" s="211" t="str">
        <f>IFERROR(VLOOKUP(TableHandbook[[#This Row],[UDC]],TableBEDPR[],7,FALSE),"")</f>
        <v/>
      </c>
      <c r="Q318" s="209" t="str">
        <f>IFERROR(VLOOKUP(TableHandbook[[#This Row],[UDC]],TableSTRUCATHL[],7,FALSE),"")</f>
        <v/>
      </c>
      <c r="R318" s="209" t="str">
        <f>IFERROR(VLOOKUP(TableHandbook[[#This Row],[UDC]],TableSTRUENGLL[],7,FALSE),"")</f>
        <v/>
      </c>
      <c r="S318" s="209" t="str">
        <f>IFERROR(VLOOKUP(TableHandbook[[#This Row],[UDC]],TableSTRUHLTPE[],7,FALSE),"")</f>
        <v/>
      </c>
      <c r="T318" s="209" t="str">
        <f>IFERROR(VLOOKUP(TableHandbook[[#This Row],[UDC]],TableSTRUISTEM[],7,FALSE),"")</f>
        <v/>
      </c>
      <c r="U318" s="209" t="str">
        <f>IFERROR(VLOOKUP(TableHandbook[[#This Row],[UDC]],TableSTRULITNU[],7,FALSE),"")</f>
        <v/>
      </c>
      <c r="V318" s="209" t="str">
        <f>IFERROR(VLOOKUP(TableHandbook[[#This Row],[UDC]],TableSTRUTECHS[],7,FALSE),"")</f>
        <v/>
      </c>
      <c r="W318" s="211" t="str">
        <f>IFERROR(VLOOKUP(TableHandbook[[#This Row],[UDC]],TableBEDSC[],7,FALSE),"")</f>
        <v/>
      </c>
      <c r="X318" s="211" t="str">
        <f>IFERROR(VLOOKUP(TableHandbook[[#This Row],[UDC]],TableMJRUARDR1[],7,FALSE),"")</f>
        <v/>
      </c>
      <c r="Y318" s="209" t="str">
        <f>IFERROR(VLOOKUP(TableHandbook[[#This Row],[UDC]],TableMJRUARME1[],7,FALSE),"")</f>
        <v/>
      </c>
      <c r="Z318" s="209" t="str">
        <f>IFERROR(VLOOKUP(TableHandbook[[#This Row],[UDC]],TableMJRUARVA1[],7,FALSE),"")</f>
        <v/>
      </c>
      <c r="AA318" s="209" t="str">
        <f>IFERROR(VLOOKUP(TableHandbook[[#This Row],[UDC]],TableMJRUENGL1[],7,FALSE),"")</f>
        <v/>
      </c>
      <c r="AB318" s="209" t="str">
        <f>IFERROR(VLOOKUP(TableHandbook[[#This Row],[UDC]],TableMJRUHSEC1[],7,FALSE),"")</f>
        <v/>
      </c>
      <c r="AC318" s="209" t="str">
        <f>IFERROR(VLOOKUP(TableHandbook[[#This Row],[UDC]],TableMJRUHSGE1[],7,FALSE),"")</f>
        <v/>
      </c>
      <c r="AD318" s="209" t="str">
        <f>IFERROR(VLOOKUP(TableHandbook[[#This Row],[UDC]],TableMJRUHSHI1[],7,FALSE),"")</f>
        <v/>
      </c>
      <c r="AE318" s="209" t="str">
        <f>IFERROR(VLOOKUP(TableHandbook[[#This Row],[UDC]],TableMJRUHSPL1[],7,FALSE),"")</f>
        <v/>
      </c>
      <c r="AF318" s="209" t="str">
        <f>IFERROR(VLOOKUP(TableHandbook[[#This Row],[UDC]],TableMJRUMATH1[],7,FALSE),"")</f>
        <v/>
      </c>
      <c r="AG318" s="209" t="str">
        <f>IFERROR(VLOOKUP(TableHandbook[[#This Row],[UDC]],TableMJRUPHYSE[],7,FALSE),"")</f>
        <v/>
      </c>
      <c r="AH318" s="209" t="str">
        <f>IFERROR(VLOOKUP(TableHandbook[[#This Row],[UDC]],TableMJRUSCBI1[],7,FALSE),"")</f>
        <v/>
      </c>
      <c r="AI318" s="209" t="str">
        <f>IFERROR(VLOOKUP(TableHandbook[[#This Row],[UDC]],TableMJRUSCCH1[],7,FALSE),"")</f>
        <v/>
      </c>
      <c r="AJ318" s="209" t="str">
        <f>IFERROR(VLOOKUP(TableHandbook[[#This Row],[UDC]],TableMJRUSCHB1[],7,FALSE),"")</f>
        <v/>
      </c>
      <c r="AK318" s="209" t="str">
        <f>IFERROR(VLOOKUP(TableHandbook[[#This Row],[UDC]],TableMJRUSCPH1[],7,FALSE),"")</f>
        <v/>
      </c>
      <c r="AL318" s="209" t="str">
        <f>IFERROR(VLOOKUP(TableHandbook[[#This Row],[UDC]],TableMJRUSCPS1[],7,FALSE),"")</f>
        <v>Core</v>
      </c>
      <c r="AM318" s="211" t="str">
        <f>IFERROR(VLOOKUP(TableHandbook[[#This Row],[UDC]],TableSTRUBIOLB[],7,FALSE),"")</f>
        <v/>
      </c>
      <c r="AN318" s="209" t="str">
        <f>IFERROR(VLOOKUP(TableHandbook[[#This Row],[UDC]],TableSTRUBSCIM[],7,FALSE),"")</f>
        <v/>
      </c>
      <c r="AO318" s="209" t="str">
        <f>IFERROR(VLOOKUP(TableHandbook[[#This Row],[UDC]],TableSTRUCHEMB[],7,FALSE),"")</f>
        <v/>
      </c>
      <c r="AP318" s="209" t="str">
        <f>IFERROR(VLOOKUP(TableHandbook[[#This Row],[UDC]],TableSTRUECOB1[],7,FALSE),"")</f>
        <v/>
      </c>
      <c r="AQ318" s="209" t="str">
        <f>IFERROR(VLOOKUP(TableHandbook[[#This Row],[UDC]],TableSTRUENGLB[],7,FALSE),"")</f>
        <v/>
      </c>
      <c r="AR318" s="209" t="str">
        <f>IFERROR(VLOOKUP(TableHandbook[[#This Row],[UDC]],TableSTRUENGLM[],7,FALSE),"")</f>
        <v/>
      </c>
      <c r="AS318" s="209" t="str">
        <f>IFERROR(VLOOKUP(TableHandbook[[#This Row],[UDC]],TableSTRUGEOB1[],7,FALSE),"")</f>
        <v/>
      </c>
      <c r="AT318" s="209" t="str">
        <f>IFERROR(VLOOKUP(TableHandbook[[#This Row],[UDC]],TableSTRUGEOGM[],7,FALSE),"")</f>
        <v/>
      </c>
      <c r="AU318" s="209" t="str">
        <f>IFERROR(VLOOKUP(TableHandbook[[#This Row],[UDC]],TableSTRUHISB1[],7,FALSE),"")</f>
        <v/>
      </c>
      <c r="AV318" s="209" t="str">
        <f>IFERROR(VLOOKUP(TableHandbook[[#This Row],[UDC]],TableSTRUHISTM[],7,FALSE),"")</f>
        <v/>
      </c>
      <c r="AW318" s="209" t="str">
        <f>IFERROR(VLOOKUP(TableHandbook[[#This Row],[UDC]],TableSTRUHPEB1[],7,FALSE),"")</f>
        <v/>
      </c>
      <c r="AX318" s="209" t="str">
        <f>IFERROR(VLOOKUP(TableHandbook[[#This Row],[UDC]],TableSTRUHUMBB[],7,FALSE),"")</f>
        <v/>
      </c>
      <c r="AY318" s="209" t="str">
        <f>IFERROR(VLOOKUP(TableHandbook[[#This Row],[UDC]],TableSTRUMARTM[],7,FALSE),"")</f>
        <v/>
      </c>
      <c r="AZ318" s="209" t="str">
        <f>IFERROR(VLOOKUP(TableHandbook[[#This Row],[UDC]],TableSTRUMATHB[],7,FALSE),"")</f>
        <v/>
      </c>
      <c r="BA318" s="209" t="str">
        <f>IFERROR(VLOOKUP(TableHandbook[[#This Row],[UDC]],TableSTRUMATHM[],7,FALSE),"")</f>
        <v/>
      </c>
      <c r="BB318" s="209" t="str">
        <f>IFERROR(VLOOKUP(TableHandbook[[#This Row],[UDC]],TableSTRUPARTB[],7,FALSE),"")</f>
        <v/>
      </c>
      <c r="BC318" s="209" t="str">
        <f>IFERROR(VLOOKUP(TableHandbook[[#This Row],[UDC]],TableSTRUPARTM[],7,FALSE),"")</f>
        <v/>
      </c>
      <c r="BD318" s="209" t="str">
        <f>IFERROR(VLOOKUP(TableHandbook[[#This Row],[UDC]],TableSTRUPOLB1[],7,FALSE),"")</f>
        <v/>
      </c>
      <c r="BE318" s="209" t="str">
        <f>IFERROR(VLOOKUP(TableHandbook[[#This Row],[UDC]],TableSTRUPSYCB[],7,FALSE),"")</f>
        <v/>
      </c>
      <c r="BF318" s="209" t="str">
        <f>IFERROR(VLOOKUP(TableHandbook[[#This Row],[UDC]],TableSTRUPSYCM[],7,FALSE),"")</f>
        <v/>
      </c>
      <c r="BG318" s="209" t="str">
        <f>IFERROR(VLOOKUP(TableHandbook[[#This Row],[UDC]],TableSTRUVARTB[],7,FALSE),"")</f>
        <v/>
      </c>
      <c r="BH318" s="209" t="str">
        <f>IFERROR(VLOOKUP(TableHandbook[[#This Row],[UDC]],TableSTRUVARTM[],7,FALSE),"")</f>
        <v/>
      </c>
    </row>
    <row r="319" spans="1:60" x14ac:dyDescent="0.25">
      <c r="A319" s="6" t="s">
        <v>713</v>
      </c>
      <c r="B319" s="7">
        <v>1</v>
      </c>
      <c r="C319" s="7"/>
      <c r="D319" s="207" t="s">
        <v>1124</v>
      </c>
      <c r="E319" s="7">
        <v>25</v>
      </c>
      <c r="F319" s="84" t="s">
        <v>783</v>
      </c>
      <c r="G319" s="75" t="str">
        <f>IFERROR(IF(VLOOKUP(TableHandbook[[#This Row],[UDC]],TableAvailabilities[],2,FALSE)&gt;0,"Y",""),"")</f>
        <v>Y</v>
      </c>
      <c r="H319" s="75" t="str">
        <f>IFERROR(IF(VLOOKUP(TableHandbook[[#This Row],[UDC]],TableAvailabilities[],3,FALSE)&gt;0,"Y",""),"")</f>
        <v>Y</v>
      </c>
      <c r="I319" s="75" t="str">
        <f>IFERROR(IF(VLOOKUP(TableHandbook[[#This Row],[UDC]],TableAvailabilities[],4,FALSE)&gt;0,"Y",""),"")</f>
        <v>Y</v>
      </c>
      <c r="J319" s="75" t="str">
        <f>IFERROR(IF(VLOOKUP(TableHandbook[[#This Row],[UDC]],TableAvailabilities[],5,FALSE)&gt;0,"Y",""),"")</f>
        <v>Y</v>
      </c>
      <c r="K319" s="75" t="str">
        <f>IFERROR(IF(VLOOKUP(TableHandbook[[#This Row],[UDC]],TableAvailabilities[],6,FALSE)&gt;0,"Y",""),"")</f>
        <v>Y</v>
      </c>
      <c r="L319" s="75" t="str">
        <f>IFERROR(IF(VLOOKUP(TableHandbook[[#This Row],[UDC]],TableAvailabilities[],7,FALSE)&gt;0,"Y",""),"")</f>
        <v>Y</v>
      </c>
      <c r="M319" s="207"/>
      <c r="N319" s="209" t="str">
        <f>IFERROR(VLOOKUP(TableHandbook[[#This Row],[UDC]],TableBEDUC[],7,FALSE),"")</f>
        <v/>
      </c>
      <c r="O319" s="209" t="str">
        <f>IFERROR(VLOOKUP(TableHandbook[[#This Row],[UDC]],TableBEDEC[],7,FALSE),"")</f>
        <v/>
      </c>
      <c r="P319" s="211" t="str">
        <f>IFERROR(VLOOKUP(TableHandbook[[#This Row],[UDC]],TableBEDPR[],7,FALSE),"")</f>
        <v/>
      </c>
      <c r="Q319" s="209" t="str">
        <f>IFERROR(VLOOKUP(TableHandbook[[#This Row],[UDC]],TableSTRUCATHL[],7,FALSE),"")</f>
        <v/>
      </c>
      <c r="R319" s="209" t="str">
        <f>IFERROR(VLOOKUP(TableHandbook[[#This Row],[UDC]],TableSTRUENGLL[],7,FALSE),"")</f>
        <v/>
      </c>
      <c r="S319" s="209" t="str">
        <f>IFERROR(VLOOKUP(TableHandbook[[#This Row],[UDC]],TableSTRUHLTPE[],7,FALSE),"")</f>
        <v/>
      </c>
      <c r="T319" s="209" t="str">
        <f>IFERROR(VLOOKUP(TableHandbook[[#This Row],[UDC]],TableSTRUISTEM[],7,FALSE),"")</f>
        <v/>
      </c>
      <c r="U319" s="209" t="str">
        <f>IFERROR(VLOOKUP(TableHandbook[[#This Row],[UDC]],TableSTRULITNU[],7,FALSE),"")</f>
        <v/>
      </c>
      <c r="V319" s="209" t="str">
        <f>IFERROR(VLOOKUP(TableHandbook[[#This Row],[UDC]],TableSTRUTECHS[],7,FALSE),"")</f>
        <v/>
      </c>
      <c r="W319" s="211" t="str">
        <f>IFERROR(VLOOKUP(TableHandbook[[#This Row],[UDC]],TableBEDSC[],7,FALSE),"")</f>
        <v/>
      </c>
      <c r="X319" s="211" t="str">
        <f>IFERROR(VLOOKUP(TableHandbook[[#This Row],[UDC]],TableMJRUARDR1[],7,FALSE),"")</f>
        <v/>
      </c>
      <c r="Y319" s="209" t="str">
        <f>IFERROR(VLOOKUP(TableHandbook[[#This Row],[UDC]],TableMJRUARME1[],7,FALSE),"")</f>
        <v/>
      </c>
      <c r="Z319" s="209" t="str">
        <f>IFERROR(VLOOKUP(TableHandbook[[#This Row],[UDC]],TableMJRUARVA1[],7,FALSE),"")</f>
        <v/>
      </c>
      <c r="AA319" s="209" t="str">
        <f>IFERROR(VLOOKUP(TableHandbook[[#This Row],[UDC]],TableMJRUENGL1[],7,FALSE),"")</f>
        <v/>
      </c>
      <c r="AB319" s="209" t="str">
        <f>IFERROR(VLOOKUP(TableHandbook[[#This Row],[UDC]],TableMJRUHSEC1[],7,FALSE),"")</f>
        <v/>
      </c>
      <c r="AC319" s="209" t="str">
        <f>IFERROR(VLOOKUP(TableHandbook[[#This Row],[UDC]],TableMJRUHSGE1[],7,FALSE),"")</f>
        <v/>
      </c>
      <c r="AD319" s="209" t="str">
        <f>IFERROR(VLOOKUP(TableHandbook[[#This Row],[UDC]],TableMJRUHSHI1[],7,FALSE),"")</f>
        <v/>
      </c>
      <c r="AE319" s="209" t="str">
        <f>IFERROR(VLOOKUP(TableHandbook[[#This Row],[UDC]],TableMJRUHSPL1[],7,FALSE),"")</f>
        <v/>
      </c>
      <c r="AF319" s="209" t="str">
        <f>IFERROR(VLOOKUP(TableHandbook[[#This Row],[UDC]],TableMJRUMATH1[],7,FALSE),"")</f>
        <v/>
      </c>
      <c r="AG319" s="209" t="str">
        <f>IFERROR(VLOOKUP(TableHandbook[[#This Row],[UDC]],TableMJRUPHYSE[],7,FALSE),"")</f>
        <v/>
      </c>
      <c r="AH319" s="209" t="str">
        <f>IFERROR(VLOOKUP(TableHandbook[[#This Row],[UDC]],TableMJRUSCBI1[],7,FALSE),"")</f>
        <v/>
      </c>
      <c r="AI319" s="209" t="str">
        <f>IFERROR(VLOOKUP(TableHandbook[[#This Row],[UDC]],TableMJRUSCCH1[],7,FALSE),"")</f>
        <v/>
      </c>
      <c r="AJ319" s="209" t="str">
        <f>IFERROR(VLOOKUP(TableHandbook[[#This Row],[UDC]],TableMJRUSCHB1[],7,FALSE),"")</f>
        <v/>
      </c>
      <c r="AK319" s="209" t="str">
        <f>IFERROR(VLOOKUP(TableHandbook[[#This Row],[UDC]],TableMJRUSCPH1[],7,FALSE),"")</f>
        <v/>
      </c>
      <c r="AL319" s="209" t="str">
        <f>IFERROR(VLOOKUP(TableHandbook[[#This Row],[UDC]],TableMJRUSCPS1[],7,FALSE),"")</f>
        <v/>
      </c>
      <c r="AM319" s="211" t="str">
        <f>IFERROR(VLOOKUP(TableHandbook[[#This Row],[UDC]],TableSTRUBIOLB[],7,FALSE),"")</f>
        <v/>
      </c>
      <c r="AN319" s="209" t="str">
        <f>IFERROR(VLOOKUP(TableHandbook[[#This Row],[UDC]],TableSTRUBSCIM[],7,FALSE),"")</f>
        <v/>
      </c>
      <c r="AO319" s="209" t="str">
        <f>IFERROR(VLOOKUP(TableHandbook[[#This Row],[UDC]],TableSTRUCHEMB[],7,FALSE),"")</f>
        <v/>
      </c>
      <c r="AP319" s="209" t="str">
        <f>IFERROR(VLOOKUP(TableHandbook[[#This Row],[UDC]],TableSTRUECOB1[],7,FALSE),"")</f>
        <v/>
      </c>
      <c r="AQ319" s="209" t="str">
        <f>IFERROR(VLOOKUP(TableHandbook[[#This Row],[UDC]],TableSTRUENGLB[],7,FALSE),"")</f>
        <v/>
      </c>
      <c r="AR319" s="209" t="str">
        <f>IFERROR(VLOOKUP(TableHandbook[[#This Row],[UDC]],TableSTRUENGLM[],7,FALSE),"")</f>
        <v/>
      </c>
      <c r="AS319" s="209" t="str">
        <f>IFERROR(VLOOKUP(TableHandbook[[#This Row],[UDC]],TableSTRUGEOB1[],7,FALSE),"")</f>
        <v/>
      </c>
      <c r="AT319" s="209" t="str">
        <f>IFERROR(VLOOKUP(TableHandbook[[#This Row],[UDC]],TableSTRUGEOGM[],7,FALSE),"")</f>
        <v/>
      </c>
      <c r="AU319" s="209" t="str">
        <f>IFERROR(VLOOKUP(TableHandbook[[#This Row],[UDC]],TableSTRUHISB1[],7,FALSE),"")</f>
        <v/>
      </c>
      <c r="AV319" s="209" t="str">
        <f>IFERROR(VLOOKUP(TableHandbook[[#This Row],[UDC]],TableSTRUHISTM[],7,FALSE),"")</f>
        <v/>
      </c>
      <c r="AW319" s="209" t="str">
        <f>IFERROR(VLOOKUP(TableHandbook[[#This Row],[UDC]],TableSTRUHPEB1[],7,FALSE),"")</f>
        <v>Core</v>
      </c>
      <c r="AX319" s="209" t="str">
        <f>IFERROR(VLOOKUP(TableHandbook[[#This Row],[UDC]],TableSTRUHUMBB[],7,FALSE),"")</f>
        <v/>
      </c>
      <c r="AY319" s="209" t="str">
        <f>IFERROR(VLOOKUP(TableHandbook[[#This Row],[UDC]],TableSTRUMARTM[],7,FALSE),"")</f>
        <v/>
      </c>
      <c r="AZ319" s="209" t="str">
        <f>IFERROR(VLOOKUP(TableHandbook[[#This Row],[UDC]],TableSTRUMATHB[],7,FALSE),"")</f>
        <v/>
      </c>
      <c r="BA319" s="209" t="str">
        <f>IFERROR(VLOOKUP(TableHandbook[[#This Row],[UDC]],TableSTRUMATHM[],7,FALSE),"")</f>
        <v/>
      </c>
      <c r="BB319" s="209" t="str">
        <f>IFERROR(VLOOKUP(TableHandbook[[#This Row],[UDC]],TableSTRUPARTB[],7,FALSE),"")</f>
        <v/>
      </c>
      <c r="BC319" s="209" t="str">
        <f>IFERROR(VLOOKUP(TableHandbook[[#This Row],[UDC]],TableSTRUPARTM[],7,FALSE),"")</f>
        <v/>
      </c>
      <c r="BD319" s="209" t="str">
        <f>IFERROR(VLOOKUP(TableHandbook[[#This Row],[UDC]],TableSTRUPOLB1[],7,FALSE),"")</f>
        <v/>
      </c>
      <c r="BE319" s="209" t="str">
        <f>IFERROR(VLOOKUP(TableHandbook[[#This Row],[UDC]],TableSTRUPSYCB[],7,FALSE),"")</f>
        <v/>
      </c>
      <c r="BF319" s="209" t="str">
        <f>IFERROR(VLOOKUP(TableHandbook[[#This Row],[UDC]],TableSTRUPSYCM[],7,FALSE),"")</f>
        <v/>
      </c>
      <c r="BG319" s="209" t="str">
        <f>IFERROR(VLOOKUP(TableHandbook[[#This Row],[UDC]],TableSTRUVARTB[],7,FALSE),"")</f>
        <v/>
      </c>
      <c r="BH319" s="209" t="str">
        <f>IFERROR(VLOOKUP(TableHandbook[[#This Row],[UDC]],TableSTRUVARTM[],7,FALSE),"")</f>
        <v/>
      </c>
    </row>
    <row r="320" spans="1:60" x14ac:dyDescent="0.25">
      <c r="A320" s="296" t="s">
        <v>579</v>
      </c>
      <c r="B320" s="307">
        <v>2</v>
      </c>
      <c r="C320" s="7"/>
      <c r="D320" s="207" t="s">
        <v>1125</v>
      </c>
      <c r="E320" s="7">
        <v>25</v>
      </c>
      <c r="F320" s="311" t="s">
        <v>783</v>
      </c>
      <c r="G320" s="75" t="str">
        <f>IFERROR(IF(VLOOKUP(TableHandbook[[#This Row],[UDC]],TableAvailabilities[],2,FALSE)&gt;0,"Y",""),"")</f>
        <v>Y</v>
      </c>
      <c r="H320" s="75" t="str">
        <f>IFERROR(IF(VLOOKUP(TableHandbook[[#This Row],[UDC]],TableAvailabilities[],3,FALSE)&gt;0,"Y",""),"")</f>
        <v/>
      </c>
      <c r="I320" s="75" t="str">
        <f>IFERROR(IF(VLOOKUP(TableHandbook[[#This Row],[UDC]],TableAvailabilities[],4,FALSE)&gt;0,"Y",""),"")</f>
        <v/>
      </c>
      <c r="J320" s="75" t="str">
        <f>IFERROR(IF(VLOOKUP(TableHandbook[[#This Row],[UDC]],TableAvailabilities[],5,FALSE)&gt;0,"Y",""),"")</f>
        <v/>
      </c>
      <c r="K320" s="75" t="str">
        <f>IFERROR(IF(VLOOKUP(TableHandbook[[#This Row],[UDC]],TableAvailabilities[],6,FALSE)&gt;0,"Y",""),"")</f>
        <v/>
      </c>
      <c r="L320" s="75" t="str">
        <f>IFERROR(IF(VLOOKUP(TableHandbook[[#This Row],[UDC]],TableAvailabilities[],7,FALSE)&gt;0,"Y",""),"")</f>
        <v/>
      </c>
      <c r="M320" s="207"/>
      <c r="N320" s="209" t="str">
        <f>IFERROR(VLOOKUP(TableHandbook[[#This Row],[UDC]],TableBEDUC[],7,FALSE),"")</f>
        <v/>
      </c>
      <c r="O320" s="209" t="str">
        <f>IFERROR(VLOOKUP(TableHandbook[[#This Row],[UDC]],TableBEDEC[],7,FALSE),"")</f>
        <v/>
      </c>
      <c r="P320" s="211" t="str">
        <f>IFERROR(VLOOKUP(TableHandbook[[#This Row],[UDC]],TableBEDPR[],7,FALSE),"")</f>
        <v/>
      </c>
      <c r="Q320" s="209" t="str">
        <f>IFERROR(VLOOKUP(TableHandbook[[#This Row],[UDC]],TableSTRUCATHL[],7,FALSE),"")</f>
        <v/>
      </c>
      <c r="R320" s="209" t="str">
        <f>IFERROR(VLOOKUP(TableHandbook[[#This Row],[UDC]],TableSTRUENGLL[],7,FALSE),"")</f>
        <v/>
      </c>
      <c r="S320" s="209" t="str">
        <f>IFERROR(VLOOKUP(TableHandbook[[#This Row],[UDC]],TableSTRUHLTPE[],7,FALSE),"")</f>
        <v/>
      </c>
      <c r="T320" s="209" t="str">
        <f>IFERROR(VLOOKUP(TableHandbook[[#This Row],[UDC]],TableSTRUISTEM[],7,FALSE),"")</f>
        <v/>
      </c>
      <c r="U320" s="209" t="str">
        <f>IFERROR(VLOOKUP(TableHandbook[[#This Row],[UDC]],TableSTRULITNU[],7,FALSE),"")</f>
        <v/>
      </c>
      <c r="V320" s="209" t="str">
        <f>IFERROR(VLOOKUP(TableHandbook[[#This Row],[UDC]],TableSTRUTECHS[],7,FALSE),"")</f>
        <v/>
      </c>
      <c r="W320" s="211" t="str">
        <f>IFERROR(VLOOKUP(TableHandbook[[#This Row],[UDC]],TableBEDSC[],7,FALSE),"")</f>
        <v/>
      </c>
      <c r="X320" s="211" t="str">
        <f>IFERROR(VLOOKUP(TableHandbook[[#This Row],[UDC]],TableMJRUARDR1[],7,FALSE),"")</f>
        <v/>
      </c>
      <c r="Y320" s="209" t="str">
        <f>IFERROR(VLOOKUP(TableHandbook[[#This Row],[UDC]],TableMJRUARME1[],7,FALSE),"")</f>
        <v/>
      </c>
      <c r="Z320" s="209" t="str">
        <f>IFERROR(VLOOKUP(TableHandbook[[#This Row],[UDC]],TableMJRUARVA1[],7,FALSE),"")</f>
        <v/>
      </c>
      <c r="AA320" s="209" t="str">
        <f>IFERROR(VLOOKUP(TableHandbook[[#This Row],[UDC]],TableMJRUENGL1[],7,FALSE),"")</f>
        <v>AltCore</v>
      </c>
      <c r="AB320" s="209" t="str">
        <f>IFERROR(VLOOKUP(TableHandbook[[#This Row],[UDC]],TableMJRUHSEC1[],7,FALSE),"")</f>
        <v/>
      </c>
      <c r="AC320" s="209" t="str">
        <f>IFERROR(VLOOKUP(TableHandbook[[#This Row],[UDC]],TableMJRUHSGE1[],7,FALSE),"")</f>
        <v/>
      </c>
      <c r="AD320" s="209" t="str">
        <f>IFERROR(VLOOKUP(TableHandbook[[#This Row],[UDC]],TableMJRUHSHI1[],7,FALSE),"")</f>
        <v/>
      </c>
      <c r="AE320" s="209" t="str">
        <f>IFERROR(VLOOKUP(TableHandbook[[#This Row],[UDC]],TableMJRUHSPL1[],7,FALSE),"")</f>
        <v/>
      </c>
      <c r="AF320" s="209" t="str">
        <f>IFERROR(VLOOKUP(TableHandbook[[#This Row],[UDC]],TableMJRUMATH1[],7,FALSE),"")</f>
        <v/>
      </c>
      <c r="AG320" s="209" t="str">
        <f>IFERROR(VLOOKUP(TableHandbook[[#This Row],[UDC]],TableMJRUPHYSE[],7,FALSE),"")</f>
        <v/>
      </c>
      <c r="AH320" s="209" t="str">
        <f>IFERROR(VLOOKUP(TableHandbook[[#This Row],[UDC]],TableMJRUSCBI1[],7,FALSE),"")</f>
        <v/>
      </c>
      <c r="AI320" s="209" t="str">
        <f>IFERROR(VLOOKUP(TableHandbook[[#This Row],[UDC]],TableMJRUSCCH1[],7,FALSE),"")</f>
        <v/>
      </c>
      <c r="AJ320" s="209" t="str">
        <f>IFERROR(VLOOKUP(TableHandbook[[#This Row],[UDC]],TableMJRUSCHB1[],7,FALSE),"")</f>
        <v/>
      </c>
      <c r="AK320" s="209" t="str">
        <f>IFERROR(VLOOKUP(TableHandbook[[#This Row],[UDC]],TableMJRUSCPH1[],7,FALSE),"")</f>
        <v/>
      </c>
      <c r="AL320" s="209" t="str">
        <f>IFERROR(VLOOKUP(TableHandbook[[#This Row],[UDC]],TableMJRUSCPS1[],7,FALSE),"")</f>
        <v/>
      </c>
      <c r="AM320" s="211" t="str">
        <f>IFERROR(VLOOKUP(TableHandbook[[#This Row],[UDC]],TableSTRUBIOLB[],7,FALSE),"")</f>
        <v/>
      </c>
      <c r="AN320" s="209" t="str">
        <f>IFERROR(VLOOKUP(TableHandbook[[#This Row],[UDC]],TableSTRUBSCIM[],7,FALSE),"")</f>
        <v/>
      </c>
      <c r="AO320" s="209" t="str">
        <f>IFERROR(VLOOKUP(TableHandbook[[#This Row],[UDC]],TableSTRUCHEMB[],7,FALSE),"")</f>
        <v/>
      </c>
      <c r="AP320" s="209" t="str">
        <f>IFERROR(VLOOKUP(TableHandbook[[#This Row],[UDC]],TableSTRUECOB1[],7,FALSE),"")</f>
        <v/>
      </c>
      <c r="AQ320" s="209" t="str">
        <f>IFERROR(VLOOKUP(TableHandbook[[#This Row],[UDC]],TableSTRUENGLB[],7,FALSE),"")</f>
        <v/>
      </c>
      <c r="AR320" s="209" t="str">
        <f>IFERROR(VLOOKUP(TableHandbook[[#This Row],[UDC]],TableSTRUENGLM[],7,FALSE),"")</f>
        <v/>
      </c>
      <c r="AS320" s="209" t="str">
        <f>IFERROR(VLOOKUP(TableHandbook[[#This Row],[UDC]],TableSTRUGEOB1[],7,FALSE),"")</f>
        <v/>
      </c>
      <c r="AT320" s="209" t="str">
        <f>IFERROR(VLOOKUP(TableHandbook[[#This Row],[UDC]],TableSTRUGEOGM[],7,FALSE),"")</f>
        <v/>
      </c>
      <c r="AU320" s="209" t="str">
        <f>IFERROR(VLOOKUP(TableHandbook[[#This Row],[UDC]],TableSTRUHISB1[],7,FALSE),"")</f>
        <v/>
      </c>
      <c r="AV320" s="209" t="str">
        <f>IFERROR(VLOOKUP(TableHandbook[[#This Row],[UDC]],TableSTRUHISTM[],7,FALSE),"")</f>
        <v/>
      </c>
      <c r="AW320" s="209" t="str">
        <f>IFERROR(VLOOKUP(TableHandbook[[#This Row],[UDC]],TableSTRUHPEB1[],7,FALSE),"")</f>
        <v/>
      </c>
      <c r="AX320" s="209" t="str">
        <f>IFERROR(VLOOKUP(TableHandbook[[#This Row],[UDC]],TableSTRUHUMBB[],7,FALSE),"")</f>
        <v/>
      </c>
      <c r="AY320" s="209" t="str">
        <f>IFERROR(VLOOKUP(TableHandbook[[#This Row],[UDC]],TableSTRUMARTM[],7,FALSE),"")</f>
        <v/>
      </c>
      <c r="AZ320" s="209" t="str">
        <f>IFERROR(VLOOKUP(TableHandbook[[#This Row],[UDC]],TableSTRUMATHB[],7,FALSE),"")</f>
        <v/>
      </c>
      <c r="BA320" s="209" t="str">
        <f>IFERROR(VLOOKUP(TableHandbook[[#This Row],[UDC]],TableSTRUMATHM[],7,FALSE),"")</f>
        <v/>
      </c>
      <c r="BB320" s="209" t="str">
        <f>IFERROR(VLOOKUP(TableHandbook[[#This Row],[UDC]],TableSTRUPARTB[],7,FALSE),"")</f>
        <v/>
      </c>
      <c r="BC320" s="209" t="str">
        <f>IFERROR(VLOOKUP(TableHandbook[[#This Row],[UDC]],TableSTRUPARTM[],7,FALSE),"")</f>
        <v/>
      </c>
      <c r="BD320" s="209" t="str">
        <f>IFERROR(VLOOKUP(TableHandbook[[#This Row],[UDC]],TableSTRUPOLB1[],7,FALSE),"")</f>
        <v/>
      </c>
      <c r="BE320" s="209" t="str">
        <f>IFERROR(VLOOKUP(TableHandbook[[#This Row],[UDC]],TableSTRUPSYCB[],7,FALSE),"")</f>
        <v/>
      </c>
      <c r="BF320" s="209" t="str">
        <f>IFERROR(VLOOKUP(TableHandbook[[#This Row],[UDC]],TableSTRUPSYCM[],7,FALSE),"")</f>
        <v/>
      </c>
      <c r="BG320" s="209" t="str">
        <f>IFERROR(VLOOKUP(TableHandbook[[#This Row],[UDC]],TableSTRUVARTB[],7,FALSE),"")</f>
        <v/>
      </c>
      <c r="BH320" s="209" t="str">
        <f>IFERROR(VLOOKUP(TableHandbook[[#This Row],[UDC]],TableSTRUVARTM[],7,FALSE),"")</f>
        <v/>
      </c>
    </row>
    <row r="321" spans="1:60" x14ac:dyDescent="0.25">
      <c r="A321" s="305" t="s">
        <v>721</v>
      </c>
      <c r="B321" s="7">
        <v>2</v>
      </c>
      <c r="C321" s="7"/>
      <c r="D321" s="207" t="s">
        <v>1126</v>
      </c>
      <c r="E321" s="7">
        <v>25</v>
      </c>
      <c r="F321" s="309" t="s">
        <v>1127</v>
      </c>
      <c r="G321" s="75" t="str">
        <f>IFERROR(IF(VLOOKUP(TableHandbook[[#This Row],[UDC]],TableAvailabilities[],2,FALSE)&gt;0,"Y",""),"")</f>
        <v/>
      </c>
      <c r="H321" s="75" t="str">
        <f>IFERROR(IF(VLOOKUP(TableHandbook[[#This Row],[UDC]],TableAvailabilities[],3,FALSE)&gt;0,"Y",""),"")</f>
        <v/>
      </c>
      <c r="I321" s="75" t="str">
        <f>IFERROR(IF(VLOOKUP(TableHandbook[[#This Row],[UDC]],TableAvailabilities[],4,FALSE)&gt;0,"Y",""),"")</f>
        <v/>
      </c>
      <c r="J321" s="75" t="str">
        <f>IFERROR(IF(VLOOKUP(TableHandbook[[#This Row],[UDC]],TableAvailabilities[],5,FALSE)&gt;0,"Y",""),"")</f>
        <v>Y</v>
      </c>
      <c r="K321" s="75" t="str">
        <f>IFERROR(IF(VLOOKUP(TableHandbook[[#This Row],[UDC]],TableAvailabilities[],6,FALSE)&gt;0,"Y",""),"")</f>
        <v/>
      </c>
      <c r="L321" s="75" t="str">
        <f>IFERROR(IF(VLOOKUP(TableHandbook[[#This Row],[UDC]],TableAvailabilities[],7,FALSE)&gt;0,"Y",""),"")</f>
        <v/>
      </c>
      <c r="M321" s="309" t="s">
        <v>1128</v>
      </c>
      <c r="N321" s="209" t="str">
        <f>IFERROR(VLOOKUP(TableHandbook[[#This Row],[UDC]],TableBEDUC[],7,FALSE),"")</f>
        <v/>
      </c>
      <c r="O321" s="209" t="str">
        <f>IFERROR(VLOOKUP(TableHandbook[[#This Row],[UDC]],TableBEDEC[],7,FALSE),"")</f>
        <v/>
      </c>
      <c r="P321" s="211" t="str">
        <f>IFERROR(VLOOKUP(TableHandbook[[#This Row],[UDC]],TableBEDPR[],7,FALSE),"")</f>
        <v/>
      </c>
      <c r="Q321" s="209" t="str">
        <f>IFERROR(VLOOKUP(TableHandbook[[#This Row],[UDC]],TableSTRUCATHL[],7,FALSE),"")</f>
        <v/>
      </c>
      <c r="R321" s="209" t="str">
        <f>IFERROR(VLOOKUP(TableHandbook[[#This Row],[UDC]],TableSTRUENGLL[],7,FALSE),"")</f>
        <v/>
      </c>
      <c r="S321" s="209" t="str">
        <f>IFERROR(VLOOKUP(TableHandbook[[#This Row],[UDC]],TableSTRUHLTPE[],7,FALSE),"")</f>
        <v/>
      </c>
      <c r="T321" s="209" t="str">
        <f>IFERROR(VLOOKUP(TableHandbook[[#This Row],[UDC]],TableSTRUISTEM[],7,FALSE),"")</f>
        <v/>
      </c>
      <c r="U321" s="209" t="str">
        <f>IFERROR(VLOOKUP(TableHandbook[[#This Row],[UDC]],TableSTRULITNU[],7,FALSE),"")</f>
        <v/>
      </c>
      <c r="V321" s="209" t="str">
        <f>IFERROR(VLOOKUP(TableHandbook[[#This Row],[UDC]],TableSTRUTECHS[],7,FALSE),"")</f>
        <v/>
      </c>
      <c r="W321" s="211" t="str">
        <f>IFERROR(VLOOKUP(TableHandbook[[#This Row],[UDC]],TableBEDSC[],7,FALSE),"")</f>
        <v/>
      </c>
      <c r="X321" s="211" t="str">
        <f>IFERROR(VLOOKUP(TableHandbook[[#This Row],[UDC]],TableMJRUARDR1[],7,FALSE),"")</f>
        <v/>
      </c>
      <c r="Y321" s="209" t="str">
        <f>IFERROR(VLOOKUP(TableHandbook[[#This Row],[UDC]],TableMJRUARME1[],7,FALSE),"")</f>
        <v/>
      </c>
      <c r="Z321" s="209" t="str">
        <f>IFERROR(VLOOKUP(TableHandbook[[#This Row],[UDC]],TableMJRUARVA1[],7,FALSE),"")</f>
        <v/>
      </c>
      <c r="AA321" s="209" t="str">
        <f>IFERROR(VLOOKUP(TableHandbook[[#This Row],[UDC]],TableMJRUENGL1[],7,FALSE),"")</f>
        <v/>
      </c>
      <c r="AB321" s="209" t="str">
        <f>IFERROR(VLOOKUP(TableHandbook[[#This Row],[UDC]],TableMJRUHSEC1[],7,FALSE),"")</f>
        <v/>
      </c>
      <c r="AC321" s="209" t="str">
        <f>IFERROR(VLOOKUP(TableHandbook[[#This Row],[UDC]],TableMJRUHSGE1[],7,FALSE),"")</f>
        <v/>
      </c>
      <c r="AD321" s="209" t="str">
        <f>IFERROR(VLOOKUP(TableHandbook[[#This Row],[UDC]],TableMJRUHSHI1[],7,FALSE),"")</f>
        <v/>
      </c>
      <c r="AE321" s="209" t="str">
        <f>IFERROR(VLOOKUP(TableHandbook[[#This Row],[UDC]],TableMJRUHSPL1[],7,FALSE),"")</f>
        <v/>
      </c>
      <c r="AF321" s="209" t="str">
        <f>IFERROR(VLOOKUP(TableHandbook[[#This Row],[UDC]],TableMJRUMATH1[],7,FALSE),"")</f>
        <v/>
      </c>
      <c r="AG321" s="209" t="str">
        <f>IFERROR(VLOOKUP(TableHandbook[[#This Row],[UDC]],TableMJRUPHYSE[],7,FALSE),"")</f>
        <v/>
      </c>
      <c r="AH321" s="209" t="str">
        <f>IFERROR(VLOOKUP(TableHandbook[[#This Row],[UDC]],TableMJRUSCBI1[],7,FALSE),"")</f>
        <v/>
      </c>
      <c r="AI321" s="209" t="str">
        <f>IFERROR(VLOOKUP(TableHandbook[[#This Row],[UDC]],TableMJRUSCCH1[],7,FALSE),"")</f>
        <v/>
      </c>
      <c r="AJ321" s="209" t="str">
        <f>IFERROR(VLOOKUP(TableHandbook[[#This Row],[UDC]],TableMJRUSCHB1[],7,FALSE),"")</f>
        <v/>
      </c>
      <c r="AK321" s="209" t="str">
        <f>IFERROR(VLOOKUP(TableHandbook[[#This Row],[UDC]],TableMJRUSCPH1[],7,FALSE),"")</f>
        <v/>
      </c>
      <c r="AL321" s="209" t="str">
        <f>IFERROR(VLOOKUP(TableHandbook[[#This Row],[UDC]],TableMJRUSCPS1[],7,FALSE),"")</f>
        <v/>
      </c>
      <c r="AM321" s="211" t="str">
        <f>IFERROR(VLOOKUP(TableHandbook[[#This Row],[UDC]],TableSTRUBIOLB[],7,FALSE),"")</f>
        <v/>
      </c>
      <c r="AN321" s="209" t="str">
        <f>IFERROR(VLOOKUP(TableHandbook[[#This Row],[UDC]],TableSTRUBSCIM[],7,FALSE),"")</f>
        <v/>
      </c>
      <c r="AO321" s="209" t="str">
        <f>IFERROR(VLOOKUP(TableHandbook[[#This Row],[UDC]],TableSTRUCHEMB[],7,FALSE),"")</f>
        <v/>
      </c>
      <c r="AP321" s="209" t="str">
        <f>IFERROR(VLOOKUP(TableHandbook[[#This Row],[UDC]],TableSTRUECOB1[],7,FALSE),"")</f>
        <v/>
      </c>
      <c r="AQ321" s="209" t="str">
        <f>IFERROR(VLOOKUP(TableHandbook[[#This Row],[UDC]],TableSTRUENGLB[],7,FALSE),"")</f>
        <v>Core</v>
      </c>
      <c r="AR321" s="209" t="str">
        <f>IFERROR(VLOOKUP(TableHandbook[[#This Row],[UDC]],TableSTRUENGLM[],7,FALSE),"")</f>
        <v/>
      </c>
      <c r="AS321" s="209" t="str">
        <f>IFERROR(VLOOKUP(TableHandbook[[#This Row],[UDC]],TableSTRUGEOB1[],7,FALSE),"")</f>
        <v/>
      </c>
      <c r="AT321" s="209" t="str">
        <f>IFERROR(VLOOKUP(TableHandbook[[#This Row],[UDC]],TableSTRUGEOGM[],7,FALSE),"")</f>
        <v/>
      </c>
      <c r="AU321" s="209" t="str">
        <f>IFERROR(VLOOKUP(TableHandbook[[#This Row],[UDC]],TableSTRUHISB1[],7,FALSE),"")</f>
        <v/>
      </c>
      <c r="AV321" s="209" t="str">
        <f>IFERROR(VLOOKUP(TableHandbook[[#This Row],[UDC]],TableSTRUHISTM[],7,FALSE),"")</f>
        <v/>
      </c>
      <c r="AW321" s="209" t="str">
        <f>IFERROR(VLOOKUP(TableHandbook[[#This Row],[UDC]],TableSTRUHPEB1[],7,FALSE),"")</f>
        <v/>
      </c>
      <c r="AX321" s="209" t="str">
        <f>IFERROR(VLOOKUP(TableHandbook[[#This Row],[UDC]],TableSTRUHUMBB[],7,FALSE),"")</f>
        <v/>
      </c>
      <c r="AY321" s="209" t="str">
        <f>IFERROR(VLOOKUP(TableHandbook[[#This Row],[UDC]],TableSTRUMARTM[],7,FALSE),"")</f>
        <v/>
      </c>
      <c r="AZ321" s="209" t="str">
        <f>IFERROR(VLOOKUP(TableHandbook[[#This Row],[UDC]],TableSTRUMATHB[],7,FALSE),"")</f>
        <v/>
      </c>
      <c r="BA321" s="209" t="str">
        <f>IFERROR(VLOOKUP(TableHandbook[[#This Row],[UDC]],TableSTRUMATHM[],7,FALSE),"")</f>
        <v/>
      </c>
      <c r="BB321" s="209" t="str">
        <f>IFERROR(VLOOKUP(TableHandbook[[#This Row],[UDC]],TableSTRUPARTB[],7,FALSE),"")</f>
        <v/>
      </c>
      <c r="BC321" s="209" t="str">
        <f>IFERROR(VLOOKUP(TableHandbook[[#This Row],[UDC]],TableSTRUPARTM[],7,FALSE),"")</f>
        <v/>
      </c>
      <c r="BD321" s="209" t="str">
        <f>IFERROR(VLOOKUP(TableHandbook[[#This Row],[UDC]],TableSTRUPOLB1[],7,FALSE),"")</f>
        <v/>
      </c>
      <c r="BE321" s="209" t="str">
        <f>IFERROR(VLOOKUP(TableHandbook[[#This Row],[UDC]],TableSTRUPSYCB[],7,FALSE),"")</f>
        <v/>
      </c>
      <c r="BF321" s="209" t="str">
        <f>IFERROR(VLOOKUP(TableHandbook[[#This Row],[UDC]],TableSTRUPSYCM[],7,FALSE),"")</f>
        <v/>
      </c>
      <c r="BG321" s="209" t="str">
        <f>IFERROR(VLOOKUP(TableHandbook[[#This Row],[UDC]],TableSTRUVARTB[],7,FALSE),"")</f>
        <v/>
      </c>
      <c r="BH321" s="209" t="str">
        <f>IFERROR(VLOOKUP(TableHandbook[[#This Row],[UDC]],TableSTRUVARTM[],7,FALSE),"")</f>
        <v/>
      </c>
    </row>
    <row r="322" spans="1:60" x14ac:dyDescent="0.25">
      <c r="A322" s="6" t="s">
        <v>455</v>
      </c>
      <c r="B322" s="7">
        <v>2</v>
      </c>
      <c r="C322" s="7"/>
      <c r="D322" s="207" t="s">
        <v>1129</v>
      </c>
      <c r="E322" s="7">
        <v>25</v>
      </c>
      <c r="F322" s="309" t="s">
        <v>1130</v>
      </c>
      <c r="G322" s="75" t="str">
        <f>IFERROR(IF(VLOOKUP(TableHandbook[[#This Row],[UDC]],TableAvailabilities[],2,FALSE)&gt;0,"Y",""),"")</f>
        <v/>
      </c>
      <c r="H322" s="75" t="str">
        <f>IFERROR(IF(VLOOKUP(TableHandbook[[#This Row],[UDC]],TableAvailabilities[],3,FALSE)&gt;0,"Y",""),"")</f>
        <v/>
      </c>
      <c r="I322" s="75" t="str">
        <f>IFERROR(IF(VLOOKUP(TableHandbook[[#This Row],[UDC]],TableAvailabilities[],4,FALSE)&gt;0,"Y",""),"")</f>
        <v/>
      </c>
      <c r="J322" s="75" t="str">
        <f>IFERROR(IF(VLOOKUP(TableHandbook[[#This Row],[UDC]],TableAvailabilities[],5,FALSE)&gt;0,"Y",""),"")</f>
        <v>Y</v>
      </c>
      <c r="K322" s="75" t="str">
        <f>IFERROR(IF(VLOOKUP(TableHandbook[[#This Row],[UDC]],TableAvailabilities[],6,FALSE)&gt;0,"Y",""),"")</f>
        <v/>
      </c>
      <c r="L322" s="75" t="str">
        <f>IFERROR(IF(VLOOKUP(TableHandbook[[#This Row],[UDC]],TableAvailabilities[],7,FALSE)&gt;0,"Y",""),"")</f>
        <v/>
      </c>
      <c r="M322" s="309" t="s">
        <v>1131</v>
      </c>
      <c r="N322" s="209" t="str">
        <f>IFERROR(VLOOKUP(TableHandbook[[#This Row],[UDC]],TableBEDUC[],7,FALSE),"")</f>
        <v/>
      </c>
      <c r="O322" s="209" t="str">
        <f>IFERROR(VLOOKUP(TableHandbook[[#This Row],[UDC]],TableBEDEC[],7,FALSE),"")</f>
        <v/>
      </c>
      <c r="P322" s="211" t="str">
        <f>IFERROR(VLOOKUP(TableHandbook[[#This Row],[UDC]],TableBEDPR[],7,FALSE),"")</f>
        <v/>
      </c>
      <c r="Q322" s="209" t="str">
        <f>IFERROR(VLOOKUP(TableHandbook[[#This Row],[UDC]],TableSTRUCATHL[],7,FALSE),"")</f>
        <v/>
      </c>
      <c r="R322" s="209" t="str">
        <f>IFERROR(VLOOKUP(TableHandbook[[#This Row],[UDC]],TableSTRUENGLL[],7,FALSE),"")</f>
        <v/>
      </c>
      <c r="S322" s="209" t="str">
        <f>IFERROR(VLOOKUP(TableHandbook[[#This Row],[UDC]],TableSTRUHLTPE[],7,FALSE),"")</f>
        <v/>
      </c>
      <c r="T322" s="209" t="str">
        <f>IFERROR(VLOOKUP(TableHandbook[[#This Row],[UDC]],TableSTRUISTEM[],7,FALSE),"")</f>
        <v/>
      </c>
      <c r="U322" s="209" t="str">
        <f>IFERROR(VLOOKUP(TableHandbook[[#This Row],[UDC]],TableSTRULITNU[],7,FALSE),"")</f>
        <v/>
      </c>
      <c r="V322" s="209" t="str">
        <f>IFERROR(VLOOKUP(TableHandbook[[#This Row],[UDC]],TableSTRUTECHS[],7,FALSE),"")</f>
        <v/>
      </c>
      <c r="W322" s="211" t="str">
        <f>IFERROR(VLOOKUP(TableHandbook[[#This Row],[UDC]],TableBEDSC[],7,FALSE),"")</f>
        <v/>
      </c>
      <c r="X322" s="211" t="str">
        <f>IFERROR(VLOOKUP(TableHandbook[[#This Row],[UDC]],TableMJRUARDR1[],7,FALSE),"")</f>
        <v/>
      </c>
      <c r="Y322" s="209" t="str">
        <f>IFERROR(VLOOKUP(TableHandbook[[#This Row],[UDC]],TableMJRUARME1[],7,FALSE),"")</f>
        <v/>
      </c>
      <c r="Z322" s="209" t="str">
        <f>IFERROR(VLOOKUP(TableHandbook[[#This Row],[UDC]],TableMJRUARVA1[],7,FALSE),"")</f>
        <v/>
      </c>
      <c r="AA322" s="209" t="str">
        <f>IFERROR(VLOOKUP(TableHandbook[[#This Row],[UDC]],TableMJRUENGL1[],7,FALSE),"")</f>
        <v/>
      </c>
      <c r="AB322" s="209" t="str">
        <f>IFERROR(VLOOKUP(TableHandbook[[#This Row],[UDC]],TableMJRUHSEC1[],7,FALSE),"")</f>
        <v/>
      </c>
      <c r="AC322" s="209" t="str">
        <f>IFERROR(VLOOKUP(TableHandbook[[#This Row],[UDC]],TableMJRUHSGE1[],7,FALSE),"")</f>
        <v/>
      </c>
      <c r="AD322" s="209" t="str">
        <f>IFERROR(VLOOKUP(TableHandbook[[#This Row],[UDC]],TableMJRUHSHI1[],7,FALSE),"")</f>
        <v/>
      </c>
      <c r="AE322" s="209" t="str">
        <f>IFERROR(VLOOKUP(TableHandbook[[#This Row],[UDC]],TableMJRUHSPL1[],7,FALSE),"")</f>
        <v/>
      </c>
      <c r="AF322" s="209" t="str">
        <f>IFERROR(VLOOKUP(TableHandbook[[#This Row],[UDC]],TableMJRUMATH1[],7,FALSE),"")</f>
        <v/>
      </c>
      <c r="AG322" s="209" t="str">
        <f>IFERROR(VLOOKUP(TableHandbook[[#This Row],[UDC]],TableMJRUPHYSE[],7,FALSE),"")</f>
        <v>Core</v>
      </c>
      <c r="AH322" s="209" t="str">
        <f>IFERROR(VLOOKUP(TableHandbook[[#This Row],[UDC]],TableMJRUSCBI1[],7,FALSE),"")</f>
        <v/>
      </c>
      <c r="AI322" s="209" t="str">
        <f>IFERROR(VLOOKUP(TableHandbook[[#This Row],[UDC]],TableMJRUSCCH1[],7,FALSE),"")</f>
        <v/>
      </c>
      <c r="AJ322" s="209" t="str">
        <f>IFERROR(VLOOKUP(TableHandbook[[#This Row],[UDC]],TableMJRUSCHB1[],7,FALSE),"")</f>
        <v/>
      </c>
      <c r="AK322" s="209" t="str">
        <f>IFERROR(VLOOKUP(TableHandbook[[#This Row],[UDC]],TableMJRUSCPH1[],7,FALSE),"")</f>
        <v/>
      </c>
      <c r="AL322" s="209" t="str">
        <f>IFERROR(VLOOKUP(TableHandbook[[#This Row],[UDC]],TableMJRUSCPS1[],7,FALSE),"")</f>
        <v/>
      </c>
      <c r="AM322" s="211" t="str">
        <f>IFERROR(VLOOKUP(TableHandbook[[#This Row],[UDC]],TableSTRUBIOLB[],7,FALSE),"")</f>
        <v/>
      </c>
      <c r="AN322" s="209" t="str">
        <f>IFERROR(VLOOKUP(TableHandbook[[#This Row],[UDC]],TableSTRUBSCIM[],7,FALSE),"")</f>
        <v/>
      </c>
      <c r="AO322" s="209" t="str">
        <f>IFERROR(VLOOKUP(TableHandbook[[#This Row],[UDC]],TableSTRUCHEMB[],7,FALSE),"")</f>
        <v/>
      </c>
      <c r="AP322" s="209" t="str">
        <f>IFERROR(VLOOKUP(TableHandbook[[#This Row],[UDC]],TableSTRUECOB1[],7,FALSE),"")</f>
        <v/>
      </c>
      <c r="AQ322" s="209" t="str">
        <f>IFERROR(VLOOKUP(TableHandbook[[#This Row],[UDC]],TableSTRUENGLB[],7,FALSE),"")</f>
        <v/>
      </c>
      <c r="AR322" s="209" t="str">
        <f>IFERROR(VLOOKUP(TableHandbook[[#This Row],[UDC]],TableSTRUENGLM[],7,FALSE),"")</f>
        <v/>
      </c>
      <c r="AS322" s="209" t="str">
        <f>IFERROR(VLOOKUP(TableHandbook[[#This Row],[UDC]],TableSTRUGEOB1[],7,FALSE),"")</f>
        <v/>
      </c>
      <c r="AT322" s="209" t="str">
        <f>IFERROR(VLOOKUP(TableHandbook[[#This Row],[UDC]],TableSTRUGEOGM[],7,FALSE),"")</f>
        <v/>
      </c>
      <c r="AU322" s="209" t="str">
        <f>IFERROR(VLOOKUP(TableHandbook[[#This Row],[UDC]],TableSTRUHISB1[],7,FALSE),"")</f>
        <v/>
      </c>
      <c r="AV322" s="209" t="str">
        <f>IFERROR(VLOOKUP(TableHandbook[[#This Row],[UDC]],TableSTRUHISTM[],7,FALSE),"")</f>
        <v/>
      </c>
      <c r="AW322" s="209" t="str">
        <f>IFERROR(VLOOKUP(TableHandbook[[#This Row],[UDC]],TableSTRUHPEB1[],7,FALSE),"")</f>
        <v/>
      </c>
      <c r="AX322" s="209" t="str">
        <f>IFERROR(VLOOKUP(TableHandbook[[#This Row],[UDC]],TableSTRUHUMBB[],7,FALSE),"")</f>
        <v/>
      </c>
      <c r="AY322" s="209" t="str">
        <f>IFERROR(VLOOKUP(TableHandbook[[#This Row],[UDC]],TableSTRUMARTM[],7,FALSE),"")</f>
        <v/>
      </c>
      <c r="AZ322" s="209" t="str">
        <f>IFERROR(VLOOKUP(TableHandbook[[#This Row],[UDC]],TableSTRUMATHB[],7,FALSE),"")</f>
        <v/>
      </c>
      <c r="BA322" s="209" t="str">
        <f>IFERROR(VLOOKUP(TableHandbook[[#This Row],[UDC]],TableSTRUMATHM[],7,FALSE),"")</f>
        <v/>
      </c>
      <c r="BB322" s="209" t="str">
        <f>IFERROR(VLOOKUP(TableHandbook[[#This Row],[UDC]],TableSTRUPARTB[],7,FALSE),"")</f>
        <v/>
      </c>
      <c r="BC322" s="209" t="str">
        <f>IFERROR(VLOOKUP(TableHandbook[[#This Row],[UDC]],TableSTRUPARTM[],7,FALSE),"")</f>
        <v/>
      </c>
      <c r="BD322" s="209" t="str">
        <f>IFERROR(VLOOKUP(TableHandbook[[#This Row],[UDC]],TableSTRUPOLB1[],7,FALSE),"")</f>
        <v/>
      </c>
      <c r="BE322" s="209" t="str">
        <f>IFERROR(VLOOKUP(TableHandbook[[#This Row],[UDC]],TableSTRUPSYCB[],7,FALSE),"")</f>
        <v/>
      </c>
      <c r="BF322" s="209" t="str">
        <f>IFERROR(VLOOKUP(TableHandbook[[#This Row],[UDC]],TableSTRUPSYCM[],7,FALSE),"")</f>
        <v/>
      </c>
      <c r="BG322" s="209" t="str">
        <f>IFERROR(VLOOKUP(TableHandbook[[#This Row],[UDC]],TableSTRUVARTB[],7,FALSE),"")</f>
        <v/>
      </c>
      <c r="BH322" s="209" t="str">
        <f>IFERROR(VLOOKUP(TableHandbook[[#This Row],[UDC]],TableSTRUVARTM[],7,FALSE),"")</f>
        <v/>
      </c>
    </row>
    <row r="323" spans="1:60" x14ac:dyDescent="0.25">
      <c r="A323" s="6" t="s">
        <v>502</v>
      </c>
      <c r="B323" s="7">
        <v>1</v>
      </c>
      <c r="C323" s="7"/>
      <c r="D323" s="207" t="s">
        <v>1132</v>
      </c>
      <c r="E323" s="7">
        <v>25</v>
      </c>
      <c r="F323" s="309" t="s">
        <v>1133</v>
      </c>
      <c r="G323" s="75" t="str">
        <f>IFERROR(IF(VLOOKUP(TableHandbook[[#This Row],[UDC]],TableAvailabilities[],2,FALSE)&gt;0,"Y",""),"")</f>
        <v/>
      </c>
      <c r="H323" s="75" t="str">
        <f>IFERROR(IF(VLOOKUP(TableHandbook[[#This Row],[UDC]],TableAvailabilities[],3,FALSE)&gt;0,"Y",""),"")</f>
        <v/>
      </c>
      <c r="I323" s="75" t="str">
        <f>IFERROR(IF(VLOOKUP(TableHandbook[[#This Row],[UDC]],TableAvailabilities[],4,FALSE)&gt;0,"Y",""),"")</f>
        <v/>
      </c>
      <c r="J323" s="75" t="str">
        <f>IFERROR(IF(VLOOKUP(TableHandbook[[#This Row],[UDC]],TableAvailabilities[],5,FALSE)&gt;0,"Y",""),"")</f>
        <v>Y</v>
      </c>
      <c r="K323" s="75" t="str">
        <f>IFERROR(IF(VLOOKUP(TableHandbook[[#This Row],[UDC]],TableAvailabilities[],6,FALSE)&gt;0,"Y",""),"")</f>
        <v/>
      </c>
      <c r="L323" s="75" t="str">
        <f>IFERROR(IF(VLOOKUP(TableHandbook[[#This Row],[UDC]],TableAvailabilities[],7,FALSE)&gt;0,"Y",""),"")</f>
        <v/>
      </c>
      <c r="M323" s="309" t="s">
        <v>1111</v>
      </c>
      <c r="N323" s="209" t="str">
        <f>IFERROR(VLOOKUP(TableHandbook[[#This Row],[UDC]],TableBEDUC[],7,FALSE),"")</f>
        <v/>
      </c>
      <c r="O323" s="209" t="str">
        <f>IFERROR(VLOOKUP(TableHandbook[[#This Row],[UDC]],TableBEDEC[],7,FALSE),"")</f>
        <v/>
      </c>
      <c r="P323" s="211" t="str">
        <f>IFERROR(VLOOKUP(TableHandbook[[#This Row],[UDC]],TableBEDPR[],7,FALSE),"")</f>
        <v/>
      </c>
      <c r="Q323" s="209" t="str">
        <f>IFERROR(VLOOKUP(TableHandbook[[#This Row],[UDC]],TableSTRUCATHL[],7,FALSE),"")</f>
        <v/>
      </c>
      <c r="R323" s="209" t="str">
        <f>IFERROR(VLOOKUP(TableHandbook[[#This Row],[UDC]],TableSTRUENGLL[],7,FALSE),"")</f>
        <v/>
      </c>
      <c r="S323" s="209" t="str">
        <f>IFERROR(VLOOKUP(TableHandbook[[#This Row],[UDC]],TableSTRUHLTPE[],7,FALSE),"")</f>
        <v/>
      </c>
      <c r="T323" s="209" t="str">
        <f>IFERROR(VLOOKUP(TableHandbook[[#This Row],[UDC]],TableSTRUISTEM[],7,FALSE),"")</f>
        <v/>
      </c>
      <c r="U323" s="209" t="str">
        <f>IFERROR(VLOOKUP(TableHandbook[[#This Row],[UDC]],TableSTRULITNU[],7,FALSE),"")</f>
        <v/>
      </c>
      <c r="V323" s="209" t="str">
        <f>IFERROR(VLOOKUP(TableHandbook[[#This Row],[UDC]],TableSTRUTECHS[],7,FALSE),"")</f>
        <v/>
      </c>
      <c r="W323" s="211" t="str">
        <f>IFERROR(VLOOKUP(TableHandbook[[#This Row],[UDC]],TableBEDSC[],7,FALSE),"")</f>
        <v/>
      </c>
      <c r="X323" s="211" t="str">
        <f>IFERROR(VLOOKUP(TableHandbook[[#This Row],[UDC]],TableMJRUARDR1[],7,FALSE),"")</f>
        <v/>
      </c>
      <c r="Y323" s="209" t="str">
        <f>IFERROR(VLOOKUP(TableHandbook[[#This Row],[UDC]],TableMJRUARME1[],7,FALSE),"")</f>
        <v/>
      </c>
      <c r="Z323" s="209" t="str">
        <f>IFERROR(VLOOKUP(TableHandbook[[#This Row],[UDC]],TableMJRUARVA1[],7,FALSE),"")</f>
        <v/>
      </c>
      <c r="AA323" s="209" t="str">
        <f>IFERROR(VLOOKUP(TableHandbook[[#This Row],[UDC]],TableMJRUENGL1[],7,FALSE),"")</f>
        <v/>
      </c>
      <c r="AB323" s="209" t="str">
        <f>IFERROR(VLOOKUP(TableHandbook[[#This Row],[UDC]],TableMJRUHSEC1[],7,FALSE),"")</f>
        <v/>
      </c>
      <c r="AC323" s="209" t="str">
        <f>IFERROR(VLOOKUP(TableHandbook[[#This Row],[UDC]],TableMJRUHSGE1[],7,FALSE),"")</f>
        <v/>
      </c>
      <c r="AD323" s="209" t="str">
        <f>IFERROR(VLOOKUP(TableHandbook[[#This Row],[UDC]],TableMJRUHSHI1[],7,FALSE),"")</f>
        <v/>
      </c>
      <c r="AE323" s="209" t="str">
        <f>IFERROR(VLOOKUP(TableHandbook[[#This Row],[UDC]],TableMJRUHSPL1[],7,FALSE),"")</f>
        <v/>
      </c>
      <c r="AF323" s="209" t="str">
        <f>IFERROR(VLOOKUP(TableHandbook[[#This Row],[UDC]],TableMJRUMATH1[],7,FALSE),"")</f>
        <v/>
      </c>
      <c r="AG323" s="209" t="str">
        <f>IFERROR(VLOOKUP(TableHandbook[[#This Row],[UDC]],TableMJRUPHYSE[],7,FALSE),"")</f>
        <v>Core</v>
      </c>
      <c r="AH323" s="209" t="str">
        <f>IFERROR(VLOOKUP(TableHandbook[[#This Row],[UDC]],TableMJRUSCBI1[],7,FALSE),"")</f>
        <v/>
      </c>
      <c r="AI323" s="209" t="str">
        <f>IFERROR(VLOOKUP(TableHandbook[[#This Row],[UDC]],TableMJRUSCCH1[],7,FALSE),"")</f>
        <v/>
      </c>
      <c r="AJ323" s="209" t="str">
        <f>IFERROR(VLOOKUP(TableHandbook[[#This Row],[UDC]],TableMJRUSCHB1[],7,FALSE),"")</f>
        <v/>
      </c>
      <c r="AK323" s="209" t="str">
        <f>IFERROR(VLOOKUP(TableHandbook[[#This Row],[UDC]],TableMJRUSCPH1[],7,FALSE),"")</f>
        <v/>
      </c>
      <c r="AL323" s="209" t="str">
        <f>IFERROR(VLOOKUP(TableHandbook[[#This Row],[UDC]],TableMJRUSCPS1[],7,FALSE),"")</f>
        <v/>
      </c>
      <c r="AM323" s="211" t="str">
        <f>IFERROR(VLOOKUP(TableHandbook[[#This Row],[UDC]],TableSTRUBIOLB[],7,FALSE),"")</f>
        <v/>
      </c>
      <c r="AN323" s="209" t="str">
        <f>IFERROR(VLOOKUP(TableHandbook[[#This Row],[UDC]],TableSTRUBSCIM[],7,FALSE),"")</f>
        <v/>
      </c>
      <c r="AO323" s="209" t="str">
        <f>IFERROR(VLOOKUP(TableHandbook[[#This Row],[UDC]],TableSTRUCHEMB[],7,FALSE),"")</f>
        <v/>
      </c>
      <c r="AP323" s="209" t="str">
        <f>IFERROR(VLOOKUP(TableHandbook[[#This Row],[UDC]],TableSTRUECOB1[],7,FALSE),"")</f>
        <v/>
      </c>
      <c r="AQ323" s="209" t="str">
        <f>IFERROR(VLOOKUP(TableHandbook[[#This Row],[UDC]],TableSTRUENGLB[],7,FALSE),"")</f>
        <v/>
      </c>
      <c r="AR323" s="209" t="str">
        <f>IFERROR(VLOOKUP(TableHandbook[[#This Row],[UDC]],TableSTRUENGLM[],7,FALSE),"")</f>
        <v/>
      </c>
      <c r="AS323" s="209" t="str">
        <f>IFERROR(VLOOKUP(TableHandbook[[#This Row],[UDC]],TableSTRUGEOB1[],7,FALSE),"")</f>
        <v/>
      </c>
      <c r="AT323" s="209" t="str">
        <f>IFERROR(VLOOKUP(TableHandbook[[#This Row],[UDC]],TableSTRUGEOGM[],7,FALSE),"")</f>
        <v/>
      </c>
      <c r="AU323" s="209" t="str">
        <f>IFERROR(VLOOKUP(TableHandbook[[#This Row],[UDC]],TableSTRUHISB1[],7,FALSE),"")</f>
        <v/>
      </c>
      <c r="AV323" s="209" t="str">
        <f>IFERROR(VLOOKUP(TableHandbook[[#This Row],[UDC]],TableSTRUHISTM[],7,FALSE),"")</f>
        <v/>
      </c>
      <c r="AW323" s="209" t="str">
        <f>IFERROR(VLOOKUP(TableHandbook[[#This Row],[UDC]],TableSTRUHPEB1[],7,FALSE),"")</f>
        <v/>
      </c>
      <c r="AX323" s="209" t="str">
        <f>IFERROR(VLOOKUP(TableHandbook[[#This Row],[UDC]],TableSTRUHUMBB[],7,FALSE),"")</f>
        <v/>
      </c>
      <c r="AY323" s="209" t="str">
        <f>IFERROR(VLOOKUP(TableHandbook[[#This Row],[UDC]],TableSTRUMARTM[],7,FALSE),"")</f>
        <v/>
      </c>
      <c r="AZ323" s="209" t="str">
        <f>IFERROR(VLOOKUP(TableHandbook[[#This Row],[UDC]],TableSTRUMATHB[],7,FALSE),"")</f>
        <v/>
      </c>
      <c r="BA323" s="209" t="str">
        <f>IFERROR(VLOOKUP(TableHandbook[[#This Row],[UDC]],TableSTRUMATHM[],7,FALSE),"")</f>
        <v/>
      </c>
      <c r="BB323" s="209" t="str">
        <f>IFERROR(VLOOKUP(TableHandbook[[#This Row],[UDC]],TableSTRUPARTB[],7,FALSE),"")</f>
        <v/>
      </c>
      <c r="BC323" s="209" t="str">
        <f>IFERROR(VLOOKUP(TableHandbook[[#This Row],[UDC]],TableSTRUPARTM[],7,FALSE),"")</f>
        <v/>
      </c>
      <c r="BD323" s="209" t="str">
        <f>IFERROR(VLOOKUP(TableHandbook[[#This Row],[UDC]],TableSTRUPOLB1[],7,FALSE),"")</f>
        <v/>
      </c>
      <c r="BE323" s="209" t="str">
        <f>IFERROR(VLOOKUP(TableHandbook[[#This Row],[UDC]],TableSTRUPSYCB[],7,FALSE),"")</f>
        <v/>
      </c>
      <c r="BF323" s="209" t="str">
        <f>IFERROR(VLOOKUP(TableHandbook[[#This Row],[UDC]],TableSTRUPSYCM[],7,FALSE),"")</f>
        <v/>
      </c>
      <c r="BG323" s="209" t="str">
        <f>IFERROR(VLOOKUP(TableHandbook[[#This Row],[UDC]],TableSTRUVARTB[],7,FALSE),"")</f>
        <v/>
      </c>
      <c r="BH323" s="209" t="str">
        <f>IFERROR(VLOOKUP(TableHandbook[[#This Row],[UDC]],TableSTRUVARTM[],7,FALSE),"")</f>
        <v/>
      </c>
    </row>
    <row r="324" spans="1:60" x14ac:dyDescent="0.25">
      <c r="A324" s="6" t="s">
        <v>559</v>
      </c>
      <c r="B324" s="7">
        <v>1</v>
      </c>
      <c r="C324" s="7"/>
      <c r="D324" s="207" t="s">
        <v>1134</v>
      </c>
      <c r="E324" s="7">
        <v>25</v>
      </c>
      <c r="F324" s="84" t="s">
        <v>1037</v>
      </c>
      <c r="G324" s="75" t="str">
        <f>IFERROR(IF(VLOOKUP(TableHandbook[[#This Row],[UDC]],TableAvailabilities[],2,FALSE)&gt;0,"Y",""),"")</f>
        <v>Y</v>
      </c>
      <c r="H324" s="75" t="str">
        <f>IFERROR(IF(VLOOKUP(TableHandbook[[#This Row],[UDC]],TableAvailabilities[],3,FALSE)&gt;0,"Y",""),"")</f>
        <v/>
      </c>
      <c r="I324" s="75" t="str">
        <f>IFERROR(IF(VLOOKUP(TableHandbook[[#This Row],[UDC]],TableAvailabilities[],4,FALSE)&gt;0,"Y",""),"")</f>
        <v/>
      </c>
      <c r="J324" s="75" t="str">
        <f>IFERROR(IF(VLOOKUP(TableHandbook[[#This Row],[UDC]],TableAvailabilities[],5,FALSE)&gt;0,"Y",""),"")</f>
        <v/>
      </c>
      <c r="K324" s="75" t="str">
        <f>IFERROR(IF(VLOOKUP(TableHandbook[[#This Row],[UDC]],TableAvailabilities[],6,FALSE)&gt;0,"Y",""),"")</f>
        <v/>
      </c>
      <c r="L324" s="75" t="str">
        <f>IFERROR(IF(VLOOKUP(TableHandbook[[#This Row],[UDC]],TableAvailabilities[],7,FALSE)&gt;0,"Y",""),"")</f>
        <v/>
      </c>
      <c r="M324" s="207"/>
      <c r="N324" s="209" t="str">
        <f>IFERROR(VLOOKUP(TableHandbook[[#This Row],[UDC]],TableBEDUC[],7,FALSE),"")</f>
        <v/>
      </c>
      <c r="O324" s="209" t="str">
        <f>IFERROR(VLOOKUP(TableHandbook[[#This Row],[UDC]],TableBEDEC[],7,FALSE),"")</f>
        <v/>
      </c>
      <c r="P324" s="211" t="str">
        <f>IFERROR(VLOOKUP(TableHandbook[[#This Row],[UDC]],TableBEDPR[],7,FALSE),"")</f>
        <v/>
      </c>
      <c r="Q324" s="209" t="str">
        <f>IFERROR(VLOOKUP(TableHandbook[[#This Row],[UDC]],TableSTRUCATHL[],7,FALSE),"")</f>
        <v/>
      </c>
      <c r="R324" s="209" t="str">
        <f>IFERROR(VLOOKUP(TableHandbook[[#This Row],[UDC]],TableSTRUENGLL[],7,FALSE),"")</f>
        <v/>
      </c>
      <c r="S324" s="209" t="str">
        <f>IFERROR(VLOOKUP(TableHandbook[[#This Row],[UDC]],TableSTRUHLTPE[],7,FALSE),"")</f>
        <v/>
      </c>
      <c r="T324" s="209" t="str">
        <f>IFERROR(VLOOKUP(TableHandbook[[#This Row],[UDC]],TableSTRUISTEM[],7,FALSE),"")</f>
        <v/>
      </c>
      <c r="U324" s="209" t="str">
        <f>IFERROR(VLOOKUP(TableHandbook[[#This Row],[UDC]],TableSTRULITNU[],7,FALSE),"")</f>
        <v/>
      </c>
      <c r="V324" s="209" t="str">
        <f>IFERROR(VLOOKUP(TableHandbook[[#This Row],[UDC]],TableSTRUTECHS[],7,FALSE),"")</f>
        <v/>
      </c>
      <c r="W324" s="211" t="str">
        <f>IFERROR(VLOOKUP(TableHandbook[[#This Row],[UDC]],TableBEDSC[],7,FALSE),"")</f>
        <v/>
      </c>
      <c r="X324" s="211" t="str">
        <f>IFERROR(VLOOKUP(TableHandbook[[#This Row],[UDC]],TableMJRUARDR1[],7,FALSE),"")</f>
        <v/>
      </c>
      <c r="Y324" s="209" t="str">
        <f>IFERROR(VLOOKUP(TableHandbook[[#This Row],[UDC]],TableMJRUARME1[],7,FALSE),"")</f>
        <v/>
      </c>
      <c r="Z324" s="209" t="str">
        <f>IFERROR(VLOOKUP(TableHandbook[[#This Row],[UDC]],TableMJRUARVA1[],7,FALSE),"")</f>
        <v/>
      </c>
      <c r="AA324" s="209" t="str">
        <f>IFERROR(VLOOKUP(TableHandbook[[#This Row],[UDC]],TableMJRUENGL1[],7,FALSE),"")</f>
        <v/>
      </c>
      <c r="AB324" s="209" t="str">
        <f>IFERROR(VLOOKUP(TableHandbook[[#This Row],[UDC]],TableMJRUHSEC1[],7,FALSE),"")</f>
        <v/>
      </c>
      <c r="AC324" s="209" t="str">
        <f>IFERROR(VLOOKUP(TableHandbook[[#This Row],[UDC]],TableMJRUHSGE1[],7,FALSE),"")</f>
        <v/>
      </c>
      <c r="AD324" s="209" t="str">
        <f>IFERROR(VLOOKUP(TableHandbook[[#This Row],[UDC]],TableMJRUHSHI1[],7,FALSE),"")</f>
        <v/>
      </c>
      <c r="AE324" s="209" t="str">
        <f>IFERROR(VLOOKUP(TableHandbook[[#This Row],[UDC]],TableMJRUHSPL1[],7,FALSE),"")</f>
        <v/>
      </c>
      <c r="AF324" s="209" t="str">
        <f>IFERROR(VLOOKUP(TableHandbook[[#This Row],[UDC]],TableMJRUMATH1[],7,FALSE),"")</f>
        <v/>
      </c>
      <c r="AG324" s="209" t="str">
        <f>IFERROR(VLOOKUP(TableHandbook[[#This Row],[UDC]],TableMJRUPHYSE[],7,FALSE),"")</f>
        <v>Core</v>
      </c>
      <c r="AH324" s="209" t="str">
        <f>IFERROR(VLOOKUP(TableHandbook[[#This Row],[UDC]],TableMJRUSCBI1[],7,FALSE),"")</f>
        <v/>
      </c>
      <c r="AI324" s="209" t="str">
        <f>IFERROR(VLOOKUP(TableHandbook[[#This Row],[UDC]],TableMJRUSCCH1[],7,FALSE),"")</f>
        <v/>
      </c>
      <c r="AJ324" s="209" t="str">
        <f>IFERROR(VLOOKUP(TableHandbook[[#This Row],[UDC]],TableMJRUSCHB1[],7,FALSE),"")</f>
        <v/>
      </c>
      <c r="AK324" s="209" t="str">
        <f>IFERROR(VLOOKUP(TableHandbook[[#This Row],[UDC]],TableMJRUSCPH1[],7,FALSE),"")</f>
        <v/>
      </c>
      <c r="AL324" s="209" t="str">
        <f>IFERROR(VLOOKUP(TableHandbook[[#This Row],[UDC]],TableMJRUSCPS1[],7,FALSE),"")</f>
        <v/>
      </c>
      <c r="AM324" s="211" t="str">
        <f>IFERROR(VLOOKUP(TableHandbook[[#This Row],[UDC]],TableSTRUBIOLB[],7,FALSE),"")</f>
        <v/>
      </c>
      <c r="AN324" s="209" t="str">
        <f>IFERROR(VLOOKUP(TableHandbook[[#This Row],[UDC]],TableSTRUBSCIM[],7,FALSE),"")</f>
        <v/>
      </c>
      <c r="AO324" s="209" t="str">
        <f>IFERROR(VLOOKUP(TableHandbook[[#This Row],[UDC]],TableSTRUCHEMB[],7,FALSE),"")</f>
        <v/>
      </c>
      <c r="AP324" s="209" t="str">
        <f>IFERROR(VLOOKUP(TableHandbook[[#This Row],[UDC]],TableSTRUECOB1[],7,FALSE),"")</f>
        <v/>
      </c>
      <c r="AQ324" s="209" t="str">
        <f>IFERROR(VLOOKUP(TableHandbook[[#This Row],[UDC]],TableSTRUENGLB[],7,FALSE),"")</f>
        <v/>
      </c>
      <c r="AR324" s="209" t="str">
        <f>IFERROR(VLOOKUP(TableHandbook[[#This Row],[UDC]],TableSTRUENGLM[],7,FALSE),"")</f>
        <v/>
      </c>
      <c r="AS324" s="209" t="str">
        <f>IFERROR(VLOOKUP(TableHandbook[[#This Row],[UDC]],TableSTRUGEOB1[],7,FALSE),"")</f>
        <v/>
      </c>
      <c r="AT324" s="209" t="str">
        <f>IFERROR(VLOOKUP(TableHandbook[[#This Row],[UDC]],TableSTRUGEOGM[],7,FALSE),"")</f>
        <v/>
      </c>
      <c r="AU324" s="209" t="str">
        <f>IFERROR(VLOOKUP(TableHandbook[[#This Row],[UDC]],TableSTRUHISB1[],7,FALSE),"")</f>
        <v/>
      </c>
      <c r="AV324" s="209" t="str">
        <f>IFERROR(VLOOKUP(TableHandbook[[#This Row],[UDC]],TableSTRUHISTM[],7,FALSE),"")</f>
        <v/>
      </c>
      <c r="AW324" s="209" t="str">
        <f>IFERROR(VLOOKUP(TableHandbook[[#This Row],[UDC]],TableSTRUHPEB1[],7,FALSE),"")</f>
        <v/>
      </c>
      <c r="AX324" s="209" t="str">
        <f>IFERROR(VLOOKUP(TableHandbook[[#This Row],[UDC]],TableSTRUHUMBB[],7,FALSE),"")</f>
        <v/>
      </c>
      <c r="AY324" s="209" t="str">
        <f>IFERROR(VLOOKUP(TableHandbook[[#This Row],[UDC]],TableSTRUMARTM[],7,FALSE),"")</f>
        <v/>
      </c>
      <c r="AZ324" s="209" t="str">
        <f>IFERROR(VLOOKUP(TableHandbook[[#This Row],[UDC]],TableSTRUMATHB[],7,FALSE),"")</f>
        <v/>
      </c>
      <c r="BA324" s="209" t="str">
        <f>IFERROR(VLOOKUP(TableHandbook[[#This Row],[UDC]],TableSTRUMATHM[],7,FALSE),"")</f>
        <v/>
      </c>
      <c r="BB324" s="209" t="str">
        <f>IFERROR(VLOOKUP(TableHandbook[[#This Row],[UDC]],TableSTRUPARTB[],7,FALSE),"")</f>
        <v/>
      </c>
      <c r="BC324" s="209" t="str">
        <f>IFERROR(VLOOKUP(TableHandbook[[#This Row],[UDC]],TableSTRUPARTM[],7,FALSE),"")</f>
        <v/>
      </c>
      <c r="BD324" s="209" t="str">
        <f>IFERROR(VLOOKUP(TableHandbook[[#This Row],[UDC]],TableSTRUPOLB1[],7,FALSE),"")</f>
        <v/>
      </c>
      <c r="BE324" s="209" t="str">
        <f>IFERROR(VLOOKUP(TableHandbook[[#This Row],[UDC]],TableSTRUPSYCB[],7,FALSE),"")</f>
        <v/>
      </c>
      <c r="BF324" s="209" t="str">
        <f>IFERROR(VLOOKUP(TableHandbook[[#This Row],[UDC]],TableSTRUPSYCM[],7,FALSE),"")</f>
        <v/>
      </c>
      <c r="BG324" s="209" t="str">
        <f>IFERROR(VLOOKUP(TableHandbook[[#This Row],[UDC]],TableSTRUVARTB[],7,FALSE),"")</f>
        <v/>
      </c>
      <c r="BH324" s="209" t="str">
        <f>IFERROR(VLOOKUP(TableHandbook[[#This Row],[UDC]],TableSTRUVARTM[],7,FALSE),"")</f>
        <v/>
      </c>
    </row>
    <row r="325" spans="1:60" x14ac:dyDescent="0.25">
      <c r="A325" s="6" t="s">
        <v>530</v>
      </c>
      <c r="B325" s="7">
        <v>2</v>
      </c>
      <c r="C325" s="7"/>
      <c r="D325" s="207" t="s">
        <v>1135</v>
      </c>
      <c r="E325" s="7">
        <v>25</v>
      </c>
      <c r="F325" s="84" t="s">
        <v>1136</v>
      </c>
      <c r="G325" s="75" t="str">
        <f>IFERROR(IF(VLOOKUP(TableHandbook[[#This Row],[UDC]],TableAvailabilities[],2,FALSE)&gt;0,"Y",""),"")</f>
        <v/>
      </c>
      <c r="H325" s="75" t="str">
        <f>IFERROR(IF(VLOOKUP(TableHandbook[[#This Row],[UDC]],TableAvailabilities[],3,FALSE)&gt;0,"Y",""),"")</f>
        <v/>
      </c>
      <c r="I325" s="75" t="str">
        <f>IFERROR(IF(VLOOKUP(TableHandbook[[#This Row],[UDC]],TableAvailabilities[],4,FALSE)&gt;0,"Y",""),"")</f>
        <v/>
      </c>
      <c r="J325" s="75" t="str">
        <f>IFERROR(IF(VLOOKUP(TableHandbook[[#This Row],[UDC]],TableAvailabilities[],5,FALSE)&gt;0,"Y",""),"")</f>
        <v>Y</v>
      </c>
      <c r="K325" s="75" t="str">
        <f>IFERROR(IF(VLOOKUP(TableHandbook[[#This Row],[UDC]],TableAvailabilities[],6,FALSE)&gt;0,"Y",""),"")</f>
        <v/>
      </c>
      <c r="L325" s="75" t="str">
        <f>IFERROR(IF(VLOOKUP(TableHandbook[[#This Row],[UDC]],TableAvailabilities[],7,FALSE)&gt;0,"Y",""),"")</f>
        <v/>
      </c>
      <c r="M325" s="314" t="s">
        <v>1137</v>
      </c>
      <c r="N325" s="209" t="str">
        <f>IFERROR(VLOOKUP(TableHandbook[[#This Row],[UDC]],TableBEDUC[],7,FALSE),"")</f>
        <v/>
      </c>
      <c r="O325" s="209" t="str">
        <f>IFERROR(VLOOKUP(TableHandbook[[#This Row],[UDC]],TableBEDEC[],7,FALSE),"")</f>
        <v/>
      </c>
      <c r="P325" s="211" t="str">
        <f>IFERROR(VLOOKUP(TableHandbook[[#This Row],[UDC]],TableBEDPR[],7,FALSE),"")</f>
        <v/>
      </c>
      <c r="Q325" s="209" t="str">
        <f>IFERROR(VLOOKUP(TableHandbook[[#This Row],[UDC]],TableSTRUCATHL[],7,FALSE),"")</f>
        <v/>
      </c>
      <c r="R325" s="209" t="str">
        <f>IFERROR(VLOOKUP(TableHandbook[[#This Row],[UDC]],TableSTRUENGLL[],7,FALSE),"")</f>
        <v/>
      </c>
      <c r="S325" s="209" t="str">
        <f>IFERROR(VLOOKUP(TableHandbook[[#This Row],[UDC]],TableSTRUHLTPE[],7,FALSE),"")</f>
        <v/>
      </c>
      <c r="T325" s="209" t="str">
        <f>IFERROR(VLOOKUP(TableHandbook[[#This Row],[UDC]],TableSTRUISTEM[],7,FALSE),"")</f>
        <v/>
      </c>
      <c r="U325" s="209" t="str">
        <f>IFERROR(VLOOKUP(TableHandbook[[#This Row],[UDC]],TableSTRULITNU[],7,FALSE),"")</f>
        <v/>
      </c>
      <c r="V325" s="209" t="str">
        <f>IFERROR(VLOOKUP(TableHandbook[[#This Row],[UDC]],TableSTRUTECHS[],7,FALSE),"")</f>
        <v/>
      </c>
      <c r="W325" s="211" t="str">
        <f>IFERROR(VLOOKUP(TableHandbook[[#This Row],[UDC]],TableBEDSC[],7,FALSE),"")</f>
        <v/>
      </c>
      <c r="X325" s="211" t="str">
        <f>IFERROR(VLOOKUP(TableHandbook[[#This Row],[UDC]],TableMJRUARDR1[],7,FALSE),"")</f>
        <v/>
      </c>
      <c r="Y325" s="209" t="str">
        <f>IFERROR(VLOOKUP(TableHandbook[[#This Row],[UDC]],TableMJRUARME1[],7,FALSE),"")</f>
        <v/>
      </c>
      <c r="Z325" s="209" t="str">
        <f>IFERROR(VLOOKUP(TableHandbook[[#This Row],[UDC]],TableMJRUARVA1[],7,FALSE),"")</f>
        <v/>
      </c>
      <c r="AA325" s="209" t="str">
        <f>IFERROR(VLOOKUP(TableHandbook[[#This Row],[UDC]],TableMJRUENGL1[],7,FALSE),"")</f>
        <v/>
      </c>
      <c r="AB325" s="209" t="str">
        <f>IFERROR(VLOOKUP(TableHandbook[[#This Row],[UDC]],TableMJRUHSEC1[],7,FALSE),"")</f>
        <v/>
      </c>
      <c r="AC325" s="209" t="str">
        <f>IFERROR(VLOOKUP(TableHandbook[[#This Row],[UDC]],TableMJRUHSGE1[],7,FALSE),"")</f>
        <v/>
      </c>
      <c r="AD325" s="209" t="str">
        <f>IFERROR(VLOOKUP(TableHandbook[[#This Row],[UDC]],TableMJRUHSHI1[],7,FALSE),"")</f>
        <v/>
      </c>
      <c r="AE325" s="209" t="str">
        <f>IFERROR(VLOOKUP(TableHandbook[[#This Row],[UDC]],TableMJRUHSPL1[],7,FALSE),"")</f>
        <v/>
      </c>
      <c r="AF325" s="209" t="str">
        <f>IFERROR(VLOOKUP(TableHandbook[[#This Row],[UDC]],TableMJRUMATH1[],7,FALSE),"")</f>
        <v/>
      </c>
      <c r="AG325" s="209" t="str">
        <f>IFERROR(VLOOKUP(TableHandbook[[#This Row],[UDC]],TableMJRUPHYSE[],7,FALSE),"")</f>
        <v>Core</v>
      </c>
      <c r="AH325" s="209" t="str">
        <f>IFERROR(VLOOKUP(TableHandbook[[#This Row],[UDC]],TableMJRUSCBI1[],7,FALSE),"")</f>
        <v/>
      </c>
      <c r="AI325" s="209" t="str">
        <f>IFERROR(VLOOKUP(TableHandbook[[#This Row],[UDC]],TableMJRUSCCH1[],7,FALSE),"")</f>
        <v/>
      </c>
      <c r="AJ325" s="209" t="str">
        <f>IFERROR(VLOOKUP(TableHandbook[[#This Row],[UDC]],TableMJRUSCHB1[],7,FALSE),"")</f>
        <v/>
      </c>
      <c r="AK325" s="209" t="str">
        <f>IFERROR(VLOOKUP(TableHandbook[[#This Row],[UDC]],TableMJRUSCPH1[],7,FALSE),"")</f>
        <v/>
      </c>
      <c r="AL325" s="209" t="str">
        <f>IFERROR(VLOOKUP(TableHandbook[[#This Row],[UDC]],TableMJRUSCPS1[],7,FALSE),"")</f>
        <v/>
      </c>
      <c r="AM325" s="211" t="str">
        <f>IFERROR(VLOOKUP(TableHandbook[[#This Row],[UDC]],TableSTRUBIOLB[],7,FALSE),"")</f>
        <v/>
      </c>
      <c r="AN325" s="209" t="str">
        <f>IFERROR(VLOOKUP(TableHandbook[[#This Row],[UDC]],TableSTRUBSCIM[],7,FALSE),"")</f>
        <v/>
      </c>
      <c r="AO325" s="209" t="str">
        <f>IFERROR(VLOOKUP(TableHandbook[[#This Row],[UDC]],TableSTRUCHEMB[],7,FALSE),"")</f>
        <v/>
      </c>
      <c r="AP325" s="209" t="str">
        <f>IFERROR(VLOOKUP(TableHandbook[[#This Row],[UDC]],TableSTRUECOB1[],7,FALSE),"")</f>
        <v/>
      </c>
      <c r="AQ325" s="209" t="str">
        <f>IFERROR(VLOOKUP(TableHandbook[[#This Row],[UDC]],TableSTRUENGLB[],7,FALSE),"")</f>
        <v/>
      </c>
      <c r="AR325" s="209" t="str">
        <f>IFERROR(VLOOKUP(TableHandbook[[#This Row],[UDC]],TableSTRUENGLM[],7,FALSE),"")</f>
        <v/>
      </c>
      <c r="AS325" s="209" t="str">
        <f>IFERROR(VLOOKUP(TableHandbook[[#This Row],[UDC]],TableSTRUGEOB1[],7,FALSE),"")</f>
        <v/>
      </c>
      <c r="AT325" s="209" t="str">
        <f>IFERROR(VLOOKUP(TableHandbook[[#This Row],[UDC]],TableSTRUGEOGM[],7,FALSE),"")</f>
        <v/>
      </c>
      <c r="AU325" s="209" t="str">
        <f>IFERROR(VLOOKUP(TableHandbook[[#This Row],[UDC]],TableSTRUHISB1[],7,FALSE),"")</f>
        <v/>
      </c>
      <c r="AV325" s="209" t="str">
        <f>IFERROR(VLOOKUP(TableHandbook[[#This Row],[UDC]],TableSTRUHISTM[],7,FALSE),"")</f>
        <v/>
      </c>
      <c r="AW325" s="209" t="str">
        <f>IFERROR(VLOOKUP(TableHandbook[[#This Row],[UDC]],TableSTRUHPEB1[],7,FALSE),"")</f>
        <v/>
      </c>
      <c r="AX325" s="209" t="str">
        <f>IFERROR(VLOOKUP(TableHandbook[[#This Row],[UDC]],TableSTRUHUMBB[],7,FALSE),"")</f>
        <v/>
      </c>
      <c r="AY325" s="209" t="str">
        <f>IFERROR(VLOOKUP(TableHandbook[[#This Row],[UDC]],TableSTRUMARTM[],7,FALSE),"")</f>
        <v/>
      </c>
      <c r="AZ325" s="209" t="str">
        <f>IFERROR(VLOOKUP(TableHandbook[[#This Row],[UDC]],TableSTRUMATHB[],7,FALSE),"")</f>
        <v/>
      </c>
      <c r="BA325" s="209" t="str">
        <f>IFERROR(VLOOKUP(TableHandbook[[#This Row],[UDC]],TableSTRUMATHM[],7,FALSE),"")</f>
        <v/>
      </c>
      <c r="BB325" s="209" t="str">
        <f>IFERROR(VLOOKUP(TableHandbook[[#This Row],[UDC]],TableSTRUPARTB[],7,FALSE),"")</f>
        <v/>
      </c>
      <c r="BC325" s="209" t="str">
        <f>IFERROR(VLOOKUP(TableHandbook[[#This Row],[UDC]],TableSTRUPARTM[],7,FALSE),"")</f>
        <v/>
      </c>
      <c r="BD325" s="209" t="str">
        <f>IFERROR(VLOOKUP(TableHandbook[[#This Row],[UDC]],TableSTRUPOLB1[],7,FALSE),"")</f>
        <v/>
      </c>
      <c r="BE325" s="209" t="str">
        <f>IFERROR(VLOOKUP(TableHandbook[[#This Row],[UDC]],TableSTRUPSYCB[],7,FALSE),"")</f>
        <v/>
      </c>
      <c r="BF325" s="209" t="str">
        <f>IFERROR(VLOOKUP(TableHandbook[[#This Row],[UDC]],TableSTRUPSYCM[],7,FALSE),"")</f>
        <v/>
      </c>
      <c r="BG325" s="209" t="str">
        <f>IFERROR(VLOOKUP(TableHandbook[[#This Row],[UDC]],TableSTRUVARTB[],7,FALSE),"")</f>
        <v/>
      </c>
      <c r="BH325" s="209" t="str">
        <f>IFERROR(VLOOKUP(TableHandbook[[#This Row],[UDC]],TableSTRUVARTM[],7,FALSE),"")</f>
        <v/>
      </c>
    </row>
    <row r="326" spans="1:60" x14ac:dyDescent="0.25">
      <c r="A326" s="6" t="s">
        <v>577</v>
      </c>
      <c r="B326" s="7">
        <v>2</v>
      </c>
      <c r="C326" s="7"/>
      <c r="D326" s="207" t="s">
        <v>1138</v>
      </c>
      <c r="E326" s="7">
        <v>25</v>
      </c>
      <c r="F326" s="84" t="s">
        <v>783</v>
      </c>
      <c r="G326" s="75" t="str">
        <f>IFERROR(IF(VLOOKUP(TableHandbook[[#This Row],[UDC]],TableAvailabilities[],2,FALSE)&gt;0,"Y",""),"")</f>
        <v>Y</v>
      </c>
      <c r="H326" s="75" t="str">
        <f>IFERROR(IF(VLOOKUP(TableHandbook[[#This Row],[UDC]],TableAvailabilities[],3,FALSE)&gt;0,"Y",""),"")</f>
        <v/>
      </c>
      <c r="I326" s="75" t="str">
        <f>IFERROR(IF(VLOOKUP(TableHandbook[[#This Row],[UDC]],TableAvailabilities[],4,FALSE)&gt;0,"Y",""),"")</f>
        <v/>
      </c>
      <c r="J326" s="75" t="str">
        <f>IFERROR(IF(VLOOKUP(TableHandbook[[#This Row],[UDC]],TableAvailabilities[],5,FALSE)&gt;0,"Y",""),"")</f>
        <v>Y</v>
      </c>
      <c r="K326" s="75" t="str">
        <f>IFERROR(IF(VLOOKUP(TableHandbook[[#This Row],[UDC]],TableAvailabilities[],6,FALSE)&gt;0,"Y",""),"")</f>
        <v/>
      </c>
      <c r="L326" s="75" t="str">
        <f>IFERROR(IF(VLOOKUP(TableHandbook[[#This Row],[UDC]],TableAvailabilities[],7,FALSE)&gt;0,"Y",""),"")</f>
        <v/>
      </c>
      <c r="M326" s="207"/>
      <c r="N326" s="209" t="str">
        <f>IFERROR(VLOOKUP(TableHandbook[[#This Row],[UDC]],TableBEDUC[],7,FALSE),"")</f>
        <v/>
      </c>
      <c r="O326" s="209" t="str">
        <f>IFERROR(VLOOKUP(TableHandbook[[#This Row],[UDC]],TableBEDEC[],7,FALSE),"")</f>
        <v/>
      </c>
      <c r="P326" s="211" t="str">
        <f>IFERROR(VLOOKUP(TableHandbook[[#This Row],[UDC]],TableBEDPR[],7,FALSE),"")</f>
        <v/>
      </c>
      <c r="Q326" s="209" t="str">
        <f>IFERROR(VLOOKUP(TableHandbook[[#This Row],[UDC]],TableSTRUCATHL[],7,FALSE),"")</f>
        <v/>
      </c>
      <c r="R326" s="209" t="str">
        <f>IFERROR(VLOOKUP(TableHandbook[[#This Row],[UDC]],TableSTRUENGLL[],7,FALSE),"")</f>
        <v/>
      </c>
      <c r="S326" s="209" t="str">
        <f>IFERROR(VLOOKUP(TableHandbook[[#This Row],[UDC]],TableSTRUHLTPE[],7,FALSE),"")</f>
        <v/>
      </c>
      <c r="T326" s="209" t="str">
        <f>IFERROR(VLOOKUP(TableHandbook[[#This Row],[UDC]],TableSTRUISTEM[],7,FALSE),"")</f>
        <v/>
      </c>
      <c r="U326" s="209" t="str">
        <f>IFERROR(VLOOKUP(TableHandbook[[#This Row],[UDC]],TableSTRULITNU[],7,FALSE),"")</f>
        <v/>
      </c>
      <c r="V326" s="209" t="str">
        <f>IFERROR(VLOOKUP(TableHandbook[[#This Row],[UDC]],TableSTRUTECHS[],7,FALSE),"")</f>
        <v/>
      </c>
      <c r="W326" s="211" t="str">
        <f>IFERROR(VLOOKUP(TableHandbook[[#This Row],[UDC]],TableBEDSC[],7,FALSE),"")</f>
        <v/>
      </c>
      <c r="X326" s="211" t="str">
        <f>IFERROR(VLOOKUP(TableHandbook[[#This Row],[UDC]],TableMJRUARDR1[],7,FALSE),"")</f>
        <v/>
      </c>
      <c r="Y326" s="209" t="str">
        <f>IFERROR(VLOOKUP(TableHandbook[[#This Row],[UDC]],TableMJRUARME1[],7,FALSE),"")</f>
        <v>AltCore</v>
      </c>
      <c r="Z326" s="209" t="str">
        <f>IFERROR(VLOOKUP(TableHandbook[[#This Row],[UDC]],TableMJRUARVA1[],7,FALSE),"")</f>
        <v/>
      </c>
      <c r="AA326" s="209" t="str">
        <f>IFERROR(VLOOKUP(TableHandbook[[#This Row],[UDC]],TableMJRUENGL1[],7,FALSE),"")</f>
        <v/>
      </c>
      <c r="AB326" s="209" t="str">
        <f>IFERROR(VLOOKUP(TableHandbook[[#This Row],[UDC]],TableMJRUHSEC1[],7,FALSE),"")</f>
        <v/>
      </c>
      <c r="AC326" s="209" t="str">
        <f>IFERROR(VLOOKUP(TableHandbook[[#This Row],[UDC]],TableMJRUHSGE1[],7,FALSE),"")</f>
        <v/>
      </c>
      <c r="AD326" s="209" t="str">
        <f>IFERROR(VLOOKUP(TableHandbook[[#This Row],[UDC]],TableMJRUHSHI1[],7,FALSE),"")</f>
        <v/>
      </c>
      <c r="AE326" s="209" t="str">
        <f>IFERROR(VLOOKUP(TableHandbook[[#This Row],[UDC]],TableMJRUHSPL1[],7,FALSE),"")</f>
        <v/>
      </c>
      <c r="AF326" s="209" t="str">
        <f>IFERROR(VLOOKUP(TableHandbook[[#This Row],[UDC]],TableMJRUMATH1[],7,FALSE),"")</f>
        <v/>
      </c>
      <c r="AG326" s="209" t="str">
        <f>IFERROR(VLOOKUP(TableHandbook[[#This Row],[UDC]],TableMJRUPHYSE[],7,FALSE),"")</f>
        <v/>
      </c>
      <c r="AH326" s="209" t="str">
        <f>IFERROR(VLOOKUP(TableHandbook[[#This Row],[UDC]],TableMJRUSCBI1[],7,FALSE),"")</f>
        <v/>
      </c>
      <c r="AI326" s="209" t="str">
        <f>IFERROR(VLOOKUP(TableHandbook[[#This Row],[UDC]],TableMJRUSCCH1[],7,FALSE),"")</f>
        <v/>
      </c>
      <c r="AJ326" s="209" t="str">
        <f>IFERROR(VLOOKUP(TableHandbook[[#This Row],[UDC]],TableMJRUSCHB1[],7,FALSE),"")</f>
        <v/>
      </c>
      <c r="AK326" s="209" t="str">
        <f>IFERROR(VLOOKUP(TableHandbook[[#This Row],[UDC]],TableMJRUSCPH1[],7,FALSE),"")</f>
        <v/>
      </c>
      <c r="AL326" s="209" t="str">
        <f>IFERROR(VLOOKUP(TableHandbook[[#This Row],[UDC]],TableMJRUSCPS1[],7,FALSE),"")</f>
        <v/>
      </c>
      <c r="AM326" s="211" t="str">
        <f>IFERROR(VLOOKUP(TableHandbook[[#This Row],[UDC]],TableSTRUBIOLB[],7,FALSE),"")</f>
        <v/>
      </c>
      <c r="AN326" s="209" t="str">
        <f>IFERROR(VLOOKUP(TableHandbook[[#This Row],[UDC]],TableSTRUBSCIM[],7,FALSE),"")</f>
        <v/>
      </c>
      <c r="AO326" s="209" t="str">
        <f>IFERROR(VLOOKUP(TableHandbook[[#This Row],[UDC]],TableSTRUCHEMB[],7,FALSE),"")</f>
        <v/>
      </c>
      <c r="AP326" s="209" t="str">
        <f>IFERROR(VLOOKUP(TableHandbook[[#This Row],[UDC]],TableSTRUECOB1[],7,FALSE),"")</f>
        <v/>
      </c>
      <c r="AQ326" s="209" t="str">
        <f>IFERROR(VLOOKUP(TableHandbook[[#This Row],[UDC]],TableSTRUENGLB[],7,FALSE),"")</f>
        <v/>
      </c>
      <c r="AR326" s="209" t="str">
        <f>IFERROR(VLOOKUP(TableHandbook[[#This Row],[UDC]],TableSTRUENGLM[],7,FALSE),"")</f>
        <v/>
      </c>
      <c r="AS326" s="209" t="str">
        <f>IFERROR(VLOOKUP(TableHandbook[[#This Row],[UDC]],TableSTRUGEOB1[],7,FALSE),"")</f>
        <v/>
      </c>
      <c r="AT326" s="209" t="str">
        <f>IFERROR(VLOOKUP(TableHandbook[[#This Row],[UDC]],TableSTRUGEOGM[],7,FALSE),"")</f>
        <v/>
      </c>
      <c r="AU326" s="209" t="str">
        <f>IFERROR(VLOOKUP(TableHandbook[[#This Row],[UDC]],TableSTRUHISB1[],7,FALSE),"")</f>
        <v/>
      </c>
      <c r="AV326" s="209" t="str">
        <f>IFERROR(VLOOKUP(TableHandbook[[#This Row],[UDC]],TableSTRUHISTM[],7,FALSE),"")</f>
        <v/>
      </c>
      <c r="AW326" s="209" t="str">
        <f>IFERROR(VLOOKUP(TableHandbook[[#This Row],[UDC]],TableSTRUHPEB1[],7,FALSE),"")</f>
        <v/>
      </c>
      <c r="AX326" s="209" t="str">
        <f>IFERROR(VLOOKUP(TableHandbook[[#This Row],[UDC]],TableSTRUHUMBB[],7,FALSE),"")</f>
        <v/>
      </c>
      <c r="AY326" s="209" t="str">
        <f>IFERROR(VLOOKUP(TableHandbook[[#This Row],[UDC]],TableSTRUMARTM[],7,FALSE),"")</f>
        <v>Core</v>
      </c>
      <c r="AZ326" s="209" t="str">
        <f>IFERROR(VLOOKUP(TableHandbook[[#This Row],[UDC]],TableSTRUMATHB[],7,FALSE),"")</f>
        <v/>
      </c>
      <c r="BA326" s="209" t="str">
        <f>IFERROR(VLOOKUP(TableHandbook[[#This Row],[UDC]],TableSTRUMATHM[],7,FALSE),"")</f>
        <v/>
      </c>
      <c r="BB326" s="209" t="str">
        <f>IFERROR(VLOOKUP(TableHandbook[[#This Row],[UDC]],TableSTRUPARTB[],7,FALSE),"")</f>
        <v/>
      </c>
      <c r="BC326" s="209" t="str">
        <f>IFERROR(VLOOKUP(TableHandbook[[#This Row],[UDC]],TableSTRUPARTM[],7,FALSE),"")</f>
        <v/>
      </c>
      <c r="BD326" s="209" t="str">
        <f>IFERROR(VLOOKUP(TableHandbook[[#This Row],[UDC]],TableSTRUPOLB1[],7,FALSE),"")</f>
        <v/>
      </c>
      <c r="BE326" s="209" t="str">
        <f>IFERROR(VLOOKUP(TableHandbook[[#This Row],[UDC]],TableSTRUPSYCB[],7,FALSE),"")</f>
        <v/>
      </c>
      <c r="BF326" s="209" t="str">
        <f>IFERROR(VLOOKUP(TableHandbook[[#This Row],[UDC]],TableSTRUPSYCM[],7,FALSE),"")</f>
        <v/>
      </c>
      <c r="BG326" s="209" t="str">
        <f>IFERROR(VLOOKUP(TableHandbook[[#This Row],[UDC]],TableSTRUVARTB[],7,FALSE),"")</f>
        <v>Core</v>
      </c>
      <c r="BH326" s="209" t="str">
        <f>IFERROR(VLOOKUP(TableHandbook[[#This Row],[UDC]],TableSTRUVARTM[],7,FALSE),"")</f>
        <v/>
      </c>
    </row>
    <row r="327" spans="1:60" x14ac:dyDescent="0.25">
      <c r="A327" s="6" t="s">
        <v>598</v>
      </c>
      <c r="B327" s="7">
        <v>1</v>
      </c>
      <c r="C327" s="7"/>
      <c r="D327" s="207" t="s">
        <v>1139</v>
      </c>
      <c r="E327" s="7">
        <v>25</v>
      </c>
      <c r="F327" s="84" t="s">
        <v>783</v>
      </c>
      <c r="G327" s="75" t="str">
        <f>IFERROR(IF(VLOOKUP(TableHandbook[[#This Row],[UDC]],TableAvailabilities[],2,FALSE)&gt;0,"Y",""),"")</f>
        <v/>
      </c>
      <c r="H327" s="75" t="str">
        <f>IFERROR(IF(VLOOKUP(TableHandbook[[#This Row],[UDC]],TableAvailabilities[],3,FALSE)&gt;0,"Y",""),"")</f>
        <v/>
      </c>
      <c r="I327" s="75" t="str">
        <f>IFERROR(IF(VLOOKUP(TableHandbook[[#This Row],[UDC]],TableAvailabilities[],4,FALSE)&gt;0,"Y",""),"")</f>
        <v/>
      </c>
      <c r="J327" s="75" t="str">
        <f>IFERROR(IF(VLOOKUP(TableHandbook[[#This Row],[UDC]],TableAvailabilities[],5,FALSE)&gt;0,"Y",""),"")</f>
        <v>Y</v>
      </c>
      <c r="K327" s="75" t="str">
        <f>IFERROR(IF(VLOOKUP(TableHandbook[[#This Row],[UDC]],TableAvailabilities[],6,FALSE)&gt;0,"Y",""),"")</f>
        <v>Y</v>
      </c>
      <c r="L327" s="75" t="str">
        <f>IFERROR(IF(VLOOKUP(TableHandbook[[#This Row],[UDC]],TableAvailabilities[],7,FALSE)&gt;0,"Y",""),"")</f>
        <v/>
      </c>
      <c r="M327" s="207"/>
      <c r="N327" s="209" t="str">
        <f>IFERROR(VLOOKUP(TableHandbook[[#This Row],[UDC]],TableBEDUC[],7,FALSE),"")</f>
        <v/>
      </c>
      <c r="O327" s="209" t="str">
        <f>IFERROR(VLOOKUP(TableHandbook[[#This Row],[UDC]],TableBEDEC[],7,FALSE),"")</f>
        <v/>
      </c>
      <c r="P327" s="211" t="str">
        <f>IFERROR(VLOOKUP(TableHandbook[[#This Row],[UDC]],TableBEDPR[],7,FALSE),"")</f>
        <v/>
      </c>
      <c r="Q327" s="209" t="str">
        <f>IFERROR(VLOOKUP(TableHandbook[[#This Row],[UDC]],TableSTRUCATHL[],7,FALSE),"")</f>
        <v/>
      </c>
      <c r="R327" s="209" t="str">
        <f>IFERROR(VLOOKUP(TableHandbook[[#This Row],[UDC]],TableSTRUENGLL[],7,FALSE),"")</f>
        <v/>
      </c>
      <c r="S327" s="209" t="str">
        <f>IFERROR(VLOOKUP(TableHandbook[[#This Row],[UDC]],TableSTRUHLTPE[],7,FALSE),"")</f>
        <v/>
      </c>
      <c r="T327" s="209" t="str">
        <f>IFERROR(VLOOKUP(TableHandbook[[#This Row],[UDC]],TableSTRUISTEM[],7,FALSE),"")</f>
        <v/>
      </c>
      <c r="U327" s="209" t="str">
        <f>IFERROR(VLOOKUP(TableHandbook[[#This Row],[UDC]],TableSTRULITNU[],7,FALSE),"")</f>
        <v/>
      </c>
      <c r="V327" s="209" t="str">
        <f>IFERROR(VLOOKUP(TableHandbook[[#This Row],[UDC]],TableSTRUTECHS[],7,FALSE),"")</f>
        <v/>
      </c>
      <c r="W327" s="211" t="str">
        <f>IFERROR(VLOOKUP(TableHandbook[[#This Row],[UDC]],TableBEDSC[],7,FALSE),"")</f>
        <v/>
      </c>
      <c r="X327" s="211" t="str">
        <f>IFERROR(VLOOKUP(TableHandbook[[#This Row],[UDC]],TableMJRUARDR1[],7,FALSE),"")</f>
        <v/>
      </c>
      <c r="Y327" s="209" t="str">
        <f>IFERROR(VLOOKUP(TableHandbook[[#This Row],[UDC]],TableMJRUARME1[],7,FALSE),"")</f>
        <v>Option</v>
      </c>
      <c r="Z327" s="209" t="str">
        <f>IFERROR(VLOOKUP(TableHandbook[[#This Row],[UDC]],TableMJRUARVA1[],7,FALSE),"")</f>
        <v/>
      </c>
      <c r="AA327" s="209" t="str">
        <f>IFERROR(VLOOKUP(TableHandbook[[#This Row],[UDC]],TableMJRUENGL1[],7,FALSE),"")</f>
        <v/>
      </c>
      <c r="AB327" s="209" t="str">
        <f>IFERROR(VLOOKUP(TableHandbook[[#This Row],[UDC]],TableMJRUHSEC1[],7,FALSE),"")</f>
        <v/>
      </c>
      <c r="AC327" s="209" t="str">
        <f>IFERROR(VLOOKUP(TableHandbook[[#This Row],[UDC]],TableMJRUHSGE1[],7,FALSE),"")</f>
        <v/>
      </c>
      <c r="AD327" s="209" t="str">
        <f>IFERROR(VLOOKUP(TableHandbook[[#This Row],[UDC]],TableMJRUHSHI1[],7,FALSE),"")</f>
        <v/>
      </c>
      <c r="AE327" s="209" t="str">
        <f>IFERROR(VLOOKUP(TableHandbook[[#This Row],[UDC]],TableMJRUHSPL1[],7,FALSE),"")</f>
        <v/>
      </c>
      <c r="AF327" s="209" t="str">
        <f>IFERROR(VLOOKUP(TableHandbook[[#This Row],[UDC]],TableMJRUMATH1[],7,FALSE),"")</f>
        <v/>
      </c>
      <c r="AG327" s="209" t="str">
        <f>IFERROR(VLOOKUP(TableHandbook[[#This Row],[UDC]],TableMJRUPHYSE[],7,FALSE),"")</f>
        <v/>
      </c>
      <c r="AH327" s="209" t="str">
        <f>IFERROR(VLOOKUP(TableHandbook[[#This Row],[UDC]],TableMJRUSCBI1[],7,FALSE),"")</f>
        <v/>
      </c>
      <c r="AI327" s="209" t="str">
        <f>IFERROR(VLOOKUP(TableHandbook[[#This Row],[UDC]],TableMJRUSCCH1[],7,FALSE),"")</f>
        <v/>
      </c>
      <c r="AJ327" s="209" t="str">
        <f>IFERROR(VLOOKUP(TableHandbook[[#This Row],[UDC]],TableMJRUSCHB1[],7,FALSE),"")</f>
        <v/>
      </c>
      <c r="AK327" s="209" t="str">
        <f>IFERROR(VLOOKUP(TableHandbook[[#This Row],[UDC]],TableMJRUSCPH1[],7,FALSE),"")</f>
        <v/>
      </c>
      <c r="AL327" s="209" t="str">
        <f>IFERROR(VLOOKUP(TableHandbook[[#This Row],[UDC]],TableMJRUSCPS1[],7,FALSE),"")</f>
        <v/>
      </c>
      <c r="AM327" s="211" t="str">
        <f>IFERROR(VLOOKUP(TableHandbook[[#This Row],[UDC]],TableSTRUBIOLB[],7,FALSE),"")</f>
        <v/>
      </c>
      <c r="AN327" s="209" t="str">
        <f>IFERROR(VLOOKUP(TableHandbook[[#This Row],[UDC]],TableSTRUBSCIM[],7,FALSE),"")</f>
        <v/>
      </c>
      <c r="AO327" s="209" t="str">
        <f>IFERROR(VLOOKUP(TableHandbook[[#This Row],[UDC]],TableSTRUCHEMB[],7,FALSE),"")</f>
        <v/>
      </c>
      <c r="AP327" s="209" t="str">
        <f>IFERROR(VLOOKUP(TableHandbook[[#This Row],[UDC]],TableSTRUECOB1[],7,FALSE),"")</f>
        <v/>
      </c>
      <c r="AQ327" s="209" t="str">
        <f>IFERROR(VLOOKUP(TableHandbook[[#This Row],[UDC]],TableSTRUENGLB[],7,FALSE),"")</f>
        <v/>
      </c>
      <c r="AR327" s="209" t="str">
        <f>IFERROR(VLOOKUP(TableHandbook[[#This Row],[UDC]],TableSTRUENGLM[],7,FALSE),"")</f>
        <v/>
      </c>
      <c r="AS327" s="209" t="str">
        <f>IFERROR(VLOOKUP(TableHandbook[[#This Row],[UDC]],TableSTRUGEOB1[],7,FALSE),"")</f>
        <v/>
      </c>
      <c r="AT327" s="209" t="str">
        <f>IFERROR(VLOOKUP(TableHandbook[[#This Row],[UDC]],TableSTRUGEOGM[],7,FALSE),"")</f>
        <v/>
      </c>
      <c r="AU327" s="209" t="str">
        <f>IFERROR(VLOOKUP(TableHandbook[[#This Row],[UDC]],TableSTRUHISB1[],7,FALSE),"")</f>
        <v/>
      </c>
      <c r="AV327" s="209" t="str">
        <f>IFERROR(VLOOKUP(TableHandbook[[#This Row],[UDC]],TableSTRUHISTM[],7,FALSE),"")</f>
        <v/>
      </c>
      <c r="AW327" s="209" t="str">
        <f>IFERROR(VLOOKUP(TableHandbook[[#This Row],[UDC]],TableSTRUHPEB1[],7,FALSE),"")</f>
        <v/>
      </c>
      <c r="AX327" s="209" t="str">
        <f>IFERROR(VLOOKUP(TableHandbook[[#This Row],[UDC]],TableSTRUHUMBB[],7,FALSE),"")</f>
        <v/>
      </c>
      <c r="AY327" s="209" t="str">
        <f>IFERROR(VLOOKUP(TableHandbook[[#This Row],[UDC]],TableSTRUMARTM[],7,FALSE),"")</f>
        <v/>
      </c>
      <c r="AZ327" s="209" t="str">
        <f>IFERROR(VLOOKUP(TableHandbook[[#This Row],[UDC]],TableSTRUMATHB[],7,FALSE),"")</f>
        <v/>
      </c>
      <c r="BA327" s="209" t="str">
        <f>IFERROR(VLOOKUP(TableHandbook[[#This Row],[UDC]],TableSTRUMATHM[],7,FALSE),"")</f>
        <v/>
      </c>
      <c r="BB327" s="209" t="str">
        <f>IFERROR(VLOOKUP(TableHandbook[[#This Row],[UDC]],TableSTRUPARTB[],7,FALSE),"")</f>
        <v>AltCore</v>
      </c>
      <c r="BC327" s="209" t="str">
        <f>IFERROR(VLOOKUP(TableHandbook[[#This Row],[UDC]],TableSTRUPARTM[],7,FALSE),"")</f>
        <v/>
      </c>
      <c r="BD327" s="209" t="str">
        <f>IFERROR(VLOOKUP(TableHandbook[[#This Row],[UDC]],TableSTRUPOLB1[],7,FALSE),"")</f>
        <v/>
      </c>
      <c r="BE327" s="209" t="str">
        <f>IFERROR(VLOOKUP(TableHandbook[[#This Row],[UDC]],TableSTRUPSYCB[],7,FALSE),"")</f>
        <v/>
      </c>
      <c r="BF327" s="209" t="str">
        <f>IFERROR(VLOOKUP(TableHandbook[[#This Row],[UDC]],TableSTRUPSYCM[],7,FALSE),"")</f>
        <v/>
      </c>
      <c r="BG327" s="209" t="str">
        <f>IFERROR(VLOOKUP(TableHandbook[[#This Row],[UDC]],TableSTRUVARTB[],7,FALSE),"")</f>
        <v/>
      </c>
      <c r="BH327" s="209" t="str">
        <f>IFERROR(VLOOKUP(TableHandbook[[#This Row],[UDC]],TableSTRUVARTM[],7,FALSE),"")</f>
        <v/>
      </c>
    </row>
    <row r="328" spans="1:60" x14ac:dyDescent="0.25">
      <c r="A328" s="296" t="s">
        <v>636</v>
      </c>
      <c r="B328" s="7">
        <v>1</v>
      </c>
      <c r="C328" s="7"/>
      <c r="D328" s="207" t="s">
        <v>1140</v>
      </c>
      <c r="E328" s="7">
        <v>25</v>
      </c>
      <c r="F328" s="311" t="s">
        <v>783</v>
      </c>
      <c r="G328" s="75" t="str">
        <f>IFERROR(IF(VLOOKUP(TableHandbook[[#This Row],[UDC]],TableAvailabilities[],2,FALSE)&gt;0,"Y",""),"")</f>
        <v>Y</v>
      </c>
      <c r="H328" s="75" t="str">
        <f>IFERROR(IF(VLOOKUP(TableHandbook[[#This Row],[UDC]],TableAvailabilities[],3,FALSE)&gt;0,"Y",""),"")</f>
        <v/>
      </c>
      <c r="I328" s="75" t="str">
        <f>IFERROR(IF(VLOOKUP(TableHandbook[[#This Row],[UDC]],TableAvailabilities[],4,FALSE)&gt;0,"Y",""),"")</f>
        <v/>
      </c>
      <c r="J328" s="75" t="str">
        <f>IFERROR(IF(VLOOKUP(TableHandbook[[#This Row],[UDC]],TableAvailabilities[],5,FALSE)&gt;0,"Y",""),"")</f>
        <v/>
      </c>
      <c r="K328" s="75" t="str">
        <f>IFERROR(IF(VLOOKUP(TableHandbook[[#This Row],[UDC]],TableAvailabilities[],6,FALSE)&gt;0,"Y",""),"")</f>
        <v/>
      </c>
      <c r="L328" s="75" t="str">
        <f>IFERROR(IF(VLOOKUP(TableHandbook[[#This Row],[UDC]],TableAvailabilities[],7,FALSE)&gt;0,"Y",""),"")</f>
        <v/>
      </c>
      <c r="M328" s="207"/>
      <c r="N328" s="209" t="str">
        <f>IFERROR(VLOOKUP(TableHandbook[[#This Row],[UDC]],TableBEDUC[],7,FALSE),"")</f>
        <v/>
      </c>
      <c r="O328" s="209" t="str">
        <f>IFERROR(VLOOKUP(TableHandbook[[#This Row],[UDC]],TableBEDEC[],7,FALSE),"")</f>
        <v/>
      </c>
      <c r="P328" s="211" t="str">
        <f>IFERROR(VLOOKUP(TableHandbook[[#This Row],[UDC]],TableBEDPR[],7,FALSE),"")</f>
        <v/>
      </c>
      <c r="Q328" s="209" t="str">
        <f>IFERROR(VLOOKUP(TableHandbook[[#This Row],[UDC]],TableSTRUCATHL[],7,FALSE),"")</f>
        <v/>
      </c>
      <c r="R328" s="209" t="str">
        <f>IFERROR(VLOOKUP(TableHandbook[[#This Row],[UDC]],TableSTRUENGLL[],7,FALSE),"")</f>
        <v/>
      </c>
      <c r="S328" s="209" t="str">
        <f>IFERROR(VLOOKUP(TableHandbook[[#This Row],[UDC]],TableSTRUHLTPE[],7,FALSE),"")</f>
        <v/>
      </c>
      <c r="T328" s="209" t="str">
        <f>IFERROR(VLOOKUP(TableHandbook[[#This Row],[UDC]],TableSTRUISTEM[],7,FALSE),"")</f>
        <v/>
      </c>
      <c r="U328" s="209" t="str">
        <f>IFERROR(VLOOKUP(TableHandbook[[#This Row],[UDC]],TableSTRULITNU[],7,FALSE),"")</f>
        <v/>
      </c>
      <c r="V328" s="209" t="str">
        <f>IFERROR(VLOOKUP(TableHandbook[[#This Row],[UDC]],TableSTRUTECHS[],7,FALSE),"")</f>
        <v/>
      </c>
      <c r="W328" s="211" t="str">
        <f>IFERROR(VLOOKUP(TableHandbook[[#This Row],[UDC]],TableBEDSC[],7,FALSE),"")</f>
        <v/>
      </c>
      <c r="X328" s="211" t="str">
        <f>IFERROR(VLOOKUP(TableHandbook[[#This Row],[UDC]],TableMJRUARDR1[],7,FALSE),"")</f>
        <v/>
      </c>
      <c r="Y328" s="209" t="str">
        <f>IFERROR(VLOOKUP(TableHandbook[[#This Row],[UDC]],TableMJRUARME1[],7,FALSE),"")</f>
        <v/>
      </c>
      <c r="Z328" s="209" t="str">
        <f>IFERROR(VLOOKUP(TableHandbook[[#This Row],[UDC]],TableMJRUARVA1[],7,FALSE),"")</f>
        <v/>
      </c>
      <c r="AA328" s="209" t="str">
        <f>IFERROR(VLOOKUP(TableHandbook[[#This Row],[UDC]],TableMJRUENGL1[],7,FALSE),"")</f>
        <v/>
      </c>
      <c r="AB328" s="209" t="str">
        <f>IFERROR(VLOOKUP(TableHandbook[[#This Row],[UDC]],TableMJRUHSEC1[],7,FALSE),"")</f>
        <v>Option</v>
      </c>
      <c r="AC328" s="209" t="str">
        <f>IFERROR(VLOOKUP(TableHandbook[[#This Row],[UDC]],TableMJRUHSGE1[],7,FALSE),"")</f>
        <v/>
      </c>
      <c r="AD328" s="209" t="str">
        <f>IFERROR(VLOOKUP(TableHandbook[[#This Row],[UDC]],TableMJRUHSHI1[],7,FALSE),"")</f>
        <v/>
      </c>
      <c r="AE328" s="209" t="str">
        <f>IFERROR(VLOOKUP(TableHandbook[[#This Row],[UDC]],TableMJRUHSPL1[],7,FALSE),"")</f>
        <v>Option</v>
      </c>
      <c r="AF328" s="209" t="str">
        <f>IFERROR(VLOOKUP(TableHandbook[[#This Row],[UDC]],TableMJRUMATH1[],7,FALSE),"")</f>
        <v/>
      </c>
      <c r="AG328" s="209" t="str">
        <f>IFERROR(VLOOKUP(TableHandbook[[#This Row],[UDC]],TableMJRUPHYSE[],7,FALSE),"")</f>
        <v/>
      </c>
      <c r="AH328" s="209" t="str">
        <f>IFERROR(VLOOKUP(TableHandbook[[#This Row],[UDC]],TableMJRUSCBI1[],7,FALSE),"")</f>
        <v/>
      </c>
      <c r="AI328" s="209" t="str">
        <f>IFERROR(VLOOKUP(TableHandbook[[#This Row],[UDC]],TableMJRUSCCH1[],7,FALSE),"")</f>
        <v/>
      </c>
      <c r="AJ328" s="209" t="str">
        <f>IFERROR(VLOOKUP(TableHandbook[[#This Row],[UDC]],TableMJRUSCHB1[],7,FALSE),"")</f>
        <v/>
      </c>
      <c r="AK328" s="209" t="str">
        <f>IFERROR(VLOOKUP(TableHandbook[[#This Row],[UDC]],TableMJRUSCPH1[],7,FALSE),"")</f>
        <v/>
      </c>
      <c r="AL328" s="209" t="str">
        <f>IFERROR(VLOOKUP(TableHandbook[[#This Row],[UDC]],TableMJRUSCPS1[],7,FALSE),"")</f>
        <v/>
      </c>
      <c r="AM328" s="211" t="str">
        <f>IFERROR(VLOOKUP(TableHandbook[[#This Row],[UDC]],TableSTRUBIOLB[],7,FALSE),"")</f>
        <v/>
      </c>
      <c r="AN328" s="209" t="str">
        <f>IFERROR(VLOOKUP(TableHandbook[[#This Row],[UDC]],TableSTRUBSCIM[],7,FALSE),"")</f>
        <v/>
      </c>
      <c r="AO328" s="209" t="str">
        <f>IFERROR(VLOOKUP(TableHandbook[[#This Row],[UDC]],TableSTRUCHEMB[],7,FALSE),"")</f>
        <v/>
      </c>
      <c r="AP328" s="209" t="str">
        <f>IFERROR(VLOOKUP(TableHandbook[[#This Row],[UDC]],TableSTRUECOB1[],7,FALSE),"")</f>
        <v/>
      </c>
      <c r="AQ328" s="209" t="str">
        <f>IFERROR(VLOOKUP(TableHandbook[[#This Row],[UDC]],TableSTRUENGLB[],7,FALSE),"")</f>
        <v/>
      </c>
      <c r="AR328" s="209" t="str">
        <f>IFERROR(VLOOKUP(TableHandbook[[#This Row],[UDC]],TableSTRUENGLM[],7,FALSE),"")</f>
        <v/>
      </c>
      <c r="AS328" s="209" t="str">
        <f>IFERROR(VLOOKUP(TableHandbook[[#This Row],[UDC]],TableSTRUGEOB1[],7,FALSE),"")</f>
        <v/>
      </c>
      <c r="AT328" s="209" t="str">
        <f>IFERROR(VLOOKUP(TableHandbook[[#This Row],[UDC]],TableSTRUGEOGM[],7,FALSE),"")</f>
        <v/>
      </c>
      <c r="AU328" s="209" t="str">
        <f>IFERROR(VLOOKUP(TableHandbook[[#This Row],[UDC]],TableSTRUHISB1[],7,FALSE),"")</f>
        <v/>
      </c>
      <c r="AV328" s="209" t="str">
        <f>IFERROR(VLOOKUP(TableHandbook[[#This Row],[UDC]],TableSTRUHISTM[],7,FALSE),"")</f>
        <v/>
      </c>
      <c r="AW328" s="209" t="str">
        <f>IFERROR(VLOOKUP(TableHandbook[[#This Row],[UDC]],TableSTRUHPEB1[],7,FALSE),"")</f>
        <v/>
      </c>
      <c r="AX328" s="209" t="str">
        <f>IFERROR(VLOOKUP(TableHandbook[[#This Row],[UDC]],TableSTRUHUMBB[],7,FALSE),"")</f>
        <v/>
      </c>
      <c r="AY328" s="209" t="str">
        <f>IFERROR(VLOOKUP(TableHandbook[[#This Row],[UDC]],TableSTRUMARTM[],7,FALSE),"")</f>
        <v/>
      </c>
      <c r="AZ328" s="209" t="str">
        <f>IFERROR(VLOOKUP(TableHandbook[[#This Row],[UDC]],TableSTRUMATHB[],7,FALSE),"")</f>
        <v/>
      </c>
      <c r="BA328" s="209" t="str">
        <f>IFERROR(VLOOKUP(TableHandbook[[#This Row],[UDC]],TableSTRUMATHM[],7,FALSE),"")</f>
        <v/>
      </c>
      <c r="BB328" s="209" t="str">
        <f>IFERROR(VLOOKUP(TableHandbook[[#This Row],[UDC]],TableSTRUPARTB[],7,FALSE),"")</f>
        <v/>
      </c>
      <c r="BC328" s="209" t="str">
        <f>IFERROR(VLOOKUP(TableHandbook[[#This Row],[UDC]],TableSTRUPARTM[],7,FALSE),"")</f>
        <v/>
      </c>
      <c r="BD328" s="209" t="str">
        <f>IFERROR(VLOOKUP(TableHandbook[[#This Row],[UDC]],TableSTRUPOLB1[],7,FALSE),"")</f>
        <v/>
      </c>
      <c r="BE328" s="209" t="str">
        <f>IFERROR(VLOOKUP(TableHandbook[[#This Row],[UDC]],TableSTRUPSYCB[],7,FALSE),"")</f>
        <v/>
      </c>
      <c r="BF328" s="209" t="str">
        <f>IFERROR(VLOOKUP(TableHandbook[[#This Row],[UDC]],TableSTRUPSYCM[],7,FALSE),"")</f>
        <v/>
      </c>
      <c r="BG328" s="209" t="str">
        <f>IFERROR(VLOOKUP(TableHandbook[[#This Row],[UDC]],TableSTRUVARTB[],7,FALSE),"")</f>
        <v/>
      </c>
      <c r="BH328" s="209" t="str">
        <f>IFERROR(VLOOKUP(TableHandbook[[#This Row],[UDC]],TableSTRUVARTM[],7,FALSE),"")</f>
        <v/>
      </c>
    </row>
    <row r="329" spans="1:60" x14ac:dyDescent="0.25">
      <c r="A329" s="6" t="s">
        <v>700</v>
      </c>
      <c r="B329" s="7">
        <v>2</v>
      </c>
      <c r="C329" s="7"/>
      <c r="D329" s="207" t="s">
        <v>1141</v>
      </c>
      <c r="E329" s="7">
        <v>25</v>
      </c>
      <c r="F329" s="84" t="s">
        <v>783</v>
      </c>
      <c r="G329" s="75" t="str">
        <f>IFERROR(IF(VLOOKUP(TableHandbook[[#This Row],[UDC]],TableAvailabilities[],2,FALSE)&gt;0,"Y",""),"")</f>
        <v>Y</v>
      </c>
      <c r="H329" s="75" t="str">
        <f>IFERROR(IF(VLOOKUP(TableHandbook[[#This Row],[UDC]],TableAvailabilities[],3,FALSE)&gt;0,"Y",""),"")</f>
        <v/>
      </c>
      <c r="I329" s="75" t="str">
        <f>IFERROR(IF(VLOOKUP(TableHandbook[[#This Row],[UDC]],TableAvailabilities[],4,FALSE)&gt;0,"Y",""),"")</f>
        <v/>
      </c>
      <c r="J329" s="75" t="str">
        <f>IFERROR(IF(VLOOKUP(TableHandbook[[#This Row],[UDC]],TableAvailabilities[],5,FALSE)&gt;0,"Y",""),"")</f>
        <v>Y</v>
      </c>
      <c r="K329" s="75" t="str">
        <f>IFERROR(IF(VLOOKUP(TableHandbook[[#This Row],[UDC]],TableAvailabilities[],6,FALSE)&gt;0,"Y",""),"")</f>
        <v/>
      </c>
      <c r="L329" s="75" t="str">
        <f>IFERROR(IF(VLOOKUP(TableHandbook[[#This Row],[UDC]],TableAvailabilities[],7,FALSE)&gt;0,"Y",""),"")</f>
        <v/>
      </c>
      <c r="M329" s="207"/>
      <c r="N329" s="209" t="str">
        <f>IFERROR(VLOOKUP(TableHandbook[[#This Row],[UDC]],TableBEDUC[],7,FALSE),"")</f>
        <v/>
      </c>
      <c r="O329" s="209" t="str">
        <f>IFERROR(VLOOKUP(TableHandbook[[#This Row],[UDC]],TableBEDEC[],7,FALSE),"")</f>
        <v/>
      </c>
      <c r="P329" s="211" t="str">
        <f>IFERROR(VLOOKUP(TableHandbook[[#This Row],[UDC]],TableBEDPR[],7,FALSE),"")</f>
        <v/>
      </c>
      <c r="Q329" s="209" t="str">
        <f>IFERROR(VLOOKUP(TableHandbook[[#This Row],[UDC]],TableSTRUCATHL[],7,FALSE),"")</f>
        <v/>
      </c>
      <c r="R329" s="209" t="str">
        <f>IFERROR(VLOOKUP(TableHandbook[[#This Row],[UDC]],TableSTRUENGLL[],7,FALSE),"")</f>
        <v/>
      </c>
      <c r="S329" s="209" t="str">
        <f>IFERROR(VLOOKUP(TableHandbook[[#This Row],[UDC]],TableSTRUHLTPE[],7,FALSE),"")</f>
        <v/>
      </c>
      <c r="T329" s="209" t="str">
        <f>IFERROR(VLOOKUP(TableHandbook[[#This Row],[UDC]],TableSTRUISTEM[],7,FALSE),"")</f>
        <v/>
      </c>
      <c r="U329" s="209" t="str">
        <f>IFERROR(VLOOKUP(TableHandbook[[#This Row],[UDC]],TableSTRULITNU[],7,FALSE),"")</f>
        <v/>
      </c>
      <c r="V329" s="209" t="str">
        <f>IFERROR(VLOOKUP(TableHandbook[[#This Row],[UDC]],TableSTRUTECHS[],7,FALSE),"")</f>
        <v/>
      </c>
      <c r="W329" s="211" t="str">
        <f>IFERROR(VLOOKUP(TableHandbook[[#This Row],[UDC]],TableBEDSC[],7,FALSE),"")</f>
        <v/>
      </c>
      <c r="X329" s="211" t="str">
        <f>IFERROR(VLOOKUP(TableHandbook[[#This Row],[UDC]],TableMJRUARDR1[],7,FALSE),"")</f>
        <v/>
      </c>
      <c r="Y329" s="209" t="str">
        <f>IFERROR(VLOOKUP(TableHandbook[[#This Row],[UDC]],TableMJRUARME1[],7,FALSE),"")</f>
        <v/>
      </c>
      <c r="Z329" s="209" t="str">
        <f>IFERROR(VLOOKUP(TableHandbook[[#This Row],[UDC]],TableMJRUARVA1[],7,FALSE),"")</f>
        <v/>
      </c>
      <c r="AA329" s="209" t="str">
        <f>IFERROR(VLOOKUP(TableHandbook[[#This Row],[UDC]],TableMJRUENGL1[],7,FALSE),"")</f>
        <v/>
      </c>
      <c r="AB329" s="209" t="str">
        <f>IFERROR(VLOOKUP(TableHandbook[[#This Row],[UDC]],TableMJRUHSEC1[],7,FALSE),"")</f>
        <v/>
      </c>
      <c r="AC329" s="209" t="str">
        <f>IFERROR(VLOOKUP(TableHandbook[[#This Row],[UDC]],TableMJRUHSGE1[],7,FALSE),"")</f>
        <v/>
      </c>
      <c r="AD329" s="209" t="str">
        <f>IFERROR(VLOOKUP(TableHandbook[[#This Row],[UDC]],TableMJRUHSHI1[],7,FALSE),"")</f>
        <v/>
      </c>
      <c r="AE329" s="209" t="str">
        <f>IFERROR(VLOOKUP(TableHandbook[[#This Row],[UDC]],TableMJRUHSPL1[],7,FALSE),"")</f>
        <v/>
      </c>
      <c r="AF329" s="209" t="str">
        <f>IFERROR(VLOOKUP(TableHandbook[[#This Row],[UDC]],TableMJRUMATH1[],7,FALSE),"")</f>
        <v/>
      </c>
      <c r="AG329" s="209" t="str">
        <f>IFERROR(VLOOKUP(TableHandbook[[#This Row],[UDC]],TableMJRUPHYSE[],7,FALSE),"")</f>
        <v/>
      </c>
      <c r="AH329" s="209" t="str">
        <f>IFERROR(VLOOKUP(TableHandbook[[#This Row],[UDC]],TableMJRUSCBI1[],7,FALSE),"")</f>
        <v/>
      </c>
      <c r="AI329" s="209" t="str">
        <f>IFERROR(VLOOKUP(TableHandbook[[#This Row],[UDC]],TableMJRUSCCH1[],7,FALSE),"")</f>
        <v/>
      </c>
      <c r="AJ329" s="209" t="str">
        <f>IFERROR(VLOOKUP(TableHandbook[[#This Row],[UDC]],TableMJRUSCHB1[],7,FALSE),"")</f>
        <v/>
      </c>
      <c r="AK329" s="209" t="str">
        <f>IFERROR(VLOOKUP(TableHandbook[[#This Row],[UDC]],TableMJRUSCPH1[],7,FALSE),"")</f>
        <v/>
      </c>
      <c r="AL329" s="209" t="str">
        <f>IFERROR(VLOOKUP(TableHandbook[[#This Row],[UDC]],TableMJRUSCPS1[],7,FALSE),"")</f>
        <v/>
      </c>
      <c r="AM329" s="211" t="str">
        <f>IFERROR(VLOOKUP(TableHandbook[[#This Row],[UDC]],TableSTRUBIOLB[],7,FALSE),"")</f>
        <v/>
      </c>
      <c r="AN329" s="209" t="str">
        <f>IFERROR(VLOOKUP(TableHandbook[[#This Row],[UDC]],TableSTRUBSCIM[],7,FALSE),"")</f>
        <v/>
      </c>
      <c r="AO329" s="209" t="str">
        <f>IFERROR(VLOOKUP(TableHandbook[[#This Row],[UDC]],TableSTRUCHEMB[],7,FALSE),"")</f>
        <v/>
      </c>
      <c r="AP329" s="209" t="str">
        <f>IFERROR(VLOOKUP(TableHandbook[[#This Row],[UDC]],TableSTRUECOB1[],7,FALSE),"")</f>
        <v/>
      </c>
      <c r="AQ329" s="209" t="str">
        <f>IFERROR(VLOOKUP(TableHandbook[[#This Row],[UDC]],TableSTRUENGLB[],7,FALSE),"")</f>
        <v/>
      </c>
      <c r="AR329" s="209" t="str">
        <f>IFERROR(VLOOKUP(TableHandbook[[#This Row],[UDC]],TableSTRUENGLM[],7,FALSE),"")</f>
        <v/>
      </c>
      <c r="AS329" s="209" t="str">
        <f>IFERROR(VLOOKUP(TableHandbook[[#This Row],[UDC]],TableSTRUGEOB1[],7,FALSE),"")</f>
        <v/>
      </c>
      <c r="AT329" s="209" t="str">
        <f>IFERROR(VLOOKUP(TableHandbook[[#This Row],[UDC]],TableSTRUGEOGM[],7,FALSE),"")</f>
        <v/>
      </c>
      <c r="AU329" s="209" t="str">
        <f>IFERROR(VLOOKUP(TableHandbook[[#This Row],[UDC]],TableSTRUHISB1[],7,FALSE),"")</f>
        <v/>
      </c>
      <c r="AV329" s="209" t="str">
        <f>IFERROR(VLOOKUP(TableHandbook[[#This Row],[UDC]],TableSTRUHISTM[],7,FALSE),"")</f>
        <v/>
      </c>
      <c r="AW329" s="209" t="str">
        <f>IFERROR(VLOOKUP(TableHandbook[[#This Row],[UDC]],TableSTRUHPEB1[],7,FALSE),"")</f>
        <v/>
      </c>
      <c r="AX329" s="209" t="str">
        <f>IFERROR(VLOOKUP(TableHandbook[[#This Row],[UDC]],TableSTRUHUMBB[],7,FALSE),"")</f>
        <v/>
      </c>
      <c r="AY329" s="209" t="str">
        <f>IFERROR(VLOOKUP(TableHandbook[[#This Row],[UDC]],TableSTRUMARTM[],7,FALSE),"")</f>
        <v/>
      </c>
      <c r="AZ329" s="209" t="str">
        <f>IFERROR(VLOOKUP(TableHandbook[[#This Row],[UDC]],TableSTRUMATHB[],7,FALSE),"")</f>
        <v/>
      </c>
      <c r="BA329" s="209" t="str">
        <f>IFERROR(VLOOKUP(TableHandbook[[#This Row],[UDC]],TableSTRUMATHM[],7,FALSE),"")</f>
        <v/>
      </c>
      <c r="BB329" s="209" t="str">
        <f>IFERROR(VLOOKUP(TableHandbook[[#This Row],[UDC]],TableSTRUPARTB[],7,FALSE),"")</f>
        <v>AltCore</v>
      </c>
      <c r="BC329" s="209" t="str">
        <f>IFERROR(VLOOKUP(TableHandbook[[#This Row],[UDC]],TableSTRUPARTM[],7,FALSE),"")</f>
        <v>Core</v>
      </c>
      <c r="BD329" s="209" t="str">
        <f>IFERROR(VLOOKUP(TableHandbook[[#This Row],[UDC]],TableSTRUPOLB1[],7,FALSE),"")</f>
        <v/>
      </c>
      <c r="BE329" s="209" t="str">
        <f>IFERROR(VLOOKUP(TableHandbook[[#This Row],[UDC]],TableSTRUPSYCB[],7,FALSE),"")</f>
        <v/>
      </c>
      <c r="BF329" s="209" t="str">
        <f>IFERROR(VLOOKUP(TableHandbook[[#This Row],[UDC]],TableSTRUPSYCM[],7,FALSE),"")</f>
        <v/>
      </c>
      <c r="BG329" s="209" t="str">
        <f>IFERROR(VLOOKUP(TableHandbook[[#This Row],[UDC]],TableSTRUVARTB[],7,FALSE),"")</f>
        <v/>
      </c>
      <c r="BH329" s="209" t="str">
        <f>IFERROR(VLOOKUP(TableHandbook[[#This Row],[UDC]],TableSTRUVARTM[],7,FALSE),"")</f>
        <v/>
      </c>
    </row>
    <row r="330" spans="1:60" x14ac:dyDescent="0.25">
      <c r="A330" s="6" t="s">
        <v>522</v>
      </c>
      <c r="B330" s="7">
        <v>3</v>
      </c>
      <c r="C330" s="7"/>
      <c r="D330" s="207" t="s">
        <v>1142</v>
      </c>
      <c r="E330" s="7">
        <v>25</v>
      </c>
      <c r="F330" s="84" t="s">
        <v>783</v>
      </c>
      <c r="G330" s="75" t="str">
        <f>IFERROR(IF(VLOOKUP(TableHandbook[[#This Row],[UDC]],TableAvailabilities[],2,FALSE)&gt;0,"Y",""),"")</f>
        <v>Y</v>
      </c>
      <c r="H330" s="75" t="str">
        <f>IFERROR(IF(VLOOKUP(TableHandbook[[#This Row],[UDC]],TableAvailabilities[],3,FALSE)&gt;0,"Y",""),"")</f>
        <v/>
      </c>
      <c r="I330" s="75" t="str">
        <f>IFERROR(IF(VLOOKUP(TableHandbook[[#This Row],[UDC]],TableAvailabilities[],4,FALSE)&gt;0,"Y",""),"")</f>
        <v/>
      </c>
      <c r="J330" s="75" t="str">
        <f>IFERROR(IF(VLOOKUP(TableHandbook[[#This Row],[UDC]],TableAvailabilities[],5,FALSE)&gt;0,"Y",""),"")</f>
        <v>Y</v>
      </c>
      <c r="K330" s="75" t="str">
        <f>IFERROR(IF(VLOOKUP(TableHandbook[[#This Row],[UDC]],TableAvailabilities[],6,FALSE)&gt;0,"Y",""),"")</f>
        <v/>
      </c>
      <c r="L330" s="75" t="str">
        <f>IFERROR(IF(VLOOKUP(TableHandbook[[#This Row],[UDC]],TableAvailabilities[],7,FALSE)&gt;0,"Y",""),"")</f>
        <v/>
      </c>
      <c r="M330" s="207"/>
      <c r="N330" s="209" t="str">
        <f>IFERROR(VLOOKUP(TableHandbook[[#This Row],[UDC]],TableBEDUC[],7,FALSE),"")</f>
        <v/>
      </c>
      <c r="O330" s="209" t="str">
        <f>IFERROR(VLOOKUP(TableHandbook[[#This Row],[UDC]],TableBEDEC[],7,FALSE),"")</f>
        <v/>
      </c>
      <c r="P330" s="211" t="str">
        <f>IFERROR(VLOOKUP(TableHandbook[[#This Row],[UDC]],TableBEDPR[],7,FALSE),"")</f>
        <v/>
      </c>
      <c r="Q330" s="209" t="str">
        <f>IFERROR(VLOOKUP(TableHandbook[[#This Row],[UDC]],TableSTRUCATHL[],7,FALSE),"")</f>
        <v/>
      </c>
      <c r="R330" s="209" t="str">
        <f>IFERROR(VLOOKUP(TableHandbook[[#This Row],[UDC]],TableSTRUENGLL[],7,FALSE),"")</f>
        <v/>
      </c>
      <c r="S330" s="209" t="str">
        <f>IFERROR(VLOOKUP(TableHandbook[[#This Row],[UDC]],TableSTRUHLTPE[],7,FALSE),"")</f>
        <v/>
      </c>
      <c r="T330" s="209" t="str">
        <f>IFERROR(VLOOKUP(TableHandbook[[#This Row],[UDC]],TableSTRUISTEM[],7,FALSE),"")</f>
        <v/>
      </c>
      <c r="U330" s="209" t="str">
        <f>IFERROR(VLOOKUP(TableHandbook[[#This Row],[UDC]],TableSTRULITNU[],7,FALSE),"")</f>
        <v/>
      </c>
      <c r="V330" s="209" t="str">
        <f>IFERROR(VLOOKUP(TableHandbook[[#This Row],[UDC]],TableSTRUTECHS[],7,FALSE),"")</f>
        <v/>
      </c>
      <c r="W330" s="211" t="str">
        <f>IFERROR(VLOOKUP(TableHandbook[[#This Row],[UDC]],TableBEDSC[],7,FALSE),"")</f>
        <v/>
      </c>
      <c r="X330" s="211" t="str">
        <f>IFERROR(VLOOKUP(TableHandbook[[#This Row],[UDC]],TableMJRUARDR1[],7,FALSE),"")</f>
        <v>Option</v>
      </c>
      <c r="Y330" s="209" t="str">
        <f>IFERROR(VLOOKUP(TableHandbook[[#This Row],[UDC]],TableMJRUARME1[],7,FALSE),"")</f>
        <v>Core</v>
      </c>
      <c r="Z330" s="209" t="str">
        <f>IFERROR(VLOOKUP(TableHandbook[[#This Row],[UDC]],TableMJRUARVA1[],7,FALSE),"")</f>
        <v/>
      </c>
      <c r="AA330" s="209" t="str">
        <f>IFERROR(VLOOKUP(TableHandbook[[#This Row],[UDC]],TableMJRUENGL1[],7,FALSE),"")</f>
        <v/>
      </c>
      <c r="AB330" s="209" t="str">
        <f>IFERROR(VLOOKUP(TableHandbook[[#This Row],[UDC]],TableMJRUHSEC1[],7,FALSE),"")</f>
        <v/>
      </c>
      <c r="AC330" s="209" t="str">
        <f>IFERROR(VLOOKUP(TableHandbook[[#This Row],[UDC]],TableMJRUHSGE1[],7,FALSE),"")</f>
        <v/>
      </c>
      <c r="AD330" s="209" t="str">
        <f>IFERROR(VLOOKUP(TableHandbook[[#This Row],[UDC]],TableMJRUHSHI1[],7,FALSE),"")</f>
        <v/>
      </c>
      <c r="AE330" s="209" t="str">
        <f>IFERROR(VLOOKUP(TableHandbook[[#This Row],[UDC]],TableMJRUHSPL1[],7,FALSE),"")</f>
        <v/>
      </c>
      <c r="AF330" s="209" t="str">
        <f>IFERROR(VLOOKUP(TableHandbook[[#This Row],[UDC]],TableMJRUMATH1[],7,FALSE),"")</f>
        <v/>
      </c>
      <c r="AG330" s="209" t="str">
        <f>IFERROR(VLOOKUP(TableHandbook[[#This Row],[UDC]],TableMJRUPHYSE[],7,FALSE),"")</f>
        <v/>
      </c>
      <c r="AH330" s="209" t="str">
        <f>IFERROR(VLOOKUP(TableHandbook[[#This Row],[UDC]],TableMJRUSCBI1[],7,FALSE),"")</f>
        <v/>
      </c>
      <c r="AI330" s="209" t="str">
        <f>IFERROR(VLOOKUP(TableHandbook[[#This Row],[UDC]],TableMJRUSCCH1[],7,FALSE),"")</f>
        <v/>
      </c>
      <c r="AJ330" s="209" t="str">
        <f>IFERROR(VLOOKUP(TableHandbook[[#This Row],[UDC]],TableMJRUSCHB1[],7,FALSE),"")</f>
        <v/>
      </c>
      <c r="AK330" s="209" t="str">
        <f>IFERROR(VLOOKUP(TableHandbook[[#This Row],[UDC]],TableMJRUSCPH1[],7,FALSE),"")</f>
        <v/>
      </c>
      <c r="AL330" s="209" t="str">
        <f>IFERROR(VLOOKUP(TableHandbook[[#This Row],[UDC]],TableMJRUSCPS1[],7,FALSE),"")</f>
        <v/>
      </c>
      <c r="AM330" s="211" t="str">
        <f>IFERROR(VLOOKUP(TableHandbook[[#This Row],[UDC]],TableSTRUBIOLB[],7,FALSE),"")</f>
        <v/>
      </c>
      <c r="AN330" s="209" t="str">
        <f>IFERROR(VLOOKUP(TableHandbook[[#This Row],[UDC]],TableSTRUBSCIM[],7,FALSE),"")</f>
        <v/>
      </c>
      <c r="AO330" s="209" t="str">
        <f>IFERROR(VLOOKUP(TableHandbook[[#This Row],[UDC]],TableSTRUCHEMB[],7,FALSE),"")</f>
        <v/>
      </c>
      <c r="AP330" s="209" t="str">
        <f>IFERROR(VLOOKUP(TableHandbook[[#This Row],[UDC]],TableSTRUECOB1[],7,FALSE),"")</f>
        <v/>
      </c>
      <c r="AQ330" s="209" t="str">
        <f>IFERROR(VLOOKUP(TableHandbook[[#This Row],[UDC]],TableSTRUENGLB[],7,FALSE),"")</f>
        <v/>
      </c>
      <c r="AR330" s="209" t="str">
        <f>IFERROR(VLOOKUP(TableHandbook[[#This Row],[UDC]],TableSTRUENGLM[],7,FALSE),"")</f>
        <v/>
      </c>
      <c r="AS330" s="209" t="str">
        <f>IFERROR(VLOOKUP(TableHandbook[[#This Row],[UDC]],TableSTRUGEOB1[],7,FALSE),"")</f>
        <v/>
      </c>
      <c r="AT330" s="209" t="str">
        <f>IFERROR(VLOOKUP(TableHandbook[[#This Row],[UDC]],TableSTRUGEOGM[],7,FALSE),"")</f>
        <v/>
      </c>
      <c r="AU330" s="209" t="str">
        <f>IFERROR(VLOOKUP(TableHandbook[[#This Row],[UDC]],TableSTRUHISB1[],7,FALSE),"")</f>
        <v/>
      </c>
      <c r="AV330" s="209" t="str">
        <f>IFERROR(VLOOKUP(TableHandbook[[#This Row],[UDC]],TableSTRUHISTM[],7,FALSE),"")</f>
        <v/>
      </c>
      <c r="AW330" s="209" t="str">
        <f>IFERROR(VLOOKUP(TableHandbook[[#This Row],[UDC]],TableSTRUHPEB1[],7,FALSE),"")</f>
        <v/>
      </c>
      <c r="AX330" s="209" t="str">
        <f>IFERROR(VLOOKUP(TableHandbook[[#This Row],[UDC]],TableSTRUHUMBB[],7,FALSE),"")</f>
        <v/>
      </c>
      <c r="AY330" s="209" t="str">
        <f>IFERROR(VLOOKUP(TableHandbook[[#This Row],[UDC]],TableSTRUMARTM[],7,FALSE),"")</f>
        <v>Core</v>
      </c>
      <c r="AZ330" s="209" t="str">
        <f>IFERROR(VLOOKUP(TableHandbook[[#This Row],[UDC]],TableSTRUMATHB[],7,FALSE),"")</f>
        <v/>
      </c>
      <c r="BA330" s="209" t="str">
        <f>IFERROR(VLOOKUP(TableHandbook[[#This Row],[UDC]],TableSTRUMATHM[],7,FALSE),"")</f>
        <v/>
      </c>
      <c r="BB330" s="209" t="str">
        <f>IFERROR(VLOOKUP(TableHandbook[[#This Row],[UDC]],TableSTRUPARTB[],7,FALSE),"")</f>
        <v/>
      </c>
      <c r="BC330" s="209" t="str">
        <f>IFERROR(VLOOKUP(TableHandbook[[#This Row],[UDC]],TableSTRUPARTM[],7,FALSE),"")</f>
        <v>Core</v>
      </c>
      <c r="BD330" s="209" t="str">
        <f>IFERROR(VLOOKUP(TableHandbook[[#This Row],[UDC]],TableSTRUPOLB1[],7,FALSE),"")</f>
        <v/>
      </c>
      <c r="BE330" s="209" t="str">
        <f>IFERROR(VLOOKUP(TableHandbook[[#This Row],[UDC]],TableSTRUPSYCB[],7,FALSE),"")</f>
        <v/>
      </c>
      <c r="BF330" s="209" t="str">
        <f>IFERROR(VLOOKUP(TableHandbook[[#This Row],[UDC]],TableSTRUPSYCM[],7,FALSE),"")</f>
        <v/>
      </c>
      <c r="BG330" s="209" t="str">
        <f>IFERROR(VLOOKUP(TableHandbook[[#This Row],[UDC]],TableSTRUVARTB[],7,FALSE),"")</f>
        <v/>
      </c>
      <c r="BH330" s="209" t="str">
        <f>IFERROR(VLOOKUP(TableHandbook[[#This Row],[UDC]],TableSTRUVARTM[],7,FALSE),"")</f>
        <v/>
      </c>
    </row>
    <row r="331" spans="1:60" x14ac:dyDescent="0.25">
      <c r="A331" s="6" t="s">
        <v>576</v>
      </c>
      <c r="B331" s="7">
        <v>2</v>
      </c>
      <c r="C331" s="7"/>
      <c r="D331" s="207" t="s">
        <v>1143</v>
      </c>
      <c r="E331" s="7">
        <v>25</v>
      </c>
      <c r="F331" s="311" t="s">
        <v>1144</v>
      </c>
      <c r="G331" s="75" t="str">
        <f>IFERROR(IF(VLOOKUP(TableHandbook[[#This Row],[UDC]],TableAvailabilities[],2,FALSE)&gt;0,"Y",""),"")</f>
        <v>Y</v>
      </c>
      <c r="H331" s="75" t="str">
        <f>IFERROR(IF(VLOOKUP(TableHandbook[[#This Row],[UDC]],TableAvailabilities[],3,FALSE)&gt;0,"Y",""),"")</f>
        <v/>
      </c>
      <c r="I331" s="75" t="str">
        <f>IFERROR(IF(VLOOKUP(TableHandbook[[#This Row],[UDC]],TableAvailabilities[],4,FALSE)&gt;0,"Y",""),"")</f>
        <v/>
      </c>
      <c r="J331" s="75" t="str">
        <f>IFERROR(IF(VLOOKUP(TableHandbook[[#This Row],[UDC]],TableAvailabilities[],5,FALSE)&gt;0,"Y",""),"")</f>
        <v/>
      </c>
      <c r="K331" s="75" t="str">
        <f>IFERROR(IF(VLOOKUP(TableHandbook[[#This Row],[UDC]],TableAvailabilities[],6,FALSE)&gt;0,"Y",""),"")</f>
        <v/>
      </c>
      <c r="L331" s="75" t="str">
        <f>IFERROR(IF(VLOOKUP(TableHandbook[[#This Row],[UDC]],TableAvailabilities[],7,FALSE)&gt;0,"Y",""),"")</f>
        <v/>
      </c>
      <c r="M331" s="207"/>
      <c r="N331" s="209" t="str">
        <f>IFERROR(VLOOKUP(TableHandbook[[#This Row],[UDC]],TableBEDUC[],7,FALSE),"")</f>
        <v/>
      </c>
      <c r="O331" s="209" t="str">
        <f>IFERROR(VLOOKUP(TableHandbook[[#This Row],[UDC]],TableBEDEC[],7,FALSE),"")</f>
        <v/>
      </c>
      <c r="P331" s="211" t="str">
        <f>IFERROR(VLOOKUP(TableHandbook[[#This Row],[UDC]],TableBEDPR[],7,FALSE),"")</f>
        <v/>
      </c>
      <c r="Q331" s="209" t="str">
        <f>IFERROR(VLOOKUP(TableHandbook[[#This Row],[UDC]],TableSTRUCATHL[],7,FALSE),"")</f>
        <v/>
      </c>
      <c r="R331" s="209" t="str">
        <f>IFERROR(VLOOKUP(TableHandbook[[#This Row],[UDC]],TableSTRUENGLL[],7,FALSE),"")</f>
        <v/>
      </c>
      <c r="S331" s="209" t="str">
        <f>IFERROR(VLOOKUP(TableHandbook[[#This Row],[UDC]],TableSTRUHLTPE[],7,FALSE),"")</f>
        <v/>
      </c>
      <c r="T331" s="209" t="str">
        <f>IFERROR(VLOOKUP(TableHandbook[[#This Row],[UDC]],TableSTRUISTEM[],7,FALSE),"")</f>
        <v/>
      </c>
      <c r="U331" s="209" t="str">
        <f>IFERROR(VLOOKUP(TableHandbook[[#This Row],[UDC]],TableSTRULITNU[],7,FALSE),"")</f>
        <v/>
      </c>
      <c r="V331" s="209" t="str">
        <f>IFERROR(VLOOKUP(TableHandbook[[#This Row],[UDC]],TableSTRUTECHS[],7,FALSE),"")</f>
        <v/>
      </c>
      <c r="W331" s="211" t="str">
        <f>IFERROR(VLOOKUP(TableHandbook[[#This Row],[UDC]],TableBEDSC[],7,FALSE),"")</f>
        <v/>
      </c>
      <c r="X331" s="211" t="str">
        <f>IFERROR(VLOOKUP(TableHandbook[[#This Row],[UDC]],TableMJRUARDR1[],7,FALSE),"")</f>
        <v>Option</v>
      </c>
      <c r="Y331" s="209" t="str">
        <f>IFERROR(VLOOKUP(TableHandbook[[#This Row],[UDC]],TableMJRUARME1[],7,FALSE),"")</f>
        <v/>
      </c>
      <c r="Z331" s="209" t="str">
        <f>IFERROR(VLOOKUP(TableHandbook[[#This Row],[UDC]],TableMJRUARVA1[],7,FALSE),"")</f>
        <v/>
      </c>
      <c r="AA331" s="209" t="str">
        <f>IFERROR(VLOOKUP(TableHandbook[[#This Row],[UDC]],TableMJRUENGL1[],7,FALSE),"")</f>
        <v/>
      </c>
      <c r="AB331" s="209" t="str">
        <f>IFERROR(VLOOKUP(TableHandbook[[#This Row],[UDC]],TableMJRUHSEC1[],7,FALSE),"")</f>
        <v/>
      </c>
      <c r="AC331" s="209" t="str">
        <f>IFERROR(VLOOKUP(TableHandbook[[#This Row],[UDC]],TableMJRUHSGE1[],7,FALSE),"")</f>
        <v/>
      </c>
      <c r="AD331" s="209" t="str">
        <f>IFERROR(VLOOKUP(TableHandbook[[#This Row],[UDC]],TableMJRUHSHI1[],7,FALSE),"")</f>
        <v/>
      </c>
      <c r="AE331" s="209" t="str">
        <f>IFERROR(VLOOKUP(TableHandbook[[#This Row],[UDC]],TableMJRUHSPL1[],7,FALSE),"")</f>
        <v/>
      </c>
      <c r="AF331" s="209" t="str">
        <f>IFERROR(VLOOKUP(TableHandbook[[#This Row],[UDC]],TableMJRUMATH1[],7,FALSE),"")</f>
        <v/>
      </c>
      <c r="AG331" s="209" t="str">
        <f>IFERROR(VLOOKUP(TableHandbook[[#This Row],[UDC]],TableMJRUPHYSE[],7,FALSE),"")</f>
        <v/>
      </c>
      <c r="AH331" s="209" t="str">
        <f>IFERROR(VLOOKUP(TableHandbook[[#This Row],[UDC]],TableMJRUSCBI1[],7,FALSE),"")</f>
        <v/>
      </c>
      <c r="AI331" s="209" t="str">
        <f>IFERROR(VLOOKUP(TableHandbook[[#This Row],[UDC]],TableMJRUSCCH1[],7,FALSE),"")</f>
        <v/>
      </c>
      <c r="AJ331" s="209" t="str">
        <f>IFERROR(VLOOKUP(TableHandbook[[#This Row],[UDC]],TableMJRUSCHB1[],7,FALSE),"")</f>
        <v/>
      </c>
      <c r="AK331" s="209" t="str">
        <f>IFERROR(VLOOKUP(TableHandbook[[#This Row],[UDC]],TableMJRUSCPH1[],7,FALSE),"")</f>
        <v/>
      </c>
      <c r="AL331" s="209" t="str">
        <f>IFERROR(VLOOKUP(TableHandbook[[#This Row],[UDC]],TableMJRUSCPS1[],7,FALSE),"")</f>
        <v/>
      </c>
      <c r="AM331" s="211" t="str">
        <f>IFERROR(VLOOKUP(TableHandbook[[#This Row],[UDC]],TableSTRUBIOLB[],7,FALSE),"")</f>
        <v/>
      </c>
      <c r="AN331" s="209" t="str">
        <f>IFERROR(VLOOKUP(TableHandbook[[#This Row],[UDC]],TableSTRUBSCIM[],7,FALSE),"")</f>
        <v/>
      </c>
      <c r="AO331" s="209" t="str">
        <f>IFERROR(VLOOKUP(TableHandbook[[#This Row],[UDC]],TableSTRUCHEMB[],7,FALSE),"")</f>
        <v/>
      </c>
      <c r="AP331" s="209" t="str">
        <f>IFERROR(VLOOKUP(TableHandbook[[#This Row],[UDC]],TableSTRUECOB1[],7,FALSE),"")</f>
        <v/>
      </c>
      <c r="AQ331" s="209" t="str">
        <f>IFERROR(VLOOKUP(TableHandbook[[#This Row],[UDC]],TableSTRUENGLB[],7,FALSE),"")</f>
        <v/>
      </c>
      <c r="AR331" s="209" t="str">
        <f>IFERROR(VLOOKUP(TableHandbook[[#This Row],[UDC]],TableSTRUENGLM[],7,FALSE),"")</f>
        <v/>
      </c>
      <c r="AS331" s="209" t="str">
        <f>IFERROR(VLOOKUP(TableHandbook[[#This Row],[UDC]],TableSTRUGEOB1[],7,FALSE),"")</f>
        <v/>
      </c>
      <c r="AT331" s="209" t="str">
        <f>IFERROR(VLOOKUP(TableHandbook[[#This Row],[UDC]],TableSTRUGEOGM[],7,FALSE),"")</f>
        <v/>
      </c>
      <c r="AU331" s="209" t="str">
        <f>IFERROR(VLOOKUP(TableHandbook[[#This Row],[UDC]],TableSTRUHISB1[],7,FALSE),"")</f>
        <v/>
      </c>
      <c r="AV331" s="209" t="str">
        <f>IFERROR(VLOOKUP(TableHandbook[[#This Row],[UDC]],TableSTRUHISTM[],7,FALSE),"")</f>
        <v/>
      </c>
      <c r="AW331" s="209" t="str">
        <f>IFERROR(VLOOKUP(TableHandbook[[#This Row],[UDC]],TableSTRUHPEB1[],7,FALSE),"")</f>
        <v/>
      </c>
      <c r="AX331" s="209" t="str">
        <f>IFERROR(VLOOKUP(TableHandbook[[#This Row],[UDC]],TableSTRUHUMBB[],7,FALSE),"")</f>
        <v/>
      </c>
      <c r="AY331" s="209" t="str">
        <f>IFERROR(VLOOKUP(TableHandbook[[#This Row],[UDC]],TableSTRUMARTM[],7,FALSE),"")</f>
        <v/>
      </c>
      <c r="AZ331" s="209" t="str">
        <f>IFERROR(VLOOKUP(TableHandbook[[#This Row],[UDC]],TableSTRUMATHB[],7,FALSE),"")</f>
        <v/>
      </c>
      <c r="BA331" s="209" t="str">
        <f>IFERROR(VLOOKUP(TableHandbook[[#This Row],[UDC]],TableSTRUMATHM[],7,FALSE),"")</f>
        <v/>
      </c>
      <c r="BB331" s="209" t="str">
        <f>IFERROR(VLOOKUP(TableHandbook[[#This Row],[UDC]],TableSTRUPARTB[],7,FALSE),"")</f>
        <v/>
      </c>
      <c r="BC331" s="209" t="str">
        <f>IFERROR(VLOOKUP(TableHandbook[[#This Row],[UDC]],TableSTRUPARTM[],7,FALSE),"")</f>
        <v/>
      </c>
      <c r="BD331" s="209" t="str">
        <f>IFERROR(VLOOKUP(TableHandbook[[#This Row],[UDC]],TableSTRUPOLB1[],7,FALSE),"")</f>
        <v/>
      </c>
      <c r="BE331" s="209" t="str">
        <f>IFERROR(VLOOKUP(TableHandbook[[#This Row],[UDC]],TableSTRUPSYCB[],7,FALSE),"")</f>
        <v/>
      </c>
      <c r="BF331" s="209" t="str">
        <f>IFERROR(VLOOKUP(TableHandbook[[#This Row],[UDC]],TableSTRUPSYCM[],7,FALSE),"")</f>
        <v/>
      </c>
      <c r="BG331" s="209" t="str">
        <f>IFERROR(VLOOKUP(TableHandbook[[#This Row],[UDC]],TableSTRUVARTB[],7,FALSE),"")</f>
        <v/>
      </c>
      <c r="BH331" s="209" t="str">
        <f>IFERROR(VLOOKUP(TableHandbook[[#This Row],[UDC]],TableSTRUVARTM[],7,FALSE),"")</f>
        <v/>
      </c>
    </row>
    <row r="332" spans="1:60" x14ac:dyDescent="0.25">
      <c r="A332" s="6" t="s">
        <v>752</v>
      </c>
      <c r="B332" s="7">
        <v>1</v>
      </c>
      <c r="C332" s="7"/>
      <c r="D332" s="207" t="s">
        <v>1145</v>
      </c>
      <c r="E332" s="7">
        <v>25</v>
      </c>
      <c r="F332" s="311" t="s">
        <v>1144</v>
      </c>
      <c r="G332" s="75" t="str">
        <f>IFERROR(IF(VLOOKUP(TableHandbook[[#This Row],[UDC]],TableAvailabilities[],2,FALSE)&gt;0,"Y",""),"")</f>
        <v/>
      </c>
      <c r="H332" s="75" t="str">
        <f>IFERROR(IF(VLOOKUP(TableHandbook[[#This Row],[UDC]],TableAvailabilities[],3,FALSE)&gt;0,"Y",""),"")</f>
        <v/>
      </c>
      <c r="I332" s="75" t="str">
        <f>IFERROR(IF(VLOOKUP(TableHandbook[[#This Row],[UDC]],TableAvailabilities[],4,FALSE)&gt;0,"Y",""),"")</f>
        <v/>
      </c>
      <c r="J332" s="75" t="str">
        <f>IFERROR(IF(VLOOKUP(TableHandbook[[#This Row],[UDC]],TableAvailabilities[],5,FALSE)&gt;0,"Y",""),"")</f>
        <v>Y</v>
      </c>
      <c r="K332" s="75" t="str">
        <f>IFERROR(IF(VLOOKUP(TableHandbook[[#This Row],[UDC]],TableAvailabilities[],6,FALSE)&gt;0,"Y",""),"")</f>
        <v/>
      </c>
      <c r="L332" s="75" t="str">
        <f>IFERROR(IF(VLOOKUP(TableHandbook[[#This Row],[UDC]],TableAvailabilities[],7,FALSE)&gt;0,"Y",""),"")</f>
        <v/>
      </c>
      <c r="M332" s="207"/>
      <c r="N332" s="209" t="str">
        <f>IFERROR(VLOOKUP(TableHandbook[[#This Row],[UDC]],TableBEDUC[],7,FALSE),"")</f>
        <v/>
      </c>
      <c r="O332" s="209" t="str">
        <f>IFERROR(VLOOKUP(TableHandbook[[#This Row],[UDC]],TableBEDEC[],7,FALSE),"")</f>
        <v/>
      </c>
      <c r="P332" s="211" t="str">
        <f>IFERROR(VLOOKUP(TableHandbook[[#This Row],[UDC]],TableBEDPR[],7,FALSE),"")</f>
        <v/>
      </c>
      <c r="Q332" s="209" t="str">
        <f>IFERROR(VLOOKUP(TableHandbook[[#This Row],[UDC]],TableSTRUCATHL[],7,FALSE),"")</f>
        <v/>
      </c>
      <c r="R332" s="209" t="str">
        <f>IFERROR(VLOOKUP(TableHandbook[[#This Row],[UDC]],TableSTRUENGLL[],7,FALSE),"")</f>
        <v/>
      </c>
      <c r="S332" s="209" t="str">
        <f>IFERROR(VLOOKUP(TableHandbook[[#This Row],[UDC]],TableSTRUHLTPE[],7,FALSE),"")</f>
        <v/>
      </c>
      <c r="T332" s="209" t="str">
        <f>IFERROR(VLOOKUP(TableHandbook[[#This Row],[UDC]],TableSTRUISTEM[],7,FALSE),"")</f>
        <v/>
      </c>
      <c r="U332" s="209" t="str">
        <f>IFERROR(VLOOKUP(TableHandbook[[#This Row],[UDC]],TableSTRULITNU[],7,FALSE),"")</f>
        <v/>
      </c>
      <c r="V332" s="209" t="str">
        <f>IFERROR(VLOOKUP(TableHandbook[[#This Row],[UDC]],TableSTRUTECHS[],7,FALSE),"")</f>
        <v/>
      </c>
      <c r="W332" s="211" t="str">
        <f>IFERROR(VLOOKUP(TableHandbook[[#This Row],[UDC]],TableBEDSC[],7,FALSE),"")</f>
        <v/>
      </c>
      <c r="X332" s="211" t="str">
        <f>IFERROR(VLOOKUP(TableHandbook[[#This Row],[UDC]],TableMJRUARDR1[],7,FALSE),"")</f>
        <v/>
      </c>
      <c r="Y332" s="209" t="str">
        <f>IFERROR(VLOOKUP(TableHandbook[[#This Row],[UDC]],TableMJRUARME1[],7,FALSE),"")</f>
        <v/>
      </c>
      <c r="Z332" s="209" t="str">
        <f>IFERROR(VLOOKUP(TableHandbook[[#This Row],[UDC]],TableMJRUARVA1[],7,FALSE),"")</f>
        <v/>
      </c>
      <c r="AA332" s="209" t="str">
        <f>IFERROR(VLOOKUP(TableHandbook[[#This Row],[UDC]],TableMJRUENGL1[],7,FALSE),"")</f>
        <v/>
      </c>
      <c r="AB332" s="209" t="str">
        <f>IFERROR(VLOOKUP(TableHandbook[[#This Row],[UDC]],TableMJRUHSEC1[],7,FALSE),"")</f>
        <v/>
      </c>
      <c r="AC332" s="209" t="str">
        <f>IFERROR(VLOOKUP(TableHandbook[[#This Row],[UDC]],TableMJRUHSGE1[],7,FALSE),"")</f>
        <v/>
      </c>
      <c r="AD332" s="209" t="str">
        <f>IFERROR(VLOOKUP(TableHandbook[[#This Row],[UDC]],TableMJRUHSHI1[],7,FALSE),"")</f>
        <v/>
      </c>
      <c r="AE332" s="209" t="str">
        <f>IFERROR(VLOOKUP(TableHandbook[[#This Row],[UDC]],TableMJRUHSPL1[],7,FALSE),"")</f>
        <v/>
      </c>
      <c r="AF332" s="209" t="str">
        <f>IFERROR(VLOOKUP(TableHandbook[[#This Row],[UDC]],TableMJRUMATH1[],7,FALSE),"")</f>
        <v/>
      </c>
      <c r="AG332" s="209" t="str">
        <f>IFERROR(VLOOKUP(TableHandbook[[#This Row],[UDC]],TableMJRUPHYSE[],7,FALSE),"")</f>
        <v/>
      </c>
      <c r="AH332" s="209" t="str">
        <f>IFERROR(VLOOKUP(TableHandbook[[#This Row],[UDC]],TableMJRUSCBI1[],7,FALSE),"")</f>
        <v/>
      </c>
      <c r="AI332" s="209" t="str">
        <f>IFERROR(VLOOKUP(TableHandbook[[#This Row],[UDC]],TableMJRUSCCH1[],7,FALSE),"")</f>
        <v/>
      </c>
      <c r="AJ332" s="209" t="str">
        <f>IFERROR(VLOOKUP(TableHandbook[[#This Row],[UDC]],TableMJRUSCHB1[],7,FALSE),"")</f>
        <v/>
      </c>
      <c r="AK332" s="209" t="str">
        <f>IFERROR(VLOOKUP(TableHandbook[[#This Row],[UDC]],TableMJRUSCPH1[],7,FALSE),"")</f>
        <v/>
      </c>
      <c r="AL332" s="209" t="str">
        <f>IFERROR(VLOOKUP(TableHandbook[[#This Row],[UDC]],TableMJRUSCPS1[],7,FALSE),"")</f>
        <v/>
      </c>
      <c r="AM332" s="211" t="str">
        <f>IFERROR(VLOOKUP(TableHandbook[[#This Row],[UDC]],TableSTRUBIOLB[],7,FALSE),"")</f>
        <v/>
      </c>
      <c r="AN332" s="209" t="str">
        <f>IFERROR(VLOOKUP(TableHandbook[[#This Row],[UDC]],TableSTRUBSCIM[],7,FALSE),"")</f>
        <v/>
      </c>
      <c r="AO332" s="209" t="str">
        <f>IFERROR(VLOOKUP(TableHandbook[[#This Row],[UDC]],TableSTRUCHEMB[],7,FALSE),"")</f>
        <v/>
      </c>
      <c r="AP332" s="209" t="str">
        <f>IFERROR(VLOOKUP(TableHandbook[[#This Row],[UDC]],TableSTRUECOB1[],7,FALSE),"")</f>
        <v/>
      </c>
      <c r="AQ332" s="209" t="str">
        <f>IFERROR(VLOOKUP(TableHandbook[[#This Row],[UDC]],TableSTRUENGLB[],7,FALSE),"")</f>
        <v/>
      </c>
      <c r="AR332" s="209" t="str">
        <f>IFERROR(VLOOKUP(TableHandbook[[#This Row],[UDC]],TableSTRUENGLM[],7,FALSE),"")</f>
        <v/>
      </c>
      <c r="AS332" s="209" t="str">
        <f>IFERROR(VLOOKUP(TableHandbook[[#This Row],[UDC]],TableSTRUGEOB1[],7,FALSE),"")</f>
        <v/>
      </c>
      <c r="AT332" s="209" t="str">
        <f>IFERROR(VLOOKUP(TableHandbook[[#This Row],[UDC]],TableSTRUGEOGM[],7,FALSE),"")</f>
        <v/>
      </c>
      <c r="AU332" s="209" t="str">
        <f>IFERROR(VLOOKUP(TableHandbook[[#This Row],[UDC]],TableSTRUHISB1[],7,FALSE),"")</f>
        <v/>
      </c>
      <c r="AV332" s="209" t="str">
        <f>IFERROR(VLOOKUP(TableHandbook[[#This Row],[UDC]],TableSTRUHISTM[],7,FALSE),"")</f>
        <v/>
      </c>
      <c r="AW332" s="209" t="str">
        <f>IFERROR(VLOOKUP(TableHandbook[[#This Row],[UDC]],TableSTRUHPEB1[],7,FALSE),"")</f>
        <v/>
      </c>
      <c r="AX332" s="209" t="str">
        <f>IFERROR(VLOOKUP(TableHandbook[[#This Row],[UDC]],TableSTRUHUMBB[],7,FALSE),"")</f>
        <v/>
      </c>
      <c r="AY332" s="209" t="str">
        <f>IFERROR(VLOOKUP(TableHandbook[[#This Row],[UDC]],TableSTRUMARTM[],7,FALSE),"")</f>
        <v/>
      </c>
      <c r="AZ332" s="209" t="str">
        <f>IFERROR(VLOOKUP(TableHandbook[[#This Row],[UDC]],TableSTRUMATHB[],7,FALSE),"")</f>
        <v/>
      </c>
      <c r="BA332" s="209" t="str">
        <f>IFERROR(VLOOKUP(TableHandbook[[#This Row],[UDC]],TableSTRUMATHM[],7,FALSE),"")</f>
        <v/>
      </c>
      <c r="BB332" s="209" t="str">
        <f>IFERROR(VLOOKUP(TableHandbook[[#This Row],[UDC]],TableSTRUPARTB[],7,FALSE),"")</f>
        <v>AltCore</v>
      </c>
      <c r="BC332" s="209" t="str">
        <f>IFERROR(VLOOKUP(TableHandbook[[#This Row],[UDC]],TableSTRUPARTM[],7,FALSE),"")</f>
        <v/>
      </c>
      <c r="BD332" s="209" t="str">
        <f>IFERROR(VLOOKUP(TableHandbook[[#This Row],[UDC]],TableSTRUPOLB1[],7,FALSE),"")</f>
        <v/>
      </c>
      <c r="BE332" s="209" t="str">
        <f>IFERROR(VLOOKUP(TableHandbook[[#This Row],[UDC]],TableSTRUPSYCB[],7,FALSE),"")</f>
        <v/>
      </c>
      <c r="BF332" s="209" t="str">
        <f>IFERROR(VLOOKUP(TableHandbook[[#This Row],[UDC]],TableSTRUPSYCM[],7,FALSE),"")</f>
        <v/>
      </c>
      <c r="BG332" s="209" t="str">
        <f>IFERROR(VLOOKUP(TableHandbook[[#This Row],[UDC]],TableSTRUVARTB[],7,FALSE),"")</f>
        <v/>
      </c>
      <c r="BH332" s="209" t="str">
        <f>IFERROR(VLOOKUP(TableHandbook[[#This Row],[UDC]],TableSTRUVARTM[],7,FALSE),"")</f>
        <v/>
      </c>
    </row>
    <row r="333" spans="1:60" x14ac:dyDescent="0.25">
      <c r="A333" s="6" t="s">
        <v>537</v>
      </c>
      <c r="B333" s="7">
        <v>5</v>
      </c>
      <c r="C333" s="7"/>
      <c r="D333" s="207" t="s">
        <v>1146</v>
      </c>
      <c r="E333" s="7">
        <v>25</v>
      </c>
      <c r="F333" s="311" t="s">
        <v>1147</v>
      </c>
      <c r="G333" s="75" t="str">
        <f>IFERROR(IF(VLOOKUP(TableHandbook[[#This Row],[UDC]],TableAvailabilities[],2,FALSE)&gt;0,"Y",""),"")</f>
        <v>Y</v>
      </c>
      <c r="H333" s="75" t="str">
        <f>IFERROR(IF(VLOOKUP(TableHandbook[[#This Row],[UDC]],TableAvailabilities[],3,FALSE)&gt;0,"Y",""),"")</f>
        <v/>
      </c>
      <c r="I333" s="75" t="str">
        <f>IFERROR(IF(VLOOKUP(TableHandbook[[#This Row],[UDC]],TableAvailabilities[],4,FALSE)&gt;0,"Y",""),"")</f>
        <v/>
      </c>
      <c r="J333" s="75" t="str">
        <f>IFERROR(IF(VLOOKUP(TableHandbook[[#This Row],[UDC]],TableAvailabilities[],5,FALSE)&gt;0,"Y",""),"")</f>
        <v/>
      </c>
      <c r="K333" s="75" t="str">
        <f>IFERROR(IF(VLOOKUP(TableHandbook[[#This Row],[UDC]],TableAvailabilities[],6,FALSE)&gt;0,"Y",""),"")</f>
        <v/>
      </c>
      <c r="L333" s="75" t="str">
        <f>IFERROR(IF(VLOOKUP(TableHandbook[[#This Row],[UDC]],TableAvailabilities[],7,FALSE)&gt;0,"Y",""),"")</f>
        <v/>
      </c>
      <c r="M333" s="207"/>
      <c r="N333" s="209" t="str">
        <f>IFERROR(VLOOKUP(TableHandbook[[#This Row],[UDC]],TableBEDUC[],7,FALSE),"")</f>
        <v/>
      </c>
      <c r="O333" s="209" t="str">
        <f>IFERROR(VLOOKUP(TableHandbook[[#This Row],[UDC]],TableBEDEC[],7,FALSE),"")</f>
        <v/>
      </c>
      <c r="P333" s="211" t="str">
        <f>IFERROR(VLOOKUP(TableHandbook[[#This Row],[UDC]],TableBEDPR[],7,FALSE),"")</f>
        <v/>
      </c>
      <c r="Q333" s="209" t="str">
        <f>IFERROR(VLOOKUP(TableHandbook[[#This Row],[UDC]],TableSTRUCATHL[],7,FALSE),"")</f>
        <v/>
      </c>
      <c r="R333" s="209" t="str">
        <f>IFERROR(VLOOKUP(TableHandbook[[#This Row],[UDC]],TableSTRUENGLL[],7,FALSE),"")</f>
        <v/>
      </c>
      <c r="S333" s="209" t="str">
        <f>IFERROR(VLOOKUP(TableHandbook[[#This Row],[UDC]],TableSTRUHLTPE[],7,FALSE),"")</f>
        <v/>
      </c>
      <c r="T333" s="209" t="str">
        <f>IFERROR(VLOOKUP(TableHandbook[[#This Row],[UDC]],TableSTRUISTEM[],7,FALSE),"")</f>
        <v/>
      </c>
      <c r="U333" s="209" t="str">
        <f>IFERROR(VLOOKUP(TableHandbook[[#This Row],[UDC]],TableSTRULITNU[],7,FALSE),"")</f>
        <v/>
      </c>
      <c r="V333" s="209" t="str">
        <f>IFERROR(VLOOKUP(TableHandbook[[#This Row],[UDC]],TableSTRUTECHS[],7,FALSE),"")</f>
        <v/>
      </c>
      <c r="W333" s="211" t="str">
        <f>IFERROR(VLOOKUP(TableHandbook[[#This Row],[UDC]],TableBEDSC[],7,FALSE),"")</f>
        <v/>
      </c>
      <c r="X333" s="211" t="str">
        <f>IFERROR(VLOOKUP(TableHandbook[[#This Row],[UDC]],TableMJRUARDR1[],7,FALSE),"")</f>
        <v/>
      </c>
      <c r="Y333" s="209" t="str">
        <f>IFERROR(VLOOKUP(TableHandbook[[#This Row],[UDC]],TableMJRUARME1[],7,FALSE),"")</f>
        <v>Core</v>
      </c>
      <c r="Z333" s="209" t="str">
        <f>IFERROR(VLOOKUP(TableHandbook[[#This Row],[UDC]],TableMJRUARVA1[],7,FALSE),"")</f>
        <v/>
      </c>
      <c r="AA333" s="209" t="str">
        <f>IFERROR(VLOOKUP(TableHandbook[[#This Row],[UDC]],TableMJRUENGL1[],7,FALSE),"")</f>
        <v/>
      </c>
      <c r="AB333" s="209" t="str">
        <f>IFERROR(VLOOKUP(TableHandbook[[#This Row],[UDC]],TableMJRUHSEC1[],7,FALSE),"")</f>
        <v/>
      </c>
      <c r="AC333" s="209" t="str">
        <f>IFERROR(VLOOKUP(TableHandbook[[#This Row],[UDC]],TableMJRUHSGE1[],7,FALSE),"")</f>
        <v/>
      </c>
      <c r="AD333" s="209" t="str">
        <f>IFERROR(VLOOKUP(TableHandbook[[#This Row],[UDC]],TableMJRUHSHI1[],7,FALSE),"")</f>
        <v/>
      </c>
      <c r="AE333" s="209" t="str">
        <f>IFERROR(VLOOKUP(TableHandbook[[#This Row],[UDC]],TableMJRUHSPL1[],7,FALSE),"")</f>
        <v/>
      </c>
      <c r="AF333" s="209" t="str">
        <f>IFERROR(VLOOKUP(TableHandbook[[#This Row],[UDC]],TableMJRUMATH1[],7,FALSE),"")</f>
        <v/>
      </c>
      <c r="AG333" s="209" t="str">
        <f>IFERROR(VLOOKUP(TableHandbook[[#This Row],[UDC]],TableMJRUPHYSE[],7,FALSE),"")</f>
        <v/>
      </c>
      <c r="AH333" s="209" t="str">
        <f>IFERROR(VLOOKUP(TableHandbook[[#This Row],[UDC]],TableMJRUSCBI1[],7,FALSE),"")</f>
        <v/>
      </c>
      <c r="AI333" s="209" t="str">
        <f>IFERROR(VLOOKUP(TableHandbook[[#This Row],[UDC]],TableMJRUSCCH1[],7,FALSE),"")</f>
        <v/>
      </c>
      <c r="AJ333" s="209" t="str">
        <f>IFERROR(VLOOKUP(TableHandbook[[#This Row],[UDC]],TableMJRUSCHB1[],7,FALSE),"")</f>
        <v/>
      </c>
      <c r="AK333" s="209" t="str">
        <f>IFERROR(VLOOKUP(TableHandbook[[#This Row],[UDC]],TableMJRUSCPH1[],7,FALSE),"")</f>
        <v/>
      </c>
      <c r="AL333" s="209" t="str">
        <f>IFERROR(VLOOKUP(TableHandbook[[#This Row],[UDC]],TableMJRUSCPS1[],7,FALSE),"")</f>
        <v/>
      </c>
      <c r="AM333" s="211" t="str">
        <f>IFERROR(VLOOKUP(TableHandbook[[#This Row],[UDC]],TableSTRUBIOLB[],7,FALSE),"")</f>
        <v/>
      </c>
      <c r="AN333" s="209" t="str">
        <f>IFERROR(VLOOKUP(TableHandbook[[#This Row],[UDC]],TableSTRUBSCIM[],7,FALSE),"")</f>
        <v/>
      </c>
      <c r="AO333" s="209" t="str">
        <f>IFERROR(VLOOKUP(TableHandbook[[#This Row],[UDC]],TableSTRUCHEMB[],7,FALSE),"")</f>
        <v/>
      </c>
      <c r="AP333" s="209" t="str">
        <f>IFERROR(VLOOKUP(TableHandbook[[#This Row],[UDC]],TableSTRUECOB1[],7,FALSE),"")</f>
        <v/>
      </c>
      <c r="AQ333" s="209" t="str">
        <f>IFERROR(VLOOKUP(TableHandbook[[#This Row],[UDC]],TableSTRUENGLB[],7,FALSE),"")</f>
        <v/>
      </c>
      <c r="AR333" s="209" t="str">
        <f>IFERROR(VLOOKUP(TableHandbook[[#This Row],[UDC]],TableSTRUENGLM[],7,FALSE),"")</f>
        <v/>
      </c>
      <c r="AS333" s="209" t="str">
        <f>IFERROR(VLOOKUP(TableHandbook[[#This Row],[UDC]],TableSTRUGEOB1[],7,FALSE),"")</f>
        <v/>
      </c>
      <c r="AT333" s="209" t="str">
        <f>IFERROR(VLOOKUP(TableHandbook[[#This Row],[UDC]],TableSTRUGEOGM[],7,FALSE),"")</f>
        <v/>
      </c>
      <c r="AU333" s="209" t="str">
        <f>IFERROR(VLOOKUP(TableHandbook[[#This Row],[UDC]],TableSTRUHISB1[],7,FALSE),"")</f>
        <v/>
      </c>
      <c r="AV333" s="209" t="str">
        <f>IFERROR(VLOOKUP(TableHandbook[[#This Row],[UDC]],TableSTRUHISTM[],7,FALSE),"")</f>
        <v/>
      </c>
      <c r="AW333" s="209" t="str">
        <f>IFERROR(VLOOKUP(TableHandbook[[#This Row],[UDC]],TableSTRUHPEB1[],7,FALSE),"")</f>
        <v/>
      </c>
      <c r="AX333" s="209" t="str">
        <f>IFERROR(VLOOKUP(TableHandbook[[#This Row],[UDC]],TableSTRUHUMBB[],7,FALSE),"")</f>
        <v/>
      </c>
      <c r="AY333" s="209" t="str">
        <f>IFERROR(VLOOKUP(TableHandbook[[#This Row],[UDC]],TableSTRUMARTM[],7,FALSE),"")</f>
        <v/>
      </c>
      <c r="AZ333" s="209" t="str">
        <f>IFERROR(VLOOKUP(TableHandbook[[#This Row],[UDC]],TableSTRUMATHB[],7,FALSE),"")</f>
        <v/>
      </c>
      <c r="BA333" s="209" t="str">
        <f>IFERROR(VLOOKUP(TableHandbook[[#This Row],[UDC]],TableSTRUMATHM[],7,FALSE),"")</f>
        <v/>
      </c>
      <c r="BB333" s="209" t="str">
        <f>IFERROR(VLOOKUP(TableHandbook[[#This Row],[UDC]],TableSTRUPARTB[],7,FALSE),"")</f>
        <v/>
      </c>
      <c r="BC333" s="209" t="str">
        <f>IFERROR(VLOOKUP(TableHandbook[[#This Row],[UDC]],TableSTRUPARTM[],7,FALSE),"")</f>
        <v/>
      </c>
      <c r="BD333" s="209" t="str">
        <f>IFERROR(VLOOKUP(TableHandbook[[#This Row],[UDC]],TableSTRUPOLB1[],7,FALSE),"")</f>
        <v/>
      </c>
      <c r="BE333" s="209" t="str">
        <f>IFERROR(VLOOKUP(TableHandbook[[#This Row],[UDC]],TableSTRUPSYCB[],7,FALSE),"")</f>
        <v/>
      </c>
      <c r="BF333" s="209" t="str">
        <f>IFERROR(VLOOKUP(TableHandbook[[#This Row],[UDC]],TableSTRUPSYCM[],7,FALSE),"")</f>
        <v/>
      </c>
      <c r="BG333" s="209" t="str">
        <f>IFERROR(VLOOKUP(TableHandbook[[#This Row],[UDC]],TableSTRUVARTB[],7,FALSE),"")</f>
        <v/>
      </c>
      <c r="BH333" s="209" t="str">
        <f>IFERROR(VLOOKUP(TableHandbook[[#This Row],[UDC]],TableSTRUVARTM[],7,FALSE),"")</f>
        <v/>
      </c>
    </row>
    <row r="334" spans="1:60" x14ac:dyDescent="0.25">
      <c r="A334" s="296" t="s">
        <v>468</v>
      </c>
      <c r="B334" s="7">
        <v>2</v>
      </c>
      <c r="C334" s="7"/>
      <c r="D334" s="207" t="s">
        <v>1148</v>
      </c>
      <c r="E334" s="7">
        <v>25</v>
      </c>
      <c r="F334" s="311" t="s">
        <v>783</v>
      </c>
      <c r="G334" s="75" t="str">
        <f>IFERROR(IF(VLOOKUP(TableHandbook[[#This Row],[UDC]],TableAvailabilities[],2,FALSE)&gt;0,"Y",""),"")</f>
        <v>Y</v>
      </c>
      <c r="H334" s="75" t="str">
        <f>IFERROR(IF(VLOOKUP(TableHandbook[[#This Row],[UDC]],TableAvailabilities[],3,FALSE)&gt;0,"Y",""),"")</f>
        <v/>
      </c>
      <c r="I334" s="75" t="str">
        <f>IFERROR(IF(VLOOKUP(TableHandbook[[#This Row],[UDC]],TableAvailabilities[],4,FALSE)&gt;0,"Y",""),"")</f>
        <v/>
      </c>
      <c r="J334" s="75" t="str">
        <f>IFERROR(IF(VLOOKUP(TableHandbook[[#This Row],[UDC]],TableAvailabilities[],5,FALSE)&gt;0,"Y",""),"")</f>
        <v>Y</v>
      </c>
      <c r="K334" s="75" t="str">
        <f>IFERROR(IF(VLOOKUP(TableHandbook[[#This Row],[UDC]],TableAvailabilities[],6,FALSE)&gt;0,"Y",""),"")</f>
        <v/>
      </c>
      <c r="L334" s="75" t="str">
        <f>IFERROR(IF(VLOOKUP(TableHandbook[[#This Row],[UDC]],TableAvailabilities[],7,FALSE)&gt;0,"Y",""),"")</f>
        <v/>
      </c>
      <c r="M334" s="207"/>
      <c r="N334" s="209" t="str">
        <f>IFERROR(VLOOKUP(TableHandbook[[#This Row],[UDC]],TableBEDUC[],7,FALSE),"")</f>
        <v/>
      </c>
      <c r="O334" s="209" t="str">
        <f>IFERROR(VLOOKUP(TableHandbook[[#This Row],[UDC]],TableBEDEC[],7,FALSE),"")</f>
        <v/>
      </c>
      <c r="P334" s="211" t="str">
        <f>IFERROR(VLOOKUP(TableHandbook[[#This Row],[UDC]],TableBEDPR[],7,FALSE),"")</f>
        <v/>
      </c>
      <c r="Q334" s="209" t="str">
        <f>IFERROR(VLOOKUP(TableHandbook[[#This Row],[UDC]],TableSTRUCATHL[],7,FALSE),"")</f>
        <v/>
      </c>
      <c r="R334" s="209" t="str">
        <f>IFERROR(VLOOKUP(TableHandbook[[#This Row],[UDC]],TableSTRUENGLL[],7,FALSE),"")</f>
        <v/>
      </c>
      <c r="S334" s="209" t="str">
        <f>IFERROR(VLOOKUP(TableHandbook[[#This Row],[UDC]],TableSTRUHLTPE[],7,FALSE),"")</f>
        <v/>
      </c>
      <c r="T334" s="209" t="str">
        <f>IFERROR(VLOOKUP(TableHandbook[[#This Row],[UDC]],TableSTRUISTEM[],7,FALSE),"")</f>
        <v/>
      </c>
      <c r="U334" s="209" t="str">
        <f>IFERROR(VLOOKUP(TableHandbook[[#This Row],[UDC]],TableSTRULITNU[],7,FALSE),"")</f>
        <v/>
      </c>
      <c r="V334" s="209" t="str">
        <f>IFERROR(VLOOKUP(TableHandbook[[#This Row],[UDC]],TableSTRUTECHS[],7,FALSE),"")</f>
        <v/>
      </c>
      <c r="W334" s="211" t="str">
        <f>IFERROR(VLOOKUP(TableHandbook[[#This Row],[UDC]],TableBEDSC[],7,FALSE),"")</f>
        <v/>
      </c>
      <c r="X334" s="211" t="str">
        <f>IFERROR(VLOOKUP(TableHandbook[[#This Row],[UDC]],TableMJRUARDR1[],7,FALSE),"")</f>
        <v/>
      </c>
      <c r="Y334" s="209" t="str">
        <f>IFERROR(VLOOKUP(TableHandbook[[#This Row],[UDC]],TableMJRUARME1[],7,FALSE),"")</f>
        <v/>
      </c>
      <c r="Z334" s="209" t="str">
        <f>IFERROR(VLOOKUP(TableHandbook[[#This Row],[UDC]],TableMJRUARVA1[],7,FALSE),"")</f>
        <v/>
      </c>
      <c r="AA334" s="209" t="str">
        <f>IFERROR(VLOOKUP(TableHandbook[[#This Row],[UDC]],TableMJRUENGL1[],7,FALSE),"")</f>
        <v/>
      </c>
      <c r="AB334" s="209" t="str">
        <f>IFERROR(VLOOKUP(TableHandbook[[#This Row],[UDC]],TableMJRUHSEC1[],7,FALSE),"")</f>
        <v/>
      </c>
      <c r="AC334" s="209" t="str">
        <f>IFERROR(VLOOKUP(TableHandbook[[#This Row],[UDC]],TableMJRUHSGE1[],7,FALSE),"")</f>
        <v/>
      </c>
      <c r="AD334" s="209" t="str">
        <f>IFERROR(VLOOKUP(TableHandbook[[#This Row],[UDC]],TableMJRUHSHI1[],7,FALSE),"")</f>
        <v/>
      </c>
      <c r="AE334" s="209" t="str">
        <f>IFERROR(VLOOKUP(TableHandbook[[#This Row],[UDC]],TableMJRUHSPL1[],7,FALSE),"")</f>
        <v/>
      </c>
      <c r="AF334" s="209" t="str">
        <f>IFERROR(VLOOKUP(TableHandbook[[#This Row],[UDC]],TableMJRUMATH1[],7,FALSE),"")</f>
        <v/>
      </c>
      <c r="AG334" s="209" t="str">
        <f>IFERROR(VLOOKUP(TableHandbook[[#This Row],[UDC]],TableMJRUPHYSE[],7,FALSE),"")</f>
        <v/>
      </c>
      <c r="AH334" s="209" t="str">
        <f>IFERROR(VLOOKUP(TableHandbook[[#This Row],[UDC]],TableMJRUSCBI1[],7,FALSE),"")</f>
        <v/>
      </c>
      <c r="AI334" s="209" t="str">
        <f>IFERROR(VLOOKUP(TableHandbook[[#This Row],[UDC]],TableMJRUSCCH1[],7,FALSE),"")</f>
        <v/>
      </c>
      <c r="AJ334" s="209" t="str">
        <f>IFERROR(VLOOKUP(TableHandbook[[#This Row],[UDC]],TableMJRUSCHB1[],7,FALSE),"")</f>
        <v/>
      </c>
      <c r="AK334" s="209" t="str">
        <f>IFERROR(VLOOKUP(TableHandbook[[#This Row],[UDC]],TableMJRUSCPH1[],7,FALSE),"")</f>
        <v>Core</v>
      </c>
      <c r="AL334" s="209" t="str">
        <f>IFERROR(VLOOKUP(TableHandbook[[#This Row],[UDC]],TableMJRUSCPS1[],7,FALSE),"")</f>
        <v/>
      </c>
      <c r="AM334" s="211" t="str">
        <f>IFERROR(VLOOKUP(TableHandbook[[#This Row],[UDC]],TableSTRUBIOLB[],7,FALSE),"")</f>
        <v/>
      </c>
      <c r="AN334" s="209" t="str">
        <f>IFERROR(VLOOKUP(TableHandbook[[#This Row],[UDC]],TableSTRUBSCIM[],7,FALSE),"")</f>
        <v/>
      </c>
      <c r="AO334" s="209" t="str">
        <f>IFERROR(VLOOKUP(TableHandbook[[#This Row],[UDC]],TableSTRUCHEMB[],7,FALSE),"")</f>
        <v/>
      </c>
      <c r="AP334" s="209" t="str">
        <f>IFERROR(VLOOKUP(TableHandbook[[#This Row],[UDC]],TableSTRUECOB1[],7,FALSE),"")</f>
        <v/>
      </c>
      <c r="AQ334" s="209" t="str">
        <f>IFERROR(VLOOKUP(TableHandbook[[#This Row],[UDC]],TableSTRUENGLB[],7,FALSE),"")</f>
        <v/>
      </c>
      <c r="AR334" s="209" t="str">
        <f>IFERROR(VLOOKUP(TableHandbook[[#This Row],[UDC]],TableSTRUENGLM[],7,FALSE),"")</f>
        <v/>
      </c>
      <c r="AS334" s="209" t="str">
        <f>IFERROR(VLOOKUP(TableHandbook[[#This Row],[UDC]],TableSTRUGEOB1[],7,FALSE),"")</f>
        <v/>
      </c>
      <c r="AT334" s="209" t="str">
        <f>IFERROR(VLOOKUP(TableHandbook[[#This Row],[UDC]],TableSTRUGEOGM[],7,FALSE),"")</f>
        <v/>
      </c>
      <c r="AU334" s="209" t="str">
        <f>IFERROR(VLOOKUP(TableHandbook[[#This Row],[UDC]],TableSTRUHISB1[],7,FALSE),"")</f>
        <v/>
      </c>
      <c r="AV334" s="209" t="str">
        <f>IFERROR(VLOOKUP(TableHandbook[[#This Row],[UDC]],TableSTRUHISTM[],7,FALSE),"")</f>
        <v/>
      </c>
      <c r="AW334" s="209" t="str">
        <f>IFERROR(VLOOKUP(TableHandbook[[#This Row],[UDC]],TableSTRUHPEB1[],7,FALSE),"")</f>
        <v/>
      </c>
      <c r="AX334" s="209" t="str">
        <f>IFERROR(VLOOKUP(TableHandbook[[#This Row],[UDC]],TableSTRUHUMBB[],7,FALSE),"")</f>
        <v/>
      </c>
      <c r="AY334" s="209" t="str">
        <f>IFERROR(VLOOKUP(TableHandbook[[#This Row],[UDC]],TableSTRUMARTM[],7,FALSE),"")</f>
        <v/>
      </c>
      <c r="AZ334" s="209" t="str">
        <f>IFERROR(VLOOKUP(TableHandbook[[#This Row],[UDC]],TableSTRUMATHB[],7,FALSE),"")</f>
        <v/>
      </c>
      <c r="BA334" s="209" t="str">
        <f>IFERROR(VLOOKUP(TableHandbook[[#This Row],[UDC]],TableSTRUMATHM[],7,FALSE),"")</f>
        <v/>
      </c>
      <c r="BB334" s="209" t="str">
        <f>IFERROR(VLOOKUP(TableHandbook[[#This Row],[UDC]],TableSTRUPARTB[],7,FALSE),"")</f>
        <v/>
      </c>
      <c r="BC334" s="209" t="str">
        <f>IFERROR(VLOOKUP(TableHandbook[[#This Row],[UDC]],TableSTRUPARTM[],7,FALSE),"")</f>
        <v/>
      </c>
      <c r="BD334" s="209" t="str">
        <f>IFERROR(VLOOKUP(TableHandbook[[#This Row],[UDC]],TableSTRUPOLB1[],7,FALSE),"")</f>
        <v/>
      </c>
      <c r="BE334" s="209" t="str">
        <f>IFERROR(VLOOKUP(TableHandbook[[#This Row],[UDC]],TableSTRUPSYCB[],7,FALSE),"")</f>
        <v/>
      </c>
      <c r="BF334" s="209" t="str">
        <f>IFERROR(VLOOKUP(TableHandbook[[#This Row],[UDC]],TableSTRUPSYCM[],7,FALSE),"")</f>
        <v/>
      </c>
      <c r="BG334" s="209" t="str">
        <f>IFERROR(VLOOKUP(TableHandbook[[#This Row],[UDC]],TableSTRUVARTB[],7,FALSE),"")</f>
        <v/>
      </c>
      <c r="BH334" s="209" t="str">
        <f>IFERROR(VLOOKUP(TableHandbook[[#This Row],[UDC]],TableSTRUVARTM[],7,FALSE),"")</f>
        <v/>
      </c>
    </row>
    <row r="335" spans="1:60" x14ac:dyDescent="0.25">
      <c r="A335" s="6" t="s">
        <v>476</v>
      </c>
      <c r="B335" s="7">
        <v>1</v>
      </c>
      <c r="C335" s="7"/>
      <c r="D335" s="207" t="s">
        <v>1149</v>
      </c>
      <c r="E335" s="7">
        <v>25</v>
      </c>
      <c r="F335" s="84" t="s">
        <v>783</v>
      </c>
      <c r="G335" s="75" t="str">
        <f>IFERROR(IF(VLOOKUP(TableHandbook[[#This Row],[UDC]],TableAvailabilities[],2,FALSE)&gt;0,"Y",""),"")</f>
        <v>Y</v>
      </c>
      <c r="H335" s="75" t="str">
        <f>IFERROR(IF(VLOOKUP(TableHandbook[[#This Row],[UDC]],TableAvailabilities[],3,FALSE)&gt;0,"Y",""),"")</f>
        <v/>
      </c>
      <c r="I335" s="75" t="str">
        <f>IFERROR(IF(VLOOKUP(TableHandbook[[#This Row],[UDC]],TableAvailabilities[],4,FALSE)&gt;0,"Y",""),"")</f>
        <v/>
      </c>
      <c r="J335" s="75" t="str">
        <f>IFERROR(IF(VLOOKUP(TableHandbook[[#This Row],[UDC]],TableAvailabilities[],5,FALSE)&gt;0,"Y",""),"")</f>
        <v>Y</v>
      </c>
      <c r="K335" s="75" t="str">
        <f>IFERROR(IF(VLOOKUP(TableHandbook[[#This Row],[UDC]],TableAvailabilities[],6,FALSE)&gt;0,"Y",""),"")</f>
        <v/>
      </c>
      <c r="L335" s="75" t="str">
        <f>IFERROR(IF(VLOOKUP(TableHandbook[[#This Row],[UDC]],TableAvailabilities[],7,FALSE)&gt;0,"Y",""),"")</f>
        <v/>
      </c>
      <c r="M335" s="207"/>
      <c r="N335" s="209" t="str">
        <f>IFERROR(VLOOKUP(TableHandbook[[#This Row],[UDC]],TableBEDUC[],7,FALSE),"")</f>
        <v/>
      </c>
      <c r="O335" s="209" t="str">
        <f>IFERROR(VLOOKUP(TableHandbook[[#This Row],[UDC]],TableBEDEC[],7,FALSE),"")</f>
        <v/>
      </c>
      <c r="P335" s="211" t="str">
        <f>IFERROR(VLOOKUP(TableHandbook[[#This Row],[UDC]],TableBEDPR[],7,FALSE),"")</f>
        <v/>
      </c>
      <c r="Q335" s="209" t="str">
        <f>IFERROR(VLOOKUP(TableHandbook[[#This Row],[UDC]],TableSTRUCATHL[],7,FALSE),"")</f>
        <v/>
      </c>
      <c r="R335" s="209" t="str">
        <f>IFERROR(VLOOKUP(TableHandbook[[#This Row],[UDC]],TableSTRUENGLL[],7,FALSE),"")</f>
        <v/>
      </c>
      <c r="S335" s="209" t="str">
        <f>IFERROR(VLOOKUP(TableHandbook[[#This Row],[UDC]],TableSTRUHLTPE[],7,FALSE),"")</f>
        <v/>
      </c>
      <c r="T335" s="209" t="str">
        <f>IFERROR(VLOOKUP(TableHandbook[[#This Row],[UDC]],TableSTRUISTEM[],7,FALSE),"")</f>
        <v/>
      </c>
      <c r="U335" s="209" t="str">
        <f>IFERROR(VLOOKUP(TableHandbook[[#This Row],[UDC]],TableSTRULITNU[],7,FALSE),"")</f>
        <v/>
      </c>
      <c r="V335" s="209" t="str">
        <f>IFERROR(VLOOKUP(TableHandbook[[#This Row],[UDC]],TableSTRUTECHS[],7,FALSE),"")</f>
        <v/>
      </c>
      <c r="W335" s="211" t="str">
        <f>IFERROR(VLOOKUP(TableHandbook[[#This Row],[UDC]],TableBEDSC[],7,FALSE),"")</f>
        <v/>
      </c>
      <c r="X335" s="211" t="str">
        <f>IFERROR(VLOOKUP(TableHandbook[[#This Row],[UDC]],TableMJRUARDR1[],7,FALSE),"")</f>
        <v/>
      </c>
      <c r="Y335" s="209" t="str">
        <f>IFERROR(VLOOKUP(TableHandbook[[#This Row],[UDC]],TableMJRUARME1[],7,FALSE),"")</f>
        <v/>
      </c>
      <c r="Z335" s="209" t="str">
        <f>IFERROR(VLOOKUP(TableHandbook[[#This Row],[UDC]],TableMJRUARVA1[],7,FALSE),"")</f>
        <v/>
      </c>
      <c r="AA335" s="209" t="str">
        <f>IFERROR(VLOOKUP(TableHandbook[[#This Row],[UDC]],TableMJRUENGL1[],7,FALSE),"")</f>
        <v/>
      </c>
      <c r="AB335" s="209" t="str">
        <f>IFERROR(VLOOKUP(TableHandbook[[#This Row],[UDC]],TableMJRUHSEC1[],7,FALSE),"")</f>
        <v/>
      </c>
      <c r="AC335" s="209" t="str">
        <f>IFERROR(VLOOKUP(TableHandbook[[#This Row],[UDC]],TableMJRUHSGE1[],7,FALSE),"")</f>
        <v/>
      </c>
      <c r="AD335" s="209" t="str">
        <f>IFERROR(VLOOKUP(TableHandbook[[#This Row],[UDC]],TableMJRUHSHI1[],7,FALSE),"")</f>
        <v/>
      </c>
      <c r="AE335" s="209" t="str">
        <f>IFERROR(VLOOKUP(TableHandbook[[#This Row],[UDC]],TableMJRUHSPL1[],7,FALSE),"")</f>
        <v/>
      </c>
      <c r="AF335" s="209" t="str">
        <f>IFERROR(VLOOKUP(TableHandbook[[#This Row],[UDC]],TableMJRUMATH1[],7,FALSE),"")</f>
        <v>Core</v>
      </c>
      <c r="AG335" s="209" t="str">
        <f>IFERROR(VLOOKUP(TableHandbook[[#This Row],[UDC]],TableMJRUPHYSE[],7,FALSE),"")</f>
        <v/>
      </c>
      <c r="AH335" s="209" t="str">
        <f>IFERROR(VLOOKUP(TableHandbook[[#This Row],[UDC]],TableMJRUSCBI1[],7,FALSE),"")</f>
        <v/>
      </c>
      <c r="AI335" s="209" t="str">
        <f>IFERROR(VLOOKUP(TableHandbook[[#This Row],[UDC]],TableMJRUSCCH1[],7,FALSE),"")</f>
        <v/>
      </c>
      <c r="AJ335" s="209" t="str">
        <f>IFERROR(VLOOKUP(TableHandbook[[#This Row],[UDC]],TableMJRUSCHB1[],7,FALSE),"")</f>
        <v/>
      </c>
      <c r="AK335" s="209" t="str">
        <f>IFERROR(VLOOKUP(TableHandbook[[#This Row],[UDC]],TableMJRUSCPH1[],7,FALSE),"")</f>
        <v/>
      </c>
      <c r="AL335" s="209" t="str">
        <f>IFERROR(VLOOKUP(TableHandbook[[#This Row],[UDC]],TableMJRUSCPS1[],7,FALSE),"")</f>
        <v/>
      </c>
      <c r="AM335" s="211" t="str">
        <f>IFERROR(VLOOKUP(TableHandbook[[#This Row],[UDC]],TableSTRUBIOLB[],7,FALSE),"")</f>
        <v/>
      </c>
      <c r="AN335" s="209" t="str">
        <f>IFERROR(VLOOKUP(TableHandbook[[#This Row],[UDC]],TableSTRUBSCIM[],7,FALSE),"")</f>
        <v/>
      </c>
      <c r="AO335" s="209" t="str">
        <f>IFERROR(VLOOKUP(TableHandbook[[#This Row],[UDC]],TableSTRUCHEMB[],7,FALSE),"")</f>
        <v/>
      </c>
      <c r="AP335" s="209" t="str">
        <f>IFERROR(VLOOKUP(TableHandbook[[#This Row],[UDC]],TableSTRUECOB1[],7,FALSE),"")</f>
        <v/>
      </c>
      <c r="AQ335" s="209" t="str">
        <f>IFERROR(VLOOKUP(TableHandbook[[#This Row],[UDC]],TableSTRUENGLB[],7,FALSE),"")</f>
        <v/>
      </c>
      <c r="AR335" s="209" t="str">
        <f>IFERROR(VLOOKUP(TableHandbook[[#This Row],[UDC]],TableSTRUENGLM[],7,FALSE),"")</f>
        <v/>
      </c>
      <c r="AS335" s="209" t="str">
        <f>IFERROR(VLOOKUP(TableHandbook[[#This Row],[UDC]],TableSTRUGEOB1[],7,FALSE),"")</f>
        <v/>
      </c>
      <c r="AT335" s="209" t="str">
        <f>IFERROR(VLOOKUP(TableHandbook[[#This Row],[UDC]],TableSTRUGEOGM[],7,FALSE),"")</f>
        <v/>
      </c>
      <c r="AU335" s="209" t="str">
        <f>IFERROR(VLOOKUP(TableHandbook[[#This Row],[UDC]],TableSTRUHISB1[],7,FALSE),"")</f>
        <v/>
      </c>
      <c r="AV335" s="209" t="str">
        <f>IFERROR(VLOOKUP(TableHandbook[[#This Row],[UDC]],TableSTRUHISTM[],7,FALSE),"")</f>
        <v/>
      </c>
      <c r="AW335" s="209" t="str">
        <f>IFERROR(VLOOKUP(TableHandbook[[#This Row],[UDC]],TableSTRUHPEB1[],7,FALSE),"")</f>
        <v/>
      </c>
      <c r="AX335" s="209" t="str">
        <f>IFERROR(VLOOKUP(TableHandbook[[#This Row],[UDC]],TableSTRUHUMBB[],7,FALSE),"")</f>
        <v/>
      </c>
      <c r="AY335" s="209" t="str">
        <f>IFERROR(VLOOKUP(TableHandbook[[#This Row],[UDC]],TableSTRUMARTM[],7,FALSE),"")</f>
        <v/>
      </c>
      <c r="AZ335" s="209" t="str">
        <f>IFERROR(VLOOKUP(TableHandbook[[#This Row],[UDC]],TableSTRUMATHB[],7,FALSE),"")</f>
        <v/>
      </c>
      <c r="BA335" s="209" t="str">
        <f>IFERROR(VLOOKUP(TableHandbook[[#This Row],[UDC]],TableSTRUMATHM[],7,FALSE),"")</f>
        <v/>
      </c>
      <c r="BB335" s="209" t="str">
        <f>IFERROR(VLOOKUP(TableHandbook[[#This Row],[UDC]],TableSTRUPARTB[],7,FALSE),"")</f>
        <v/>
      </c>
      <c r="BC335" s="209" t="str">
        <f>IFERROR(VLOOKUP(TableHandbook[[#This Row],[UDC]],TableSTRUPARTM[],7,FALSE),"")</f>
        <v/>
      </c>
      <c r="BD335" s="209" t="str">
        <f>IFERROR(VLOOKUP(TableHandbook[[#This Row],[UDC]],TableSTRUPOLB1[],7,FALSE),"")</f>
        <v/>
      </c>
      <c r="BE335" s="209" t="str">
        <f>IFERROR(VLOOKUP(TableHandbook[[#This Row],[UDC]],TableSTRUPSYCB[],7,FALSE),"")</f>
        <v/>
      </c>
      <c r="BF335" s="209" t="str">
        <f>IFERROR(VLOOKUP(TableHandbook[[#This Row],[UDC]],TableSTRUPSYCM[],7,FALSE),"")</f>
        <v/>
      </c>
      <c r="BG335" s="209" t="str">
        <f>IFERROR(VLOOKUP(TableHandbook[[#This Row],[UDC]],TableSTRUVARTB[],7,FALSE),"")</f>
        <v/>
      </c>
      <c r="BH335" s="209" t="str">
        <f>IFERROR(VLOOKUP(TableHandbook[[#This Row],[UDC]],TableSTRUVARTM[],7,FALSE),"")</f>
        <v/>
      </c>
    </row>
    <row r="336" spans="1:60" x14ac:dyDescent="0.25">
      <c r="A336" s="6" t="s">
        <v>544</v>
      </c>
      <c r="B336" s="7">
        <v>2</v>
      </c>
      <c r="C336" s="7"/>
      <c r="D336" s="207" t="s">
        <v>1150</v>
      </c>
      <c r="E336" s="7">
        <v>25</v>
      </c>
      <c r="F336" s="311" t="s">
        <v>1151</v>
      </c>
      <c r="G336" s="75" t="str">
        <f>IFERROR(IF(VLOOKUP(TableHandbook[[#This Row],[UDC]],TableAvailabilities[],2,FALSE)&gt;0,"Y",""),"")</f>
        <v>Y</v>
      </c>
      <c r="H336" s="75" t="str">
        <f>IFERROR(IF(VLOOKUP(TableHandbook[[#This Row],[UDC]],TableAvailabilities[],3,FALSE)&gt;0,"Y",""),"")</f>
        <v/>
      </c>
      <c r="I336" s="75" t="str">
        <f>IFERROR(IF(VLOOKUP(TableHandbook[[#This Row],[UDC]],TableAvailabilities[],4,FALSE)&gt;0,"Y",""),"")</f>
        <v/>
      </c>
      <c r="J336" s="75" t="str">
        <f>IFERROR(IF(VLOOKUP(TableHandbook[[#This Row],[UDC]],TableAvailabilities[],5,FALSE)&gt;0,"Y",""),"")</f>
        <v/>
      </c>
      <c r="K336" s="75" t="str">
        <f>IFERROR(IF(VLOOKUP(TableHandbook[[#This Row],[UDC]],TableAvailabilities[],6,FALSE)&gt;0,"Y",""),"")</f>
        <v/>
      </c>
      <c r="L336" s="75" t="str">
        <f>IFERROR(IF(VLOOKUP(TableHandbook[[#This Row],[UDC]],TableAvailabilities[],7,FALSE)&gt;0,"Y",""),"")</f>
        <v/>
      </c>
      <c r="M336" s="207"/>
      <c r="N336" s="209" t="str">
        <f>IFERROR(VLOOKUP(TableHandbook[[#This Row],[UDC]],TableBEDUC[],7,FALSE),"")</f>
        <v/>
      </c>
      <c r="O336" s="209" t="str">
        <f>IFERROR(VLOOKUP(TableHandbook[[#This Row],[UDC]],TableBEDEC[],7,FALSE),"")</f>
        <v/>
      </c>
      <c r="P336" s="211" t="str">
        <f>IFERROR(VLOOKUP(TableHandbook[[#This Row],[UDC]],TableBEDPR[],7,FALSE),"")</f>
        <v/>
      </c>
      <c r="Q336" s="209" t="str">
        <f>IFERROR(VLOOKUP(TableHandbook[[#This Row],[UDC]],TableSTRUCATHL[],7,FALSE),"")</f>
        <v/>
      </c>
      <c r="R336" s="209" t="str">
        <f>IFERROR(VLOOKUP(TableHandbook[[#This Row],[UDC]],TableSTRUENGLL[],7,FALSE),"")</f>
        <v/>
      </c>
      <c r="S336" s="209" t="str">
        <f>IFERROR(VLOOKUP(TableHandbook[[#This Row],[UDC]],TableSTRUHLTPE[],7,FALSE),"")</f>
        <v/>
      </c>
      <c r="T336" s="209" t="str">
        <f>IFERROR(VLOOKUP(TableHandbook[[#This Row],[UDC]],TableSTRUISTEM[],7,FALSE),"")</f>
        <v/>
      </c>
      <c r="U336" s="209" t="str">
        <f>IFERROR(VLOOKUP(TableHandbook[[#This Row],[UDC]],TableSTRULITNU[],7,FALSE),"")</f>
        <v/>
      </c>
      <c r="V336" s="209" t="str">
        <f>IFERROR(VLOOKUP(TableHandbook[[#This Row],[UDC]],TableSTRUTECHS[],7,FALSE),"")</f>
        <v/>
      </c>
      <c r="W336" s="211" t="str">
        <f>IFERROR(VLOOKUP(TableHandbook[[#This Row],[UDC]],TableBEDSC[],7,FALSE),"")</f>
        <v/>
      </c>
      <c r="X336" s="211" t="str">
        <f>IFERROR(VLOOKUP(TableHandbook[[#This Row],[UDC]],TableMJRUARDR1[],7,FALSE),"")</f>
        <v/>
      </c>
      <c r="Y336" s="209" t="str">
        <f>IFERROR(VLOOKUP(TableHandbook[[#This Row],[UDC]],TableMJRUARME1[],7,FALSE),"")</f>
        <v/>
      </c>
      <c r="Z336" s="209" t="str">
        <f>IFERROR(VLOOKUP(TableHandbook[[#This Row],[UDC]],TableMJRUARVA1[],7,FALSE),"")</f>
        <v/>
      </c>
      <c r="AA336" s="209" t="str">
        <f>IFERROR(VLOOKUP(TableHandbook[[#This Row],[UDC]],TableMJRUENGL1[],7,FALSE),"")</f>
        <v/>
      </c>
      <c r="AB336" s="209" t="str">
        <f>IFERROR(VLOOKUP(TableHandbook[[#This Row],[UDC]],TableMJRUHSEC1[],7,FALSE),"")</f>
        <v/>
      </c>
      <c r="AC336" s="209" t="str">
        <f>IFERROR(VLOOKUP(TableHandbook[[#This Row],[UDC]],TableMJRUHSGE1[],7,FALSE),"")</f>
        <v/>
      </c>
      <c r="AD336" s="209" t="str">
        <f>IFERROR(VLOOKUP(TableHandbook[[#This Row],[UDC]],TableMJRUHSHI1[],7,FALSE),"")</f>
        <v/>
      </c>
      <c r="AE336" s="209" t="str">
        <f>IFERROR(VLOOKUP(TableHandbook[[#This Row],[UDC]],TableMJRUHSPL1[],7,FALSE),"")</f>
        <v/>
      </c>
      <c r="AF336" s="209" t="str">
        <f>IFERROR(VLOOKUP(TableHandbook[[#This Row],[UDC]],TableMJRUMATH1[],7,FALSE),"")</f>
        <v>Core</v>
      </c>
      <c r="AG336" s="209" t="str">
        <f>IFERROR(VLOOKUP(TableHandbook[[#This Row],[UDC]],TableMJRUPHYSE[],7,FALSE),"")</f>
        <v/>
      </c>
      <c r="AH336" s="209" t="str">
        <f>IFERROR(VLOOKUP(TableHandbook[[#This Row],[UDC]],TableMJRUSCBI1[],7,FALSE),"")</f>
        <v/>
      </c>
      <c r="AI336" s="209" t="str">
        <f>IFERROR(VLOOKUP(TableHandbook[[#This Row],[UDC]],TableMJRUSCCH1[],7,FALSE),"")</f>
        <v/>
      </c>
      <c r="AJ336" s="209" t="str">
        <f>IFERROR(VLOOKUP(TableHandbook[[#This Row],[UDC]],TableMJRUSCHB1[],7,FALSE),"")</f>
        <v/>
      </c>
      <c r="AK336" s="209" t="str">
        <f>IFERROR(VLOOKUP(TableHandbook[[#This Row],[UDC]],TableMJRUSCPH1[],7,FALSE),"")</f>
        <v/>
      </c>
      <c r="AL336" s="209" t="str">
        <f>IFERROR(VLOOKUP(TableHandbook[[#This Row],[UDC]],TableMJRUSCPS1[],7,FALSE),"")</f>
        <v/>
      </c>
      <c r="AM336" s="211" t="str">
        <f>IFERROR(VLOOKUP(TableHandbook[[#This Row],[UDC]],TableSTRUBIOLB[],7,FALSE),"")</f>
        <v/>
      </c>
      <c r="AN336" s="209" t="str">
        <f>IFERROR(VLOOKUP(TableHandbook[[#This Row],[UDC]],TableSTRUBSCIM[],7,FALSE),"")</f>
        <v/>
      </c>
      <c r="AO336" s="209" t="str">
        <f>IFERROR(VLOOKUP(TableHandbook[[#This Row],[UDC]],TableSTRUCHEMB[],7,FALSE),"")</f>
        <v/>
      </c>
      <c r="AP336" s="209" t="str">
        <f>IFERROR(VLOOKUP(TableHandbook[[#This Row],[UDC]],TableSTRUECOB1[],7,FALSE),"")</f>
        <v/>
      </c>
      <c r="AQ336" s="209" t="str">
        <f>IFERROR(VLOOKUP(TableHandbook[[#This Row],[UDC]],TableSTRUENGLB[],7,FALSE),"")</f>
        <v/>
      </c>
      <c r="AR336" s="209" t="str">
        <f>IFERROR(VLOOKUP(TableHandbook[[#This Row],[UDC]],TableSTRUENGLM[],7,FALSE),"")</f>
        <v/>
      </c>
      <c r="AS336" s="209" t="str">
        <f>IFERROR(VLOOKUP(TableHandbook[[#This Row],[UDC]],TableSTRUGEOB1[],7,FALSE),"")</f>
        <v/>
      </c>
      <c r="AT336" s="209" t="str">
        <f>IFERROR(VLOOKUP(TableHandbook[[#This Row],[UDC]],TableSTRUGEOGM[],7,FALSE),"")</f>
        <v/>
      </c>
      <c r="AU336" s="209" t="str">
        <f>IFERROR(VLOOKUP(TableHandbook[[#This Row],[UDC]],TableSTRUHISB1[],7,FALSE),"")</f>
        <v/>
      </c>
      <c r="AV336" s="209" t="str">
        <f>IFERROR(VLOOKUP(TableHandbook[[#This Row],[UDC]],TableSTRUHISTM[],7,FALSE),"")</f>
        <v/>
      </c>
      <c r="AW336" s="209" t="str">
        <f>IFERROR(VLOOKUP(TableHandbook[[#This Row],[UDC]],TableSTRUHPEB1[],7,FALSE),"")</f>
        <v/>
      </c>
      <c r="AX336" s="209" t="str">
        <f>IFERROR(VLOOKUP(TableHandbook[[#This Row],[UDC]],TableSTRUHUMBB[],7,FALSE),"")</f>
        <v/>
      </c>
      <c r="AY336" s="209" t="str">
        <f>IFERROR(VLOOKUP(TableHandbook[[#This Row],[UDC]],TableSTRUMARTM[],7,FALSE),"")</f>
        <v/>
      </c>
      <c r="AZ336" s="209" t="str">
        <f>IFERROR(VLOOKUP(TableHandbook[[#This Row],[UDC]],TableSTRUMATHB[],7,FALSE),"")</f>
        <v>Core</v>
      </c>
      <c r="BA336" s="209" t="str">
        <f>IFERROR(VLOOKUP(TableHandbook[[#This Row],[UDC]],TableSTRUMATHM[],7,FALSE),"")</f>
        <v/>
      </c>
      <c r="BB336" s="209" t="str">
        <f>IFERROR(VLOOKUP(TableHandbook[[#This Row],[UDC]],TableSTRUPARTB[],7,FALSE),"")</f>
        <v/>
      </c>
      <c r="BC336" s="209" t="str">
        <f>IFERROR(VLOOKUP(TableHandbook[[#This Row],[UDC]],TableSTRUPARTM[],7,FALSE),"")</f>
        <v/>
      </c>
      <c r="BD336" s="209" t="str">
        <f>IFERROR(VLOOKUP(TableHandbook[[#This Row],[UDC]],TableSTRUPOLB1[],7,FALSE),"")</f>
        <v/>
      </c>
      <c r="BE336" s="209" t="str">
        <f>IFERROR(VLOOKUP(TableHandbook[[#This Row],[UDC]],TableSTRUPSYCB[],7,FALSE),"")</f>
        <v/>
      </c>
      <c r="BF336" s="209" t="str">
        <f>IFERROR(VLOOKUP(TableHandbook[[#This Row],[UDC]],TableSTRUPSYCM[],7,FALSE),"")</f>
        <v/>
      </c>
      <c r="BG336" s="209" t="str">
        <f>IFERROR(VLOOKUP(TableHandbook[[#This Row],[UDC]],TableSTRUVARTB[],7,FALSE),"")</f>
        <v/>
      </c>
      <c r="BH336" s="209" t="str">
        <f>IFERROR(VLOOKUP(TableHandbook[[#This Row],[UDC]],TableSTRUVARTM[],7,FALSE),"")</f>
        <v/>
      </c>
    </row>
    <row r="337" spans="1:60" x14ac:dyDescent="0.25">
      <c r="A337" s="6" t="s">
        <v>708</v>
      </c>
      <c r="B337" s="7">
        <v>1</v>
      </c>
      <c r="C337" s="7"/>
      <c r="D337" s="207" t="s">
        <v>1152</v>
      </c>
      <c r="E337" s="7">
        <v>25</v>
      </c>
      <c r="F337" s="84" t="s">
        <v>783</v>
      </c>
      <c r="G337" s="75" t="str">
        <f>IFERROR(IF(VLOOKUP(TableHandbook[[#This Row],[UDC]],TableAvailabilities[],2,FALSE)&gt;0,"Y",""),"")</f>
        <v>Y</v>
      </c>
      <c r="H337" s="75" t="str">
        <f>IFERROR(IF(VLOOKUP(TableHandbook[[#This Row],[UDC]],TableAvailabilities[],3,FALSE)&gt;0,"Y",""),"")</f>
        <v/>
      </c>
      <c r="I337" s="75" t="str">
        <f>IFERROR(IF(VLOOKUP(TableHandbook[[#This Row],[UDC]],TableAvailabilities[],4,FALSE)&gt;0,"Y",""),"")</f>
        <v>Y</v>
      </c>
      <c r="J337" s="75" t="str">
        <f>IFERROR(IF(VLOOKUP(TableHandbook[[#This Row],[UDC]],TableAvailabilities[],5,FALSE)&gt;0,"Y",""),"")</f>
        <v/>
      </c>
      <c r="K337" s="75" t="str">
        <f>IFERROR(IF(VLOOKUP(TableHandbook[[#This Row],[UDC]],TableAvailabilities[],6,FALSE)&gt;0,"Y",""),"")</f>
        <v/>
      </c>
      <c r="L337" s="75" t="str">
        <f>IFERROR(IF(VLOOKUP(TableHandbook[[#This Row],[UDC]],TableAvailabilities[],7,FALSE)&gt;0,"Y",""),"")</f>
        <v/>
      </c>
      <c r="M337" s="207" t="s">
        <v>1153</v>
      </c>
      <c r="N337" s="209" t="str">
        <f>IFERROR(VLOOKUP(TableHandbook[[#This Row],[UDC]],TableBEDUC[],7,FALSE),"")</f>
        <v/>
      </c>
      <c r="O337" s="209" t="str">
        <f>IFERROR(VLOOKUP(TableHandbook[[#This Row],[UDC]],TableBEDEC[],7,FALSE),"")</f>
        <v/>
      </c>
      <c r="P337" s="211" t="str">
        <f>IFERROR(VLOOKUP(TableHandbook[[#This Row],[UDC]],TableBEDPR[],7,FALSE),"")</f>
        <v/>
      </c>
      <c r="Q337" s="209" t="str">
        <f>IFERROR(VLOOKUP(TableHandbook[[#This Row],[UDC]],TableSTRUCATHL[],7,FALSE),"")</f>
        <v/>
      </c>
      <c r="R337" s="209" t="str">
        <f>IFERROR(VLOOKUP(TableHandbook[[#This Row],[UDC]],TableSTRUENGLL[],7,FALSE),"")</f>
        <v/>
      </c>
      <c r="S337" s="209" t="str">
        <f>IFERROR(VLOOKUP(TableHandbook[[#This Row],[UDC]],TableSTRUHLTPE[],7,FALSE),"")</f>
        <v/>
      </c>
      <c r="T337" s="209" t="str">
        <f>IFERROR(VLOOKUP(TableHandbook[[#This Row],[UDC]],TableSTRUISTEM[],7,FALSE),"")</f>
        <v/>
      </c>
      <c r="U337" s="209" t="str">
        <f>IFERROR(VLOOKUP(TableHandbook[[#This Row],[UDC]],TableSTRULITNU[],7,FALSE),"")</f>
        <v/>
      </c>
      <c r="V337" s="209" t="str">
        <f>IFERROR(VLOOKUP(TableHandbook[[#This Row],[UDC]],TableSTRUTECHS[],7,FALSE),"")</f>
        <v/>
      </c>
      <c r="W337" s="211" t="str">
        <f>IFERROR(VLOOKUP(TableHandbook[[#This Row],[UDC]],TableBEDSC[],7,FALSE),"")</f>
        <v/>
      </c>
      <c r="X337" s="211" t="str">
        <f>IFERROR(VLOOKUP(TableHandbook[[#This Row],[UDC]],TableMJRUARDR1[],7,FALSE),"")</f>
        <v/>
      </c>
      <c r="Y337" s="209" t="str">
        <f>IFERROR(VLOOKUP(TableHandbook[[#This Row],[UDC]],TableMJRUARME1[],7,FALSE),"")</f>
        <v/>
      </c>
      <c r="Z337" s="209" t="str">
        <f>IFERROR(VLOOKUP(TableHandbook[[#This Row],[UDC]],TableMJRUARVA1[],7,FALSE),"")</f>
        <v/>
      </c>
      <c r="AA337" s="209" t="str">
        <f>IFERROR(VLOOKUP(TableHandbook[[#This Row],[UDC]],TableMJRUENGL1[],7,FALSE),"")</f>
        <v/>
      </c>
      <c r="AB337" s="209" t="str">
        <f>IFERROR(VLOOKUP(TableHandbook[[#This Row],[UDC]],TableMJRUHSEC1[],7,FALSE),"")</f>
        <v/>
      </c>
      <c r="AC337" s="209" t="str">
        <f>IFERROR(VLOOKUP(TableHandbook[[#This Row],[UDC]],TableMJRUHSGE1[],7,FALSE),"")</f>
        <v/>
      </c>
      <c r="AD337" s="209" t="str">
        <f>IFERROR(VLOOKUP(TableHandbook[[#This Row],[UDC]],TableMJRUHSHI1[],7,FALSE),"")</f>
        <v/>
      </c>
      <c r="AE337" s="209" t="str">
        <f>IFERROR(VLOOKUP(TableHandbook[[#This Row],[UDC]],TableMJRUHSPL1[],7,FALSE),"")</f>
        <v/>
      </c>
      <c r="AF337" s="209" t="str">
        <f>IFERROR(VLOOKUP(TableHandbook[[#This Row],[UDC]],TableMJRUMATH1[],7,FALSE),"")</f>
        <v/>
      </c>
      <c r="AG337" s="209" t="str">
        <f>IFERROR(VLOOKUP(TableHandbook[[#This Row],[UDC]],TableMJRUPHYSE[],7,FALSE),"")</f>
        <v/>
      </c>
      <c r="AH337" s="209" t="str">
        <f>IFERROR(VLOOKUP(TableHandbook[[#This Row],[UDC]],TableMJRUSCBI1[],7,FALSE),"")</f>
        <v/>
      </c>
      <c r="AI337" s="209" t="str">
        <f>IFERROR(VLOOKUP(TableHandbook[[#This Row],[UDC]],TableMJRUSCCH1[],7,FALSE),"")</f>
        <v/>
      </c>
      <c r="AJ337" s="209" t="str">
        <f>IFERROR(VLOOKUP(TableHandbook[[#This Row],[UDC]],TableMJRUSCHB1[],7,FALSE),"")</f>
        <v/>
      </c>
      <c r="AK337" s="209" t="str">
        <f>IFERROR(VLOOKUP(TableHandbook[[#This Row],[UDC]],TableMJRUSCPH1[],7,FALSE),"")</f>
        <v/>
      </c>
      <c r="AL337" s="209" t="str">
        <f>IFERROR(VLOOKUP(TableHandbook[[#This Row],[UDC]],TableMJRUSCPS1[],7,FALSE),"")</f>
        <v/>
      </c>
      <c r="AM337" s="211" t="str">
        <f>IFERROR(VLOOKUP(TableHandbook[[#This Row],[UDC]],TableSTRUBIOLB[],7,FALSE),"")</f>
        <v/>
      </c>
      <c r="AN337" s="209" t="str">
        <f>IFERROR(VLOOKUP(TableHandbook[[#This Row],[UDC]],TableSTRUBSCIM[],7,FALSE),"")</f>
        <v/>
      </c>
      <c r="AO337" s="209" t="str">
        <f>IFERROR(VLOOKUP(TableHandbook[[#This Row],[UDC]],TableSTRUCHEMB[],7,FALSE),"")</f>
        <v/>
      </c>
      <c r="AP337" s="209" t="str">
        <f>IFERROR(VLOOKUP(TableHandbook[[#This Row],[UDC]],TableSTRUECOB1[],7,FALSE),"")</f>
        <v/>
      </c>
      <c r="AQ337" s="209" t="str">
        <f>IFERROR(VLOOKUP(TableHandbook[[#This Row],[UDC]],TableSTRUENGLB[],7,FALSE),"")</f>
        <v/>
      </c>
      <c r="AR337" s="209" t="str">
        <f>IFERROR(VLOOKUP(TableHandbook[[#This Row],[UDC]],TableSTRUENGLM[],7,FALSE),"")</f>
        <v/>
      </c>
      <c r="AS337" s="209" t="str">
        <f>IFERROR(VLOOKUP(TableHandbook[[#This Row],[UDC]],TableSTRUGEOB1[],7,FALSE),"")</f>
        <v/>
      </c>
      <c r="AT337" s="209" t="str">
        <f>IFERROR(VLOOKUP(TableHandbook[[#This Row],[UDC]],TableSTRUGEOGM[],7,FALSE),"")</f>
        <v/>
      </c>
      <c r="AU337" s="209" t="str">
        <f>IFERROR(VLOOKUP(TableHandbook[[#This Row],[UDC]],TableSTRUHISB1[],7,FALSE),"")</f>
        <v/>
      </c>
      <c r="AV337" s="209" t="str">
        <f>IFERROR(VLOOKUP(TableHandbook[[#This Row],[UDC]],TableSTRUHISTM[],7,FALSE),"")</f>
        <v/>
      </c>
      <c r="AW337" s="209" t="str">
        <f>IFERROR(VLOOKUP(TableHandbook[[#This Row],[UDC]],TableSTRUHPEB1[],7,FALSE),"")</f>
        <v/>
      </c>
      <c r="AX337" s="209" t="str">
        <f>IFERROR(VLOOKUP(TableHandbook[[#This Row],[UDC]],TableSTRUHUMBB[],7,FALSE),"")</f>
        <v/>
      </c>
      <c r="AY337" s="209" t="str">
        <f>IFERROR(VLOOKUP(TableHandbook[[#This Row],[UDC]],TableSTRUMARTM[],7,FALSE),"")</f>
        <v/>
      </c>
      <c r="AZ337" s="209" t="str">
        <f>IFERROR(VLOOKUP(TableHandbook[[#This Row],[UDC]],TableSTRUMATHB[],7,FALSE),"")</f>
        <v>Core</v>
      </c>
      <c r="BA337" s="209" t="str">
        <f>IFERROR(VLOOKUP(TableHandbook[[#This Row],[UDC]],TableSTRUMATHM[],7,FALSE),"")</f>
        <v/>
      </c>
      <c r="BB337" s="209" t="str">
        <f>IFERROR(VLOOKUP(TableHandbook[[#This Row],[UDC]],TableSTRUPARTB[],7,FALSE),"")</f>
        <v/>
      </c>
      <c r="BC337" s="209" t="str">
        <f>IFERROR(VLOOKUP(TableHandbook[[#This Row],[UDC]],TableSTRUPARTM[],7,FALSE),"")</f>
        <v/>
      </c>
      <c r="BD337" s="209" t="str">
        <f>IFERROR(VLOOKUP(TableHandbook[[#This Row],[UDC]],TableSTRUPOLB1[],7,FALSE),"")</f>
        <v/>
      </c>
      <c r="BE337" s="209" t="str">
        <f>IFERROR(VLOOKUP(TableHandbook[[#This Row],[UDC]],TableSTRUPSYCB[],7,FALSE),"")</f>
        <v/>
      </c>
      <c r="BF337" s="209" t="str">
        <f>IFERROR(VLOOKUP(TableHandbook[[#This Row],[UDC]],TableSTRUPSYCM[],7,FALSE),"")</f>
        <v/>
      </c>
      <c r="BG337" s="209" t="str">
        <f>IFERROR(VLOOKUP(TableHandbook[[#This Row],[UDC]],TableSTRUVARTB[],7,FALSE),"")</f>
        <v/>
      </c>
      <c r="BH337" s="209" t="str">
        <f>IFERROR(VLOOKUP(TableHandbook[[#This Row],[UDC]],TableSTRUVARTM[],7,FALSE),"")</f>
        <v/>
      </c>
    </row>
    <row r="338" spans="1:60" x14ac:dyDescent="0.25">
      <c r="A338" s="296" t="s">
        <v>529</v>
      </c>
      <c r="B338" s="7">
        <v>1</v>
      </c>
      <c r="C338" s="7"/>
      <c r="D338" s="207" t="s">
        <v>1154</v>
      </c>
      <c r="E338" s="7">
        <v>25</v>
      </c>
      <c r="F338" s="311" t="s">
        <v>783</v>
      </c>
      <c r="G338" s="75" t="str">
        <f>IFERROR(IF(VLOOKUP(TableHandbook[[#This Row],[UDC]],TableAvailabilities[],2,FALSE)&gt;0,"Y",""),"")</f>
        <v/>
      </c>
      <c r="H338" s="75" t="str">
        <f>IFERROR(IF(VLOOKUP(TableHandbook[[#This Row],[UDC]],TableAvailabilities[],3,FALSE)&gt;0,"Y",""),"")</f>
        <v/>
      </c>
      <c r="I338" s="75" t="str">
        <f>IFERROR(IF(VLOOKUP(TableHandbook[[#This Row],[UDC]],TableAvailabilities[],4,FALSE)&gt;0,"Y",""),"")</f>
        <v/>
      </c>
      <c r="J338" s="75" t="str">
        <f>IFERROR(IF(VLOOKUP(TableHandbook[[#This Row],[UDC]],TableAvailabilities[],5,FALSE)&gt;0,"Y",""),"")</f>
        <v>Y</v>
      </c>
      <c r="K338" s="75" t="str">
        <f>IFERROR(IF(VLOOKUP(TableHandbook[[#This Row],[UDC]],TableAvailabilities[],6,FALSE)&gt;0,"Y",""),"")</f>
        <v/>
      </c>
      <c r="L338" s="75" t="str">
        <f>IFERROR(IF(VLOOKUP(TableHandbook[[#This Row],[UDC]],TableAvailabilities[],7,FALSE)&gt;0,"Y",""),"")</f>
        <v/>
      </c>
      <c r="M338" s="207"/>
      <c r="N338" s="209" t="str">
        <f>IFERROR(VLOOKUP(TableHandbook[[#This Row],[UDC]],TableBEDUC[],7,FALSE),"")</f>
        <v/>
      </c>
      <c r="O338" s="209" t="str">
        <f>IFERROR(VLOOKUP(TableHandbook[[#This Row],[UDC]],TableBEDEC[],7,FALSE),"")</f>
        <v/>
      </c>
      <c r="P338" s="211" t="str">
        <f>IFERROR(VLOOKUP(TableHandbook[[#This Row],[UDC]],TableBEDPR[],7,FALSE),"")</f>
        <v/>
      </c>
      <c r="Q338" s="209" t="str">
        <f>IFERROR(VLOOKUP(TableHandbook[[#This Row],[UDC]],TableSTRUCATHL[],7,FALSE),"")</f>
        <v/>
      </c>
      <c r="R338" s="209" t="str">
        <f>IFERROR(VLOOKUP(TableHandbook[[#This Row],[UDC]],TableSTRUENGLL[],7,FALSE),"")</f>
        <v/>
      </c>
      <c r="S338" s="209" t="str">
        <f>IFERROR(VLOOKUP(TableHandbook[[#This Row],[UDC]],TableSTRUHLTPE[],7,FALSE),"")</f>
        <v/>
      </c>
      <c r="T338" s="209" t="str">
        <f>IFERROR(VLOOKUP(TableHandbook[[#This Row],[UDC]],TableSTRUISTEM[],7,FALSE),"")</f>
        <v/>
      </c>
      <c r="U338" s="209" t="str">
        <f>IFERROR(VLOOKUP(TableHandbook[[#This Row],[UDC]],TableSTRULITNU[],7,FALSE),"")</f>
        <v/>
      </c>
      <c r="V338" s="209" t="str">
        <f>IFERROR(VLOOKUP(TableHandbook[[#This Row],[UDC]],TableSTRUTECHS[],7,FALSE),"")</f>
        <v/>
      </c>
      <c r="W338" s="211" t="str">
        <f>IFERROR(VLOOKUP(TableHandbook[[#This Row],[UDC]],TableBEDSC[],7,FALSE),"")</f>
        <v/>
      </c>
      <c r="X338" s="211" t="str">
        <f>IFERROR(VLOOKUP(TableHandbook[[#This Row],[UDC]],TableMJRUARDR1[],7,FALSE),"")</f>
        <v/>
      </c>
      <c r="Y338" s="209" t="str">
        <f>IFERROR(VLOOKUP(TableHandbook[[#This Row],[UDC]],TableMJRUARME1[],7,FALSE),"")</f>
        <v/>
      </c>
      <c r="Z338" s="209" t="str">
        <f>IFERROR(VLOOKUP(TableHandbook[[#This Row],[UDC]],TableMJRUARVA1[],7,FALSE),"")</f>
        <v/>
      </c>
      <c r="AA338" s="209" t="str">
        <f>IFERROR(VLOOKUP(TableHandbook[[#This Row],[UDC]],TableMJRUENGL1[],7,FALSE),"")</f>
        <v/>
      </c>
      <c r="AB338" s="209" t="str">
        <f>IFERROR(VLOOKUP(TableHandbook[[#This Row],[UDC]],TableMJRUHSEC1[],7,FALSE),"")</f>
        <v/>
      </c>
      <c r="AC338" s="209" t="str">
        <f>IFERROR(VLOOKUP(TableHandbook[[#This Row],[UDC]],TableMJRUHSGE1[],7,FALSE),"")</f>
        <v/>
      </c>
      <c r="AD338" s="209" t="str">
        <f>IFERROR(VLOOKUP(TableHandbook[[#This Row],[UDC]],TableMJRUHSHI1[],7,FALSE),"")</f>
        <v/>
      </c>
      <c r="AE338" s="209" t="str">
        <f>IFERROR(VLOOKUP(TableHandbook[[#This Row],[UDC]],TableMJRUHSPL1[],7,FALSE),"")</f>
        <v/>
      </c>
      <c r="AF338" s="209" t="str">
        <f>IFERROR(VLOOKUP(TableHandbook[[#This Row],[UDC]],TableMJRUMATH1[],7,FALSE),"")</f>
        <v>Core</v>
      </c>
      <c r="AG338" s="209" t="str">
        <f>IFERROR(VLOOKUP(TableHandbook[[#This Row],[UDC]],TableMJRUPHYSE[],7,FALSE),"")</f>
        <v/>
      </c>
      <c r="AH338" s="209" t="str">
        <f>IFERROR(VLOOKUP(TableHandbook[[#This Row],[UDC]],TableMJRUSCBI1[],7,FALSE),"")</f>
        <v/>
      </c>
      <c r="AI338" s="209" t="str">
        <f>IFERROR(VLOOKUP(TableHandbook[[#This Row],[UDC]],TableMJRUSCCH1[],7,FALSE),"")</f>
        <v/>
      </c>
      <c r="AJ338" s="209" t="str">
        <f>IFERROR(VLOOKUP(TableHandbook[[#This Row],[UDC]],TableMJRUSCHB1[],7,FALSE),"")</f>
        <v/>
      </c>
      <c r="AK338" s="209" t="str">
        <f>IFERROR(VLOOKUP(TableHandbook[[#This Row],[UDC]],TableMJRUSCPH1[],7,FALSE),"")</f>
        <v/>
      </c>
      <c r="AL338" s="209" t="str">
        <f>IFERROR(VLOOKUP(TableHandbook[[#This Row],[UDC]],TableMJRUSCPS1[],7,FALSE),"")</f>
        <v/>
      </c>
      <c r="AM338" s="211" t="str">
        <f>IFERROR(VLOOKUP(TableHandbook[[#This Row],[UDC]],TableSTRUBIOLB[],7,FALSE),"")</f>
        <v/>
      </c>
      <c r="AN338" s="209" t="str">
        <f>IFERROR(VLOOKUP(TableHandbook[[#This Row],[UDC]],TableSTRUBSCIM[],7,FALSE),"")</f>
        <v/>
      </c>
      <c r="AO338" s="209" t="str">
        <f>IFERROR(VLOOKUP(TableHandbook[[#This Row],[UDC]],TableSTRUCHEMB[],7,FALSE),"")</f>
        <v/>
      </c>
      <c r="AP338" s="209" t="str">
        <f>IFERROR(VLOOKUP(TableHandbook[[#This Row],[UDC]],TableSTRUECOB1[],7,FALSE),"")</f>
        <v/>
      </c>
      <c r="AQ338" s="209" t="str">
        <f>IFERROR(VLOOKUP(TableHandbook[[#This Row],[UDC]],TableSTRUENGLB[],7,FALSE),"")</f>
        <v/>
      </c>
      <c r="AR338" s="209" t="str">
        <f>IFERROR(VLOOKUP(TableHandbook[[#This Row],[UDC]],TableSTRUENGLM[],7,FALSE),"")</f>
        <v/>
      </c>
      <c r="AS338" s="209" t="str">
        <f>IFERROR(VLOOKUP(TableHandbook[[#This Row],[UDC]],TableSTRUGEOB1[],7,FALSE),"")</f>
        <v/>
      </c>
      <c r="AT338" s="209" t="str">
        <f>IFERROR(VLOOKUP(TableHandbook[[#This Row],[UDC]],TableSTRUGEOGM[],7,FALSE),"")</f>
        <v/>
      </c>
      <c r="AU338" s="209" t="str">
        <f>IFERROR(VLOOKUP(TableHandbook[[#This Row],[UDC]],TableSTRUHISB1[],7,FALSE),"")</f>
        <v/>
      </c>
      <c r="AV338" s="209" t="str">
        <f>IFERROR(VLOOKUP(TableHandbook[[#This Row],[UDC]],TableSTRUHISTM[],7,FALSE),"")</f>
        <v/>
      </c>
      <c r="AW338" s="209" t="str">
        <f>IFERROR(VLOOKUP(TableHandbook[[#This Row],[UDC]],TableSTRUHPEB1[],7,FALSE),"")</f>
        <v/>
      </c>
      <c r="AX338" s="209" t="str">
        <f>IFERROR(VLOOKUP(TableHandbook[[#This Row],[UDC]],TableSTRUHUMBB[],7,FALSE),"")</f>
        <v/>
      </c>
      <c r="AY338" s="209" t="str">
        <f>IFERROR(VLOOKUP(TableHandbook[[#This Row],[UDC]],TableSTRUMARTM[],7,FALSE),"")</f>
        <v/>
      </c>
      <c r="AZ338" s="209" t="str">
        <f>IFERROR(VLOOKUP(TableHandbook[[#This Row],[UDC]],TableSTRUMATHB[],7,FALSE),"")</f>
        <v/>
      </c>
      <c r="BA338" s="209" t="str">
        <f>IFERROR(VLOOKUP(TableHandbook[[#This Row],[UDC]],TableSTRUMATHM[],7,FALSE),"")</f>
        <v/>
      </c>
      <c r="BB338" s="209" t="str">
        <f>IFERROR(VLOOKUP(TableHandbook[[#This Row],[UDC]],TableSTRUPARTB[],7,FALSE),"")</f>
        <v/>
      </c>
      <c r="BC338" s="209" t="str">
        <f>IFERROR(VLOOKUP(TableHandbook[[#This Row],[UDC]],TableSTRUPARTM[],7,FALSE),"")</f>
        <v/>
      </c>
      <c r="BD338" s="209" t="str">
        <f>IFERROR(VLOOKUP(TableHandbook[[#This Row],[UDC]],TableSTRUPOLB1[],7,FALSE),"")</f>
        <v/>
      </c>
      <c r="BE338" s="209" t="str">
        <f>IFERROR(VLOOKUP(TableHandbook[[#This Row],[UDC]],TableSTRUPSYCB[],7,FALSE),"")</f>
        <v/>
      </c>
      <c r="BF338" s="209" t="str">
        <f>IFERROR(VLOOKUP(TableHandbook[[#This Row],[UDC]],TableSTRUPSYCM[],7,FALSE),"")</f>
        <v/>
      </c>
      <c r="BG338" s="209" t="str">
        <f>IFERROR(VLOOKUP(TableHandbook[[#This Row],[UDC]],TableSTRUVARTB[],7,FALSE),"")</f>
        <v/>
      </c>
      <c r="BH338" s="209" t="str">
        <f>IFERROR(VLOOKUP(TableHandbook[[#This Row],[UDC]],TableSTRUVARTM[],7,FALSE),"")</f>
        <v/>
      </c>
    </row>
    <row r="339" spans="1:60" x14ac:dyDescent="0.25">
      <c r="A339" s="296" t="s">
        <v>475</v>
      </c>
      <c r="B339" s="7">
        <v>1</v>
      </c>
      <c r="C339" s="7"/>
      <c r="D339" s="207" t="s">
        <v>1155</v>
      </c>
      <c r="E339" s="7">
        <v>25</v>
      </c>
      <c r="F339" s="311" t="s">
        <v>783</v>
      </c>
      <c r="G339" s="75" t="str">
        <f>IFERROR(IF(VLOOKUP(TableHandbook[[#This Row],[UDC]],TableAvailabilities[],2,FALSE)&gt;0,"Y",""),"")</f>
        <v>Y</v>
      </c>
      <c r="H339" s="75" t="str">
        <f>IFERROR(IF(VLOOKUP(TableHandbook[[#This Row],[UDC]],TableAvailabilities[],3,FALSE)&gt;0,"Y",""),"")</f>
        <v>Y</v>
      </c>
      <c r="I339" s="75" t="str">
        <f>IFERROR(IF(VLOOKUP(TableHandbook[[#This Row],[UDC]],TableAvailabilities[],4,FALSE)&gt;0,"Y",""),"")</f>
        <v/>
      </c>
      <c r="J339" s="75" t="str">
        <f>IFERROR(IF(VLOOKUP(TableHandbook[[#This Row],[UDC]],TableAvailabilities[],5,FALSE)&gt;0,"Y",""),"")</f>
        <v/>
      </c>
      <c r="K339" s="75" t="str">
        <f>IFERROR(IF(VLOOKUP(TableHandbook[[#This Row],[UDC]],TableAvailabilities[],6,FALSE)&gt;0,"Y",""),"")</f>
        <v/>
      </c>
      <c r="L339" s="75" t="str">
        <f>IFERROR(IF(VLOOKUP(TableHandbook[[#This Row],[UDC]],TableAvailabilities[],7,FALSE)&gt;0,"Y",""),"")</f>
        <v/>
      </c>
      <c r="M339" s="207"/>
      <c r="N339" s="209" t="str">
        <f>IFERROR(VLOOKUP(TableHandbook[[#This Row],[UDC]],TableBEDUC[],7,FALSE),"")</f>
        <v/>
      </c>
      <c r="O339" s="209" t="str">
        <f>IFERROR(VLOOKUP(TableHandbook[[#This Row],[UDC]],TableBEDEC[],7,FALSE),"")</f>
        <v/>
      </c>
      <c r="P339" s="211" t="str">
        <f>IFERROR(VLOOKUP(TableHandbook[[#This Row],[UDC]],TableBEDPR[],7,FALSE),"")</f>
        <v/>
      </c>
      <c r="Q339" s="209" t="str">
        <f>IFERROR(VLOOKUP(TableHandbook[[#This Row],[UDC]],TableSTRUCATHL[],7,FALSE),"")</f>
        <v/>
      </c>
      <c r="R339" s="209" t="str">
        <f>IFERROR(VLOOKUP(TableHandbook[[#This Row],[UDC]],TableSTRUENGLL[],7,FALSE),"")</f>
        <v/>
      </c>
      <c r="S339" s="209" t="str">
        <f>IFERROR(VLOOKUP(TableHandbook[[#This Row],[UDC]],TableSTRUHLTPE[],7,FALSE),"")</f>
        <v/>
      </c>
      <c r="T339" s="209" t="str">
        <f>IFERROR(VLOOKUP(TableHandbook[[#This Row],[UDC]],TableSTRUISTEM[],7,FALSE),"")</f>
        <v/>
      </c>
      <c r="U339" s="209" t="str">
        <f>IFERROR(VLOOKUP(TableHandbook[[#This Row],[UDC]],TableSTRULITNU[],7,FALSE),"")</f>
        <v/>
      </c>
      <c r="V339" s="209" t="str">
        <f>IFERROR(VLOOKUP(TableHandbook[[#This Row],[UDC]],TableSTRUTECHS[],7,FALSE),"")</f>
        <v/>
      </c>
      <c r="W339" s="211" t="str">
        <f>IFERROR(VLOOKUP(TableHandbook[[#This Row],[UDC]],TableBEDSC[],7,FALSE),"")</f>
        <v/>
      </c>
      <c r="X339" s="211" t="str">
        <f>IFERROR(VLOOKUP(TableHandbook[[#This Row],[UDC]],TableMJRUARDR1[],7,FALSE),"")</f>
        <v/>
      </c>
      <c r="Y339" s="209" t="str">
        <f>IFERROR(VLOOKUP(TableHandbook[[#This Row],[UDC]],TableMJRUARME1[],7,FALSE),"")</f>
        <v/>
      </c>
      <c r="Z339" s="209" t="str">
        <f>IFERROR(VLOOKUP(TableHandbook[[#This Row],[UDC]],TableMJRUARVA1[],7,FALSE),"")</f>
        <v/>
      </c>
      <c r="AA339" s="209" t="str">
        <f>IFERROR(VLOOKUP(TableHandbook[[#This Row],[UDC]],TableMJRUENGL1[],7,FALSE),"")</f>
        <v/>
      </c>
      <c r="AB339" s="209" t="str">
        <f>IFERROR(VLOOKUP(TableHandbook[[#This Row],[UDC]],TableMJRUHSEC1[],7,FALSE),"")</f>
        <v/>
      </c>
      <c r="AC339" s="209" t="str">
        <f>IFERROR(VLOOKUP(TableHandbook[[#This Row],[UDC]],TableMJRUHSGE1[],7,FALSE),"")</f>
        <v/>
      </c>
      <c r="AD339" s="209" t="str">
        <f>IFERROR(VLOOKUP(TableHandbook[[#This Row],[UDC]],TableMJRUHSHI1[],7,FALSE),"")</f>
        <v/>
      </c>
      <c r="AE339" s="209" t="str">
        <f>IFERROR(VLOOKUP(TableHandbook[[#This Row],[UDC]],TableMJRUHSPL1[],7,FALSE),"")</f>
        <v>Core</v>
      </c>
      <c r="AF339" s="209" t="str">
        <f>IFERROR(VLOOKUP(TableHandbook[[#This Row],[UDC]],TableMJRUMATH1[],7,FALSE),"")</f>
        <v/>
      </c>
      <c r="AG339" s="209" t="str">
        <f>IFERROR(VLOOKUP(TableHandbook[[#This Row],[UDC]],TableMJRUPHYSE[],7,FALSE),"")</f>
        <v/>
      </c>
      <c r="AH339" s="209" t="str">
        <f>IFERROR(VLOOKUP(TableHandbook[[#This Row],[UDC]],TableMJRUSCBI1[],7,FALSE),"")</f>
        <v/>
      </c>
      <c r="AI339" s="209" t="str">
        <f>IFERROR(VLOOKUP(TableHandbook[[#This Row],[UDC]],TableMJRUSCCH1[],7,FALSE),"")</f>
        <v/>
      </c>
      <c r="AJ339" s="209" t="str">
        <f>IFERROR(VLOOKUP(TableHandbook[[#This Row],[UDC]],TableMJRUSCHB1[],7,FALSE),"")</f>
        <v/>
      </c>
      <c r="AK339" s="209" t="str">
        <f>IFERROR(VLOOKUP(TableHandbook[[#This Row],[UDC]],TableMJRUSCPH1[],7,FALSE),"")</f>
        <v/>
      </c>
      <c r="AL339" s="209" t="str">
        <f>IFERROR(VLOOKUP(TableHandbook[[#This Row],[UDC]],TableMJRUSCPS1[],7,FALSE),"")</f>
        <v/>
      </c>
      <c r="AM339" s="211" t="str">
        <f>IFERROR(VLOOKUP(TableHandbook[[#This Row],[UDC]],TableSTRUBIOLB[],7,FALSE),"")</f>
        <v/>
      </c>
      <c r="AN339" s="209" t="str">
        <f>IFERROR(VLOOKUP(TableHandbook[[#This Row],[UDC]],TableSTRUBSCIM[],7,FALSE),"")</f>
        <v/>
      </c>
      <c r="AO339" s="209" t="str">
        <f>IFERROR(VLOOKUP(TableHandbook[[#This Row],[UDC]],TableSTRUCHEMB[],7,FALSE),"")</f>
        <v/>
      </c>
      <c r="AP339" s="209" t="str">
        <f>IFERROR(VLOOKUP(TableHandbook[[#This Row],[UDC]],TableSTRUECOB1[],7,FALSE),"")</f>
        <v/>
      </c>
      <c r="AQ339" s="209" t="str">
        <f>IFERROR(VLOOKUP(TableHandbook[[#This Row],[UDC]],TableSTRUENGLB[],7,FALSE),"")</f>
        <v/>
      </c>
      <c r="AR339" s="209" t="str">
        <f>IFERROR(VLOOKUP(TableHandbook[[#This Row],[UDC]],TableSTRUENGLM[],7,FALSE),"")</f>
        <v/>
      </c>
      <c r="AS339" s="209" t="str">
        <f>IFERROR(VLOOKUP(TableHandbook[[#This Row],[UDC]],TableSTRUGEOB1[],7,FALSE),"")</f>
        <v/>
      </c>
      <c r="AT339" s="209" t="str">
        <f>IFERROR(VLOOKUP(TableHandbook[[#This Row],[UDC]],TableSTRUGEOGM[],7,FALSE),"")</f>
        <v/>
      </c>
      <c r="AU339" s="209" t="str">
        <f>IFERROR(VLOOKUP(TableHandbook[[#This Row],[UDC]],TableSTRUHISB1[],7,FALSE),"")</f>
        <v/>
      </c>
      <c r="AV339" s="209" t="str">
        <f>IFERROR(VLOOKUP(TableHandbook[[#This Row],[UDC]],TableSTRUHISTM[],7,FALSE),"")</f>
        <v/>
      </c>
      <c r="AW339" s="209" t="str">
        <f>IFERROR(VLOOKUP(TableHandbook[[#This Row],[UDC]],TableSTRUHPEB1[],7,FALSE),"")</f>
        <v/>
      </c>
      <c r="AX339" s="209" t="str">
        <f>IFERROR(VLOOKUP(TableHandbook[[#This Row],[UDC]],TableSTRUHUMBB[],7,FALSE),"")</f>
        <v/>
      </c>
      <c r="AY339" s="209" t="str">
        <f>IFERROR(VLOOKUP(TableHandbook[[#This Row],[UDC]],TableSTRUMARTM[],7,FALSE),"")</f>
        <v/>
      </c>
      <c r="AZ339" s="209" t="str">
        <f>IFERROR(VLOOKUP(TableHandbook[[#This Row],[UDC]],TableSTRUMATHB[],7,FALSE),"")</f>
        <v/>
      </c>
      <c r="BA339" s="209" t="str">
        <f>IFERROR(VLOOKUP(TableHandbook[[#This Row],[UDC]],TableSTRUMATHM[],7,FALSE),"")</f>
        <v/>
      </c>
      <c r="BB339" s="209" t="str">
        <f>IFERROR(VLOOKUP(TableHandbook[[#This Row],[UDC]],TableSTRUPARTB[],7,FALSE),"")</f>
        <v/>
      </c>
      <c r="BC339" s="209" t="str">
        <f>IFERROR(VLOOKUP(TableHandbook[[#This Row],[UDC]],TableSTRUPARTM[],7,FALSE),"")</f>
        <v/>
      </c>
      <c r="BD339" s="209" t="str">
        <f>IFERROR(VLOOKUP(TableHandbook[[#This Row],[UDC]],TableSTRUPOLB1[],7,FALSE),"")</f>
        <v/>
      </c>
      <c r="BE339" s="209" t="str">
        <f>IFERROR(VLOOKUP(TableHandbook[[#This Row],[UDC]],TableSTRUPSYCB[],7,FALSE),"")</f>
        <v/>
      </c>
      <c r="BF339" s="209" t="str">
        <f>IFERROR(VLOOKUP(TableHandbook[[#This Row],[UDC]],TableSTRUPSYCM[],7,FALSE),"")</f>
        <v/>
      </c>
      <c r="BG339" s="209" t="str">
        <f>IFERROR(VLOOKUP(TableHandbook[[#This Row],[UDC]],TableSTRUVARTB[],7,FALSE),"")</f>
        <v/>
      </c>
      <c r="BH339" s="209" t="str">
        <f>IFERROR(VLOOKUP(TableHandbook[[#This Row],[UDC]],TableSTRUVARTM[],7,FALSE),"")</f>
        <v/>
      </c>
    </row>
    <row r="340" spans="1:60" x14ac:dyDescent="0.25">
      <c r="A340" s="296" t="s">
        <v>641</v>
      </c>
      <c r="B340" s="7">
        <v>1</v>
      </c>
      <c r="C340" s="7"/>
      <c r="D340" s="207" t="s">
        <v>1156</v>
      </c>
      <c r="E340" s="7">
        <v>25</v>
      </c>
      <c r="F340" s="311" t="s">
        <v>783</v>
      </c>
      <c r="G340" s="75" t="str">
        <f>IFERROR(IF(VLOOKUP(TableHandbook[[#This Row],[UDC]],TableAvailabilities[],2,FALSE)&gt;0,"Y",""),"")</f>
        <v>Y</v>
      </c>
      <c r="H340" s="75" t="str">
        <f>IFERROR(IF(VLOOKUP(TableHandbook[[#This Row],[UDC]],TableAvailabilities[],3,FALSE)&gt;0,"Y",""),"")</f>
        <v>Y</v>
      </c>
      <c r="I340" s="75" t="str">
        <f>IFERROR(IF(VLOOKUP(TableHandbook[[#This Row],[UDC]],TableAvailabilities[],4,FALSE)&gt;0,"Y",""),"")</f>
        <v/>
      </c>
      <c r="J340" s="75" t="str">
        <f>IFERROR(IF(VLOOKUP(TableHandbook[[#This Row],[UDC]],TableAvailabilities[],5,FALSE)&gt;0,"Y",""),"")</f>
        <v/>
      </c>
      <c r="K340" s="75" t="str">
        <f>IFERROR(IF(VLOOKUP(TableHandbook[[#This Row],[UDC]],TableAvailabilities[],6,FALSE)&gt;0,"Y",""),"")</f>
        <v/>
      </c>
      <c r="L340" s="75" t="str">
        <f>IFERROR(IF(VLOOKUP(TableHandbook[[#This Row],[UDC]],TableAvailabilities[],7,FALSE)&gt;0,"Y",""),"")</f>
        <v/>
      </c>
      <c r="M340" s="207"/>
      <c r="N340" s="209" t="str">
        <f>IFERROR(VLOOKUP(TableHandbook[[#This Row],[UDC]],TableBEDUC[],7,FALSE),"")</f>
        <v/>
      </c>
      <c r="O340" s="209" t="str">
        <f>IFERROR(VLOOKUP(TableHandbook[[#This Row],[UDC]],TableBEDEC[],7,FALSE),"")</f>
        <v/>
      </c>
      <c r="P340" s="211" t="str">
        <f>IFERROR(VLOOKUP(TableHandbook[[#This Row],[UDC]],TableBEDPR[],7,FALSE),"")</f>
        <v/>
      </c>
      <c r="Q340" s="209" t="str">
        <f>IFERROR(VLOOKUP(TableHandbook[[#This Row],[UDC]],TableSTRUCATHL[],7,FALSE),"")</f>
        <v/>
      </c>
      <c r="R340" s="209" t="str">
        <f>IFERROR(VLOOKUP(TableHandbook[[#This Row],[UDC]],TableSTRUENGLL[],7,FALSE),"")</f>
        <v/>
      </c>
      <c r="S340" s="209" t="str">
        <f>IFERROR(VLOOKUP(TableHandbook[[#This Row],[UDC]],TableSTRUHLTPE[],7,FALSE),"")</f>
        <v/>
      </c>
      <c r="T340" s="209" t="str">
        <f>IFERROR(VLOOKUP(TableHandbook[[#This Row],[UDC]],TableSTRUISTEM[],7,FALSE),"")</f>
        <v/>
      </c>
      <c r="U340" s="209" t="str">
        <f>IFERROR(VLOOKUP(TableHandbook[[#This Row],[UDC]],TableSTRULITNU[],7,FALSE),"")</f>
        <v/>
      </c>
      <c r="V340" s="209" t="str">
        <f>IFERROR(VLOOKUP(TableHandbook[[#This Row],[UDC]],TableSTRUTECHS[],7,FALSE),"")</f>
        <v/>
      </c>
      <c r="W340" s="211" t="str">
        <f>IFERROR(VLOOKUP(TableHandbook[[#This Row],[UDC]],TableBEDSC[],7,FALSE),"")</f>
        <v/>
      </c>
      <c r="X340" s="211" t="str">
        <f>IFERROR(VLOOKUP(TableHandbook[[#This Row],[UDC]],TableMJRUARDR1[],7,FALSE),"")</f>
        <v/>
      </c>
      <c r="Y340" s="209" t="str">
        <f>IFERROR(VLOOKUP(TableHandbook[[#This Row],[UDC]],TableMJRUARME1[],7,FALSE),"")</f>
        <v/>
      </c>
      <c r="Z340" s="209" t="str">
        <f>IFERROR(VLOOKUP(TableHandbook[[#This Row],[UDC]],TableMJRUARVA1[],7,FALSE),"")</f>
        <v/>
      </c>
      <c r="AA340" s="209" t="str">
        <f>IFERROR(VLOOKUP(TableHandbook[[#This Row],[UDC]],TableMJRUENGL1[],7,FALSE),"")</f>
        <v/>
      </c>
      <c r="AB340" s="209" t="str">
        <f>IFERROR(VLOOKUP(TableHandbook[[#This Row],[UDC]],TableMJRUHSEC1[],7,FALSE),"")</f>
        <v/>
      </c>
      <c r="AC340" s="209" t="str">
        <f>IFERROR(VLOOKUP(TableHandbook[[#This Row],[UDC]],TableMJRUHSGE1[],7,FALSE),"")</f>
        <v/>
      </c>
      <c r="AD340" s="209" t="str">
        <f>IFERROR(VLOOKUP(TableHandbook[[#This Row],[UDC]],TableMJRUHSHI1[],7,FALSE),"")</f>
        <v/>
      </c>
      <c r="AE340" s="209" t="str">
        <f>IFERROR(VLOOKUP(TableHandbook[[#This Row],[UDC]],TableMJRUHSPL1[],7,FALSE),"")</f>
        <v>Option</v>
      </c>
      <c r="AF340" s="209" t="str">
        <f>IFERROR(VLOOKUP(TableHandbook[[#This Row],[UDC]],TableMJRUMATH1[],7,FALSE),"")</f>
        <v/>
      </c>
      <c r="AG340" s="209" t="str">
        <f>IFERROR(VLOOKUP(TableHandbook[[#This Row],[UDC]],TableMJRUPHYSE[],7,FALSE),"")</f>
        <v/>
      </c>
      <c r="AH340" s="209" t="str">
        <f>IFERROR(VLOOKUP(TableHandbook[[#This Row],[UDC]],TableMJRUSCBI1[],7,FALSE),"")</f>
        <v/>
      </c>
      <c r="AI340" s="209" t="str">
        <f>IFERROR(VLOOKUP(TableHandbook[[#This Row],[UDC]],TableMJRUSCCH1[],7,FALSE),"")</f>
        <v/>
      </c>
      <c r="AJ340" s="209" t="str">
        <f>IFERROR(VLOOKUP(TableHandbook[[#This Row],[UDC]],TableMJRUSCHB1[],7,FALSE),"")</f>
        <v/>
      </c>
      <c r="AK340" s="209" t="str">
        <f>IFERROR(VLOOKUP(TableHandbook[[#This Row],[UDC]],TableMJRUSCPH1[],7,FALSE),"")</f>
        <v/>
      </c>
      <c r="AL340" s="209" t="str">
        <f>IFERROR(VLOOKUP(TableHandbook[[#This Row],[UDC]],TableMJRUSCPS1[],7,FALSE),"")</f>
        <v/>
      </c>
      <c r="AM340" s="211" t="str">
        <f>IFERROR(VLOOKUP(TableHandbook[[#This Row],[UDC]],TableSTRUBIOLB[],7,FALSE),"")</f>
        <v/>
      </c>
      <c r="AN340" s="209" t="str">
        <f>IFERROR(VLOOKUP(TableHandbook[[#This Row],[UDC]],TableSTRUBSCIM[],7,FALSE),"")</f>
        <v/>
      </c>
      <c r="AO340" s="209" t="str">
        <f>IFERROR(VLOOKUP(TableHandbook[[#This Row],[UDC]],TableSTRUCHEMB[],7,FALSE),"")</f>
        <v/>
      </c>
      <c r="AP340" s="209" t="str">
        <f>IFERROR(VLOOKUP(TableHandbook[[#This Row],[UDC]],TableSTRUECOB1[],7,FALSE),"")</f>
        <v/>
      </c>
      <c r="AQ340" s="209" t="str">
        <f>IFERROR(VLOOKUP(TableHandbook[[#This Row],[UDC]],TableSTRUENGLB[],7,FALSE),"")</f>
        <v/>
      </c>
      <c r="AR340" s="209" t="str">
        <f>IFERROR(VLOOKUP(TableHandbook[[#This Row],[UDC]],TableSTRUENGLM[],7,FALSE),"")</f>
        <v/>
      </c>
      <c r="AS340" s="209" t="str">
        <f>IFERROR(VLOOKUP(TableHandbook[[#This Row],[UDC]],TableSTRUGEOB1[],7,FALSE),"")</f>
        <v/>
      </c>
      <c r="AT340" s="209" t="str">
        <f>IFERROR(VLOOKUP(TableHandbook[[#This Row],[UDC]],TableSTRUGEOGM[],7,FALSE),"")</f>
        <v/>
      </c>
      <c r="AU340" s="209" t="str">
        <f>IFERROR(VLOOKUP(TableHandbook[[#This Row],[UDC]],TableSTRUHISB1[],7,FALSE),"")</f>
        <v/>
      </c>
      <c r="AV340" s="209" t="str">
        <f>IFERROR(VLOOKUP(TableHandbook[[#This Row],[UDC]],TableSTRUHISTM[],7,FALSE),"")</f>
        <v/>
      </c>
      <c r="AW340" s="209" t="str">
        <f>IFERROR(VLOOKUP(TableHandbook[[#This Row],[UDC]],TableSTRUHPEB1[],7,FALSE),"")</f>
        <v/>
      </c>
      <c r="AX340" s="209" t="str">
        <f>IFERROR(VLOOKUP(TableHandbook[[#This Row],[UDC]],TableSTRUHUMBB[],7,FALSE),"")</f>
        <v/>
      </c>
      <c r="AY340" s="209" t="str">
        <f>IFERROR(VLOOKUP(TableHandbook[[#This Row],[UDC]],TableSTRUMARTM[],7,FALSE),"")</f>
        <v/>
      </c>
      <c r="AZ340" s="209" t="str">
        <f>IFERROR(VLOOKUP(TableHandbook[[#This Row],[UDC]],TableSTRUMATHB[],7,FALSE),"")</f>
        <v/>
      </c>
      <c r="BA340" s="209" t="str">
        <f>IFERROR(VLOOKUP(TableHandbook[[#This Row],[UDC]],TableSTRUMATHM[],7,FALSE),"")</f>
        <v/>
      </c>
      <c r="BB340" s="209" t="str">
        <f>IFERROR(VLOOKUP(TableHandbook[[#This Row],[UDC]],TableSTRUPARTB[],7,FALSE),"")</f>
        <v/>
      </c>
      <c r="BC340" s="209" t="str">
        <f>IFERROR(VLOOKUP(TableHandbook[[#This Row],[UDC]],TableSTRUPARTM[],7,FALSE),"")</f>
        <v/>
      </c>
      <c r="BD340" s="209" t="str">
        <f>IFERROR(VLOOKUP(TableHandbook[[#This Row],[UDC]],TableSTRUPOLB1[],7,FALSE),"")</f>
        <v/>
      </c>
      <c r="BE340" s="209" t="str">
        <f>IFERROR(VLOOKUP(TableHandbook[[#This Row],[UDC]],TableSTRUPSYCB[],7,FALSE),"")</f>
        <v/>
      </c>
      <c r="BF340" s="209" t="str">
        <f>IFERROR(VLOOKUP(TableHandbook[[#This Row],[UDC]],TableSTRUPSYCM[],7,FALSE),"")</f>
        <v/>
      </c>
      <c r="BG340" s="209" t="str">
        <f>IFERROR(VLOOKUP(TableHandbook[[#This Row],[UDC]],TableSTRUVARTB[],7,FALSE),"")</f>
        <v/>
      </c>
      <c r="BH340" s="209" t="str">
        <f>IFERROR(VLOOKUP(TableHandbook[[#This Row],[UDC]],TableSTRUVARTM[],7,FALSE),"")</f>
        <v/>
      </c>
    </row>
    <row r="341" spans="1:60" x14ac:dyDescent="0.25">
      <c r="A341" s="296" t="s">
        <v>1157</v>
      </c>
      <c r="B341" s="7">
        <v>0</v>
      </c>
      <c r="C341" s="7"/>
      <c r="D341" s="207" t="s">
        <v>1158</v>
      </c>
      <c r="E341" s="7">
        <v>150</v>
      </c>
      <c r="F341" s="84"/>
      <c r="G341" s="75" t="str">
        <f>IFERROR(IF(VLOOKUP(TableHandbook[[#This Row],[UDC]],TableAvailabilities[],2,FALSE)&gt;0,"Y",""),"")</f>
        <v/>
      </c>
      <c r="H341" s="75" t="str">
        <f>IFERROR(IF(VLOOKUP(TableHandbook[[#This Row],[UDC]],TableAvailabilities[],3,FALSE)&gt;0,"Y",""),"")</f>
        <v/>
      </c>
      <c r="I341" s="75" t="str">
        <f>IFERROR(IF(VLOOKUP(TableHandbook[[#This Row],[UDC]],TableAvailabilities[],4,FALSE)&gt;0,"Y",""),"")</f>
        <v/>
      </c>
      <c r="J341" s="75" t="str">
        <f>IFERROR(IF(VLOOKUP(TableHandbook[[#This Row],[UDC]],TableAvailabilities[],5,FALSE)&gt;0,"Y",""),"")</f>
        <v/>
      </c>
      <c r="K341" s="75" t="str">
        <f>IFERROR(IF(VLOOKUP(TableHandbook[[#This Row],[UDC]],TableAvailabilities[],6,FALSE)&gt;0,"Y",""),"")</f>
        <v/>
      </c>
      <c r="L341" s="75" t="str">
        <f>IFERROR(IF(VLOOKUP(TableHandbook[[#This Row],[UDC]],TableAvailabilities[],7,FALSE)&gt;0,"Y",""),"")</f>
        <v/>
      </c>
      <c r="M341" s="207"/>
      <c r="N341" s="209" t="str">
        <f>IFERROR(VLOOKUP(TableHandbook[[#This Row],[UDC]],TableBEDUC[],7,FALSE),"")</f>
        <v/>
      </c>
      <c r="O341" s="209" t="str">
        <f>IFERROR(VLOOKUP(TableHandbook[[#This Row],[UDC]],TableBEDEC[],7,FALSE),"")</f>
        <v/>
      </c>
      <c r="P341" s="211" t="str">
        <f>IFERROR(VLOOKUP(TableHandbook[[#This Row],[UDC]],TableBEDPR[],7,FALSE),"")</f>
        <v/>
      </c>
      <c r="Q341" s="209" t="str">
        <f>IFERROR(VLOOKUP(TableHandbook[[#This Row],[UDC]],TableSTRUCATHL[],7,FALSE),"")</f>
        <v/>
      </c>
      <c r="R341" s="209" t="str">
        <f>IFERROR(VLOOKUP(TableHandbook[[#This Row],[UDC]],TableSTRUENGLL[],7,FALSE),"")</f>
        <v/>
      </c>
      <c r="S341" s="209" t="str">
        <f>IFERROR(VLOOKUP(TableHandbook[[#This Row],[UDC]],TableSTRUHLTPE[],7,FALSE),"")</f>
        <v/>
      </c>
      <c r="T341" s="209" t="str">
        <f>IFERROR(VLOOKUP(TableHandbook[[#This Row],[UDC]],TableSTRUISTEM[],7,FALSE),"")</f>
        <v/>
      </c>
      <c r="U341" s="209" t="str">
        <f>IFERROR(VLOOKUP(TableHandbook[[#This Row],[UDC]],TableSTRULITNU[],7,FALSE),"")</f>
        <v/>
      </c>
      <c r="V341" s="209" t="str">
        <f>IFERROR(VLOOKUP(TableHandbook[[#This Row],[UDC]],TableSTRUTECHS[],7,FALSE),"")</f>
        <v/>
      </c>
      <c r="W341" s="211" t="str">
        <f>IFERROR(VLOOKUP(TableHandbook[[#This Row],[UDC]],TableBEDSC[],7,FALSE),"")</f>
        <v/>
      </c>
      <c r="X341" s="211" t="str">
        <f>IFERROR(VLOOKUP(TableHandbook[[#This Row],[UDC]],TableMJRUARDR1[],7,FALSE),"")</f>
        <v>Option</v>
      </c>
      <c r="Y341" s="209" t="str">
        <f>IFERROR(VLOOKUP(TableHandbook[[#This Row],[UDC]],TableMJRUARME1[],7,FALSE),"")</f>
        <v>Option</v>
      </c>
      <c r="Z341" s="209" t="str">
        <f>IFERROR(VLOOKUP(TableHandbook[[#This Row],[UDC]],TableMJRUARVA1[],7,FALSE),"")</f>
        <v>Option</v>
      </c>
      <c r="AA341" s="209" t="str">
        <f>IFERROR(VLOOKUP(TableHandbook[[#This Row],[UDC]],TableMJRUENGL1[],7,FALSE),"")</f>
        <v>Option</v>
      </c>
      <c r="AB341" s="209" t="str">
        <f>IFERROR(VLOOKUP(TableHandbook[[#This Row],[UDC]],TableMJRUHSEC1[],7,FALSE),"")</f>
        <v>Option</v>
      </c>
      <c r="AC341" s="209" t="str">
        <f>IFERROR(VLOOKUP(TableHandbook[[#This Row],[UDC]],TableMJRUHSGE1[],7,FALSE),"")</f>
        <v>Option</v>
      </c>
      <c r="AD341" s="209" t="str">
        <f>IFERROR(VLOOKUP(TableHandbook[[#This Row],[UDC]],TableMJRUHSHI1[],7,FALSE),"")</f>
        <v>Option</v>
      </c>
      <c r="AE341" s="209" t="str">
        <f>IFERROR(VLOOKUP(TableHandbook[[#This Row],[UDC]],TableMJRUHSPL1[],7,FALSE),"")</f>
        <v>Option</v>
      </c>
      <c r="AF341" s="209" t="str">
        <f>IFERROR(VLOOKUP(TableHandbook[[#This Row],[UDC]],TableMJRUMATH1[],7,FALSE),"")</f>
        <v>Option</v>
      </c>
      <c r="AG341" s="209" t="str">
        <f>IFERROR(VLOOKUP(TableHandbook[[#This Row],[UDC]],TableMJRUPHYSE[],7,FALSE),"")</f>
        <v>Option</v>
      </c>
      <c r="AH341" s="209" t="str">
        <f>IFERROR(VLOOKUP(TableHandbook[[#This Row],[UDC]],TableMJRUSCBI1[],7,FALSE),"")</f>
        <v>Option</v>
      </c>
      <c r="AI341" s="209" t="str">
        <f>IFERROR(VLOOKUP(TableHandbook[[#This Row],[UDC]],TableMJRUSCCH1[],7,FALSE),"")</f>
        <v>Option</v>
      </c>
      <c r="AJ341" s="209" t="str">
        <f>IFERROR(VLOOKUP(TableHandbook[[#This Row],[UDC]],TableMJRUSCHB1[],7,FALSE),"")</f>
        <v>Option</v>
      </c>
      <c r="AK341" s="209" t="str">
        <f>IFERROR(VLOOKUP(TableHandbook[[#This Row],[UDC]],TableMJRUSCPH1[],7,FALSE),"")</f>
        <v/>
      </c>
      <c r="AL341" s="209" t="str">
        <f>IFERROR(VLOOKUP(TableHandbook[[#This Row],[UDC]],TableMJRUSCPS1[],7,FALSE),"")</f>
        <v>Option</v>
      </c>
      <c r="AM341" s="211" t="str">
        <f>IFERROR(VLOOKUP(TableHandbook[[#This Row],[UDC]],TableSTRUBIOLB[],7,FALSE),"")</f>
        <v/>
      </c>
      <c r="AN341" s="209" t="str">
        <f>IFERROR(VLOOKUP(TableHandbook[[#This Row],[UDC]],TableSTRUBSCIM[],7,FALSE),"")</f>
        <v/>
      </c>
      <c r="AO341" s="209" t="str">
        <f>IFERROR(VLOOKUP(TableHandbook[[#This Row],[UDC]],TableSTRUCHEMB[],7,FALSE),"")</f>
        <v/>
      </c>
      <c r="AP341" s="209" t="str">
        <f>IFERROR(VLOOKUP(TableHandbook[[#This Row],[UDC]],TableSTRUECOB1[],7,FALSE),"")</f>
        <v/>
      </c>
      <c r="AQ341" s="209" t="str">
        <f>IFERROR(VLOOKUP(TableHandbook[[#This Row],[UDC]],TableSTRUENGLB[],7,FALSE),"")</f>
        <v/>
      </c>
      <c r="AR341" s="209" t="str">
        <f>IFERROR(VLOOKUP(TableHandbook[[#This Row],[UDC]],TableSTRUENGLM[],7,FALSE),"")</f>
        <v/>
      </c>
      <c r="AS341" s="209" t="str">
        <f>IFERROR(VLOOKUP(TableHandbook[[#This Row],[UDC]],TableSTRUGEOB1[],7,FALSE),"")</f>
        <v/>
      </c>
      <c r="AT341" s="209" t="str">
        <f>IFERROR(VLOOKUP(TableHandbook[[#This Row],[UDC]],TableSTRUGEOGM[],7,FALSE),"")</f>
        <v/>
      </c>
      <c r="AU341" s="209" t="str">
        <f>IFERROR(VLOOKUP(TableHandbook[[#This Row],[UDC]],TableSTRUHISB1[],7,FALSE),"")</f>
        <v/>
      </c>
      <c r="AV341" s="209" t="str">
        <f>IFERROR(VLOOKUP(TableHandbook[[#This Row],[UDC]],TableSTRUHISTM[],7,FALSE),"")</f>
        <v/>
      </c>
      <c r="AW341" s="209" t="str">
        <f>IFERROR(VLOOKUP(TableHandbook[[#This Row],[UDC]],TableSTRUHPEB1[],7,FALSE),"")</f>
        <v/>
      </c>
      <c r="AX341" s="209" t="str">
        <f>IFERROR(VLOOKUP(TableHandbook[[#This Row],[UDC]],TableSTRUHUMBB[],7,FALSE),"")</f>
        <v/>
      </c>
      <c r="AY341" s="209" t="str">
        <f>IFERROR(VLOOKUP(TableHandbook[[#This Row],[UDC]],TableSTRUMARTM[],7,FALSE),"")</f>
        <v/>
      </c>
      <c r="AZ341" s="209" t="str">
        <f>IFERROR(VLOOKUP(TableHandbook[[#This Row],[UDC]],TableSTRUMATHB[],7,FALSE),"")</f>
        <v/>
      </c>
      <c r="BA341" s="209" t="str">
        <f>IFERROR(VLOOKUP(TableHandbook[[#This Row],[UDC]],TableSTRUMATHM[],7,FALSE),"")</f>
        <v/>
      </c>
      <c r="BB341" s="209" t="str">
        <f>IFERROR(VLOOKUP(TableHandbook[[#This Row],[UDC]],TableSTRUPARTB[],7,FALSE),"")</f>
        <v/>
      </c>
      <c r="BC341" s="209" t="str">
        <f>IFERROR(VLOOKUP(TableHandbook[[#This Row],[UDC]],TableSTRUPARTM[],7,FALSE),"")</f>
        <v/>
      </c>
      <c r="BD341" s="209" t="str">
        <f>IFERROR(VLOOKUP(TableHandbook[[#This Row],[UDC]],TableSTRUPOLB1[],7,FALSE),"")</f>
        <v/>
      </c>
      <c r="BE341" s="209" t="str">
        <f>IFERROR(VLOOKUP(TableHandbook[[#This Row],[UDC]],TableSTRUPSYCB[],7,FALSE),"")</f>
        <v/>
      </c>
      <c r="BF341" s="209" t="str">
        <f>IFERROR(VLOOKUP(TableHandbook[[#This Row],[UDC]],TableSTRUPSYCM[],7,FALSE),"")</f>
        <v/>
      </c>
      <c r="BG341" s="209" t="str">
        <f>IFERROR(VLOOKUP(TableHandbook[[#This Row],[UDC]],TableSTRUVARTB[],7,FALSE),"")</f>
        <v/>
      </c>
      <c r="BH341" s="209" t="str">
        <f>IFERROR(VLOOKUP(TableHandbook[[#This Row],[UDC]],TableSTRUVARTM[],7,FALSE),"")</f>
        <v/>
      </c>
    </row>
    <row r="342" spans="1:60" x14ac:dyDescent="0.25">
      <c r="A342" s="296" t="s">
        <v>368</v>
      </c>
      <c r="B342" s="7">
        <v>4</v>
      </c>
      <c r="C342" s="7"/>
      <c r="D342" s="207" t="s">
        <v>399</v>
      </c>
      <c r="E342" s="7">
        <v>150</v>
      </c>
      <c r="F342" s="84"/>
      <c r="G342" s="75" t="str">
        <f>IFERROR(IF(VLOOKUP(TableHandbook[[#This Row],[UDC]],TableAvailabilities[],2,FALSE)&gt;0,"Y",""),"")</f>
        <v/>
      </c>
      <c r="H342" s="75" t="str">
        <f>IFERROR(IF(VLOOKUP(TableHandbook[[#This Row],[UDC]],TableAvailabilities[],3,FALSE)&gt;0,"Y",""),"")</f>
        <v/>
      </c>
      <c r="I342" s="75" t="str">
        <f>IFERROR(IF(VLOOKUP(TableHandbook[[#This Row],[UDC]],TableAvailabilities[],4,FALSE)&gt;0,"Y",""),"")</f>
        <v/>
      </c>
      <c r="J342" s="75" t="str">
        <f>IFERROR(IF(VLOOKUP(TableHandbook[[#This Row],[UDC]],TableAvailabilities[],5,FALSE)&gt;0,"Y",""),"")</f>
        <v/>
      </c>
      <c r="K342" s="75" t="str">
        <f>IFERROR(IF(VLOOKUP(TableHandbook[[#This Row],[UDC]],TableAvailabilities[],6,FALSE)&gt;0,"Y",""),"")</f>
        <v/>
      </c>
      <c r="L342" s="75" t="str">
        <f>IFERROR(IF(VLOOKUP(TableHandbook[[#This Row],[UDC]],TableAvailabilities[],7,FALSE)&gt;0,"Y",""),"")</f>
        <v/>
      </c>
      <c r="M342" s="207"/>
      <c r="N342" s="209" t="str">
        <f>IFERROR(VLOOKUP(TableHandbook[[#This Row],[UDC]],TableBEDUC[],7,FALSE),"")</f>
        <v/>
      </c>
      <c r="O342" s="209" t="str">
        <f>IFERROR(VLOOKUP(TableHandbook[[#This Row],[UDC]],TableBEDEC[],7,FALSE),"")</f>
        <v/>
      </c>
      <c r="P342" s="211" t="str">
        <f>IFERROR(VLOOKUP(TableHandbook[[#This Row],[UDC]],TableBEDPR[],7,FALSE),"")</f>
        <v/>
      </c>
      <c r="Q342" s="209" t="str">
        <f>IFERROR(VLOOKUP(TableHandbook[[#This Row],[UDC]],TableSTRUCATHL[],7,FALSE),"")</f>
        <v/>
      </c>
      <c r="R342" s="209" t="str">
        <f>IFERROR(VLOOKUP(TableHandbook[[#This Row],[UDC]],TableSTRUENGLL[],7,FALSE),"")</f>
        <v/>
      </c>
      <c r="S342" s="209" t="str">
        <f>IFERROR(VLOOKUP(TableHandbook[[#This Row],[UDC]],TableSTRUHLTPE[],7,FALSE),"")</f>
        <v/>
      </c>
      <c r="T342" s="209" t="str">
        <f>IFERROR(VLOOKUP(TableHandbook[[#This Row],[UDC]],TableSTRUISTEM[],7,FALSE),"")</f>
        <v/>
      </c>
      <c r="U342" s="209" t="str">
        <f>IFERROR(VLOOKUP(TableHandbook[[#This Row],[UDC]],TableSTRULITNU[],7,FALSE),"")</f>
        <v/>
      </c>
      <c r="V342" s="209" t="str">
        <f>IFERROR(VLOOKUP(TableHandbook[[#This Row],[UDC]],TableSTRUTECHS[],7,FALSE),"")</f>
        <v/>
      </c>
      <c r="W342" s="211" t="str">
        <f>IFERROR(VLOOKUP(TableHandbook[[#This Row],[UDC]],TableBEDSC[],7,FALSE),"")</f>
        <v/>
      </c>
      <c r="X342" s="211" t="str">
        <f>IFERROR(VLOOKUP(TableHandbook[[#This Row],[UDC]],TableMJRUARDR1[],7,FALSE),"")</f>
        <v/>
      </c>
      <c r="Y342" s="209" t="str">
        <f>IFERROR(VLOOKUP(TableHandbook[[#This Row],[UDC]],TableMJRUARME1[],7,FALSE),"")</f>
        <v/>
      </c>
      <c r="Z342" s="209" t="str">
        <f>IFERROR(VLOOKUP(TableHandbook[[#This Row],[UDC]],TableMJRUARVA1[],7,FALSE),"")</f>
        <v/>
      </c>
      <c r="AA342" s="209" t="str">
        <f>IFERROR(VLOOKUP(TableHandbook[[#This Row],[UDC]],TableMJRUENGL1[],7,FALSE),"")</f>
        <v/>
      </c>
      <c r="AB342" s="209" t="str">
        <f>IFERROR(VLOOKUP(TableHandbook[[#This Row],[UDC]],TableMJRUHSEC1[],7,FALSE),"")</f>
        <v/>
      </c>
      <c r="AC342" s="209" t="str">
        <f>IFERROR(VLOOKUP(TableHandbook[[#This Row],[UDC]],TableMJRUHSGE1[],7,FALSE),"")</f>
        <v/>
      </c>
      <c r="AD342" s="209" t="str">
        <f>IFERROR(VLOOKUP(TableHandbook[[#This Row],[UDC]],TableMJRUHSHI1[],7,FALSE),"")</f>
        <v/>
      </c>
      <c r="AE342" s="209" t="str">
        <f>IFERROR(VLOOKUP(TableHandbook[[#This Row],[UDC]],TableMJRUHSPL1[],7,FALSE),"")</f>
        <v/>
      </c>
      <c r="AF342" s="209" t="str">
        <f>IFERROR(VLOOKUP(TableHandbook[[#This Row],[UDC]],TableMJRUMATH1[],7,FALSE),"")</f>
        <v/>
      </c>
      <c r="AG342" s="209" t="str">
        <f>IFERROR(VLOOKUP(TableHandbook[[#This Row],[UDC]],TableMJRUPHYSE[],7,FALSE),"")</f>
        <v/>
      </c>
      <c r="AH342" s="209" t="str">
        <f>IFERROR(VLOOKUP(TableHandbook[[#This Row],[UDC]],TableMJRUSCBI1[],7,FALSE),"")</f>
        <v>Option</v>
      </c>
      <c r="AI342" s="209" t="str">
        <f>IFERROR(VLOOKUP(TableHandbook[[#This Row],[UDC]],TableMJRUSCCH1[],7,FALSE),"")</f>
        <v/>
      </c>
      <c r="AJ342" s="209" t="str">
        <f>IFERROR(VLOOKUP(TableHandbook[[#This Row],[UDC]],TableMJRUSCHB1[],7,FALSE),"")</f>
        <v/>
      </c>
      <c r="AK342" s="209" t="str">
        <f>IFERROR(VLOOKUP(TableHandbook[[#This Row],[UDC]],TableMJRUSCPH1[],7,FALSE),"")</f>
        <v/>
      </c>
      <c r="AL342" s="209" t="str">
        <f>IFERROR(VLOOKUP(TableHandbook[[#This Row],[UDC]],TableMJRUSCPS1[],7,FALSE),"")</f>
        <v/>
      </c>
      <c r="AM342" s="211" t="str">
        <f>IFERROR(VLOOKUP(TableHandbook[[#This Row],[UDC]],TableSTRUBIOLB[],7,FALSE),"")</f>
        <v/>
      </c>
      <c r="AN342" s="209" t="str">
        <f>IFERROR(VLOOKUP(TableHandbook[[#This Row],[UDC]],TableSTRUBSCIM[],7,FALSE),"")</f>
        <v/>
      </c>
      <c r="AO342" s="209" t="str">
        <f>IFERROR(VLOOKUP(TableHandbook[[#This Row],[UDC]],TableSTRUCHEMB[],7,FALSE),"")</f>
        <v/>
      </c>
      <c r="AP342" s="209" t="str">
        <f>IFERROR(VLOOKUP(TableHandbook[[#This Row],[UDC]],TableSTRUECOB1[],7,FALSE),"")</f>
        <v/>
      </c>
      <c r="AQ342" s="209" t="str">
        <f>IFERROR(VLOOKUP(TableHandbook[[#This Row],[UDC]],TableSTRUENGLB[],7,FALSE),"")</f>
        <v/>
      </c>
      <c r="AR342" s="209" t="str">
        <f>IFERROR(VLOOKUP(TableHandbook[[#This Row],[UDC]],TableSTRUENGLM[],7,FALSE),"")</f>
        <v/>
      </c>
      <c r="AS342" s="209" t="str">
        <f>IFERROR(VLOOKUP(TableHandbook[[#This Row],[UDC]],TableSTRUGEOB1[],7,FALSE),"")</f>
        <v/>
      </c>
      <c r="AT342" s="209" t="str">
        <f>IFERROR(VLOOKUP(TableHandbook[[#This Row],[UDC]],TableSTRUGEOGM[],7,FALSE),"")</f>
        <v/>
      </c>
      <c r="AU342" s="209" t="str">
        <f>IFERROR(VLOOKUP(TableHandbook[[#This Row],[UDC]],TableSTRUHISB1[],7,FALSE),"")</f>
        <v/>
      </c>
      <c r="AV342" s="209" t="str">
        <f>IFERROR(VLOOKUP(TableHandbook[[#This Row],[UDC]],TableSTRUHISTM[],7,FALSE),"")</f>
        <v/>
      </c>
      <c r="AW342" s="209" t="str">
        <f>IFERROR(VLOOKUP(TableHandbook[[#This Row],[UDC]],TableSTRUHPEB1[],7,FALSE),"")</f>
        <v/>
      </c>
      <c r="AX342" s="209" t="str">
        <f>IFERROR(VLOOKUP(TableHandbook[[#This Row],[UDC]],TableSTRUHUMBB[],7,FALSE),"")</f>
        <v/>
      </c>
      <c r="AY342" s="209" t="str">
        <f>IFERROR(VLOOKUP(TableHandbook[[#This Row],[UDC]],TableSTRUMARTM[],7,FALSE),"")</f>
        <v/>
      </c>
      <c r="AZ342" s="209" t="str">
        <f>IFERROR(VLOOKUP(TableHandbook[[#This Row],[UDC]],TableSTRUMATHB[],7,FALSE),"")</f>
        <v/>
      </c>
      <c r="BA342" s="209" t="str">
        <f>IFERROR(VLOOKUP(TableHandbook[[#This Row],[UDC]],TableSTRUMATHM[],7,FALSE),"")</f>
        <v/>
      </c>
      <c r="BB342" s="209" t="str">
        <f>IFERROR(VLOOKUP(TableHandbook[[#This Row],[UDC]],TableSTRUPARTB[],7,FALSE),"")</f>
        <v/>
      </c>
      <c r="BC342" s="209" t="str">
        <f>IFERROR(VLOOKUP(TableHandbook[[#This Row],[UDC]],TableSTRUPARTM[],7,FALSE),"")</f>
        <v/>
      </c>
      <c r="BD342" s="209" t="str">
        <f>IFERROR(VLOOKUP(TableHandbook[[#This Row],[UDC]],TableSTRUPOLB1[],7,FALSE),"")</f>
        <v/>
      </c>
      <c r="BE342" s="209" t="str">
        <f>IFERROR(VLOOKUP(TableHandbook[[#This Row],[UDC]],TableSTRUPSYCB[],7,FALSE),"")</f>
        <v/>
      </c>
      <c r="BF342" s="209" t="str">
        <f>IFERROR(VLOOKUP(TableHandbook[[#This Row],[UDC]],TableSTRUPSYCM[],7,FALSE),"")</f>
        <v/>
      </c>
      <c r="BG342" s="209" t="str">
        <f>IFERROR(VLOOKUP(TableHandbook[[#This Row],[UDC]],TableSTRUVARTB[],7,FALSE),"")</f>
        <v/>
      </c>
      <c r="BH342" s="209" t="str">
        <f>IFERROR(VLOOKUP(TableHandbook[[#This Row],[UDC]],TableSTRUVARTM[],7,FALSE),"")</f>
        <v/>
      </c>
    </row>
    <row r="343" spans="1:60" x14ac:dyDescent="0.25">
      <c r="A343" s="296" t="s">
        <v>350</v>
      </c>
      <c r="B343" s="7">
        <v>3</v>
      </c>
      <c r="C343" s="7"/>
      <c r="D343" s="207" t="s">
        <v>205</v>
      </c>
      <c r="E343" s="7">
        <v>150</v>
      </c>
      <c r="F343" s="84"/>
      <c r="G343" s="75" t="str">
        <f>IFERROR(IF(VLOOKUP(TableHandbook[[#This Row],[UDC]],TableAvailabilities[],2,FALSE)&gt;0,"Y",""),"")</f>
        <v/>
      </c>
      <c r="H343" s="75" t="str">
        <f>IFERROR(IF(VLOOKUP(TableHandbook[[#This Row],[UDC]],TableAvailabilities[],3,FALSE)&gt;0,"Y",""),"")</f>
        <v/>
      </c>
      <c r="I343" s="75" t="str">
        <f>IFERROR(IF(VLOOKUP(TableHandbook[[#This Row],[UDC]],TableAvailabilities[],4,FALSE)&gt;0,"Y",""),"")</f>
        <v/>
      </c>
      <c r="J343" s="75" t="str">
        <f>IFERROR(IF(VLOOKUP(TableHandbook[[#This Row],[UDC]],TableAvailabilities[],5,FALSE)&gt;0,"Y",""),"")</f>
        <v/>
      </c>
      <c r="K343" s="75" t="str">
        <f>IFERROR(IF(VLOOKUP(TableHandbook[[#This Row],[UDC]],TableAvailabilities[],6,FALSE)&gt;0,"Y",""),"")</f>
        <v/>
      </c>
      <c r="L343" s="75" t="str">
        <f>IFERROR(IF(VLOOKUP(TableHandbook[[#This Row],[UDC]],TableAvailabilities[],7,FALSE)&gt;0,"Y",""),"")</f>
        <v/>
      </c>
      <c r="M343" s="207"/>
      <c r="N343" s="209" t="str">
        <f>IFERROR(VLOOKUP(TableHandbook[[#This Row],[UDC]],TableBEDUC[],7,FALSE),"")</f>
        <v/>
      </c>
      <c r="O343" s="209" t="str">
        <f>IFERROR(VLOOKUP(TableHandbook[[#This Row],[UDC]],TableBEDEC[],7,FALSE),"")</f>
        <v/>
      </c>
      <c r="P343" s="211" t="str">
        <f>IFERROR(VLOOKUP(TableHandbook[[#This Row],[UDC]],TableBEDPR[],7,FALSE),"")</f>
        <v/>
      </c>
      <c r="Q343" s="209" t="str">
        <f>IFERROR(VLOOKUP(TableHandbook[[#This Row],[UDC]],TableSTRUCATHL[],7,FALSE),"")</f>
        <v/>
      </c>
      <c r="R343" s="209" t="str">
        <f>IFERROR(VLOOKUP(TableHandbook[[#This Row],[UDC]],TableSTRUENGLL[],7,FALSE),"")</f>
        <v/>
      </c>
      <c r="S343" s="209" t="str">
        <f>IFERROR(VLOOKUP(TableHandbook[[#This Row],[UDC]],TableSTRUHLTPE[],7,FALSE),"")</f>
        <v/>
      </c>
      <c r="T343" s="209" t="str">
        <f>IFERROR(VLOOKUP(TableHandbook[[#This Row],[UDC]],TableSTRUISTEM[],7,FALSE),"")</f>
        <v/>
      </c>
      <c r="U343" s="209" t="str">
        <f>IFERROR(VLOOKUP(TableHandbook[[#This Row],[UDC]],TableSTRULITNU[],7,FALSE),"")</f>
        <v/>
      </c>
      <c r="V343" s="209" t="str">
        <f>IFERROR(VLOOKUP(TableHandbook[[#This Row],[UDC]],TableSTRUTECHS[],7,FALSE),"")</f>
        <v/>
      </c>
      <c r="W343" s="211" t="str">
        <f>IFERROR(VLOOKUP(TableHandbook[[#This Row],[UDC]],TableBEDSC[],7,FALSE),"")</f>
        <v/>
      </c>
      <c r="X343" s="211" t="str">
        <f>IFERROR(VLOOKUP(TableHandbook[[#This Row],[UDC]],TableMJRUARDR1[],7,FALSE),"")</f>
        <v>Option</v>
      </c>
      <c r="Y343" s="209" t="str">
        <f>IFERROR(VLOOKUP(TableHandbook[[#This Row],[UDC]],TableMJRUARME1[],7,FALSE),"")</f>
        <v>Option</v>
      </c>
      <c r="Z343" s="209" t="str">
        <f>IFERROR(VLOOKUP(TableHandbook[[#This Row],[UDC]],TableMJRUARVA1[],7,FALSE),"")</f>
        <v>Option</v>
      </c>
      <c r="AA343" s="209" t="str">
        <f>IFERROR(VLOOKUP(TableHandbook[[#This Row],[UDC]],TableMJRUENGL1[],7,FALSE),"")</f>
        <v>Option</v>
      </c>
      <c r="AB343" s="209" t="str">
        <f>IFERROR(VLOOKUP(TableHandbook[[#This Row],[UDC]],TableMJRUHSEC1[],7,FALSE),"")</f>
        <v>Option</v>
      </c>
      <c r="AC343" s="209" t="str">
        <f>IFERROR(VLOOKUP(TableHandbook[[#This Row],[UDC]],TableMJRUHSGE1[],7,FALSE),"")</f>
        <v>Option</v>
      </c>
      <c r="AD343" s="209" t="str">
        <f>IFERROR(VLOOKUP(TableHandbook[[#This Row],[UDC]],TableMJRUHSHI1[],7,FALSE),"")</f>
        <v>Option</v>
      </c>
      <c r="AE343" s="209" t="str">
        <f>IFERROR(VLOOKUP(TableHandbook[[#This Row],[UDC]],TableMJRUHSPL1[],7,FALSE),"")</f>
        <v>Option</v>
      </c>
      <c r="AF343" s="209" t="str">
        <f>IFERROR(VLOOKUP(TableHandbook[[#This Row],[UDC]],TableMJRUMATH1[],7,FALSE),"")</f>
        <v>Option</v>
      </c>
      <c r="AG343" s="209" t="str">
        <f>IFERROR(VLOOKUP(TableHandbook[[#This Row],[UDC]],TableMJRUPHYSE[],7,FALSE),"")</f>
        <v>Option</v>
      </c>
      <c r="AH343" s="209" t="str">
        <f>IFERROR(VLOOKUP(TableHandbook[[#This Row],[UDC]],TableMJRUSCBI1[],7,FALSE),"")</f>
        <v/>
      </c>
      <c r="AI343" s="209" t="str">
        <f>IFERROR(VLOOKUP(TableHandbook[[#This Row],[UDC]],TableMJRUSCCH1[],7,FALSE),"")</f>
        <v/>
      </c>
      <c r="AJ343" s="209" t="str">
        <f>IFERROR(VLOOKUP(TableHandbook[[#This Row],[UDC]],TableMJRUSCHB1[],7,FALSE),"")</f>
        <v/>
      </c>
      <c r="AK343" s="209" t="str">
        <f>IFERROR(VLOOKUP(TableHandbook[[#This Row],[UDC]],TableMJRUSCPH1[],7,FALSE),"")</f>
        <v/>
      </c>
      <c r="AL343" s="209" t="str">
        <f>IFERROR(VLOOKUP(TableHandbook[[#This Row],[UDC]],TableMJRUSCPS1[],7,FALSE),"")</f>
        <v/>
      </c>
      <c r="AM343" s="211" t="str">
        <f>IFERROR(VLOOKUP(TableHandbook[[#This Row],[UDC]],TableSTRUBIOLB[],7,FALSE),"")</f>
        <v/>
      </c>
      <c r="AN343" s="209" t="str">
        <f>IFERROR(VLOOKUP(TableHandbook[[#This Row],[UDC]],TableSTRUBSCIM[],7,FALSE),"")</f>
        <v/>
      </c>
      <c r="AO343" s="209" t="str">
        <f>IFERROR(VLOOKUP(TableHandbook[[#This Row],[UDC]],TableSTRUCHEMB[],7,FALSE),"")</f>
        <v/>
      </c>
      <c r="AP343" s="209" t="str">
        <f>IFERROR(VLOOKUP(TableHandbook[[#This Row],[UDC]],TableSTRUECOB1[],7,FALSE),"")</f>
        <v/>
      </c>
      <c r="AQ343" s="209" t="str">
        <f>IFERROR(VLOOKUP(TableHandbook[[#This Row],[UDC]],TableSTRUENGLB[],7,FALSE),"")</f>
        <v/>
      </c>
      <c r="AR343" s="209" t="str">
        <f>IFERROR(VLOOKUP(TableHandbook[[#This Row],[UDC]],TableSTRUENGLM[],7,FALSE),"")</f>
        <v/>
      </c>
      <c r="AS343" s="209" t="str">
        <f>IFERROR(VLOOKUP(TableHandbook[[#This Row],[UDC]],TableSTRUGEOB1[],7,FALSE),"")</f>
        <v/>
      </c>
      <c r="AT343" s="209" t="str">
        <f>IFERROR(VLOOKUP(TableHandbook[[#This Row],[UDC]],TableSTRUGEOGM[],7,FALSE),"")</f>
        <v/>
      </c>
      <c r="AU343" s="209" t="str">
        <f>IFERROR(VLOOKUP(TableHandbook[[#This Row],[UDC]],TableSTRUHISB1[],7,FALSE),"")</f>
        <v/>
      </c>
      <c r="AV343" s="209" t="str">
        <f>IFERROR(VLOOKUP(TableHandbook[[#This Row],[UDC]],TableSTRUHISTM[],7,FALSE),"")</f>
        <v/>
      </c>
      <c r="AW343" s="209" t="str">
        <f>IFERROR(VLOOKUP(TableHandbook[[#This Row],[UDC]],TableSTRUHPEB1[],7,FALSE),"")</f>
        <v/>
      </c>
      <c r="AX343" s="209" t="str">
        <f>IFERROR(VLOOKUP(TableHandbook[[#This Row],[UDC]],TableSTRUHUMBB[],7,FALSE),"")</f>
        <v/>
      </c>
      <c r="AY343" s="209" t="str">
        <f>IFERROR(VLOOKUP(TableHandbook[[#This Row],[UDC]],TableSTRUMARTM[],7,FALSE),"")</f>
        <v/>
      </c>
      <c r="AZ343" s="209" t="str">
        <f>IFERROR(VLOOKUP(TableHandbook[[#This Row],[UDC]],TableSTRUMATHB[],7,FALSE),"")</f>
        <v/>
      </c>
      <c r="BA343" s="209" t="str">
        <f>IFERROR(VLOOKUP(TableHandbook[[#This Row],[UDC]],TableSTRUMATHM[],7,FALSE),"")</f>
        <v/>
      </c>
      <c r="BB343" s="209" t="str">
        <f>IFERROR(VLOOKUP(TableHandbook[[#This Row],[UDC]],TableSTRUPARTB[],7,FALSE),"")</f>
        <v/>
      </c>
      <c r="BC343" s="209" t="str">
        <f>IFERROR(VLOOKUP(TableHandbook[[#This Row],[UDC]],TableSTRUPARTM[],7,FALSE),"")</f>
        <v/>
      </c>
      <c r="BD343" s="209" t="str">
        <f>IFERROR(VLOOKUP(TableHandbook[[#This Row],[UDC]],TableSTRUPOLB1[],7,FALSE),"")</f>
        <v/>
      </c>
      <c r="BE343" s="209" t="str">
        <f>IFERROR(VLOOKUP(TableHandbook[[#This Row],[UDC]],TableSTRUPSYCB[],7,FALSE),"")</f>
        <v/>
      </c>
      <c r="BF343" s="209" t="str">
        <f>IFERROR(VLOOKUP(TableHandbook[[#This Row],[UDC]],TableSTRUPSYCM[],7,FALSE),"")</f>
        <v/>
      </c>
      <c r="BG343" s="209" t="str">
        <f>IFERROR(VLOOKUP(TableHandbook[[#This Row],[UDC]],TableSTRUVARTB[],7,FALSE),"")</f>
        <v/>
      </c>
      <c r="BH343" s="209" t="str">
        <f>IFERROR(VLOOKUP(TableHandbook[[#This Row],[UDC]],TableSTRUVARTM[],7,FALSE),"")</f>
        <v/>
      </c>
    </row>
    <row r="344" spans="1:60" x14ac:dyDescent="0.25">
      <c r="A344" s="6" t="s">
        <v>99</v>
      </c>
      <c r="B344" s="7">
        <v>1</v>
      </c>
      <c r="C344" s="7"/>
      <c r="D344" s="207" t="s">
        <v>98</v>
      </c>
      <c r="E344" s="7">
        <v>75</v>
      </c>
      <c r="F344" s="84"/>
      <c r="G344" s="75" t="str">
        <f>IFERROR(IF(VLOOKUP(TableHandbook[[#This Row],[UDC]],TableAvailabilities[],2,FALSE)&gt;0,"Y",""),"")</f>
        <v/>
      </c>
      <c r="H344" s="75" t="str">
        <f>IFERROR(IF(VLOOKUP(TableHandbook[[#This Row],[UDC]],TableAvailabilities[],3,FALSE)&gt;0,"Y",""),"")</f>
        <v/>
      </c>
      <c r="I344" s="75" t="str">
        <f>IFERROR(IF(VLOOKUP(TableHandbook[[#This Row],[UDC]],TableAvailabilities[],4,FALSE)&gt;0,"Y",""),"")</f>
        <v/>
      </c>
      <c r="J344" s="75" t="str">
        <f>IFERROR(IF(VLOOKUP(TableHandbook[[#This Row],[UDC]],TableAvailabilities[],5,FALSE)&gt;0,"Y",""),"")</f>
        <v/>
      </c>
      <c r="K344" s="75" t="str">
        <f>IFERROR(IF(VLOOKUP(TableHandbook[[#This Row],[UDC]],TableAvailabilities[],6,FALSE)&gt;0,"Y",""),"")</f>
        <v/>
      </c>
      <c r="L344" s="75" t="str">
        <f>IFERROR(IF(VLOOKUP(TableHandbook[[#This Row],[UDC]],TableAvailabilities[],7,FALSE)&gt;0,"Y",""),"")</f>
        <v/>
      </c>
      <c r="M344" s="207"/>
      <c r="N344" s="209" t="str">
        <f>IFERROR(VLOOKUP(TableHandbook[[#This Row],[UDC]],TableBEDUC[],7,FALSE),"")</f>
        <v/>
      </c>
      <c r="O344" s="209" t="str">
        <f>IFERROR(VLOOKUP(TableHandbook[[#This Row],[UDC]],TableBEDEC[],7,FALSE),"")</f>
        <v/>
      </c>
      <c r="P344" s="211" t="str">
        <f>IFERROR(VLOOKUP(TableHandbook[[#This Row],[UDC]],TableBEDPR[],7,FALSE),"")</f>
        <v>Option</v>
      </c>
      <c r="Q344" s="209" t="str">
        <f>IFERROR(VLOOKUP(TableHandbook[[#This Row],[UDC]],TableSTRUCATHL[],7,FALSE),"")</f>
        <v/>
      </c>
      <c r="R344" s="209" t="str">
        <f>IFERROR(VLOOKUP(TableHandbook[[#This Row],[UDC]],TableSTRUENGLL[],7,FALSE),"")</f>
        <v/>
      </c>
      <c r="S344" s="209" t="str">
        <f>IFERROR(VLOOKUP(TableHandbook[[#This Row],[UDC]],TableSTRUHLTPE[],7,FALSE),"")</f>
        <v/>
      </c>
      <c r="T344" s="209" t="str">
        <f>IFERROR(VLOOKUP(TableHandbook[[#This Row],[UDC]],TableSTRUISTEM[],7,FALSE),"")</f>
        <v/>
      </c>
      <c r="U344" s="209" t="str">
        <f>IFERROR(VLOOKUP(TableHandbook[[#This Row],[UDC]],TableSTRULITNU[],7,FALSE),"")</f>
        <v/>
      </c>
      <c r="V344" s="209" t="str">
        <f>IFERROR(VLOOKUP(TableHandbook[[#This Row],[UDC]],TableSTRUTECHS[],7,FALSE),"")</f>
        <v/>
      </c>
      <c r="W344" s="211" t="str">
        <f>IFERROR(VLOOKUP(TableHandbook[[#This Row],[UDC]],TableBEDSC[],7,FALSE),"")</f>
        <v/>
      </c>
      <c r="X344" s="211" t="str">
        <f>IFERROR(VLOOKUP(TableHandbook[[#This Row],[UDC]],TableMJRUARDR1[],7,FALSE),"")</f>
        <v/>
      </c>
      <c r="Y344" s="209" t="str">
        <f>IFERROR(VLOOKUP(TableHandbook[[#This Row],[UDC]],TableMJRUARME1[],7,FALSE),"")</f>
        <v/>
      </c>
      <c r="Z344" s="209" t="str">
        <f>IFERROR(VLOOKUP(TableHandbook[[#This Row],[UDC]],TableMJRUARVA1[],7,FALSE),"")</f>
        <v/>
      </c>
      <c r="AA344" s="209" t="str">
        <f>IFERROR(VLOOKUP(TableHandbook[[#This Row],[UDC]],TableMJRUENGL1[],7,FALSE),"")</f>
        <v/>
      </c>
      <c r="AB344" s="209" t="str">
        <f>IFERROR(VLOOKUP(TableHandbook[[#This Row],[UDC]],TableMJRUHSEC1[],7,FALSE),"")</f>
        <v/>
      </c>
      <c r="AC344" s="209" t="str">
        <f>IFERROR(VLOOKUP(TableHandbook[[#This Row],[UDC]],TableMJRUHSGE1[],7,FALSE),"")</f>
        <v/>
      </c>
      <c r="AD344" s="209" t="str">
        <f>IFERROR(VLOOKUP(TableHandbook[[#This Row],[UDC]],TableMJRUHSHI1[],7,FALSE),"")</f>
        <v/>
      </c>
      <c r="AE344" s="209" t="str">
        <f>IFERROR(VLOOKUP(TableHandbook[[#This Row],[UDC]],TableMJRUHSPL1[],7,FALSE),"")</f>
        <v/>
      </c>
      <c r="AF344" s="209" t="str">
        <f>IFERROR(VLOOKUP(TableHandbook[[#This Row],[UDC]],TableMJRUMATH1[],7,FALSE),"")</f>
        <v/>
      </c>
      <c r="AG344" s="209" t="str">
        <f>IFERROR(VLOOKUP(TableHandbook[[#This Row],[UDC]],TableMJRUPHYSE[],7,FALSE),"")</f>
        <v/>
      </c>
      <c r="AH344" s="209" t="str">
        <f>IFERROR(VLOOKUP(TableHandbook[[#This Row],[UDC]],TableMJRUSCBI1[],7,FALSE),"")</f>
        <v/>
      </c>
      <c r="AI344" s="209" t="str">
        <f>IFERROR(VLOOKUP(TableHandbook[[#This Row],[UDC]],TableMJRUSCCH1[],7,FALSE),"")</f>
        <v/>
      </c>
      <c r="AJ344" s="209" t="str">
        <f>IFERROR(VLOOKUP(TableHandbook[[#This Row],[UDC]],TableMJRUSCHB1[],7,FALSE),"")</f>
        <v/>
      </c>
      <c r="AK344" s="209" t="str">
        <f>IFERROR(VLOOKUP(TableHandbook[[#This Row],[UDC]],TableMJRUSCPH1[],7,FALSE),"")</f>
        <v/>
      </c>
      <c r="AL344" s="209" t="str">
        <f>IFERROR(VLOOKUP(TableHandbook[[#This Row],[UDC]],TableMJRUSCPS1[],7,FALSE),"")</f>
        <v/>
      </c>
      <c r="AM344" s="211" t="str">
        <f>IFERROR(VLOOKUP(TableHandbook[[#This Row],[UDC]],TableSTRUBIOLB[],7,FALSE),"")</f>
        <v/>
      </c>
      <c r="AN344" s="209" t="str">
        <f>IFERROR(VLOOKUP(TableHandbook[[#This Row],[UDC]],TableSTRUBSCIM[],7,FALSE),"")</f>
        <v/>
      </c>
      <c r="AO344" s="209" t="str">
        <f>IFERROR(VLOOKUP(TableHandbook[[#This Row],[UDC]],TableSTRUCHEMB[],7,FALSE),"")</f>
        <v/>
      </c>
      <c r="AP344" s="209" t="str">
        <f>IFERROR(VLOOKUP(TableHandbook[[#This Row],[UDC]],TableSTRUECOB1[],7,FALSE),"")</f>
        <v/>
      </c>
      <c r="AQ344" s="209" t="str">
        <f>IFERROR(VLOOKUP(TableHandbook[[#This Row],[UDC]],TableSTRUENGLB[],7,FALSE),"")</f>
        <v/>
      </c>
      <c r="AR344" s="209" t="str">
        <f>IFERROR(VLOOKUP(TableHandbook[[#This Row],[UDC]],TableSTRUENGLM[],7,FALSE),"")</f>
        <v/>
      </c>
      <c r="AS344" s="209" t="str">
        <f>IFERROR(VLOOKUP(TableHandbook[[#This Row],[UDC]],TableSTRUGEOB1[],7,FALSE),"")</f>
        <v/>
      </c>
      <c r="AT344" s="209" t="str">
        <f>IFERROR(VLOOKUP(TableHandbook[[#This Row],[UDC]],TableSTRUGEOGM[],7,FALSE),"")</f>
        <v/>
      </c>
      <c r="AU344" s="209" t="str">
        <f>IFERROR(VLOOKUP(TableHandbook[[#This Row],[UDC]],TableSTRUHISB1[],7,FALSE),"")</f>
        <v/>
      </c>
      <c r="AV344" s="209" t="str">
        <f>IFERROR(VLOOKUP(TableHandbook[[#This Row],[UDC]],TableSTRUHISTM[],7,FALSE),"")</f>
        <v/>
      </c>
      <c r="AW344" s="209" t="str">
        <f>IFERROR(VLOOKUP(TableHandbook[[#This Row],[UDC]],TableSTRUHPEB1[],7,FALSE),"")</f>
        <v/>
      </c>
      <c r="AX344" s="209" t="str">
        <f>IFERROR(VLOOKUP(TableHandbook[[#This Row],[UDC]],TableSTRUHUMBB[],7,FALSE),"")</f>
        <v/>
      </c>
      <c r="AY344" s="209" t="str">
        <f>IFERROR(VLOOKUP(TableHandbook[[#This Row],[UDC]],TableSTRUMARTM[],7,FALSE),"")</f>
        <v/>
      </c>
      <c r="AZ344" s="209" t="str">
        <f>IFERROR(VLOOKUP(TableHandbook[[#This Row],[UDC]],TableSTRUMATHB[],7,FALSE),"")</f>
        <v/>
      </c>
      <c r="BA344" s="209" t="str">
        <f>IFERROR(VLOOKUP(TableHandbook[[#This Row],[UDC]],TableSTRUMATHM[],7,FALSE),"")</f>
        <v/>
      </c>
      <c r="BB344" s="209" t="str">
        <f>IFERROR(VLOOKUP(TableHandbook[[#This Row],[UDC]],TableSTRUPARTB[],7,FALSE),"")</f>
        <v/>
      </c>
      <c r="BC344" s="209" t="str">
        <f>IFERROR(VLOOKUP(TableHandbook[[#This Row],[UDC]],TableSTRUPARTM[],7,FALSE),"")</f>
        <v/>
      </c>
      <c r="BD344" s="209" t="str">
        <f>IFERROR(VLOOKUP(TableHandbook[[#This Row],[UDC]],TableSTRUPOLB1[],7,FALSE),"")</f>
        <v/>
      </c>
      <c r="BE344" s="209" t="str">
        <f>IFERROR(VLOOKUP(TableHandbook[[#This Row],[UDC]],TableSTRUPSYCB[],7,FALSE),"")</f>
        <v/>
      </c>
      <c r="BF344" s="209" t="str">
        <f>IFERROR(VLOOKUP(TableHandbook[[#This Row],[UDC]],TableSTRUPSYCM[],7,FALSE),"")</f>
        <v/>
      </c>
      <c r="BG344" s="209" t="str">
        <f>IFERROR(VLOOKUP(TableHandbook[[#This Row],[UDC]],TableSTRUVARTB[],7,FALSE),"")</f>
        <v/>
      </c>
      <c r="BH344" s="209" t="str">
        <f>IFERROR(VLOOKUP(TableHandbook[[#This Row],[UDC]],TableSTRUVARTM[],7,FALSE),"")</f>
        <v/>
      </c>
    </row>
    <row r="345" spans="1:60" x14ac:dyDescent="0.25">
      <c r="A345" s="296" t="s">
        <v>369</v>
      </c>
      <c r="B345" s="7">
        <v>3</v>
      </c>
      <c r="C345" s="7"/>
      <c r="D345" s="207" t="s">
        <v>401</v>
      </c>
      <c r="E345" s="7">
        <v>150</v>
      </c>
      <c r="F345" s="84"/>
      <c r="G345" s="75" t="str">
        <f>IFERROR(IF(VLOOKUP(TableHandbook[[#This Row],[UDC]],TableAvailabilities[],2,FALSE)&gt;0,"Y",""),"")</f>
        <v/>
      </c>
      <c r="H345" s="75" t="str">
        <f>IFERROR(IF(VLOOKUP(TableHandbook[[#This Row],[UDC]],TableAvailabilities[],3,FALSE)&gt;0,"Y",""),"")</f>
        <v/>
      </c>
      <c r="I345" s="75" t="str">
        <f>IFERROR(IF(VLOOKUP(TableHandbook[[#This Row],[UDC]],TableAvailabilities[],4,FALSE)&gt;0,"Y",""),"")</f>
        <v/>
      </c>
      <c r="J345" s="75" t="str">
        <f>IFERROR(IF(VLOOKUP(TableHandbook[[#This Row],[UDC]],TableAvailabilities[],5,FALSE)&gt;0,"Y",""),"")</f>
        <v/>
      </c>
      <c r="K345" s="75" t="str">
        <f>IFERROR(IF(VLOOKUP(TableHandbook[[#This Row],[UDC]],TableAvailabilities[],6,FALSE)&gt;0,"Y",""),"")</f>
        <v/>
      </c>
      <c r="L345" s="75" t="str">
        <f>IFERROR(IF(VLOOKUP(TableHandbook[[#This Row],[UDC]],TableAvailabilities[],7,FALSE)&gt;0,"Y",""),"")</f>
        <v/>
      </c>
      <c r="M345" s="207"/>
      <c r="N345" s="209" t="str">
        <f>IFERROR(VLOOKUP(TableHandbook[[#This Row],[UDC]],TableBEDUC[],7,FALSE),"")</f>
        <v/>
      </c>
      <c r="O345" s="209" t="str">
        <f>IFERROR(VLOOKUP(TableHandbook[[#This Row],[UDC]],TableBEDEC[],7,FALSE),"")</f>
        <v/>
      </c>
      <c r="P345" s="211" t="str">
        <f>IFERROR(VLOOKUP(TableHandbook[[#This Row],[UDC]],TableBEDPR[],7,FALSE),"")</f>
        <v/>
      </c>
      <c r="Q345" s="209" t="str">
        <f>IFERROR(VLOOKUP(TableHandbook[[#This Row],[UDC]],TableSTRUCATHL[],7,FALSE),"")</f>
        <v/>
      </c>
      <c r="R345" s="209" t="str">
        <f>IFERROR(VLOOKUP(TableHandbook[[#This Row],[UDC]],TableSTRUENGLL[],7,FALSE),"")</f>
        <v/>
      </c>
      <c r="S345" s="209" t="str">
        <f>IFERROR(VLOOKUP(TableHandbook[[#This Row],[UDC]],TableSTRUHLTPE[],7,FALSE),"")</f>
        <v/>
      </c>
      <c r="T345" s="209" t="str">
        <f>IFERROR(VLOOKUP(TableHandbook[[#This Row],[UDC]],TableSTRUISTEM[],7,FALSE),"")</f>
        <v/>
      </c>
      <c r="U345" s="209" t="str">
        <f>IFERROR(VLOOKUP(TableHandbook[[#This Row],[UDC]],TableSTRULITNU[],7,FALSE),"")</f>
        <v/>
      </c>
      <c r="V345" s="209" t="str">
        <f>IFERROR(VLOOKUP(TableHandbook[[#This Row],[UDC]],TableSTRUTECHS[],7,FALSE),"")</f>
        <v/>
      </c>
      <c r="W345" s="211" t="str">
        <f>IFERROR(VLOOKUP(TableHandbook[[#This Row],[UDC]],TableBEDSC[],7,FALSE),"")</f>
        <v/>
      </c>
      <c r="X345" s="211" t="str">
        <f>IFERROR(VLOOKUP(TableHandbook[[#This Row],[UDC]],TableMJRUARDR1[],7,FALSE),"")</f>
        <v/>
      </c>
      <c r="Y345" s="209" t="str">
        <f>IFERROR(VLOOKUP(TableHandbook[[#This Row],[UDC]],TableMJRUARME1[],7,FALSE),"")</f>
        <v/>
      </c>
      <c r="Z345" s="209" t="str">
        <f>IFERROR(VLOOKUP(TableHandbook[[#This Row],[UDC]],TableMJRUARVA1[],7,FALSE),"")</f>
        <v/>
      </c>
      <c r="AA345" s="209" t="str">
        <f>IFERROR(VLOOKUP(TableHandbook[[#This Row],[UDC]],TableMJRUENGL1[],7,FALSE),"")</f>
        <v/>
      </c>
      <c r="AB345" s="209" t="str">
        <f>IFERROR(VLOOKUP(TableHandbook[[#This Row],[UDC]],TableMJRUHSEC1[],7,FALSE),"")</f>
        <v/>
      </c>
      <c r="AC345" s="209" t="str">
        <f>IFERROR(VLOOKUP(TableHandbook[[#This Row],[UDC]],TableMJRUHSGE1[],7,FALSE),"")</f>
        <v/>
      </c>
      <c r="AD345" s="209" t="str">
        <f>IFERROR(VLOOKUP(TableHandbook[[#This Row],[UDC]],TableMJRUHSHI1[],7,FALSE),"")</f>
        <v/>
      </c>
      <c r="AE345" s="209" t="str">
        <f>IFERROR(VLOOKUP(TableHandbook[[#This Row],[UDC]],TableMJRUHSPL1[],7,FALSE),"")</f>
        <v/>
      </c>
      <c r="AF345" s="209" t="str">
        <f>IFERROR(VLOOKUP(TableHandbook[[#This Row],[UDC]],TableMJRUMATH1[],7,FALSE),"")</f>
        <v/>
      </c>
      <c r="AG345" s="209" t="str">
        <f>IFERROR(VLOOKUP(TableHandbook[[#This Row],[UDC]],TableMJRUPHYSE[],7,FALSE),"")</f>
        <v/>
      </c>
      <c r="AH345" s="209" t="str">
        <f>IFERROR(VLOOKUP(TableHandbook[[#This Row],[UDC]],TableMJRUSCBI1[],7,FALSE),"")</f>
        <v/>
      </c>
      <c r="AI345" s="209" t="str">
        <f>IFERROR(VLOOKUP(TableHandbook[[#This Row],[UDC]],TableMJRUSCCH1[],7,FALSE),"")</f>
        <v>Option</v>
      </c>
      <c r="AJ345" s="209" t="str">
        <f>IFERROR(VLOOKUP(TableHandbook[[#This Row],[UDC]],TableMJRUSCHB1[],7,FALSE),"")</f>
        <v/>
      </c>
      <c r="AK345" s="209" t="str">
        <f>IFERROR(VLOOKUP(TableHandbook[[#This Row],[UDC]],TableMJRUSCPH1[],7,FALSE),"")</f>
        <v/>
      </c>
      <c r="AL345" s="209" t="str">
        <f>IFERROR(VLOOKUP(TableHandbook[[#This Row],[UDC]],TableMJRUSCPS1[],7,FALSE),"")</f>
        <v/>
      </c>
      <c r="AM345" s="211" t="str">
        <f>IFERROR(VLOOKUP(TableHandbook[[#This Row],[UDC]],TableSTRUBIOLB[],7,FALSE),"")</f>
        <v/>
      </c>
      <c r="AN345" s="209" t="str">
        <f>IFERROR(VLOOKUP(TableHandbook[[#This Row],[UDC]],TableSTRUBSCIM[],7,FALSE),"")</f>
        <v/>
      </c>
      <c r="AO345" s="209" t="str">
        <f>IFERROR(VLOOKUP(TableHandbook[[#This Row],[UDC]],TableSTRUCHEMB[],7,FALSE),"")</f>
        <v/>
      </c>
      <c r="AP345" s="209" t="str">
        <f>IFERROR(VLOOKUP(TableHandbook[[#This Row],[UDC]],TableSTRUECOB1[],7,FALSE),"")</f>
        <v/>
      </c>
      <c r="AQ345" s="209" t="str">
        <f>IFERROR(VLOOKUP(TableHandbook[[#This Row],[UDC]],TableSTRUENGLB[],7,FALSE),"")</f>
        <v/>
      </c>
      <c r="AR345" s="209" t="str">
        <f>IFERROR(VLOOKUP(TableHandbook[[#This Row],[UDC]],TableSTRUENGLM[],7,FALSE),"")</f>
        <v/>
      </c>
      <c r="AS345" s="209" t="str">
        <f>IFERROR(VLOOKUP(TableHandbook[[#This Row],[UDC]],TableSTRUGEOB1[],7,FALSE),"")</f>
        <v/>
      </c>
      <c r="AT345" s="209" t="str">
        <f>IFERROR(VLOOKUP(TableHandbook[[#This Row],[UDC]],TableSTRUGEOGM[],7,FALSE),"")</f>
        <v/>
      </c>
      <c r="AU345" s="209" t="str">
        <f>IFERROR(VLOOKUP(TableHandbook[[#This Row],[UDC]],TableSTRUHISB1[],7,FALSE),"")</f>
        <v/>
      </c>
      <c r="AV345" s="209" t="str">
        <f>IFERROR(VLOOKUP(TableHandbook[[#This Row],[UDC]],TableSTRUHISTM[],7,FALSE),"")</f>
        <v/>
      </c>
      <c r="AW345" s="209" t="str">
        <f>IFERROR(VLOOKUP(TableHandbook[[#This Row],[UDC]],TableSTRUHPEB1[],7,FALSE),"")</f>
        <v/>
      </c>
      <c r="AX345" s="209" t="str">
        <f>IFERROR(VLOOKUP(TableHandbook[[#This Row],[UDC]],TableSTRUHUMBB[],7,FALSE),"")</f>
        <v/>
      </c>
      <c r="AY345" s="209" t="str">
        <f>IFERROR(VLOOKUP(TableHandbook[[#This Row],[UDC]],TableSTRUMARTM[],7,FALSE),"")</f>
        <v/>
      </c>
      <c r="AZ345" s="209" t="str">
        <f>IFERROR(VLOOKUP(TableHandbook[[#This Row],[UDC]],TableSTRUMATHB[],7,FALSE),"")</f>
        <v/>
      </c>
      <c r="BA345" s="209" t="str">
        <f>IFERROR(VLOOKUP(TableHandbook[[#This Row],[UDC]],TableSTRUMATHM[],7,FALSE),"")</f>
        <v/>
      </c>
      <c r="BB345" s="209" t="str">
        <f>IFERROR(VLOOKUP(TableHandbook[[#This Row],[UDC]],TableSTRUPARTB[],7,FALSE),"")</f>
        <v/>
      </c>
      <c r="BC345" s="209" t="str">
        <f>IFERROR(VLOOKUP(TableHandbook[[#This Row],[UDC]],TableSTRUPARTM[],7,FALSE),"")</f>
        <v/>
      </c>
      <c r="BD345" s="209" t="str">
        <f>IFERROR(VLOOKUP(TableHandbook[[#This Row],[UDC]],TableSTRUPOLB1[],7,FALSE),"")</f>
        <v/>
      </c>
      <c r="BE345" s="209" t="str">
        <f>IFERROR(VLOOKUP(TableHandbook[[#This Row],[UDC]],TableSTRUPSYCB[],7,FALSE),"")</f>
        <v/>
      </c>
      <c r="BF345" s="209" t="str">
        <f>IFERROR(VLOOKUP(TableHandbook[[#This Row],[UDC]],TableSTRUPSYCM[],7,FALSE),"")</f>
        <v/>
      </c>
      <c r="BG345" s="209" t="str">
        <f>IFERROR(VLOOKUP(TableHandbook[[#This Row],[UDC]],TableSTRUVARTB[],7,FALSE),"")</f>
        <v/>
      </c>
      <c r="BH345" s="209" t="str">
        <f>IFERROR(VLOOKUP(TableHandbook[[#This Row],[UDC]],TableSTRUVARTM[],7,FALSE),"")</f>
        <v/>
      </c>
    </row>
    <row r="346" spans="1:60" ht="26.25" x14ac:dyDescent="0.25">
      <c r="A346" s="296" t="s">
        <v>362</v>
      </c>
      <c r="B346" s="7">
        <v>2</v>
      </c>
      <c r="C346" s="7"/>
      <c r="D346" s="207" t="s">
        <v>1159</v>
      </c>
      <c r="E346" s="7">
        <v>150</v>
      </c>
      <c r="F346" s="84"/>
      <c r="G346" s="75" t="str">
        <f>IFERROR(IF(VLOOKUP(TableHandbook[[#This Row],[UDC]],TableAvailabilities[],2,FALSE)&gt;0,"Y",""),"")</f>
        <v/>
      </c>
      <c r="H346" s="75" t="str">
        <f>IFERROR(IF(VLOOKUP(TableHandbook[[#This Row],[UDC]],TableAvailabilities[],3,FALSE)&gt;0,"Y",""),"")</f>
        <v/>
      </c>
      <c r="I346" s="75" t="str">
        <f>IFERROR(IF(VLOOKUP(TableHandbook[[#This Row],[UDC]],TableAvailabilities[],4,FALSE)&gt;0,"Y",""),"")</f>
        <v/>
      </c>
      <c r="J346" s="75" t="str">
        <f>IFERROR(IF(VLOOKUP(TableHandbook[[#This Row],[UDC]],TableAvailabilities[],5,FALSE)&gt;0,"Y",""),"")</f>
        <v/>
      </c>
      <c r="K346" s="75" t="str">
        <f>IFERROR(IF(VLOOKUP(TableHandbook[[#This Row],[UDC]],TableAvailabilities[],6,FALSE)&gt;0,"Y",""),"")</f>
        <v/>
      </c>
      <c r="L346" s="75" t="str">
        <f>IFERROR(IF(VLOOKUP(TableHandbook[[#This Row],[UDC]],TableAvailabilities[],7,FALSE)&gt;0,"Y",""),"")</f>
        <v/>
      </c>
      <c r="M346" s="207"/>
      <c r="N346" s="209" t="str">
        <f>IFERROR(VLOOKUP(TableHandbook[[#This Row],[UDC]],TableBEDUC[],7,FALSE),"")</f>
        <v/>
      </c>
      <c r="O346" s="209" t="str">
        <f>IFERROR(VLOOKUP(TableHandbook[[#This Row],[UDC]],TableBEDEC[],7,FALSE),"")</f>
        <v/>
      </c>
      <c r="P346" s="211" t="str">
        <f>IFERROR(VLOOKUP(TableHandbook[[#This Row],[UDC]],TableBEDPR[],7,FALSE),"")</f>
        <v/>
      </c>
      <c r="Q346" s="209" t="str">
        <f>IFERROR(VLOOKUP(TableHandbook[[#This Row],[UDC]],TableSTRUCATHL[],7,FALSE),"")</f>
        <v/>
      </c>
      <c r="R346" s="209" t="str">
        <f>IFERROR(VLOOKUP(TableHandbook[[#This Row],[UDC]],TableSTRUENGLL[],7,FALSE),"")</f>
        <v/>
      </c>
      <c r="S346" s="209" t="str">
        <f>IFERROR(VLOOKUP(TableHandbook[[#This Row],[UDC]],TableSTRUHLTPE[],7,FALSE),"")</f>
        <v/>
      </c>
      <c r="T346" s="209" t="str">
        <f>IFERROR(VLOOKUP(TableHandbook[[#This Row],[UDC]],TableSTRUISTEM[],7,FALSE),"")</f>
        <v/>
      </c>
      <c r="U346" s="209" t="str">
        <f>IFERROR(VLOOKUP(TableHandbook[[#This Row],[UDC]],TableSTRULITNU[],7,FALSE),"")</f>
        <v/>
      </c>
      <c r="V346" s="209" t="str">
        <f>IFERROR(VLOOKUP(TableHandbook[[#This Row],[UDC]],TableSTRUTECHS[],7,FALSE),"")</f>
        <v/>
      </c>
      <c r="W346" s="211" t="str">
        <f>IFERROR(VLOOKUP(TableHandbook[[#This Row],[UDC]],TableBEDSC[],7,FALSE),"")</f>
        <v/>
      </c>
      <c r="X346" s="211" t="str">
        <f>IFERROR(VLOOKUP(TableHandbook[[#This Row],[UDC]],TableMJRUARDR1[],7,FALSE),"")</f>
        <v/>
      </c>
      <c r="Y346" s="209" t="str">
        <f>IFERROR(VLOOKUP(TableHandbook[[#This Row],[UDC]],TableMJRUARME1[],7,FALSE),"")</f>
        <v/>
      </c>
      <c r="Z346" s="209" t="str">
        <f>IFERROR(VLOOKUP(TableHandbook[[#This Row],[UDC]],TableMJRUARVA1[],7,FALSE),"")</f>
        <v/>
      </c>
      <c r="AA346" s="209" t="str">
        <f>IFERROR(VLOOKUP(TableHandbook[[#This Row],[UDC]],TableMJRUENGL1[],7,FALSE),"")</f>
        <v/>
      </c>
      <c r="AB346" s="209" t="str">
        <f>IFERROR(VLOOKUP(TableHandbook[[#This Row],[UDC]],TableMJRUHSEC1[],7,FALSE),"")</f>
        <v>Option</v>
      </c>
      <c r="AC346" s="209" t="str">
        <f>IFERROR(VLOOKUP(TableHandbook[[#This Row],[UDC]],TableMJRUHSGE1[],7,FALSE),"")</f>
        <v/>
      </c>
      <c r="AD346" s="209" t="str">
        <f>IFERROR(VLOOKUP(TableHandbook[[#This Row],[UDC]],TableMJRUHSHI1[],7,FALSE),"")</f>
        <v/>
      </c>
      <c r="AE346" s="209" t="str">
        <f>IFERROR(VLOOKUP(TableHandbook[[#This Row],[UDC]],TableMJRUHSPL1[],7,FALSE),"")</f>
        <v/>
      </c>
      <c r="AF346" s="209" t="str">
        <f>IFERROR(VLOOKUP(TableHandbook[[#This Row],[UDC]],TableMJRUMATH1[],7,FALSE),"")</f>
        <v/>
      </c>
      <c r="AG346" s="209" t="str">
        <f>IFERROR(VLOOKUP(TableHandbook[[#This Row],[UDC]],TableMJRUPHYSE[],7,FALSE),"")</f>
        <v/>
      </c>
      <c r="AH346" s="209" t="str">
        <f>IFERROR(VLOOKUP(TableHandbook[[#This Row],[UDC]],TableMJRUSCBI1[],7,FALSE),"")</f>
        <v/>
      </c>
      <c r="AI346" s="209" t="str">
        <f>IFERROR(VLOOKUP(TableHandbook[[#This Row],[UDC]],TableMJRUSCCH1[],7,FALSE),"")</f>
        <v/>
      </c>
      <c r="AJ346" s="209" t="str">
        <f>IFERROR(VLOOKUP(TableHandbook[[#This Row],[UDC]],TableMJRUSCHB1[],7,FALSE),"")</f>
        <v/>
      </c>
      <c r="AK346" s="209" t="str">
        <f>IFERROR(VLOOKUP(TableHandbook[[#This Row],[UDC]],TableMJRUSCPH1[],7,FALSE),"")</f>
        <v/>
      </c>
      <c r="AL346" s="209" t="str">
        <f>IFERROR(VLOOKUP(TableHandbook[[#This Row],[UDC]],TableMJRUSCPS1[],7,FALSE),"")</f>
        <v/>
      </c>
      <c r="AM346" s="211" t="str">
        <f>IFERROR(VLOOKUP(TableHandbook[[#This Row],[UDC]],TableSTRUBIOLB[],7,FALSE),"")</f>
        <v/>
      </c>
      <c r="AN346" s="209" t="str">
        <f>IFERROR(VLOOKUP(TableHandbook[[#This Row],[UDC]],TableSTRUBSCIM[],7,FALSE),"")</f>
        <v/>
      </c>
      <c r="AO346" s="209" t="str">
        <f>IFERROR(VLOOKUP(TableHandbook[[#This Row],[UDC]],TableSTRUCHEMB[],7,FALSE),"")</f>
        <v/>
      </c>
      <c r="AP346" s="209" t="str">
        <f>IFERROR(VLOOKUP(TableHandbook[[#This Row],[UDC]],TableSTRUECOB1[],7,FALSE),"")</f>
        <v/>
      </c>
      <c r="AQ346" s="209" t="str">
        <f>IFERROR(VLOOKUP(TableHandbook[[#This Row],[UDC]],TableSTRUENGLB[],7,FALSE),"")</f>
        <v/>
      </c>
      <c r="AR346" s="209" t="str">
        <f>IFERROR(VLOOKUP(TableHandbook[[#This Row],[UDC]],TableSTRUENGLM[],7,FALSE),"")</f>
        <v/>
      </c>
      <c r="AS346" s="209" t="str">
        <f>IFERROR(VLOOKUP(TableHandbook[[#This Row],[UDC]],TableSTRUGEOB1[],7,FALSE),"")</f>
        <v/>
      </c>
      <c r="AT346" s="209" t="str">
        <f>IFERROR(VLOOKUP(TableHandbook[[#This Row],[UDC]],TableSTRUGEOGM[],7,FALSE),"")</f>
        <v/>
      </c>
      <c r="AU346" s="209" t="str">
        <f>IFERROR(VLOOKUP(TableHandbook[[#This Row],[UDC]],TableSTRUHISB1[],7,FALSE),"")</f>
        <v/>
      </c>
      <c r="AV346" s="209" t="str">
        <f>IFERROR(VLOOKUP(TableHandbook[[#This Row],[UDC]],TableSTRUHISTM[],7,FALSE),"")</f>
        <v/>
      </c>
      <c r="AW346" s="209" t="str">
        <f>IFERROR(VLOOKUP(TableHandbook[[#This Row],[UDC]],TableSTRUHPEB1[],7,FALSE),"")</f>
        <v/>
      </c>
      <c r="AX346" s="209" t="str">
        <f>IFERROR(VLOOKUP(TableHandbook[[#This Row],[UDC]],TableSTRUHUMBB[],7,FALSE),"")</f>
        <v/>
      </c>
      <c r="AY346" s="209" t="str">
        <f>IFERROR(VLOOKUP(TableHandbook[[#This Row],[UDC]],TableSTRUMARTM[],7,FALSE),"")</f>
        <v/>
      </c>
      <c r="AZ346" s="209" t="str">
        <f>IFERROR(VLOOKUP(TableHandbook[[#This Row],[UDC]],TableSTRUMATHB[],7,FALSE),"")</f>
        <v/>
      </c>
      <c r="BA346" s="209" t="str">
        <f>IFERROR(VLOOKUP(TableHandbook[[#This Row],[UDC]],TableSTRUMATHM[],7,FALSE),"")</f>
        <v/>
      </c>
      <c r="BB346" s="209" t="str">
        <f>IFERROR(VLOOKUP(TableHandbook[[#This Row],[UDC]],TableSTRUPARTB[],7,FALSE),"")</f>
        <v/>
      </c>
      <c r="BC346" s="209" t="str">
        <f>IFERROR(VLOOKUP(TableHandbook[[#This Row],[UDC]],TableSTRUPARTM[],7,FALSE),"")</f>
        <v/>
      </c>
      <c r="BD346" s="209" t="str">
        <f>IFERROR(VLOOKUP(TableHandbook[[#This Row],[UDC]],TableSTRUPOLB1[],7,FALSE),"")</f>
        <v/>
      </c>
      <c r="BE346" s="209" t="str">
        <f>IFERROR(VLOOKUP(TableHandbook[[#This Row],[UDC]],TableSTRUPSYCB[],7,FALSE),"")</f>
        <v/>
      </c>
      <c r="BF346" s="209" t="str">
        <f>IFERROR(VLOOKUP(TableHandbook[[#This Row],[UDC]],TableSTRUPSYCM[],7,FALSE),"")</f>
        <v/>
      </c>
      <c r="BG346" s="209" t="str">
        <f>IFERROR(VLOOKUP(TableHandbook[[#This Row],[UDC]],TableSTRUVARTB[],7,FALSE),"")</f>
        <v/>
      </c>
      <c r="BH346" s="209" t="str">
        <f>IFERROR(VLOOKUP(TableHandbook[[#This Row],[UDC]],TableSTRUVARTM[],7,FALSE),"")</f>
        <v/>
      </c>
    </row>
    <row r="347" spans="1:60" x14ac:dyDescent="0.25">
      <c r="A347" s="296" t="s">
        <v>359</v>
      </c>
      <c r="B347" s="7">
        <v>4</v>
      </c>
      <c r="C347" s="7"/>
      <c r="D347" s="207" t="s">
        <v>402</v>
      </c>
      <c r="E347" s="7">
        <v>150</v>
      </c>
      <c r="F347" s="84"/>
      <c r="G347" s="75" t="str">
        <f>IFERROR(IF(VLOOKUP(TableHandbook[[#This Row],[UDC]],TableAvailabilities[],2,FALSE)&gt;0,"Y",""),"")</f>
        <v/>
      </c>
      <c r="H347" s="75" t="str">
        <f>IFERROR(IF(VLOOKUP(TableHandbook[[#This Row],[UDC]],TableAvailabilities[],3,FALSE)&gt;0,"Y",""),"")</f>
        <v/>
      </c>
      <c r="I347" s="75" t="str">
        <f>IFERROR(IF(VLOOKUP(TableHandbook[[#This Row],[UDC]],TableAvailabilities[],4,FALSE)&gt;0,"Y",""),"")</f>
        <v/>
      </c>
      <c r="J347" s="75" t="str">
        <f>IFERROR(IF(VLOOKUP(TableHandbook[[#This Row],[UDC]],TableAvailabilities[],5,FALSE)&gt;0,"Y",""),"")</f>
        <v/>
      </c>
      <c r="K347" s="75" t="str">
        <f>IFERROR(IF(VLOOKUP(TableHandbook[[#This Row],[UDC]],TableAvailabilities[],6,FALSE)&gt;0,"Y",""),"")</f>
        <v/>
      </c>
      <c r="L347" s="75" t="str">
        <f>IFERROR(IF(VLOOKUP(TableHandbook[[#This Row],[UDC]],TableAvailabilities[],7,FALSE)&gt;0,"Y",""),"")</f>
        <v/>
      </c>
      <c r="M347" s="207"/>
      <c r="N347" s="209" t="str">
        <f>IFERROR(VLOOKUP(TableHandbook[[#This Row],[UDC]],TableBEDUC[],7,FALSE),"")</f>
        <v/>
      </c>
      <c r="O347" s="209" t="str">
        <f>IFERROR(VLOOKUP(TableHandbook[[#This Row],[UDC]],TableBEDEC[],7,FALSE),"")</f>
        <v/>
      </c>
      <c r="P347" s="211" t="str">
        <f>IFERROR(VLOOKUP(TableHandbook[[#This Row],[UDC]],TableBEDPR[],7,FALSE),"")</f>
        <v/>
      </c>
      <c r="Q347" s="209" t="str">
        <f>IFERROR(VLOOKUP(TableHandbook[[#This Row],[UDC]],TableSTRUCATHL[],7,FALSE),"")</f>
        <v/>
      </c>
      <c r="R347" s="209" t="str">
        <f>IFERROR(VLOOKUP(TableHandbook[[#This Row],[UDC]],TableSTRUENGLL[],7,FALSE),"")</f>
        <v/>
      </c>
      <c r="S347" s="209" t="str">
        <f>IFERROR(VLOOKUP(TableHandbook[[#This Row],[UDC]],TableSTRUHLTPE[],7,FALSE),"")</f>
        <v/>
      </c>
      <c r="T347" s="209" t="str">
        <f>IFERROR(VLOOKUP(TableHandbook[[#This Row],[UDC]],TableSTRUISTEM[],7,FALSE),"")</f>
        <v/>
      </c>
      <c r="U347" s="209" t="str">
        <f>IFERROR(VLOOKUP(TableHandbook[[#This Row],[UDC]],TableSTRULITNU[],7,FALSE),"")</f>
        <v/>
      </c>
      <c r="V347" s="209" t="str">
        <f>IFERROR(VLOOKUP(TableHandbook[[#This Row],[UDC]],TableSTRUTECHS[],7,FALSE),"")</f>
        <v/>
      </c>
      <c r="W347" s="211" t="str">
        <f>IFERROR(VLOOKUP(TableHandbook[[#This Row],[UDC]],TableBEDSC[],7,FALSE),"")</f>
        <v/>
      </c>
      <c r="X347" s="211" t="str">
        <f>IFERROR(VLOOKUP(TableHandbook[[#This Row],[UDC]],TableMJRUARDR1[],7,FALSE),"")</f>
        <v/>
      </c>
      <c r="Y347" s="209" t="str">
        <f>IFERROR(VLOOKUP(TableHandbook[[#This Row],[UDC]],TableMJRUARME1[],7,FALSE),"")</f>
        <v/>
      </c>
      <c r="Z347" s="209" t="str">
        <f>IFERROR(VLOOKUP(TableHandbook[[#This Row],[UDC]],TableMJRUARVA1[],7,FALSE),"")</f>
        <v/>
      </c>
      <c r="AA347" s="209" t="str">
        <f>IFERROR(VLOOKUP(TableHandbook[[#This Row],[UDC]],TableMJRUENGL1[],7,FALSE),"")</f>
        <v>Option</v>
      </c>
      <c r="AB347" s="209" t="str">
        <f>IFERROR(VLOOKUP(TableHandbook[[#This Row],[UDC]],TableMJRUHSEC1[],7,FALSE),"")</f>
        <v/>
      </c>
      <c r="AC347" s="209" t="str">
        <f>IFERROR(VLOOKUP(TableHandbook[[#This Row],[UDC]],TableMJRUHSGE1[],7,FALSE),"")</f>
        <v/>
      </c>
      <c r="AD347" s="209" t="str">
        <f>IFERROR(VLOOKUP(TableHandbook[[#This Row],[UDC]],TableMJRUHSHI1[],7,FALSE),"")</f>
        <v/>
      </c>
      <c r="AE347" s="209" t="str">
        <f>IFERROR(VLOOKUP(TableHandbook[[#This Row],[UDC]],TableMJRUHSPL1[],7,FALSE),"")</f>
        <v/>
      </c>
      <c r="AF347" s="209" t="str">
        <f>IFERROR(VLOOKUP(TableHandbook[[#This Row],[UDC]],TableMJRUMATH1[],7,FALSE),"")</f>
        <v/>
      </c>
      <c r="AG347" s="209" t="str">
        <f>IFERROR(VLOOKUP(TableHandbook[[#This Row],[UDC]],TableMJRUPHYSE[],7,FALSE),"")</f>
        <v/>
      </c>
      <c r="AH347" s="209" t="str">
        <f>IFERROR(VLOOKUP(TableHandbook[[#This Row],[UDC]],TableMJRUSCBI1[],7,FALSE),"")</f>
        <v/>
      </c>
      <c r="AI347" s="209" t="str">
        <f>IFERROR(VLOOKUP(TableHandbook[[#This Row],[UDC]],TableMJRUSCCH1[],7,FALSE),"")</f>
        <v/>
      </c>
      <c r="AJ347" s="209" t="str">
        <f>IFERROR(VLOOKUP(TableHandbook[[#This Row],[UDC]],TableMJRUSCHB1[],7,FALSE),"")</f>
        <v/>
      </c>
      <c r="AK347" s="209" t="str">
        <f>IFERROR(VLOOKUP(TableHandbook[[#This Row],[UDC]],TableMJRUSCPH1[],7,FALSE),"")</f>
        <v/>
      </c>
      <c r="AL347" s="209" t="str">
        <f>IFERROR(VLOOKUP(TableHandbook[[#This Row],[UDC]],TableMJRUSCPS1[],7,FALSE),"")</f>
        <v/>
      </c>
      <c r="AM347" s="211" t="str">
        <f>IFERROR(VLOOKUP(TableHandbook[[#This Row],[UDC]],TableSTRUBIOLB[],7,FALSE),"")</f>
        <v/>
      </c>
      <c r="AN347" s="209" t="str">
        <f>IFERROR(VLOOKUP(TableHandbook[[#This Row],[UDC]],TableSTRUBSCIM[],7,FALSE),"")</f>
        <v/>
      </c>
      <c r="AO347" s="209" t="str">
        <f>IFERROR(VLOOKUP(TableHandbook[[#This Row],[UDC]],TableSTRUCHEMB[],7,FALSE),"")</f>
        <v/>
      </c>
      <c r="AP347" s="209" t="str">
        <f>IFERROR(VLOOKUP(TableHandbook[[#This Row],[UDC]],TableSTRUECOB1[],7,FALSE),"")</f>
        <v/>
      </c>
      <c r="AQ347" s="209" t="str">
        <f>IFERROR(VLOOKUP(TableHandbook[[#This Row],[UDC]],TableSTRUENGLB[],7,FALSE),"")</f>
        <v/>
      </c>
      <c r="AR347" s="209" t="str">
        <f>IFERROR(VLOOKUP(TableHandbook[[#This Row],[UDC]],TableSTRUENGLM[],7,FALSE),"")</f>
        <v/>
      </c>
      <c r="AS347" s="209" t="str">
        <f>IFERROR(VLOOKUP(TableHandbook[[#This Row],[UDC]],TableSTRUGEOB1[],7,FALSE),"")</f>
        <v/>
      </c>
      <c r="AT347" s="209" t="str">
        <f>IFERROR(VLOOKUP(TableHandbook[[#This Row],[UDC]],TableSTRUGEOGM[],7,FALSE),"")</f>
        <v/>
      </c>
      <c r="AU347" s="209" t="str">
        <f>IFERROR(VLOOKUP(TableHandbook[[#This Row],[UDC]],TableSTRUHISB1[],7,FALSE),"")</f>
        <v/>
      </c>
      <c r="AV347" s="209" t="str">
        <f>IFERROR(VLOOKUP(TableHandbook[[#This Row],[UDC]],TableSTRUHISTM[],7,FALSE),"")</f>
        <v/>
      </c>
      <c r="AW347" s="209" t="str">
        <f>IFERROR(VLOOKUP(TableHandbook[[#This Row],[UDC]],TableSTRUHPEB1[],7,FALSE),"")</f>
        <v/>
      </c>
      <c r="AX347" s="209" t="str">
        <f>IFERROR(VLOOKUP(TableHandbook[[#This Row],[UDC]],TableSTRUHUMBB[],7,FALSE),"")</f>
        <v/>
      </c>
      <c r="AY347" s="209" t="str">
        <f>IFERROR(VLOOKUP(TableHandbook[[#This Row],[UDC]],TableSTRUMARTM[],7,FALSE),"")</f>
        <v/>
      </c>
      <c r="AZ347" s="209" t="str">
        <f>IFERROR(VLOOKUP(TableHandbook[[#This Row],[UDC]],TableSTRUMATHB[],7,FALSE),"")</f>
        <v/>
      </c>
      <c r="BA347" s="209" t="str">
        <f>IFERROR(VLOOKUP(TableHandbook[[#This Row],[UDC]],TableSTRUMATHM[],7,FALSE),"")</f>
        <v/>
      </c>
      <c r="BB347" s="209" t="str">
        <f>IFERROR(VLOOKUP(TableHandbook[[#This Row],[UDC]],TableSTRUPARTB[],7,FALSE),"")</f>
        <v/>
      </c>
      <c r="BC347" s="209" t="str">
        <f>IFERROR(VLOOKUP(TableHandbook[[#This Row],[UDC]],TableSTRUPARTM[],7,FALSE),"")</f>
        <v/>
      </c>
      <c r="BD347" s="209" t="str">
        <f>IFERROR(VLOOKUP(TableHandbook[[#This Row],[UDC]],TableSTRUPOLB1[],7,FALSE),"")</f>
        <v/>
      </c>
      <c r="BE347" s="209" t="str">
        <f>IFERROR(VLOOKUP(TableHandbook[[#This Row],[UDC]],TableSTRUPSYCB[],7,FALSE),"")</f>
        <v/>
      </c>
      <c r="BF347" s="209" t="str">
        <f>IFERROR(VLOOKUP(TableHandbook[[#This Row],[UDC]],TableSTRUPSYCM[],7,FALSE),"")</f>
        <v/>
      </c>
      <c r="BG347" s="209" t="str">
        <f>IFERROR(VLOOKUP(TableHandbook[[#This Row],[UDC]],TableSTRUVARTB[],7,FALSE),"")</f>
        <v/>
      </c>
      <c r="BH347" s="209" t="str">
        <f>IFERROR(VLOOKUP(TableHandbook[[#This Row],[UDC]],TableSTRUVARTM[],7,FALSE),"")</f>
        <v/>
      </c>
    </row>
    <row r="348" spans="1:60" x14ac:dyDescent="0.25">
      <c r="A348" s="6" t="s">
        <v>106</v>
      </c>
      <c r="B348" s="7">
        <v>1</v>
      </c>
      <c r="C348" s="7"/>
      <c r="D348" s="207" t="s">
        <v>105</v>
      </c>
      <c r="E348" s="7">
        <v>75</v>
      </c>
      <c r="F348" s="84"/>
      <c r="G348" s="75" t="str">
        <f>IFERROR(IF(VLOOKUP(TableHandbook[[#This Row],[UDC]],TableAvailabilities[],2,FALSE)&gt;0,"Y",""),"")</f>
        <v/>
      </c>
      <c r="H348" s="75" t="str">
        <f>IFERROR(IF(VLOOKUP(TableHandbook[[#This Row],[UDC]],TableAvailabilities[],3,FALSE)&gt;0,"Y",""),"")</f>
        <v/>
      </c>
      <c r="I348" s="75" t="str">
        <f>IFERROR(IF(VLOOKUP(TableHandbook[[#This Row],[UDC]],TableAvailabilities[],4,FALSE)&gt;0,"Y",""),"")</f>
        <v/>
      </c>
      <c r="J348" s="75" t="str">
        <f>IFERROR(IF(VLOOKUP(TableHandbook[[#This Row],[UDC]],TableAvailabilities[],5,FALSE)&gt;0,"Y",""),"")</f>
        <v/>
      </c>
      <c r="K348" s="75" t="str">
        <f>IFERROR(IF(VLOOKUP(TableHandbook[[#This Row],[UDC]],TableAvailabilities[],6,FALSE)&gt;0,"Y",""),"")</f>
        <v/>
      </c>
      <c r="L348" s="75" t="str">
        <f>IFERROR(IF(VLOOKUP(TableHandbook[[#This Row],[UDC]],TableAvailabilities[],7,FALSE)&gt;0,"Y",""),"")</f>
        <v/>
      </c>
      <c r="M348" s="207"/>
      <c r="N348" s="209" t="str">
        <f>IFERROR(VLOOKUP(TableHandbook[[#This Row],[UDC]],TableBEDUC[],7,FALSE),"")</f>
        <v/>
      </c>
      <c r="O348" s="209" t="str">
        <f>IFERROR(VLOOKUP(TableHandbook[[#This Row],[UDC]],TableBEDEC[],7,FALSE),"")</f>
        <v/>
      </c>
      <c r="P348" s="211" t="str">
        <f>IFERROR(VLOOKUP(TableHandbook[[#This Row],[UDC]],TableBEDPR[],7,FALSE),"")</f>
        <v>Option</v>
      </c>
      <c r="Q348" s="209" t="str">
        <f>IFERROR(VLOOKUP(TableHandbook[[#This Row],[UDC]],TableSTRUCATHL[],7,FALSE),"")</f>
        <v/>
      </c>
      <c r="R348" s="209" t="str">
        <f>IFERROR(VLOOKUP(TableHandbook[[#This Row],[UDC]],TableSTRUENGLL[],7,FALSE),"")</f>
        <v/>
      </c>
      <c r="S348" s="209" t="str">
        <f>IFERROR(VLOOKUP(TableHandbook[[#This Row],[UDC]],TableSTRUHLTPE[],7,FALSE),"")</f>
        <v/>
      </c>
      <c r="T348" s="209" t="str">
        <f>IFERROR(VLOOKUP(TableHandbook[[#This Row],[UDC]],TableSTRUISTEM[],7,FALSE),"")</f>
        <v/>
      </c>
      <c r="U348" s="209" t="str">
        <f>IFERROR(VLOOKUP(TableHandbook[[#This Row],[UDC]],TableSTRULITNU[],7,FALSE),"")</f>
        <v/>
      </c>
      <c r="V348" s="209" t="str">
        <f>IFERROR(VLOOKUP(TableHandbook[[#This Row],[UDC]],TableSTRUTECHS[],7,FALSE),"")</f>
        <v/>
      </c>
      <c r="W348" s="211" t="str">
        <f>IFERROR(VLOOKUP(TableHandbook[[#This Row],[UDC]],TableBEDSC[],7,FALSE),"")</f>
        <v/>
      </c>
      <c r="X348" s="211" t="str">
        <f>IFERROR(VLOOKUP(TableHandbook[[#This Row],[UDC]],TableMJRUARDR1[],7,FALSE),"")</f>
        <v/>
      </c>
      <c r="Y348" s="209" t="str">
        <f>IFERROR(VLOOKUP(TableHandbook[[#This Row],[UDC]],TableMJRUARME1[],7,FALSE),"")</f>
        <v/>
      </c>
      <c r="Z348" s="209" t="str">
        <f>IFERROR(VLOOKUP(TableHandbook[[#This Row],[UDC]],TableMJRUARVA1[],7,FALSE),"")</f>
        <v/>
      </c>
      <c r="AA348" s="209" t="str">
        <f>IFERROR(VLOOKUP(TableHandbook[[#This Row],[UDC]],TableMJRUENGL1[],7,FALSE),"")</f>
        <v/>
      </c>
      <c r="AB348" s="209" t="str">
        <f>IFERROR(VLOOKUP(TableHandbook[[#This Row],[UDC]],TableMJRUHSEC1[],7,FALSE),"")</f>
        <v/>
      </c>
      <c r="AC348" s="209" t="str">
        <f>IFERROR(VLOOKUP(TableHandbook[[#This Row],[UDC]],TableMJRUHSGE1[],7,FALSE),"")</f>
        <v/>
      </c>
      <c r="AD348" s="209" t="str">
        <f>IFERROR(VLOOKUP(TableHandbook[[#This Row],[UDC]],TableMJRUHSHI1[],7,FALSE),"")</f>
        <v/>
      </c>
      <c r="AE348" s="209" t="str">
        <f>IFERROR(VLOOKUP(TableHandbook[[#This Row],[UDC]],TableMJRUHSPL1[],7,FALSE),"")</f>
        <v/>
      </c>
      <c r="AF348" s="209" t="str">
        <f>IFERROR(VLOOKUP(TableHandbook[[#This Row],[UDC]],TableMJRUMATH1[],7,FALSE),"")</f>
        <v/>
      </c>
      <c r="AG348" s="209" t="str">
        <f>IFERROR(VLOOKUP(TableHandbook[[#This Row],[UDC]],TableMJRUPHYSE[],7,FALSE),"")</f>
        <v/>
      </c>
      <c r="AH348" s="209" t="str">
        <f>IFERROR(VLOOKUP(TableHandbook[[#This Row],[UDC]],TableMJRUSCBI1[],7,FALSE),"")</f>
        <v/>
      </c>
      <c r="AI348" s="209" t="str">
        <f>IFERROR(VLOOKUP(TableHandbook[[#This Row],[UDC]],TableMJRUSCCH1[],7,FALSE),"")</f>
        <v/>
      </c>
      <c r="AJ348" s="209" t="str">
        <f>IFERROR(VLOOKUP(TableHandbook[[#This Row],[UDC]],TableMJRUSCHB1[],7,FALSE),"")</f>
        <v/>
      </c>
      <c r="AK348" s="209" t="str">
        <f>IFERROR(VLOOKUP(TableHandbook[[#This Row],[UDC]],TableMJRUSCPH1[],7,FALSE),"")</f>
        <v/>
      </c>
      <c r="AL348" s="209" t="str">
        <f>IFERROR(VLOOKUP(TableHandbook[[#This Row],[UDC]],TableMJRUSCPS1[],7,FALSE),"")</f>
        <v/>
      </c>
      <c r="AM348" s="211" t="str">
        <f>IFERROR(VLOOKUP(TableHandbook[[#This Row],[UDC]],TableSTRUBIOLB[],7,FALSE),"")</f>
        <v/>
      </c>
      <c r="AN348" s="209" t="str">
        <f>IFERROR(VLOOKUP(TableHandbook[[#This Row],[UDC]],TableSTRUBSCIM[],7,FALSE),"")</f>
        <v/>
      </c>
      <c r="AO348" s="209" t="str">
        <f>IFERROR(VLOOKUP(TableHandbook[[#This Row],[UDC]],TableSTRUCHEMB[],7,FALSE),"")</f>
        <v/>
      </c>
      <c r="AP348" s="209" t="str">
        <f>IFERROR(VLOOKUP(TableHandbook[[#This Row],[UDC]],TableSTRUECOB1[],7,FALSE),"")</f>
        <v/>
      </c>
      <c r="AQ348" s="209" t="str">
        <f>IFERROR(VLOOKUP(TableHandbook[[#This Row],[UDC]],TableSTRUENGLB[],7,FALSE),"")</f>
        <v/>
      </c>
      <c r="AR348" s="209" t="str">
        <f>IFERROR(VLOOKUP(TableHandbook[[#This Row],[UDC]],TableSTRUENGLM[],7,FALSE),"")</f>
        <v/>
      </c>
      <c r="AS348" s="209" t="str">
        <f>IFERROR(VLOOKUP(TableHandbook[[#This Row],[UDC]],TableSTRUGEOB1[],7,FALSE),"")</f>
        <v/>
      </c>
      <c r="AT348" s="209" t="str">
        <f>IFERROR(VLOOKUP(TableHandbook[[#This Row],[UDC]],TableSTRUGEOGM[],7,FALSE),"")</f>
        <v/>
      </c>
      <c r="AU348" s="209" t="str">
        <f>IFERROR(VLOOKUP(TableHandbook[[#This Row],[UDC]],TableSTRUHISB1[],7,FALSE),"")</f>
        <v/>
      </c>
      <c r="AV348" s="209" t="str">
        <f>IFERROR(VLOOKUP(TableHandbook[[#This Row],[UDC]],TableSTRUHISTM[],7,FALSE),"")</f>
        <v/>
      </c>
      <c r="AW348" s="209" t="str">
        <f>IFERROR(VLOOKUP(TableHandbook[[#This Row],[UDC]],TableSTRUHPEB1[],7,FALSE),"")</f>
        <v/>
      </c>
      <c r="AX348" s="209" t="str">
        <f>IFERROR(VLOOKUP(TableHandbook[[#This Row],[UDC]],TableSTRUHUMBB[],7,FALSE),"")</f>
        <v/>
      </c>
      <c r="AY348" s="209" t="str">
        <f>IFERROR(VLOOKUP(TableHandbook[[#This Row],[UDC]],TableSTRUMARTM[],7,FALSE),"")</f>
        <v/>
      </c>
      <c r="AZ348" s="209" t="str">
        <f>IFERROR(VLOOKUP(TableHandbook[[#This Row],[UDC]],TableSTRUMATHB[],7,FALSE),"")</f>
        <v/>
      </c>
      <c r="BA348" s="209" t="str">
        <f>IFERROR(VLOOKUP(TableHandbook[[#This Row],[UDC]],TableSTRUMATHM[],7,FALSE),"")</f>
        <v/>
      </c>
      <c r="BB348" s="209" t="str">
        <f>IFERROR(VLOOKUP(TableHandbook[[#This Row],[UDC]],TableSTRUPARTB[],7,FALSE),"")</f>
        <v/>
      </c>
      <c r="BC348" s="209" t="str">
        <f>IFERROR(VLOOKUP(TableHandbook[[#This Row],[UDC]],TableSTRUPARTM[],7,FALSE),"")</f>
        <v/>
      </c>
      <c r="BD348" s="209" t="str">
        <f>IFERROR(VLOOKUP(TableHandbook[[#This Row],[UDC]],TableSTRUPOLB1[],7,FALSE),"")</f>
        <v/>
      </c>
      <c r="BE348" s="209" t="str">
        <f>IFERROR(VLOOKUP(TableHandbook[[#This Row],[UDC]],TableSTRUPSYCB[],7,FALSE),"")</f>
        <v/>
      </c>
      <c r="BF348" s="209" t="str">
        <f>IFERROR(VLOOKUP(TableHandbook[[#This Row],[UDC]],TableSTRUPSYCM[],7,FALSE),"")</f>
        <v/>
      </c>
      <c r="BG348" s="209" t="str">
        <f>IFERROR(VLOOKUP(TableHandbook[[#This Row],[UDC]],TableSTRUVARTB[],7,FALSE),"")</f>
        <v/>
      </c>
      <c r="BH348" s="209" t="str">
        <f>IFERROR(VLOOKUP(TableHandbook[[#This Row],[UDC]],TableSTRUVARTM[],7,FALSE),"")</f>
        <v/>
      </c>
    </row>
    <row r="349" spans="1:60" x14ac:dyDescent="0.25">
      <c r="A349" s="6" t="s">
        <v>353</v>
      </c>
      <c r="B349" s="7">
        <v>3</v>
      </c>
      <c r="C349" s="7"/>
      <c r="D349" s="207" t="s">
        <v>413</v>
      </c>
      <c r="E349" s="7">
        <v>150</v>
      </c>
      <c r="F349" s="84" t="s">
        <v>590</v>
      </c>
      <c r="G349" s="75" t="str">
        <f>IFERROR(IF(VLOOKUP(TableHandbook[[#This Row],[UDC]],TableAvailabilities[],2,FALSE)&gt;0,"Y",""),"")</f>
        <v/>
      </c>
      <c r="H349" s="75" t="str">
        <f>IFERROR(IF(VLOOKUP(TableHandbook[[#This Row],[UDC]],TableAvailabilities[],3,FALSE)&gt;0,"Y",""),"")</f>
        <v/>
      </c>
      <c r="I349" s="75" t="str">
        <f>IFERROR(IF(VLOOKUP(TableHandbook[[#This Row],[UDC]],TableAvailabilities[],4,FALSE)&gt;0,"Y",""),"")</f>
        <v/>
      </c>
      <c r="J349" s="75" t="str">
        <f>IFERROR(IF(VLOOKUP(TableHandbook[[#This Row],[UDC]],TableAvailabilities[],5,FALSE)&gt;0,"Y",""),"")</f>
        <v/>
      </c>
      <c r="K349" s="75" t="str">
        <f>IFERROR(IF(VLOOKUP(TableHandbook[[#This Row],[UDC]],TableAvailabilities[],6,FALSE)&gt;0,"Y",""),"")</f>
        <v/>
      </c>
      <c r="L349" s="75" t="str">
        <f>IFERROR(IF(VLOOKUP(TableHandbook[[#This Row],[UDC]],TableAvailabilities[],7,FALSE)&gt;0,"Y",""),"")</f>
        <v/>
      </c>
      <c r="M349" s="207"/>
      <c r="N349" s="209" t="str">
        <f>IFERROR(VLOOKUP(TableHandbook[[#This Row],[UDC]],TableBEDUC[],7,FALSE),"")</f>
        <v/>
      </c>
      <c r="O349" s="209" t="str">
        <f>IFERROR(VLOOKUP(TableHandbook[[#This Row],[UDC]],TableBEDEC[],7,FALSE),"")</f>
        <v/>
      </c>
      <c r="P349" s="211" t="str">
        <f>IFERROR(VLOOKUP(TableHandbook[[#This Row],[UDC]],TableBEDPR[],7,FALSE),"")</f>
        <v/>
      </c>
      <c r="Q349" s="209" t="str">
        <f>IFERROR(VLOOKUP(TableHandbook[[#This Row],[UDC]],TableSTRUCATHL[],7,FALSE),"")</f>
        <v/>
      </c>
      <c r="R349" s="209" t="str">
        <f>IFERROR(VLOOKUP(TableHandbook[[#This Row],[UDC]],TableSTRUENGLL[],7,FALSE),"")</f>
        <v/>
      </c>
      <c r="S349" s="209" t="str">
        <f>IFERROR(VLOOKUP(TableHandbook[[#This Row],[UDC]],TableSTRUHLTPE[],7,FALSE),"")</f>
        <v/>
      </c>
      <c r="T349" s="209" t="str">
        <f>IFERROR(VLOOKUP(TableHandbook[[#This Row],[UDC]],TableSTRUISTEM[],7,FALSE),"")</f>
        <v/>
      </c>
      <c r="U349" s="209" t="str">
        <f>IFERROR(VLOOKUP(TableHandbook[[#This Row],[UDC]],TableSTRULITNU[],7,FALSE),"")</f>
        <v/>
      </c>
      <c r="V349" s="209" t="str">
        <f>IFERROR(VLOOKUP(TableHandbook[[#This Row],[UDC]],TableSTRUTECHS[],7,FALSE),"")</f>
        <v/>
      </c>
      <c r="W349" s="211" t="str">
        <f>IFERROR(VLOOKUP(TableHandbook[[#This Row],[UDC]],TableBEDSC[],7,FALSE),"")</f>
        <v/>
      </c>
      <c r="X349" s="211" t="str">
        <f>IFERROR(VLOOKUP(TableHandbook[[#This Row],[UDC]],TableMJRUARDR1[],7,FALSE),"")</f>
        <v>Option</v>
      </c>
      <c r="Y349" s="209" t="str">
        <f>IFERROR(VLOOKUP(TableHandbook[[#This Row],[UDC]],TableMJRUARME1[],7,FALSE),"")</f>
        <v>Option</v>
      </c>
      <c r="Z349" s="209" t="str">
        <f>IFERROR(VLOOKUP(TableHandbook[[#This Row],[UDC]],TableMJRUARVA1[],7,FALSE),"")</f>
        <v>Option</v>
      </c>
      <c r="AA349" s="209" t="str">
        <f>IFERROR(VLOOKUP(TableHandbook[[#This Row],[UDC]],TableMJRUENGL1[],7,FALSE),"")</f>
        <v/>
      </c>
      <c r="AB349" s="209" t="str">
        <f>IFERROR(VLOOKUP(TableHandbook[[#This Row],[UDC]],TableMJRUHSEC1[],7,FALSE),"")</f>
        <v>Option</v>
      </c>
      <c r="AC349" s="209" t="str">
        <f>IFERROR(VLOOKUP(TableHandbook[[#This Row],[UDC]],TableMJRUHSGE1[],7,FALSE),"")</f>
        <v>Option</v>
      </c>
      <c r="AD349" s="209" t="str">
        <f>IFERROR(VLOOKUP(TableHandbook[[#This Row],[UDC]],TableMJRUHSHI1[],7,FALSE),"")</f>
        <v>Option</v>
      </c>
      <c r="AE349" s="209" t="str">
        <f>IFERROR(VLOOKUP(TableHandbook[[#This Row],[UDC]],TableMJRUHSPL1[],7,FALSE),"")</f>
        <v>Option</v>
      </c>
      <c r="AF349" s="209" t="str">
        <f>IFERROR(VLOOKUP(TableHandbook[[#This Row],[UDC]],TableMJRUMATH1[],7,FALSE),"")</f>
        <v>Option</v>
      </c>
      <c r="AG349" s="209" t="str">
        <f>IFERROR(VLOOKUP(TableHandbook[[#This Row],[UDC]],TableMJRUPHYSE[],7,FALSE),"")</f>
        <v/>
      </c>
      <c r="AH349" s="209" t="str">
        <f>IFERROR(VLOOKUP(TableHandbook[[#This Row],[UDC]],TableMJRUSCBI1[],7,FALSE),"")</f>
        <v>Option</v>
      </c>
      <c r="AI349" s="209" t="str">
        <f>IFERROR(VLOOKUP(TableHandbook[[#This Row],[UDC]],TableMJRUSCCH1[],7,FALSE),"")</f>
        <v>Option</v>
      </c>
      <c r="AJ349" s="209" t="str">
        <f>IFERROR(VLOOKUP(TableHandbook[[#This Row],[UDC]],TableMJRUSCHB1[],7,FALSE),"")</f>
        <v>Option</v>
      </c>
      <c r="AK349" s="209" t="str">
        <f>IFERROR(VLOOKUP(TableHandbook[[#This Row],[UDC]],TableMJRUSCPH1[],7,FALSE),"")</f>
        <v/>
      </c>
      <c r="AL349" s="209" t="str">
        <f>IFERROR(VLOOKUP(TableHandbook[[#This Row],[UDC]],TableMJRUSCPS1[],7,FALSE),"")</f>
        <v>Option</v>
      </c>
      <c r="AM349" s="211" t="str">
        <f>IFERROR(VLOOKUP(TableHandbook[[#This Row],[UDC]],TableSTRUBIOLB[],7,FALSE),"")</f>
        <v/>
      </c>
      <c r="AN349" s="209" t="str">
        <f>IFERROR(VLOOKUP(TableHandbook[[#This Row],[UDC]],TableSTRUBSCIM[],7,FALSE),"")</f>
        <v/>
      </c>
      <c r="AO349" s="209" t="str">
        <f>IFERROR(VLOOKUP(TableHandbook[[#This Row],[UDC]],TableSTRUCHEMB[],7,FALSE),"")</f>
        <v/>
      </c>
      <c r="AP349" s="209" t="str">
        <f>IFERROR(VLOOKUP(TableHandbook[[#This Row],[UDC]],TableSTRUECOB1[],7,FALSE),"")</f>
        <v/>
      </c>
      <c r="AQ349" s="209" t="str">
        <f>IFERROR(VLOOKUP(TableHandbook[[#This Row],[UDC]],TableSTRUENGLB[],7,FALSE),"")</f>
        <v/>
      </c>
      <c r="AR349" s="209" t="str">
        <f>IFERROR(VLOOKUP(TableHandbook[[#This Row],[UDC]],TableSTRUENGLM[],7,FALSE),"")</f>
        <v/>
      </c>
      <c r="AS349" s="209" t="str">
        <f>IFERROR(VLOOKUP(TableHandbook[[#This Row],[UDC]],TableSTRUGEOB1[],7,FALSE),"")</f>
        <v/>
      </c>
      <c r="AT349" s="209" t="str">
        <f>IFERROR(VLOOKUP(TableHandbook[[#This Row],[UDC]],TableSTRUGEOGM[],7,FALSE),"")</f>
        <v/>
      </c>
      <c r="AU349" s="209" t="str">
        <f>IFERROR(VLOOKUP(TableHandbook[[#This Row],[UDC]],TableSTRUHISB1[],7,FALSE),"")</f>
        <v/>
      </c>
      <c r="AV349" s="209" t="str">
        <f>IFERROR(VLOOKUP(TableHandbook[[#This Row],[UDC]],TableSTRUHISTM[],7,FALSE),"")</f>
        <v/>
      </c>
      <c r="AW349" s="209" t="str">
        <f>IFERROR(VLOOKUP(TableHandbook[[#This Row],[UDC]],TableSTRUHPEB1[],7,FALSE),"")</f>
        <v/>
      </c>
      <c r="AX349" s="209" t="str">
        <f>IFERROR(VLOOKUP(TableHandbook[[#This Row],[UDC]],TableSTRUHUMBB[],7,FALSE),"")</f>
        <v/>
      </c>
      <c r="AY349" s="209" t="str">
        <f>IFERROR(VLOOKUP(TableHandbook[[#This Row],[UDC]],TableSTRUMARTM[],7,FALSE),"")</f>
        <v/>
      </c>
      <c r="AZ349" s="209" t="str">
        <f>IFERROR(VLOOKUP(TableHandbook[[#This Row],[UDC]],TableSTRUMATHB[],7,FALSE),"")</f>
        <v/>
      </c>
      <c r="BA349" s="209" t="str">
        <f>IFERROR(VLOOKUP(TableHandbook[[#This Row],[UDC]],TableSTRUMATHM[],7,FALSE),"")</f>
        <v/>
      </c>
      <c r="BB349" s="209" t="str">
        <f>IFERROR(VLOOKUP(TableHandbook[[#This Row],[UDC]],TableSTRUPARTB[],7,FALSE),"")</f>
        <v/>
      </c>
      <c r="BC349" s="209" t="str">
        <f>IFERROR(VLOOKUP(TableHandbook[[#This Row],[UDC]],TableSTRUPARTM[],7,FALSE),"")</f>
        <v/>
      </c>
      <c r="BD349" s="209" t="str">
        <f>IFERROR(VLOOKUP(TableHandbook[[#This Row],[UDC]],TableSTRUPOLB1[],7,FALSE),"")</f>
        <v/>
      </c>
      <c r="BE349" s="209" t="str">
        <f>IFERROR(VLOOKUP(TableHandbook[[#This Row],[UDC]],TableSTRUPSYCB[],7,FALSE),"")</f>
        <v/>
      </c>
      <c r="BF349" s="209" t="str">
        <f>IFERROR(VLOOKUP(TableHandbook[[#This Row],[UDC]],TableSTRUPSYCM[],7,FALSE),"")</f>
        <v/>
      </c>
      <c r="BG349" s="209" t="str">
        <f>IFERROR(VLOOKUP(TableHandbook[[#This Row],[UDC]],TableSTRUVARTB[],7,FALSE),"")</f>
        <v/>
      </c>
      <c r="BH349" s="209" t="str">
        <f>IFERROR(VLOOKUP(TableHandbook[[#This Row],[UDC]],TableSTRUVARTM[],7,FALSE),"")</f>
        <v/>
      </c>
    </row>
    <row r="350" spans="1:60" ht="26.25" x14ac:dyDescent="0.25">
      <c r="A350" s="296" t="s">
        <v>363</v>
      </c>
      <c r="B350" s="7">
        <v>2</v>
      </c>
      <c r="C350" s="7"/>
      <c r="D350" s="207" t="s">
        <v>1160</v>
      </c>
      <c r="E350" s="7">
        <v>150</v>
      </c>
      <c r="F350" s="84"/>
      <c r="G350" s="75" t="str">
        <f>IFERROR(IF(VLOOKUP(TableHandbook[[#This Row],[UDC]],TableAvailabilities[],2,FALSE)&gt;0,"Y",""),"")</f>
        <v/>
      </c>
      <c r="H350" s="75" t="str">
        <f>IFERROR(IF(VLOOKUP(TableHandbook[[#This Row],[UDC]],TableAvailabilities[],3,FALSE)&gt;0,"Y",""),"")</f>
        <v/>
      </c>
      <c r="I350" s="75" t="str">
        <f>IFERROR(IF(VLOOKUP(TableHandbook[[#This Row],[UDC]],TableAvailabilities[],4,FALSE)&gt;0,"Y",""),"")</f>
        <v/>
      </c>
      <c r="J350" s="75" t="str">
        <f>IFERROR(IF(VLOOKUP(TableHandbook[[#This Row],[UDC]],TableAvailabilities[],5,FALSE)&gt;0,"Y",""),"")</f>
        <v/>
      </c>
      <c r="K350" s="75" t="str">
        <f>IFERROR(IF(VLOOKUP(TableHandbook[[#This Row],[UDC]],TableAvailabilities[],6,FALSE)&gt;0,"Y",""),"")</f>
        <v/>
      </c>
      <c r="L350" s="75" t="str">
        <f>IFERROR(IF(VLOOKUP(TableHandbook[[#This Row],[UDC]],TableAvailabilities[],7,FALSE)&gt;0,"Y",""),"")</f>
        <v/>
      </c>
      <c r="M350" s="207"/>
      <c r="N350" s="209" t="str">
        <f>IFERROR(VLOOKUP(TableHandbook[[#This Row],[UDC]],TableBEDUC[],7,FALSE),"")</f>
        <v/>
      </c>
      <c r="O350" s="209" t="str">
        <f>IFERROR(VLOOKUP(TableHandbook[[#This Row],[UDC]],TableBEDEC[],7,FALSE),"")</f>
        <v/>
      </c>
      <c r="P350" s="211" t="str">
        <f>IFERROR(VLOOKUP(TableHandbook[[#This Row],[UDC]],TableBEDPR[],7,FALSE),"")</f>
        <v/>
      </c>
      <c r="Q350" s="209" t="str">
        <f>IFERROR(VLOOKUP(TableHandbook[[#This Row],[UDC]],TableSTRUCATHL[],7,FALSE),"")</f>
        <v/>
      </c>
      <c r="R350" s="209" t="str">
        <f>IFERROR(VLOOKUP(TableHandbook[[#This Row],[UDC]],TableSTRUENGLL[],7,FALSE),"")</f>
        <v/>
      </c>
      <c r="S350" s="209" t="str">
        <f>IFERROR(VLOOKUP(TableHandbook[[#This Row],[UDC]],TableSTRUHLTPE[],7,FALSE),"")</f>
        <v/>
      </c>
      <c r="T350" s="209" t="str">
        <f>IFERROR(VLOOKUP(TableHandbook[[#This Row],[UDC]],TableSTRUISTEM[],7,FALSE),"")</f>
        <v/>
      </c>
      <c r="U350" s="209" t="str">
        <f>IFERROR(VLOOKUP(TableHandbook[[#This Row],[UDC]],TableSTRULITNU[],7,FALSE),"")</f>
        <v/>
      </c>
      <c r="V350" s="209" t="str">
        <f>IFERROR(VLOOKUP(TableHandbook[[#This Row],[UDC]],TableSTRUTECHS[],7,FALSE),"")</f>
        <v/>
      </c>
      <c r="W350" s="211" t="str">
        <f>IFERROR(VLOOKUP(TableHandbook[[#This Row],[UDC]],TableBEDSC[],7,FALSE),"")</f>
        <v/>
      </c>
      <c r="X350" s="211" t="str">
        <f>IFERROR(VLOOKUP(TableHandbook[[#This Row],[UDC]],TableMJRUARDR1[],7,FALSE),"")</f>
        <v/>
      </c>
      <c r="Y350" s="209" t="str">
        <f>IFERROR(VLOOKUP(TableHandbook[[#This Row],[UDC]],TableMJRUARME1[],7,FALSE),"")</f>
        <v/>
      </c>
      <c r="Z350" s="209" t="str">
        <f>IFERROR(VLOOKUP(TableHandbook[[#This Row],[UDC]],TableMJRUARVA1[],7,FALSE),"")</f>
        <v/>
      </c>
      <c r="AA350" s="209" t="str">
        <f>IFERROR(VLOOKUP(TableHandbook[[#This Row],[UDC]],TableMJRUENGL1[],7,FALSE),"")</f>
        <v/>
      </c>
      <c r="AB350" s="209" t="str">
        <f>IFERROR(VLOOKUP(TableHandbook[[#This Row],[UDC]],TableMJRUHSEC1[],7,FALSE),"")</f>
        <v/>
      </c>
      <c r="AC350" s="209" t="str">
        <f>IFERROR(VLOOKUP(TableHandbook[[#This Row],[UDC]],TableMJRUHSGE1[],7,FALSE),"")</f>
        <v>Option</v>
      </c>
      <c r="AD350" s="209" t="str">
        <f>IFERROR(VLOOKUP(TableHandbook[[#This Row],[UDC]],TableMJRUHSHI1[],7,FALSE),"")</f>
        <v/>
      </c>
      <c r="AE350" s="209" t="str">
        <f>IFERROR(VLOOKUP(TableHandbook[[#This Row],[UDC]],TableMJRUHSPL1[],7,FALSE),"")</f>
        <v/>
      </c>
      <c r="AF350" s="209" t="str">
        <f>IFERROR(VLOOKUP(TableHandbook[[#This Row],[UDC]],TableMJRUMATH1[],7,FALSE),"")</f>
        <v/>
      </c>
      <c r="AG350" s="209" t="str">
        <f>IFERROR(VLOOKUP(TableHandbook[[#This Row],[UDC]],TableMJRUPHYSE[],7,FALSE),"")</f>
        <v/>
      </c>
      <c r="AH350" s="209" t="str">
        <f>IFERROR(VLOOKUP(TableHandbook[[#This Row],[UDC]],TableMJRUSCBI1[],7,FALSE),"")</f>
        <v/>
      </c>
      <c r="AI350" s="209" t="str">
        <f>IFERROR(VLOOKUP(TableHandbook[[#This Row],[UDC]],TableMJRUSCCH1[],7,FALSE),"")</f>
        <v/>
      </c>
      <c r="AJ350" s="209" t="str">
        <f>IFERROR(VLOOKUP(TableHandbook[[#This Row],[UDC]],TableMJRUSCHB1[],7,FALSE),"")</f>
        <v/>
      </c>
      <c r="AK350" s="209" t="str">
        <f>IFERROR(VLOOKUP(TableHandbook[[#This Row],[UDC]],TableMJRUSCPH1[],7,FALSE),"")</f>
        <v/>
      </c>
      <c r="AL350" s="209" t="str">
        <f>IFERROR(VLOOKUP(TableHandbook[[#This Row],[UDC]],TableMJRUSCPS1[],7,FALSE),"")</f>
        <v/>
      </c>
      <c r="AM350" s="211" t="str">
        <f>IFERROR(VLOOKUP(TableHandbook[[#This Row],[UDC]],TableSTRUBIOLB[],7,FALSE),"")</f>
        <v/>
      </c>
      <c r="AN350" s="209" t="str">
        <f>IFERROR(VLOOKUP(TableHandbook[[#This Row],[UDC]],TableSTRUBSCIM[],7,FALSE),"")</f>
        <v/>
      </c>
      <c r="AO350" s="209" t="str">
        <f>IFERROR(VLOOKUP(TableHandbook[[#This Row],[UDC]],TableSTRUCHEMB[],7,FALSE),"")</f>
        <v/>
      </c>
      <c r="AP350" s="209" t="str">
        <f>IFERROR(VLOOKUP(TableHandbook[[#This Row],[UDC]],TableSTRUECOB1[],7,FALSE),"")</f>
        <v/>
      </c>
      <c r="AQ350" s="209" t="str">
        <f>IFERROR(VLOOKUP(TableHandbook[[#This Row],[UDC]],TableSTRUENGLB[],7,FALSE),"")</f>
        <v/>
      </c>
      <c r="AR350" s="209" t="str">
        <f>IFERROR(VLOOKUP(TableHandbook[[#This Row],[UDC]],TableSTRUENGLM[],7,FALSE),"")</f>
        <v/>
      </c>
      <c r="AS350" s="209" t="str">
        <f>IFERROR(VLOOKUP(TableHandbook[[#This Row],[UDC]],TableSTRUGEOB1[],7,FALSE),"")</f>
        <v/>
      </c>
      <c r="AT350" s="209" t="str">
        <f>IFERROR(VLOOKUP(TableHandbook[[#This Row],[UDC]],TableSTRUGEOGM[],7,FALSE),"")</f>
        <v/>
      </c>
      <c r="AU350" s="209" t="str">
        <f>IFERROR(VLOOKUP(TableHandbook[[#This Row],[UDC]],TableSTRUHISB1[],7,FALSE),"")</f>
        <v/>
      </c>
      <c r="AV350" s="209" t="str">
        <f>IFERROR(VLOOKUP(TableHandbook[[#This Row],[UDC]],TableSTRUHISTM[],7,FALSE),"")</f>
        <v/>
      </c>
      <c r="AW350" s="209" t="str">
        <f>IFERROR(VLOOKUP(TableHandbook[[#This Row],[UDC]],TableSTRUHPEB1[],7,FALSE),"")</f>
        <v/>
      </c>
      <c r="AX350" s="209" t="str">
        <f>IFERROR(VLOOKUP(TableHandbook[[#This Row],[UDC]],TableSTRUHUMBB[],7,FALSE),"")</f>
        <v/>
      </c>
      <c r="AY350" s="209" t="str">
        <f>IFERROR(VLOOKUP(TableHandbook[[#This Row],[UDC]],TableSTRUMARTM[],7,FALSE),"")</f>
        <v/>
      </c>
      <c r="AZ350" s="209" t="str">
        <f>IFERROR(VLOOKUP(TableHandbook[[#This Row],[UDC]],TableSTRUMATHB[],7,FALSE),"")</f>
        <v/>
      </c>
      <c r="BA350" s="209" t="str">
        <f>IFERROR(VLOOKUP(TableHandbook[[#This Row],[UDC]],TableSTRUMATHM[],7,FALSE),"")</f>
        <v/>
      </c>
      <c r="BB350" s="209" t="str">
        <f>IFERROR(VLOOKUP(TableHandbook[[#This Row],[UDC]],TableSTRUPARTB[],7,FALSE),"")</f>
        <v/>
      </c>
      <c r="BC350" s="209" t="str">
        <f>IFERROR(VLOOKUP(TableHandbook[[#This Row],[UDC]],TableSTRUPARTM[],7,FALSE),"")</f>
        <v/>
      </c>
      <c r="BD350" s="209" t="str">
        <f>IFERROR(VLOOKUP(TableHandbook[[#This Row],[UDC]],TableSTRUPOLB1[],7,FALSE),"")</f>
        <v/>
      </c>
      <c r="BE350" s="209" t="str">
        <f>IFERROR(VLOOKUP(TableHandbook[[#This Row],[UDC]],TableSTRUPSYCB[],7,FALSE),"")</f>
        <v/>
      </c>
      <c r="BF350" s="209" t="str">
        <f>IFERROR(VLOOKUP(TableHandbook[[#This Row],[UDC]],TableSTRUPSYCM[],7,FALSE),"")</f>
        <v/>
      </c>
      <c r="BG350" s="209" t="str">
        <f>IFERROR(VLOOKUP(TableHandbook[[#This Row],[UDC]],TableSTRUVARTB[],7,FALSE),"")</f>
        <v/>
      </c>
      <c r="BH350" s="209" t="str">
        <f>IFERROR(VLOOKUP(TableHandbook[[#This Row],[UDC]],TableSTRUVARTM[],7,FALSE),"")</f>
        <v/>
      </c>
    </row>
    <row r="351" spans="1:60" x14ac:dyDescent="0.25">
      <c r="A351" s="296" t="s">
        <v>354</v>
      </c>
      <c r="B351" s="7">
        <v>1</v>
      </c>
      <c r="C351" s="7"/>
      <c r="D351" s="207" t="s">
        <v>414</v>
      </c>
      <c r="E351" s="7">
        <v>150</v>
      </c>
      <c r="F351" s="84"/>
      <c r="G351" s="75" t="str">
        <f>IFERROR(IF(VLOOKUP(TableHandbook[[#This Row],[UDC]],TableAvailabilities[],2,FALSE)&gt;0,"Y",""),"")</f>
        <v/>
      </c>
      <c r="H351" s="75" t="str">
        <f>IFERROR(IF(VLOOKUP(TableHandbook[[#This Row],[UDC]],TableAvailabilities[],3,FALSE)&gt;0,"Y",""),"")</f>
        <v/>
      </c>
      <c r="I351" s="75" t="str">
        <f>IFERROR(IF(VLOOKUP(TableHandbook[[#This Row],[UDC]],TableAvailabilities[],4,FALSE)&gt;0,"Y",""),"")</f>
        <v/>
      </c>
      <c r="J351" s="75" t="str">
        <f>IFERROR(IF(VLOOKUP(TableHandbook[[#This Row],[UDC]],TableAvailabilities[],5,FALSE)&gt;0,"Y",""),"")</f>
        <v/>
      </c>
      <c r="K351" s="75" t="str">
        <f>IFERROR(IF(VLOOKUP(TableHandbook[[#This Row],[UDC]],TableAvailabilities[],6,FALSE)&gt;0,"Y",""),"")</f>
        <v/>
      </c>
      <c r="L351" s="75" t="str">
        <f>IFERROR(IF(VLOOKUP(TableHandbook[[#This Row],[UDC]],TableAvailabilities[],7,FALSE)&gt;0,"Y",""),"")</f>
        <v/>
      </c>
      <c r="M351" s="207"/>
      <c r="N351" s="209" t="str">
        <f>IFERROR(VLOOKUP(TableHandbook[[#This Row],[UDC]],TableBEDUC[],7,FALSE),"")</f>
        <v/>
      </c>
      <c r="O351" s="209" t="str">
        <f>IFERROR(VLOOKUP(TableHandbook[[#This Row],[UDC]],TableBEDEC[],7,FALSE),"")</f>
        <v/>
      </c>
      <c r="P351" s="211" t="str">
        <f>IFERROR(VLOOKUP(TableHandbook[[#This Row],[UDC]],TableBEDPR[],7,FALSE),"")</f>
        <v/>
      </c>
      <c r="Q351" s="209" t="str">
        <f>IFERROR(VLOOKUP(TableHandbook[[#This Row],[UDC]],TableSTRUCATHL[],7,FALSE),"")</f>
        <v/>
      </c>
      <c r="R351" s="209" t="str">
        <f>IFERROR(VLOOKUP(TableHandbook[[#This Row],[UDC]],TableSTRUENGLL[],7,FALSE),"")</f>
        <v/>
      </c>
      <c r="S351" s="209" t="str">
        <f>IFERROR(VLOOKUP(TableHandbook[[#This Row],[UDC]],TableSTRUHLTPE[],7,FALSE),"")</f>
        <v/>
      </c>
      <c r="T351" s="209" t="str">
        <f>IFERROR(VLOOKUP(TableHandbook[[#This Row],[UDC]],TableSTRUISTEM[],7,FALSE),"")</f>
        <v/>
      </c>
      <c r="U351" s="209" t="str">
        <f>IFERROR(VLOOKUP(TableHandbook[[#This Row],[UDC]],TableSTRULITNU[],7,FALSE),"")</f>
        <v/>
      </c>
      <c r="V351" s="209" t="str">
        <f>IFERROR(VLOOKUP(TableHandbook[[#This Row],[UDC]],TableSTRUTECHS[],7,FALSE),"")</f>
        <v/>
      </c>
      <c r="W351" s="211" t="str">
        <f>IFERROR(VLOOKUP(TableHandbook[[#This Row],[UDC]],TableBEDSC[],7,FALSE),"")</f>
        <v/>
      </c>
      <c r="X351" s="211" t="str">
        <f>IFERROR(VLOOKUP(TableHandbook[[#This Row],[UDC]],TableMJRUARDR1[],7,FALSE),"")</f>
        <v>Option</v>
      </c>
      <c r="Y351" s="209" t="str">
        <f>IFERROR(VLOOKUP(TableHandbook[[#This Row],[UDC]],TableMJRUARME1[],7,FALSE),"")</f>
        <v>Option</v>
      </c>
      <c r="Z351" s="209" t="str">
        <f>IFERROR(VLOOKUP(TableHandbook[[#This Row],[UDC]],TableMJRUARVA1[],7,FALSE),"")</f>
        <v>Option</v>
      </c>
      <c r="AA351" s="209" t="str">
        <f>IFERROR(VLOOKUP(TableHandbook[[#This Row],[UDC]],TableMJRUENGL1[],7,FALSE),"")</f>
        <v>Option</v>
      </c>
      <c r="AB351" s="209" t="str">
        <f>IFERROR(VLOOKUP(TableHandbook[[#This Row],[UDC]],TableMJRUHSEC1[],7,FALSE),"")</f>
        <v/>
      </c>
      <c r="AC351" s="209" t="str">
        <f>IFERROR(VLOOKUP(TableHandbook[[#This Row],[UDC]],TableMJRUHSGE1[],7,FALSE),"")</f>
        <v/>
      </c>
      <c r="AD351" s="209" t="str">
        <f>IFERROR(VLOOKUP(TableHandbook[[#This Row],[UDC]],TableMJRUHSHI1[],7,FALSE),"")</f>
        <v/>
      </c>
      <c r="AE351" s="209" t="str">
        <f>IFERROR(VLOOKUP(TableHandbook[[#This Row],[UDC]],TableMJRUHSPL1[],7,FALSE),"")</f>
        <v/>
      </c>
      <c r="AF351" s="209" t="str">
        <f>IFERROR(VLOOKUP(TableHandbook[[#This Row],[UDC]],TableMJRUMATH1[],7,FALSE),"")</f>
        <v>Option</v>
      </c>
      <c r="AG351" s="209" t="str">
        <f>IFERROR(VLOOKUP(TableHandbook[[#This Row],[UDC]],TableMJRUPHYSE[],7,FALSE),"")</f>
        <v/>
      </c>
      <c r="AH351" s="209" t="str">
        <f>IFERROR(VLOOKUP(TableHandbook[[#This Row],[UDC]],TableMJRUSCBI1[],7,FALSE),"")</f>
        <v>Option</v>
      </c>
      <c r="AI351" s="209" t="str">
        <f>IFERROR(VLOOKUP(TableHandbook[[#This Row],[UDC]],TableMJRUSCCH1[],7,FALSE),"")</f>
        <v>Option</v>
      </c>
      <c r="AJ351" s="209" t="str">
        <f>IFERROR(VLOOKUP(TableHandbook[[#This Row],[UDC]],TableMJRUSCHB1[],7,FALSE),"")</f>
        <v>Option</v>
      </c>
      <c r="AK351" s="209" t="str">
        <f>IFERROR(VLOOKUP(TableHandbook[[#This Row],[UDC]],TableMJRUSCPH1[],7,FALSE),"")</f>
        <v/>
      </c>
      <c r="AL351" s="209" t="str">
        <f>IFERROR(VLOOKUP(TableHandbook[[#This Row],[UDC]],TableMJRUSCPS1[],7,FALSE),"")</f>
        <v>Option</v>
      </c>
      <c r="AM351" s="211" t="str">
        <f>IFERROR(VLOOKUP(TableHandbook[[#This Row],[UDC]],TableSTRUBIOLB[],7,FALSE),"")</f>
        <v/>
      </c>
      <c r="AN351" s="209" t="str">
        <f>IFERROR(VLOOKUP(TableHandbook[[#This Row],[UDC]],TableSTRUBSCIM[],7,FALSE),"")</f>
        <v/>
      </c>
      <c r="AO351" s="209" t="str">
        <f>IFERROR(VLOOKUP(TableHandbook[[#This Row],[UDC]],TableSTRUCHEMB[],7,FALSE),"")</f>
        <v/>
      </c>
      <c r="AP351" s="209" t="str">
        <f>IFERROR(VLOOKUP(TableHandbook[[#This Row],[UDC]],TableSTRUECOB1[],7,FALSE),"")</f>
        <v/>
      </c>
      <c r="AQ351" s="209" t="str">
        <f>IFERROR(VLOOKUP(TableHandbook[[#This Row],[UDC]],TableSTRUENGLB[],7,FALSE),"")</f>
        <v/>
      </c>
      <c r="AR351" s="209" t="str">
        <f>IFERROR(VLOOKUP(TableHandbook[[#This Row],[UDC]],TableSTRUENGLM[],7,FALSE),"")</f>
        <v/>
      </c>
      <c r="AS351" s="209" t="str">
        <f>IFERROR(VLOOKUP(TableHandbook[[#This Row],[UDC]],TableSTRUGEOB1[],7,FALSE),"")</f>
        <v/>
      </c>
      <c r="AT351" s="209" t="str">
        <f>IFERROR(VLOOKUP(TableHandbook[[#This Row],[UDC]],TableSTRUGEOGM[],7,FALSE),"")</f>
        <v/>
      </c>
      <c r="AU351" s="209" t="str">
        <f>IFERROR(VLOOKUP(TableHandbook[[#This Row],[UDC]],TableSTRUHISB1[],7,FALSE),"")</f>
        <v/>
      </c>
      <c r="AV351" s="209" t="str">
        <f>IFERROR(VLOOKUP(TableHandbook[[#This Row],[UDC]],TableSTRUHISTM[],7,FALSE),"")</f>
        <v/>
      </c>
      <c r="AW351" s="209" t="str">
        <f>IFERROR(VLOOKUP(TableHandbook[[#This Row],[UDC]],TableSTRUHPEB1[],7,FALSE),"")</f>
        <v/>
      </c>
      <c r="AX351" s="209" t="str">
        <f>IFERROR(VLOOKUP(TableHandbook[[#This Row],[UDC]],TableSTRUHUMBB[],7,FALSE),"")</f>
        <v/>
      </c>
      <c r="AY351" s="209" t="str">
        <f>IFERROR(VLOOKUP(TableHandbook[[#This Row],[UDC]],TableSTRUMARTM[],7,FALSE),"")</f>
        <v/>
      </c>
      <c r="AZ351" s="209" t="str">
        <f>IFERROR(VLOOKUP(TableHandbook[[#This Row],[UDC]],TableSTRUMATHB[],7,FALSE),"")</f>
        <v/>
      </c>
      <c r="BA351" s="209" t="str">
        <f>IFERROR(VLOOKUP(TableHandbook[[#This Row],[UDC]],TableSTRUMATHM[],7,FALSE),"")</f>
        <v/>
      </c>
      <c r="BB351" s="209" t="str">
        <f>IFERROR(VLOOKUP(TableHandbook[[#This Row],[UDC]],TableSTRUPARTB[],7,FALSE),"")</f>
        <v/>
      </c>
      <c r="BC351" s="209" t="str">
        <f>IFERROR(VLOOKUP(TableHandbook[[#This Row],[UDC]],TableSTRUPARTM[],7,FALSE),"")</f>
        <v/>
      </c>
      <c r="BD351" s="209" t="str">
        <f>IFERROR(VLOOKUP(TableHandbook[[#This Row],[UDC]],TableSTRUPOLB1[],7,FALSE),"")</f>
        <v/>
      </c>
      <c r="BE351" s="209" t="str">
        <f>IFERROR(VLOOKUP(TableHandbook[[#This Row],[UDC]],TableSTRUPSYCB[],7,FALSE),"")</f>
        <v/>
      </c>
      <c r="BF351" s="209" t="str">
        <f>IFERROR(VLOOKUP(TableHandbook[[#This Row],[UDC]],TableSTRUPSYCM[],7,FALSE),"")</f>
        <v/>
      </c>
      <c r="BG351" s="209" t="str">
        <f>IFERROR(VLOOKUP(TableHandbook[[#This Row],[UDC]],TableSTRUVARTB[],7,FALSE),"")</f>
        <v/>
      </c>
      <c r="BH351" s="209" t="str">
        <f>IFERROR(VLOOKUP(TableHandbook[[#This Row],[UDC]],TableSTRUVARTM[],7,FALSE),"")</f>
        <v/>
      </c>
    </row>
    <row r="352" spans="1:60" ht="26.25" x14ac:dyDescent="0.25">
      <c r="A352" s="296" t="s">
        <v>364</v>
      </c>
      <c r="B352" s="7">
        <v>2</v>
      </c>
      <c r="C352" s="7"/>
      <c r="D352" s="207" t="s">
        <v>1161</v>
      </c>
      <c r="E352" s="7">
        <v>150</v>
      </c>
      <c r="F352" s="84"/>
      <c r="G352" s="75" t="str">
        <f>IFERROR(IF(VLOOKUP(TableHandbook[[#This Row],[UDC]],TableAvailabilities[],2,FALSE)&gt;0,"Y",""),"")</f>
        <v/>
      </c>
      <c r="H352" s="75" t="str">
        <f>IFERROR(IF(VLOOKUP(TableHandbook[[#This Row],[UDC]],TableAvailabilities[],3,FALSE)&gt;0,"Y",""),"")</f>
        <v/>
      </c>
      <c r="I352" s="75" t="str">
        <f>IFERROR(IF(VLOOKUP(TableHandbook[[#This Row],[UDC]],TableAvailabilities[],4,FALSE)&gt;0,"Y",""),"")</f>
        <v/>
      </c>
      <c r="J352" s="75" t="str">
        <f>IFERROR(IF(VLOOKUP(TableHandbook[[#This Row],[UDC]],TableAvailabilities[],5,FALSE)&gt;0,"Y",""),"")</f>
        <v/>
      </c>
      <c r="K352" s="75" t="str">
        <f>IFERROR(IF(VLOOKUP(TableHandbook[[#This Row],[UDC]],TableAvailabilities[],6,FALSE)&gt;0,"Y",""),"")</f>
        <v/>
      </c>
      <c r="L352" s="75" t="str">
        <f>IFERROR(IF(VLOOKUP(TableHandbook[[#This Row],[UDC]],TableAvailabilities[],7,FALSE)&gt;0,"Y",""),"")</f>
        <v/>
      </c>
      <c r="M352" s="207"/>
      <c r="N352" s="209" t="str">
        <f>IFERROR(VLOOKUP(TableHandbook[[#This Row],[UDC]],TableBEDUC[],7,FALSE),"")</f>
        <v/>
      </c>
      <c r="O352" s="209" t="str">
        <f>IFERROR(VLOOKUP(TableHandbook[[#This Row],[UDC]],TableBEDEC[],7,FALSE),"")</f>
        <v/>
      </c>
      <c r="P352" s="211" t="str">
        <f>IFERROR(VLOOKUP(TableHandbook[[#This Row],[UDC]],TableBEDPR[],7,FALSE),"")</f>
        <v/>
      </c>
      <c r="Q352" s="209" t="str">
        <f>IFERROR(VLOOKUP(TableHandbook[[#This Row],[UDC]],TableSTRUCATHL[],7,FALSE),"")</f>
        <v/>
      </c>
      <c r="R352" s="209" t="str">
        <f>IFERROR(VLOOKUP(TableHandbook[[#This Row],[UDC]],TableSTRUENGLL[],7,FALSE),"")</f>
        <v/>
      </c>
      <c r="S352" s="209" t="str">
        <f>IFERROR(VLOOKUP(TableHandbook[[#This Row],[UDC]],TableSTRUHLTPE[],7,FALSE),"")</f>
        <v/>
      </c>
      <c r="T352" s="209" t="str">
        <f>IFERROR(VLOOKUP(TableHandbook[[#This Row],[UDC]],TableSTRUISTEM[],7,FALSE),"")</f>
        <v/>
      </c>
      <c r="U352" s="209" t="str">
        <f>IFERROR(VLOOKUP(TableHandbook[[#This Row],[UDC]],TableSTRULITNU[],7,FALSE),"")</f>
        <v/>
      </c>
      <c r="V352" s="209" t="str">
        <f>IFERROR(VLOOKUP(TableHandbook[[#This Row],[UDC]],TableSTRUTECHS[],7,FALSE),"")</f>
        <v/>
      </c>
      <c r="W352" s="211" t="str">
        <f>IFERROR(VLOOKUP(TableHandbook[[#This Row],[UDC]],TableBEDSC[],7,FALSE),"")</f>
        <v/>
      </c>
      <c r="X352" s="211" t="str">
        <f>IFERROR(VLOOKUP(TableHandbook[[#This Row],[UDC]],TableMJRUARDR1[],7,FALSE),"")</f>
        <v/>
      </c>
      <c r="Y352" s="209" t="str">
        <f>IFERROR(VLOOKUP(TableHandbook[[#This Row],[UDC]],TableMJRUARME1[],7,FALSE),"")</f>
        <v/>
      </c>
      <c r="Z352" s="209" t="str">
        <f>IFERROR(VLOOKUP(TableHandbook[[#This Row],[UDC]],TableMJRUARVA1[],7,FALSE),"")</f>
        <v/>
      </c>
      <c r="AA352" s="209" t="str">
        <f>IFERROR(VLOOKUP(TableHandbook[[#This Row],[UDC]],TableMJRUENGL1[],7,FALSE),"")</f>
        <v/>
      </c>
      <c r="AB352" s="209" t="str">
        <f>IFERROR(VLOOKUP(TableHandbook[[#This Row],[UDC]],TableMJRUHSEC1[],7,FALSE),"")</f>
        <v/>
      </c>
      <c r="AC352" s="209" t="str">
        <f>IFERROR(VLOOKUP(TableHandbook[[#This Row],[UDC]],TableMJRUHSGE1[],7,FALSE),"")</f>
        <v/>
      </c>
      <c r="AD352" s="209" t="str">
        <f>IFERROR(VLOOKUP(TableHandbook[[#This Row],[UDC]],TableMJRUHSHI1[],7,FALSE),"")</f>
        <v>Option</v>
      </c>
      <c r="AE352" s="209" t="str">
        <f>IFERROR(VLOOKUP(TableHandbook[[#This Row],[UDC]],TableMJRUHSPL1[],7,FALSE),"")</f>
        <v/>
      </c>
      <c r="AF352" s="209" t="str">
        <f>IFERROR(VLOOKUP(TableHandbook[[#This Row],[UDC]],TableMJRUMATH1[],7,FALSE),"")</f>
        <v/>
      </c>
      <c r="AG352" s="209" t="str">
        <f>IFERROR(VLOOKUP(TableHandbook[[#This Row],[UDC]],TableMJRUPHYSE[],7,FALSE),"")</f>
        <v/>
      </c>
      <c r="AH352" s="209" t="str">
        <f>IFERROR(VLOOKUP(TableHandbook[[#This Row],[UDC]],TableMJRUSCBI1[],7,FALSE),"")</f>
        <v/>
      </c>
      <c r="AI352" s="209" t="str">
        <f>IFERROR(VLOOKUP(TableHandbook[[#This Row],[UDC]],TableMJRUSCCH1[],7,FALSE),"")</f>
        <v/>
      </c>
      <c r="AJ352" s="209" t="str">
        <f>IFERROR(VLOOKUP(TableHandbook[[#This Row],[UDC]],TableMJRUSCHB1[],7,FALSE),"")</f>
        <v/>
      </c>
      <c r="AK352" s="209" t="str">
        <f>IFERROR(VLOOKUP(TableHandbook[[#This Row],[UDC]],TableMJRUSCPH1[],7,FALSE),"")</f>
        <v/>
      </c>
      <c r="AL352" s="209" t="str">
        <f>IFERROR(VLOOKUP(TableHandbook[[#This Row],[UDC]],TableMJRUSCPS1[],7,FALSE),"")</f>
        <v/>
      </c>
      <c r="AM352" s="211" t="str">
        <f>IFERROR(VLOOKUP(TableHandbook[[#This Row],[UDC]],TableSTRUBIOLB[],7,FALSE),"")</f>
        <v/>
      </c>
      <c r="AN352" s="209" t="str">
        <f>IFERROR(VLOOKUP(TableHandbook[[#This Row],[UDC]],TableSTRUBSCIM[],7,FALSE),"")</f>
        <v/>
      </c>
      <c r="AO352" s="209" t="str">
        <f>IFERROR(VLOOKUP(TableHandbook[[#This Row],[UDC]],TableSTRUCHEMB[],7,FALSE),"")</f>
        <v/>
      </c>
      <c r="AP352" s="209" t="str">
        <f>IFERROR(VLOOKUP(TableHandbook[[#This Row],[UDC]],TableSTRUECOB1[],7,FALSE),"")</f>
        <v/>
      </c>
      <c r="AQ352" s="209" t="str">
        <f>IFERROR(VLOOKUP(TableHandbook[[#This Row],[UDC]],TableSTRUENGLB[],7,FALSE),"")</f>
        <v/>
      </c>
      <c r="AR352" s="209" t="str">
        <f>IFERROR(VLOOKUP(TableHandbook[[#This Row],[UDC]],TableSTRUENGLM[],7,FALSE),"")</f>
        <v/>
      </c>
      <c r="AS352" s="209" t="str">
        <f>IFERROR(VLOOKUP(TableHandbook[[#This Row],[UDC]],TableSTRUGEOB1[],7,FALSE),"")</f>
        <v/>
      </c>
      <c r="AT352" s="209" t="str">
        <f>IFERROR(VLOOKUP(TableHandbook[[#This Row],[UDC]],TableSTRUGEOGM[],7,FALSE),"")</f>
        <v/>
      </c>
      <c r="AU352" s="209" t="str">
        <f>IFERROR(VLOOKUP(TableHandbook[[#This Row],[UDC]],TableSTRUHISB1[],7,FALSE),"")</f>
        <v/>
      </c>
      <c r="AV352" s="209" t="str">
        <f>IFERROR(VLOOKUP(TableHandbook[[#This Row],[UDC]],TableSTRUHISTM[],7,FALSE),"")</f>
        <v/>
      </c>
      <c r="AW352" s="209" t="str">
        <f>IFERROR(VLOOKUP(TableHandbook[[#This Row],[UDC]],TableSTRUHPEB1[],7,FALSE),"")</f>
        <v/>
      </c>
      <c r="AX352" s="209" t="str">
        <f>IFERROR(VLOOKUP(TableHandbook[[#This Row],[UDC]],TableSTRUHUMBB[],7,FALSE),"")</f>
        <v/>
      </c>
      <c r="AY352" s="209" t="str">
        <f>IFERROR(VLOOKUP(TableHandbook[[#This Row],[UDC]],TableSTRUMARTM[],7,FALSE),"")</f>
        <v/>
      </c>
      <c r="AZ352" s="209" t="str">
        <f>IFERROR(VLOOKUP(TableHandbook[[#This Row],[UDC]],TableSTRUMATHB[],7,FALSE),"")</f>
        <v/>
      </c>
      <c r="BA352" s="209" t="str">
        <f>IFERROR(VLOOKUP(TableHandbook[[#This Row],[UDC]],TableSTRUMATHM[],7,FALSE),"")</f>
        <v/>
      </c>
      <c r="BB352" s="209" t="str">
        <f>IFERROR(VLOOKUP(TableHandbook[[#This Row],[UDC]],TableSTRUPARTB[],7,FALSE),"")</f>
        <v/>
      </c>
      <c r="BC352" s="209" t="str">
        <f>IFERROR(VLOOKUP(TableHandbook[[#This Row],[UDC]],TableSTRUPARTM[],7,FALSE),"")</f>
        <v/>
      </c>
      <c r="BD352" s="209" t="str">
        <f>IFERROR(VLOOKUP(TableHandbook[[#This Row],[UDC]],TableSTRUPOLB1[],7,FALSE),"")</f>
        <v/>
      </c>
      <c r="BE352" s="209" t="str">
        <f>IFERROR(VLOOKUP(TableHandbook[[#This Row],[UDC]],TableSTRUPSYCB[],7,FALSE),"")</f>
        <v/>
      </c>
      <c r="BF352" s="209" t="str">
        <f>IFERROR(VLOOKUP(TableHandbook[[#This Row],[UDC]],TableSTRUPSYCM[],7,FALSE),"")</f>
        <v/>
      </c>
      <c r="BG352" s="209" t="str">
        <f>IFERROR(VLOOKUP(TableHandbook[[#This Row],[UDC]],TableSTRUVARTB[],7,FALSE),"")</f>
        <v/>
      </c>
      <c r="BH352" s="209" t="str">
        <f>IFERROR(VLOOKUP(TableHandbook[[#This Row],[UDC]],TableSTRUVARTM[],7,FALSE),"")</f>
        <v/>
      </c>
    </row>
    <row r="353" spans="1:60" x14ac:dyDescent="0.25">
      <c r="A353" s="296" t="s">
        <v>355</v>
      </c>
      <c r="B353" s="7">
        <v>1</v>
      </c>
      <c r="C353" s="7"/>
      <c r="D353" s="207" t="s">
        <v>445</v>
      </c>
      <c r="E353" s="7">
        <v>150</v>
      </c>
      <c r="F353" s="84"/>
      <c r="G353" s="75" t="str">
        <f>IFERROR(IF(VLOOKUP(TableHandbook[[#This Row],[UDC]],TableAvailabilities[],2,FALSE)&gt;0,"Y",""),"")</f>
        <v/>
      </c>
      <c r="H353" s="75" t="str">
        <f>IFERROR(IF(VLOOKUP(TableHandbook[[#This Row],[UDC]],TableAvailabilities[],3,FALSE)&gt;0,"Y",""),"")</f>
        <v/>
      </c>
      <c r="I353" s="75" t="str">
        <f>IFERROR(IF(VLOOKUP(TableHandbook[[#This Row],[UDC]],TableAvailabilities[],4,FALSE)&gt;0,"Y",""),"")</f>
        <v/>
      </c>
      <c r="J353" s="75" t="str">
        <f>IFERROR(IF(VLOOKUP(TableHandbook[[#This Row],[UDC]],TableAvailabilities[],5,FALSE)&gt;0,"Y",""),"")</f>
        <v/>
      </c>
      <c r="K353" s="75" t="str">
        <f>IFERROR(IF(VLOOKUP(TableHandbook[[#This Row],[UDC]],TableAvailabilities[],6,FALSE)&gt;0,"Y",""),"")</f>
        <v/>
      </c>
      <c r="L353" s="75" t="str">
        <f>IFERROR(IF(VLOOKUP(TableHandbook[[#This Row],[UDC]],TableAvailabilities[],7,FALSE)&gt;0,"Y",""),"")</f>
        <v/>
      </c>
      <c r="M353" s="207"/>
      <c r="N353" s="209" t="str">
        <f>IFERROR(VLOOKUP(TableHandbook[[#This Row],[UDC]],TableBEDUC[],7,FALSE),"")</f>
        <v/>
      </c>
      <c r="O353" s="209" t="str">
        <f>IFERROR(VLOOKUP(TableHandbook[[#This Row],[UDC]],TableBEDEC[],7,FALSE),"")</f>
        <v/>
      </c>
      <c r="P353" s="211" t="str">
        <f>IFERROR(VLOOKUP(TableHandbook[[#This Row],[UDC]],TableBEDPR[],7,FALSE),"")</f>
        <v/>
      </c>
      <c r="Q353" s="209" t="str">
        <f>IFERROR(VLOOKUP(TableHandbook[[#This Row],[UDC]],TableSTRUCATHL[],7,FALSE),"")</f>
        <v/>
      </c>
      <c r="R353" s="209" t="str">
        <f>IFERROR(VLOOKUP(TableHandbook[[#This Row],[UDC]],TableSTRUENGLL[],7,FALSE),"")</f>
        <v/>
      </c>
      <c r="S353" s="209" t="str">
        <f>IFERROR(VLOOKUP(TableHandbook[[#This Row],[UDC]],TableSTRUHLTPE[],7,FALSE),"")</f>
        <v/>
      </c>
      <c r="T353" s="209" t="str">
        <f>IFERROR(VLOOKUP(TableHandbook[[#This Row],[UDC]],TableSTRUISTEM[],7,FALSE),"")</f>
        <v/>
      </c>
      <c r="U353" s="209" t="str">
        <f>IFERROR(VLOOKUP(TableHandbook[[#This Row],[UDC]],TableSTRULITNU[],7,FALSE),"")</f>
        <v/>
      </c>
      <c r="V353" s="209" t="str">
        <f>IFERROR(VLOOKUP(TableHandbook[[#This Row],[UDC]],TableSTRUTECHS[],7,FALSE),"")</f>
        <v/>
      </c>
      <c r="W353" s="211" t="str">
        <f>IFERROR(VLOOKUP(TableHandbook[[#This Row],[UDC]],TableBEDSC[],7,FALSE),"")</f>
        <v/>
      </c>
      <c r="X353" s="211" t="str">
        <f>IFERROR(VLOOKUP(TableHandbook[[#This Row],[UDC]],TableMJRUARDR1[],7,FALSE),"")</f>
        <v>Option</v>
      </c>
      <c r="Y353" s="209" t="str">
        <f>IFERROR(VLOOKUP(TableHandbook[[#This Row],[UDC]],TableMJRUARME1[],7,FALSE),"")</f>
        <v>Option</v>
      </c>
      <c r="Z353" s="209" t="str">
        <f>IFERROR(VLOOKUP(TableHandbook[[#This Row],[UDC]],TableMJRUARVA1[],7,FALSE),"")</f>
        <v>Option</v>
      </c>
      <c r="AA353" s="209" t="str">
        <f>IFERROR(VLOOKUP(TableHandbook[[#This Row],[UDC]],TableMJRUENGL1[],7,FALSE),"")</f>
        <v>Option</v>
      </c>
      <c r="AB353" s="209" t="str">
        <f>IFERROR(VLOOKUP(TableHandbook[[#This Row],[UDC]],TableMJRUHSEC1[],7,FALSE),"")</f>
        <v/>
      </c>
      <c r="AC353" s="209" t="str">
        <f>IFERROR(VLOOKUP(TableHandbook[[#This Row],[UDC]],TableMJRUHSGE1[],7,FALSE),"")</f>
        <v/>
      </c>
      <c r="AD353" s="209" t="str">
        <f>IFERROR(VLOOKUP(TableHandbook[[#This Row],[UDC]],TableMJRUHSHI1[],7,FALSE),"")</f>
        <v/>
      </c>
      <c r="AE353" s="209" t="str">
        <f>IFERROR(VLOOKUP(TableHandbook[[#This Row],[UDC]],TableMJRUHSPL1[],7,FALSE),"")</f>
        <v/>
      </c>
      <c r="AF353" s="209" t="str">
        <f>IFERROR(VLOOKUP(TableHandbook[[#This Row],[UDC]],TableMJRUMATH1[],7,FALSE),"")</f>
        <v>Option</v>
      </c>
      <c r="AG353" s="209" t="str">
        <f>IFERROR(VLOOKUP(TableHandbook[[#This Row],[UDC]],TableMJRUPHYSE[],7,FALSE),"")</f>
        <v/>
      </c>
      <c r="AH353" s="209" t="str">
        <f>IFERROR(VLOOKUP(TableHandbook[[#This Row],[UDC]],TableMJRUSCBI1[],7,FALSE),"")</f>
        <v>Option</v>
      </c>
      <c r="AI353" s="209" t="str">
        <f>IFERROR(VLOOKUP(TableHandbook[[#This Row],[UDC]],TableMJRUSCCH1[],7,FALSE),"")</f>
        <v>Option</v>
      </c>
      <c r="AJ353" s="209" t="str">
        <f>IFERROR(VLOOKUP(TableHandbook[[#This Row],[UDC]],TableMJRUSCHB1[],7,FALSE),"")</f>
        <v>Option</v>
      </c>
      <c r="AK353" s="209" t="str">
        <f>IFERROR(VLOOKUP(TableHandbook[[#This Row],[UDC]],TableMJRUSCPH1[],7,FALSE),"")</f>
        <v/>
      </c>
      <c r="AL353" s="209" t="str">
        <f>IFERROR(VLOOKUP(TableHandbook[[#This Row],[UDC]],TableMJRUSCPS1[],7,FALSE),"")</f>
        <v>Option</v>
      </c>
      <c r="AM353" s="211" t="str">
        <f>IFERROR(VLOOKUP(TableHandbook[[#This Row],[UDC]],TableSTRUBIOLB[],7,FALSE),"")</f>
        <v/>
      </c>
      <c r="AN353" s="209" t="str">
        <f>IFERROR(VLOOKUP(TableHandbook[[#This Row],[UDC]],TableSTRUBSCIM[],7,FALSE),"")</f>
        <v/>
      </c>
      <c r="AO353" s="209" t="str">
        <f>IFERROR(VLOOKUP(TableHandbook[[#This Row],[UDC]],TableSTRUCHEMB[],7,FALSE),"")</f>
        <v/>
      </c>
      <c r="AP353" s="209" t="str">
        <f>IFERROR(VLOOKUP(TableHandbook[[#This Row],[UDC]],TableSTRUECOB1[],7,FALSE),"")</f>
        <v/>
      </c>
      <c r="AQ353" s="209" t="str">
        <f>IFERROR(VLOOKUP(TableHandbook[[#This Row],[UDC]],TableSTRUENGLB[],7,FALSE),"")</f>
        <v/>
      </c>
      <c r="AR353" s="209" t="str">
        <f>IFERROR(VLOOKUP(TableHandbook[[#This Row],[UDC]],TableSTRUENGLM[],7,FALSE),"")</f>
        <v/>
      </c>
      <c r="AS353" s="209" t="str">
        <f>IFERROR(VLOOKUP(TableHandbook[[#This Row],[UDC]],TableSTRUGEOB1[],7,FALSE),"")</f>
        <v/>
      </c>
      <c r="AT353" s="209" t="str">
        <f>IFERROR(VLOOKUP(TableHandbook[[#This Row],[UDC]],TableSTRUGEOGM[],7,FALSE),"")</f>
        <v/>
      </c>
      <c r="AU353" s="209" t="str">
        <f>IFERROR(VLOOKUP(TableHandbook[[#This Row],[UDC]],TableSTRUHISB1[],7,FALSE),"")</f>
        <v/>
      </c>
      <c r="AV353" s="209" t="str">
        <f>IFERROR(VLOOKUP(TableHandbook[[#This Row],[UDC]],TableSTRUHISTM[],7,FALSE),"")</f>
        <v/>
      </c>
      <c r="AW353" s="209" t="str">
        <f>IFERROR(VLOOKUP(TableHandbook[[#This Row],[UDC]],TableSTRUHPEB1[],7,FALSE),"")</f>
        <v/>
      </c>
      <c r="AX353" s="209" t="str">
        <f>IFERROR(VLOOKUP(TableHandbook[[#This Row],[UDC]],TableSTRUHUMBB[],7,FALSE),"")</f>
        <v/>
      </c>
      <c r="AY353" s="209" t="str">
        <f>IFERROR(VLOOKUP(TableHandbook[[#This Row],[UDC]],TableSTRUMARTM[],7,FALSE),"")</f>
        <v/>
      </c>
      <c r="AZ353" s="209" t="str">
        <f>IFERROR(VLOOKUP(TableHandbook[[#This Row],[UDC]],TableSTRUMATHB[],7,FALSE),"")</f>
        <v/>
      </c>
      <c r="BA353" s="209" t="str">
        <f>IFERROR(VLOOKUP(TableHandbook[[#This Row],[UDC]],TableSTRUMATHM[],7,FALSE),"")</f>
        <v/>
      </c>
      <c r="BB353" s="209" t="str">
        <f>IFERROR(VLOOKUP(TableHandbook[[#This Row],[UDC]],TableSTRUPARTB[],7,FALSE),"")</f>
        <v/>
      </c>
      <c r="BC353" s="209" t="str">
        <f>IFERROR(VLOOKUP(TableHandbook[[#This Row],[UDC]],TableSTRUPARTM[],7,FALSE),"")</f>
        <v/>
      </c>
      <c r="BD353" s="209" t="str">
        <f>IFERROR(VLOOKUP(TableHandbook[[#This Row],[UDC]],TableSTRUPOLB1[],7,FALSE),"")</f>
        <v/>
      </c>
      <c r="BE353" s="209" t="str">
        <f>IFERROR(VLOOKUP(TableHandbook[[#This Row],[UDC]],TableSTRUPSYCB[],7,FALSE),"")</f>
        <v/>
      </c>
      <c r="BF353" s="209" t="str">
        <f>IFERROR(VLOOKUP(TableHandbook[[#This Row],[UDC]],TableSTRUPSYCM[],7,FALSE),"")</f>
        <v/>
      </c>
      <c r="BG353" s="209" t="str">
        <f>IFERROR(VLOOKUP(TableHandbook[[#This Row],[UDC]],TableSTRUVARTB[],7,FALSE),"")</f>
        <v/>
      </c>
      <c r="BH353" s="209" t="str">
        <f>IFERROR(VLOOKUP(TableHandbook[[#This Row],[UDC]],TableSTRUVARTM[],7,FALSE),"")</f>
        <v/>
      </c>
    </row>
    <row r="354" spans="1:60" x14ac:dyDescent="0.25">
      <c r="A354" s="6" t="s">
        <v>111</v>
      </c>
      <c r="B354" s="307">
        <v>0</v>
      </c>
      <c r="C354" s="7"/>
      <c r="D354" s="207" t="s">
        <v>41</v>
      </c>
      <c r="E354" s="7">
        <v>75</v>
      </c>
      <c r="F354" s="84" t="s">
        <v>590</v>
      </c>
      <c r="G354" s="75" t="str">
        <f>IFERROR(IF(VLOOKUP(TableHandbook[[#This Row],[UDC]],TableAvailabilities[],2,FALSE)&gt;0,"Y",""),"")</f>
        <v/>
      </c>
      <c r="H354" s="75" t="str">
        <f>IFERROR(IF(VLOOKUP(TableHandbook[[#This Row],[UDC]],TableAvailabilities[],3,FALSE)&gt;0,"Y",""),"")</f>
        <v/>
      </c>
      <c r="I354" s="75" t="str">
        <f>IFERROR(IF(VLOOKUP(TableHandbook[[#This Row],[UDC]],TableAvailabilities[],4,FALSE)&gt;0,"Y",""),"")</f>
        <v/>
      </c>
      <c r="J354" s="75" t="str">
        <f>IFERROR(IF(VLOOKUP(TableHandbook[[#This Row],[UDC]],TableAvailabilities[],5,FALSE)&gt;0,"Y",""),"")</f>
        <v/>
      </c>
      <c r="K354" s="75" t="str">
        <f>IFERROR(IF(VLOOKUP(TableHandbook[[#This Row],[UDC]],TableAvailabilities[],6,FALSE)&gt;0,"Y",""),"")</f>
        <v/>
      </c>
      <c r="L354" s="75" t="str">
        <f>IFERROR(IF(VLOOKUP(TableHandbook[[#This Row],[UDC]],TableAvailabilities[],7,FALSE)&gt;0,"Y",""),"")</f>
        <v/>
      </c>
      <c r="M354" s="207"/>
      <c r="N354" s="209" t="str">
        <f>IFERROR(VLOOKUP(TableHandbook[[#This Row],[UDC]],TableBEDUC[],7,FALSE),"")</f>
        <v/>
      </c>
      <c r="O354" s="209" t="str">
        <f>IFERROR(VLOOKUP(TableHandbook[[#This Row],[UDC]],TableBEDEC[],7,FALSE),"")</f>
        <v/>
      </c>
      <c r="P354" s="211" t="str">
        <f>IFERROR(VLOOKUP(TableHandbook[[#This Row],[UDC]],TableBEDPR[],7,FALSE),"")</f>
        <v>Option</v>
      </c>
      <c r="Q354" s="209" t="str">
        <f>IFERROR(VLOOKUP(TableHandbook[[#This Row],[UDC]],TableSTRUCATHL[],7,FALSE),"")</f>
        <v/>
      </c>
      <c r="R354" s="209" t="str">
        <f>IFERROR(VLOOKUP(TableHandbook[[#This Row],[UDC]],TableSTRUENGLL[],7,FALSE),"")</f>
        <v/>
      </c>
      <c r="S354" s="209" t="str">
        <f>IFERROR(VLOOKUP(TableHandbook[[#This Row],[UDC]],TableSTRUHLTPE[],7,FALSE),"")</f>
        <v/>
      </c>
      <c r="T354" s="209" t="str">
        <f>IFERROR(VLOOKUP(TableHandbook[[#This Row],[UDC]],TableSTRUISTEM[],7,FALSE),"")</f>
        <v/>
      </c>
      <c r="U354" s="209" t="str">
        <f>IFERROR(VLOOKUP(TableHandbook[[#This Row],[UDC]],TableSTRULITNU[],7,FALSE),"")</f>
        <v/>
      </c>
      <c r="V354" s="209" t="str">
        <f>IFERROR(VLOOKUP(TableHandbook[[#This Row],[UDC]],TableSTRUTECHS[],7,FALSE),"")</f>
        <v/>
      </c>
      <c r="W354" s="211" t="str">
        <f>IFERROR(VLOOKUP(TableHandbook[[#This Row],[UDC]],TableBEDSC[],7,FALSE),"")</f>
        <v/>
      </c>
      <c r="X354" s="211" t="str">
        <f>IFERROR(VLOOKUP(TableHandbook[[#This Row],[UDC]],TableMJRUARDR1[],7,FALSE),"")</f>
        <v/>
      </c>
      <c r="Y354" s="209" t="str">
        <f>IFERROR(VLOOKUP(TableHandbook[[#This Row],[UDC]],TableMJRUARME1[],7,FALSE),"")</f>
        <v/>
      </c>
      <c r="Z354" s="209" t="str">
        <f>IFERROR(VLOOKUP(TableHandbook[[#This Row],[UDC]],TableMJRUARVA1[],7,FALSE),"")</f>
        <v/>
      </c>
      <c r="AA354" s="209" t="str">
        <f>IFERROR(VLOOKUP(TableHandbook[[#This Row],[UDC]],TableMJRUENGL1[],7,FALSE),"")</f>
        <v/>
      </c>
      <c r="AB354" s="209" t="str">
        <f>IFERROR(VLOOKUP(TableHandbook[[#This Row],[UDC]],TableMJRUHSEC1[],7,FALSE),"")</f>
        <v/>
      </c>
      <c r="AC354" s="209" t="str">
        <f>IFERROR(VLOOKUP(TableHandbook[[#This Row],[UDC]],TableMJRUHSGE1[],7,FALSE),"")</f>
        <v/>
      </c>
      <c r="AD354" s="209" t="str">
        <f>IFERROR(VLOOKUP(TableHandbook[[#This Row],[UDC]],TableMJRUHSHI1[],7,FALSE),"")</f>
        <v/>
      </c>
      <c r="AE354" s="209" t="str">
        <f>IFERROR(VLOOKUP(TableHandbook[[#This Row],[UDC]],TableMJRUHSPL1[],7,FALSE),"")</f>
        <v/>
      </c>
      <c r="AF354" s="209" t="str">
        <f>IFERROR(VLOOKUP(TableHandbook[[#This Row],[UDC]],TableMJRUMATH1[],7,FALSE),"")</f>
        <v/>
      </c>
      <c r="AG354" s="209" t="str">
        <f>IFERROR(VLOOKUP(TableHandbook[[#This Row],[UDC]],TableMJRUPHYSE[],7,FALSE),"")</f>
        <v/>
      </c>
      <c r="AH354" s="209" t="str">
        <f>IFERROR(VLOOKUP(TableHandbook[[#This Row],[UDC]],TableMJRUSCBI1[],7,FALSE),"")</f>
        <v/>
      </c>
      <c r="AI354" s="209" t="str">
        <f>IFERROR(VLOOKUP(TableHandbook[[#This Row],[UDC]],TableMJRUSCCH1[],7,FALSE),"")</f>
        <v/>
      </c>
      <c r="AJ354" s="209" t="str">
        <f>IFERROR(VLOOKUP(TableHandbook[[#This Row],[UDC]],TableMJRUSCHB1[],7,FALSE),"")</f>
        <v/>
      </c>
      <c r="AK354" s="209" t="str">
        <f>IFERROR(VLOOKUP(TableHandbook[[#This Row],[UDC]],TableMJRUSCPH1[],7,FALSE),"")</f>
        <v/>
      </c>
      <c r="AL354" s="209" t="str">
        <f>IFERROR(VLOOKUP(TableHandbook[[#This Row],[UDC]],TableMJRUSCPS1[],7,FALSE),"")</f>
        <v/>
      </c>
      <c r="AM354" s="211" t="str">
        <f>IFERROR(VLOOKUP(TableHandbook[[#This Row],[UDC]],TableSTRUBIOLB[],7,FALSE),"")</f>
        <v/>
      </c>
      <c r="AN354" s="209" t="str">
        <f>IFERROR(VLOOKUP(TableHandbook[[#This Row],[UDC]],TableSTRUBSCIM[],7,FALSE),"")</f>
        <v/>
      </c>
      <c r="AO354" s="209" t="str">
        <f>IFERROR(VLOOKUP(TableHandbook[[#This Row],[UDC]],TableSTRUCHEMB[],7,FALSE),"")</f>
        <v/>
      </c>
      <c r="AP354" s="209" t="str">
        <f>IFERROR(VLOOKUP(TableHandbook[[#This Row],[UDC]],TableSTRUECOB1[],7,FALSE),"")</f>
        <v/>
      </c>
      <c r="AQ354" s="209" t="str">
        <f>IFERROR(VLOOKUP(TableHandbook[[#This Row],[UDC]],TableSTRUENGLB[],7,FALSE),"")</f>
        <v/>
      </c>
      <c r="AR354" s="209" t="str">
        <f>IFERROR(VLOOKUP(TableHandbook[[#This Row],[UDC]],TableSTRUENGLM[],7,FALSE),"")</f>
        <v/>
      </c>
      <c r="AS354" s="209" t="str">
        <f>IFERROR(VLOOKUP(TableHandbook[[#This Row],[UDC]],TableSTRUGEOB1[],7,FALSE),"")</f>
        <v/>
      </c>
      <c r="AT354" s="209" t="str">
        <f>IFERROR(VLOOKUP(TableHandbook[[#This Row],[UDC]],TableSTRUGEOGM[],7,FALSE),"")</f>
        <v/>
      </c>
      <c r="AU354" s="209" t="str">
        <f>IFERROR(VLOOKUP(TableHandbook[[#This Row],[UDC]],TableSTRUHISB1[],7,FALSE),"")</f>
        <v/>
      </c>
      <c r="AV354" s="209" t="str">
        <f>IFERROR(VLOOKUP(TableHandbook[[#This Row],[UDC]],TableSTRUHISTM[],7,FALSE),"")</f>
        <v/>
      </c>
      <c r="AW354" s="209" t="str">
        <f>IFERROR(VLOOKUP(TableHandbook[[#This Row],[UDC]],TableSTRUHPEB1[],7,FALSE),"")</f>
        <v/>
      </c>
      <c r="AX354" s="209" t="str">
        <f>IFERROR(VLOOKUP(TableHandbook[[#This Row],[UDC]],TableSTRUHUMBB[],7,FALSE),"")</f>
        <v/>
      </c>
      <c r="AY354" s="209" t="str">
        <f>IFERROR(VLOOKUP(TableHandbook[[#This Row],[UDC]],TableSTRUMARTM[],7,FALSE),"")</f>
        <v/>
      </c>
      <c r="AZ354" s="209" t="str">
        <f>IFERROR(VLOOKUP(TableHandbook[[#This Row],[UDC]],TableSTRUMATHB[],7,FALSE),"")</f>
        <v/>
      </c>
      <c r="BA354" s="209" t="str">
        <f>IFERROR(VLOOKUP(TableHandbook[[#This Row],[UDC]],TableSTRUMATHM[],7,FALSE),"")</f>
        <v/>
      </c>
      <c r="BB354" s="209" t="str">
        <f>IFERROR(VLOOKUP(TableHandbook[[#This Row],[UDC]],TableSTRUPARTB[],7,FALSE),"")</f>
        <v/>
      </c>
      <c r="BC354" s="209" t="str">
        <f>IFERROR(VLOOKUP(TableHandbook[[#This Row],[UDC]],TableSTRUPARTM[],7,FALSE),"")</f>
        <v/>
      </c>
      <c r="BD354" s="209" t="str">
        <f>IFERROR(VLOOKUP(TableHandbook[[#This Row],[UDC]],TableSTRUPOLB1[],7,FALSE),"")</f>
        <v/>
      </c>
      <c r="BE354" s="209" t="str">
        <f>IFERROR(VLOOKUP(TableHandbook[[#This Row],[UDC]],TableSTRUPSYCB[],7,FALSE),"")</f>
        <v/>
      </c>
      <c r="BF354" s="209" t="str">
        <f>IFERROR(VLOOKUP(TableHandbook[[#This Row],[UDC]],TableSTRUPSYCM[],7,FALSE),"")</f>
        <v/>
      </c>
      <c r="BG354" s="209" t="str">
        <f>IFERROR(VLOOKUP(TableHandbook[[#This Row],[UDC]],TableSTRUVARTB[],7,FALSE),"")</f>
        <v/>
      </c>
      <c r="BH354" s="209" t="str">
        <f>IFERROR(VLOOKUP(TableHandbook[[#This Row],[UDC]],TableSTRUVARTM[],7,FALSE),"")</f>
        <v/>
      </c>
    </row>
    <row r="355" spans="1:60" x14ac:dyDescent="0.25">
      <c r="A355" s="296" t="s">
        <v>367</v>
      </c>
      <c r="B355" s="7">
        <v>1</v>
      </c>
      <c r="C355" s="7"/>
      <c r="D355" s="207" t="s">
        <v>208</v>
      </c>
      <c r="E355" s="7">
        <v>150</v>
      </c>
      <c r="F355" s="84"/>
      <c r="G355" s="75" t="str">
        <f>IFERROR(IF(VLOOKUP(TableHandbook[[#This Row],[UDC]],TableAvailabilities[],2,FALSE)&gt;0,"Y",""),"")</f>
        <v/>
      </c>
      <c r="H355" s="75" t="str">
        <f>IFERROR(IF(VLOOKUP(TableHandbook[[#This Row],[UDC]],TableAvailabilities[],3,FALSE)&gt;0,"Y",""),"")</f>
        <v/>
      </c>
      <c r="I355" s="75" t="str">
        <f>IFERROR(IF(VLOOKUP(TableHandbook[[#This Row],[UDC]],TableAvailabilities[],4,FALSE)&gt;0,"Y",""),"")</f>
        <v/>
      </c>
      <c r="J355" s="75" t="str">
        <f>IFERROR(IF(VLOOKUP(TableHandbook[[#This Row],[UDC]],TableAvailabilities[],5,FALSE)&gt;0,"Y",""),"")</f>
        <v/>
      </c>
      <c r="K355" s="75" t="str">
        <f>IFERROR(IF(VLOOKUP(TableHandbook[[#This Row],[UDC]],TableAvailabilities[],6,FALSE)&gt;0,"Y",""),"")</f>
        <v/>
      </c>
      <c r="L355" s="75" t="str">
        <f>IFERROR(IF(VLOOKUP(TableHandbook[[#This Row],[UDC]],TableAvailabilities[],7,FALSE)&gt;0,"Y",""),"")</f>
        <v/>
      </c>
      <c r="M355" s="207"/>
      <c r="N355" s="209" t="str">
        <f>IFERROR(VLOOKUP(TableHandbook[[#This Row],[UDC]],TableBEDUC[],7,FALSE),"")</f>
        <v/>
      </c>
      <c r="O355" s="209" t="str">
        <f>IFERROR(VLOOKUP(TableHandbook[[#This Row],[UDC]],TableBEDEC[],7,FALSE),"")</f>
        <v/>
      </c>
      <c r="P355" s="211" t="str">
        <f>IFERROR(VLOOKUP(TableHandbook[[#This Row],[UDC]],TableBEDPR[],7,FALSE),"")</f>
        <v/>
      </c>
      <c r="Q355" s="209" t="str">
        <f>IFERROR(VLOOKUP(TableHandbook[[#This Row],[UDC]],TableSTRUCATHL[],7,FALSE),"")</f>
        <v/>
      </c>
      <c r="R355" s="209" t="str">
        <f>IFERROR(VLOOKUP(TableHandbook[[#This Row],[UDC]],TableSTRUENGLL[],7,FALSE),"")</f>
        <v/>
      </c>
      <c r="S355" s="209" t="str">
        <f>IFERROR(VLOOKUP(TableHandbook[[#This Row],[UDC]],TableSTRUHLTPE[],7,FALSE),"")</f>
        <v/>
      </c>
      <c r="T355" s="209" t="str">
        <f>IFERROR(VLOOKUP(TableHandbook[[#This Row],[UDC]],TableSTRUISTEM[],7,FALSE),"")</f>
        <v/>
      </c>
      <c r="U355" s="209" t="str">
        <f>IFERROR(VLOOKUP(TableHandbook[[#This Row],[UDC]],TableSTRULITNU[],7,FALSE),"")</f>
        <v/>
      </c>
      <c r="V355" s="209" t="str">
        <f>IFERROR(VLOOKUP(TableHandbook[[#This Row],[UDC]],TableSTRUTECHS[],7,FALSE),"")</f>
        <v/>
      </c>
      <c r="W355" s="211" t="str">
        <f>IFERROR(VLOOKUP(TableHandbook[[#This Row],[UDC]],TableBEDSC[],7,FALSE),"")</f>
        <v/>
      </c>
      <c r="X355" s="211" t="str">
        <f>IFERROR(VLOOKUP(TableHandbook[[#This Row],[UDC]],TableMJRUARDR1[],7,FALSE),"")</f>
        <v/>
      </c>
      <c r="Y355" s="209" t="str">
        <f>IFERROR(VLOOKUP(TableHandbook[[#This Row],[UDC]],TableMJRUARME1[],7,FALSE),"")</f>
        <v/>
      </c>
      <c r="Z355" s="209" t="str">
        <f>IFERROR(VLOOKUP(TableHandbook[[#This Row],[UDC]],TableMJRUARVA1[],7,FALSE),"")</f>
        <v/>
      </c>
      <c r="AA355" s="209" t="str">
        <f>IFERROR(VLOOKUP(TableHandbook[[#This Row],[UDC]],TableMJRUENGL1[],7,FALSE),"")</f>
        <v/>
      </c>
      <c r="AB355" s="209" t="str">
        <f>IFERROR(VLOOKUP(TableHandbook[[#This Row],[UDC]],TableMJRUHSEC1[],7,FALSE),"")</f>
        <v/>
      </c>
      <c r="AC355" s="209" t="str">
        <f>IFERROR(VLOOKUP(TableHandbook[[#This Row],[UDC]],TableMJRUHSGE1[],7,FALSE),"")</f>
        <v/>
      </c>
      <c r="AD355" s="209" t="str">
        <f>IFERROR(VLOOKUP(TableHandbook[[#This Row],[UDC]],TableMJRUHSHI1[],7,FALSE),"")</f>
        <v/>
      </c>
      <c r="AE355" s="209" t="str">
        <f>IFERROR(VLOOKUP(TableHandbook[[#This Row],[UDC]],TableMJRUHSPL1[],7,FALSE),"")</f>
        <v/>
      </c>
      <c r="AF355" s="209" t="str">
        <f>IFERROR(VLOOKUP(TableHandbook[[#This Row],[UDC]],TableMJRUMATH1[],7,FALSE),"")</f>
        <v/>
      </c>
      <c r="AG355" s="209" t="str">
        <f>IFERROR(VLOOKUP(TableHandbook[[#This Row],[UDC]],TableMJRUPHYSE[],7,FALSE),"")</f>
        <v>Option</v>
      </c>
      <c r="AH355" s="209" t="str">
        <f>IFERROR(VLOOKUP(TableHandbook[[#This Row],[UDC]],TableMJRUSCBI1[],7,FALSE),"")</f>
        <v/>
      </c>
      <c r="AI355" s="209" t="str">
        <f>IFERROR(VLOOKUP(TableHandbook[[#This Row],[UDC]],TableMJRUSCCH1[],7,FALSE),"")</f>
        <v/>
      </c>
      <c r="AJ355" s="209" t="str">
        <f>IFERROR(VLOOKUP(TableHandbook[[#This Row],[UDC]],TableMJRUSCHB1[],7,FALSE),"")</f>
        <v/>
      </c>
      <c r="AK355" s="209" t="str">
        <f>IFERROR(VLOOKUP(TableHandbook[[#This Row],[UDC]],TableMJRUSCPH1[],7,FALSE),"")</f>
        <v/>
      </c>
      <c r="AL355" s="209" t="str">
        <f>IFERROR(VLOOKUP(TableHandbook[[#This Row],[UDC]],TableMJRUSCPS1[],7,FALSE),"")</f>
        <v/>
      </c>
      <c r="AM355" s="211" t="str">
        <f>IFERROR(VLOOKUP(TableHandbook[[#This Row],[UDC]],TableSTRUBIOLB[],7,FALSE),"")</f>
        <v/>
      </c>
      <c r="AN355" s="209" t="str">
        <f>IFERROR(VLOOKUP(TableHandbook[[#This Row],[UDC]],TableSTRUBSCIM[],7,FALSE),"")</f>
        <v/>
      </c>
      <c r="AO355" s="209" t="str">
        <f>IFERROR(VLOOKUP(TableHandbook[[#This Row],[UDC]],TableSTRUCHEMB[],7,FALSE),"")</f>
        <v/>
      </c>
      <c r="AP355" s="209" t="str">
        <f>IFERROR(VLOOKUP(TableHandbook[[#This Row],[UDC]],TableSTRUECOB1[],7,FALSE),"")</f>
        <v/>
      </c>
      <c r="AQ355" s="209" t="str">
        <f>IFERROR(VLOOKUP(TableHandbook[[#This Row],[UDC]],TableSTRUENGLB[],7,FALSE),"")</f>
        <v/>
      </c>
      <c r="AR355" s="209" t="str">
        <f>IFERROR(VLOOKUP(TableHandbook[[#This Row],[UDC]],TableSTRUENGLM[],7,FALSE),"")</f>
        <v/>
      </c>
      <c r="AS355" s="209" t="str">
        <f>IFERROR(VLOOKUP(TableHandbook[[#This Row],[UDC]],TableSTRUGEOB1[],7,FALSE),"")</f>
        <v/>
      </c>
      <c r="AT355" s="209" t="str">
        <f>IFERROR(VLOOKUP(TableHandbook[[#This Row],[UDC]],TableSTRUGEOGM[],7,FALSE),"")</f>
        <v/>
      </c>
      <c r="AU355" s="209" t="str">
        <f>IFERROR(VLOOKUP(TableHandbook[[#This Row],[UDC]],TableSTRUHISB1[],7,FALSE),"")</f>
        <v/>
      </c>
      <c r="AV355" s="209" t="str">
        <f>IFERROR(VLOOKUP(TableHandbook[[#This Row],[UDC]],TableSTRUHISTM[],7,FALSE),"")</f>
        <v/>
      </c>
      <c r="AW355" s="209" t="str">
        <f>IFERROR(VLOOKUP(TableHandbook[[#This Row],[UDC]],TableSTRUHPEB1[],7,FALSE),"")</f>
        <v/>
      </c>
      <c r="AX355" s="209" t="str">
        <f>IFERROR(VLOOKUP(TableHandbook[[#This Row],[UDC]],TableSTRUHUMBB[],7,FALSE),"")</f>
        <v/>
      </c>
      <c r="AY355" s="209" t="str">
        <f>IFERROR(VLOOKUP(TableHandbook[[#This Row],[UDC]],TableSTRUMARTM[],7,FALSE),"")</f>
        <v/>
      </c>
      <c r="AZ355" s="209" t="str">
        <f>IFERROR(VLOOKUP(TableHandbook[[#This Row],[UDC]],TableSTRUMATHB[],7,FALSE),"")</f>
        <v/>
      </c>
      <c r="BA355" s="209" t="str">
        <f>IFERROR(VLOOKUP(TableHandbook[[#This Row],[UDC]],TableSTRUMATHM[],7,FALSE),"")</f>
        <v/>
      </c>
      <c r="BB355" s="209" t="str">
        <f>IFERROR(VLOOKUP(TableHandbook[[#This Row],[UDC]],TableSTRUPARTB[],7,FALSE),"")</f>
        <v/>
      </c>
      <c r="BC355" s="209" t="str">
        <f>IFERROR(VLOOKUP(TableHandbook[[#This Row],[UDC]],TableSTRUPARTM[],7,FALSE),"")</f>
        <v/>
      </c>
      <c r="BD355" s="209" t="str">
        <f>IFERROR(VLOOKUP(TableHandbook[[#This Row],[UDC]],TableSTRUPOLB1[],7,FALSE),"")</f>
        <v/>
      </c>
      <c r="BE355" s="209" t="str">
        <f>IFERROR(VLOOKUP(TableHandbook[[#This Row],[UDC]],TableSTRUPSYCB[],7,FALSE),"")</f>
        <v/>
      </c>
      <c r="BF355" s="209" t="str">
        <f>IFERROR(VLOOKUP(TableHandbook[[#This Row],[UDC]],TableSTRUPSYCM[],7,FALSE),"")</f>
        <v/>
      </c>
      <c r="BG355" s="209" t="str">
        <f>IFERROR(VLOOKUP(TableHandbook[[#This Row],[UDC]],TableSTRUVARTB[],7,FALSE),"")</f>
        <v/>
      </c>
      <c r="BH355" s="209" t="str">
        <f>IFERROR(VLOOKUP(TableHandbook[[#This Row],[UDC]],TableSTRUVARTM[],7,FALSE),"")</f>
        <v/>
      </c>
    </row>
    <row r="356" spans="1:60" x14ac:dyDescent="0.25">
      <c r="A356" s="296" t="s">
        <v>370</v>
      </c>
      <c r="B356" s="7">
        <v>3</v>
      </c>
      <c r="C356" s="7"/>
      <c r="D356" s="207" t="s">
        <v>408</v>
      </c>
      <c r="E356" s="7">
        <v>150</v>
      </c>
      <c r="F356" s="84"/>
      <c r="G356" s="75" t="str">
        <f>IFERROR(IF(VLOOKUP(TableHandbook[[#This Row],[UDC]],TableAvailabilities[],2,FALSE)&gt;0,"Y",""),"")</f>
        <v/>
      </c>
      <c r="H356" s="75" t="str">
        <f>IFERROR(IF(VLOOKUP(TableHandbook[[#This Row],[UDC]],TableAvailabilities[],3,FALSE)&gt;0,"Y",""),"")</f>
        <v/>
      </c>
      <c r="I356" s="75" t="str">
        <f>IFERROR(IF(VLOOKUP(TableHandbook[[#This Row],[UDC]],TableAvailabilities[],4,FALSE)&gt;0,"Y",""),"")</f>
        <v/>
      </c>
      <c r="J356" s="75" t="str">
        <f>IFERROR(IF(VLOOKUP(TableHandbook[[#This Row],[UDC]],TableAvailabilities[],5,FALSE)&gt;0,"Y",""),"")</f>
        <v/>
      </c>
      <c r="K356" s="75" t="str">
        <f>IFERROR(IF(VLOOKUP(TableHandbook[[#This Row],[UDC]],TableAvailabilities[],6,FALSE)&gt;0,"Y",""),"")</f>
        <v/>
      </c>
      <c r="L356" s="75" t="str">
        <f>IFERROR(IF(VLOOKUP(TableHandbook[[#This Row],[UDC]],TableAvailabilities[],7,FALSE)&gt;0,"Y",""),"")</f>
        <v/>
      </c>
      <c r="M356" s="207"/>
      <c r="N356" s="209" t="str">
        <f>IFERROR(VLOOKUP(TableHandbook[[#This Row],[UDC]],TableBEDUC[],7,FALSE),"")</f>
        <v/>
      </c>
      <c r="O356" s="209" t="str">
        <f>IFERROR(VLOOKUP(TableHandbook[[#This Row],[UDC]],TableBEDEC[],7,FALSE),"")</f>
        <v/>
      </c>
      <c r="P356" s="211" t="str">
        <f>IFERROR(VLOOKUP(TableHandbook[[#This Row],[UDC]],TableBEDPR[],7,FALSE),"")</f>
        <v/>
      </c>
      <c r="Q356" s="209" t="str">
        <f>IFERROR(VLOOKUP(TableHandbook[[#This Row],[UDC]],TableSTRUCATHL[],7,FALSE),"")</f>
        <v/>
      </c>
      <c r="R356" s="209" t="str">
        <f>IFERROR(VLOOKUP(TableHandbook[[#This Row],[UDC]],TableSTRUENGLL[],7,FALSE),"")</f>
        <v/>
      </c>
      <c r="S356" s="209" t="str">
        <f>IFERROR(VLOOKUP(TableHandbook[[#This Row],[UDC]],TableSTRUHLTPE[],7,FALSE),"")</f>
        <v/>
      </c>
      <c r="T356" s="209" t="str">
        <f>IFERROR(VLOOKUP(TableHandbook[[#This Row],[UDC]],TableSTRUISTEM[],7,FALSE),"")</f>
        <v/>
      </c>
      <c r="U356" s="209" t="str">
        <f>IFERROR(VLOOKUP(TableHandbook[[#This Row],[UDC]],TableSTRULITNU[],7,FALSE),"")</f>
        <v/>
      </c>
      <c r="V356" s="209" t="str">
        <f>IFERROR(VLOOKUP(TableHandbook[[#This Row],[UDC]],TableSTRUTECHS[],7,FALSE),"")</f>
        <v/>
      </c>
      <c r="W356" s="211" t="str">
        <f>IFERROR(VLOOKUP(TableHandbook[[#This Row],[UDC]],TableBEDSC[],7,FALSE),"")</f>
        <v/>
      </c>
      <c r="X356" s="211" t="str">
        <f>IFERROR(VLOOKUP(TableHandbook[[#This Row],[UDC]],TableMJRUARDR1[],7,FALSE),"")</f>
        <v/>
      </c>
      <c r="Y356" s="209" t="str">
        <f>IFERROR(VLOOKUP(TableHandbook[[#This Row],[UDC]],TableMJRUARME1[],7,FALSE),"")</f>
        <v/>
      </c>
      <c r="Z356" s="209" t="str">
        <f>IFERROR(VLOOKUP(TableHandbook[[#This Row],[UDC]],TableMJRUARVA1[],7,FALSE),"")</f>
        <v/>
      </c>
      <c r="AA356" s="209" t="str">
        <f>IFERROR(VLOOKUP(TableHandbook[[#This Row],[UDC]],TableMJRUENGL1[],7,FALSE),"")</f>
        <v/>
      </c>
      <c r="AB356" s="209" t="str">
        <f>IFERROR(VLOOKUP(TableHandbook[[#This Row],[UDC]],TableMJRUHSEC1[],7,FALSE),"")</f>
        <v/>
      </c>
      <c r="AC356" s="209" t="str">
        <f>IFERROR(VLOOKUP(TableHandbook[[#This Row],[UDC]],TableMJRUHSGE1[],7,FALSE),"")</f>
        <v/>
      </c>
      <c r="AD356" s="209" t="str">
        <f>IFERROR(VLOOKUP(TableHandbook[[#This Row],[UDC]],TableMJRUHSHI1[],7,FALSE),"")</f>
        <v/>
      </c>
      <c r="AE356" s="209" t="str">
        <f>IFERROR(VLOOKUP(TableHandbook[[#This Row],[UDC]],TableMJRUHSPL1[],7,FALSE),"")</f>
        <v/>
      </c>
      <c r="AF356" s="209" t="str">
        <f>IFERROR(VLOOKUP(TableHandbook[[#This Row],[UDC]],TableMJRUMATH1[],7,FALSE),"")</f>
        <v/>
      </c>
      <c r="AG356" s="209" t="str">
        <f>IFERROR(VLOOKUP(TableHandbook[[#This Row],[UDC]],TableMJRUPHYSE[],7,FALSE),"")</f>
        <v/>
      </c>
      <c r="AH356" s="209" t="str">
        <f>IFERROR(VLOOKUP(TableHandbook[[#This Row],[UDC]],TableMJRUSCBI1[],7,FALSE),"")</f>
        <v/>
      </c>
      <c r="AI356" s="209" t="str">
        <f>IFERROR(VLOOKUP(TableHandbook[[#This Row],[UDC]],TableMJRUSCCH1[],7,FALSE),"")</f>
        <v/>
      </c>
      <c r="AJ356" s="209" t="str">
        <f>IFERROR(VLOOKUP(TableHandbook[[#This Row],[UDC]],TableMJRUSCHB1[],7,FALSE),"")</f>
        <v>Option</v>
      </c>
      <c r="AK356" s="209" t="str">
        <f>IFERROR(VLOOKUP(TableHandbook[[#This Row],[UDC]],TableMJRUSCPH1[],7,FALSE),"")</f>
        <v/>
      </c>
      <c r="AL356" s="209" t="str">
        <f>IFERROR(VLOOKUP(TableHandbook[[#This Row],[UDC]],TableMJRUSCPS1[],7,FALSE),"")</f>
        <v/>
      </c>
      <c r="AM356" s="211" t="str">
        <f>IFERROR(VLOOKUP(TableHandbook[[#This Row],[UDC]],TableSTRUBIOLB[],7,FALSE),"")</f>
        <v/>
      </c>
      <c r="AN356" s="209" t="str">
        <f>IFERROR(VLOOKUP(TableHandbook[[#This Row],[UDC]],TableSTRUBSCIM[],7,FALSE),"")</f>
        <v/>
      </c>
      <c r="AO356" s="209" t="str">
        <f>IFERROR(VLOOKUP(TableHandbook[[#This Row],[UDC]],TableSTRUCHEMB[],7,FALSE),"")</f>
        <v/>
      </c>
      <c r="AP356" s="209" t="str">
        <f>IFERROR(VLOOKUP(TableHandbook[[#This Row],[UDC]],TableSTRUECOB1[],7,FALSE),"")</f>
        <v/>
      </c>
      <c r="AQ356" s="209" t="str">
        <f>IFERROR(VLOOKUP(TableHandbook[[#This Row],[UDC]],TableSTRUENGLB[],7,FALSE),"")</f>
        <v/>
      </c>
      <c r="AR356" s="209" t="str">
        <f>IFERROR(VLOOKUP(TableHandbook[[#This Row],[UDC]],TableSTRUENGLM[],7,FALSE),"")</f>
        <v/>
      </c>
      <c r="AS356" s="209" t="str">
        <f>IFERROR(VLOOKUP(TableHandbook[[#This Row],[UDC]],TableSTRUGEOB1[],7,FALSE),"")</f>
        <v/>
      </c>
      <c r="AT356" s="209" t="str">
        <f>IFERROR(VLOOKUP(TableHandbook[[#This Row],[UDC]],TableSTRUGEOGM[],7,FALSE),"")</f>
        <v/>
      </c>
      <c r="AU356" s="209" t="str">
        <f>IFERROR(VLOOKUP(TableHandbook[[#This Row],[UDC]],TableSTRUHISB1[],7,FALSE),"")</f>
        <v/>
      </c>
      <c r="AV356" s="209" t="str">
        <f>IFERROR(VLOOKUP(TableHandbook[[#This Row],[UDC]],TableSTRUHISTM[],7,FALSE),"")</f>
        <v/>
      </c>
      <c r="AW356" s="209" t="str">
        <f>IFERROR(VLOOKUP(TableHandbook[[#This Row],[UDC]],TableSTRUHPEB1[],7,FALSE),"")</f>
        <v/>
      </c>
      <c r="AX356" s="209" t="str">
        <f>IFERROR(VLOOKUP(TableHandbook[[#This Row],[UDC]],TableSTRUHUMBB[],7,FALSE),"")</f>
        <v/>
      </c>
      <c r="AY356" s="209" t="str">
        <f>IFERROR(VLOOKUP(TableHandbook[[#This Row],[UDC]],TableSTRUMARTM[],7,FALSE),"")</f>
        <v/>
      </c>
      <c r="AZ356" s="209" t="str">
        <f>IFERROR(VLOOKUP(TableHandbook[[#This Row],[UDC]],TableSTRUMATHB[],7,FALSE),"")</f>
        <v/>
      </c>
      <c r="BA356" s="209" t="str">
        <f>IFERROR(VLOOKUP(TableHandbook[[#This Row],[UDC]],TableSTRUMATHM[],7,FALSE),"")</f>
        <v/>
      </c>
      <c r="BB356" s="209" t="str">
        <f>IFERROR(VLOOKUP(TableHandbook[[#This Row],[UDC]],TableSTRUPARTB[],7,FALSE),"")</f>
        <v/>
      </c>
      <c r="BC356" s="209" t="str">
        <f>IFERROR(VLOOKUP(TableHandbook[[#This Row],[UDC]],TableSTRUPARTM[],7,FALSE),"")</f>
        <v/>
      </c>
      <c r="BD356" s="209" t="str">
        <f>IFERROR(VLOOKUP(TableHandbook[[#This Row],[UDC]],TableSTRUPOLB1[],7,FALSE),"")</f>
        <v/>
      </c>
      <c r="BE356" s="209" t="str">
        <f>IFERROR(VLOOKUP(TableHandbook[[#This Row],[UDC]],TableSTRUPSYCB[],7,FALSE),"")</f>
        <v/>
      </c>
      <c r="BF356" s="209" t="str">
        <f>IFERROR(VLOOKUP(TableHandbook[[#This Row],[UDC]],TableSTRUPSYCM[],7,FALSE),"")</f>
        <v/>
      </c>
      <c r="BG356" s="209" t="str">
        <f>IFERROR(VLOOKUP(TableHandbook[[#This Row],[UDC]],TableSTRUVARTB[],7,FALSE),"")</f>
        <v/>
      </c>
      <c r="BH356" s="209" t="str">
        <f>IFERROR(VLOOKUP(TableHandbook[[#This Row],[UDC]],TableSTRUVARTM[],7,FALSE),"")</f>
        <v/>
      </c>
    </row>
    <row r="357" spans="1:60" x14ac:dyDescent="0.25">
      <c r="A357" s="6" t="s">
        <v>113</v>
      </c>
      <c r="B357" s="7">
        <v>1</v>
      </c>
      <c r="C357" s="7"/>
      <c r="D357" s="207" t="s">
        <v>112</v>
      </c>
      <c r="E357" s="7">
        <v>75</v>
      </c>
      <c r="F357" s="84"/>
      <c r="G357" s="75" t="str">
        <f>IFERROR(IF(VLOOKUP(TableHandbook[[#This Row],[UDC]],TableAvailabilities[],2,FALSE)&gt;0,"Y",""),"")</f>
        <v/>
      </c>
      <c r="H357" s="75" t="str">
        <f>IFERROR(IF(VLOOKUP(TableHandbook[[#This Row],[UDC]],TableAvailabilities[],3,FALSE)&gt;0,"Y",""),"")</f>
        <v/>
      </c>
      <c r="I357" s="75" t="str">
        <f>IFERROR(IF(VLOOKUP(TableHandbook[[#This Row],[UDC]],TableAvailabilities[],4,FALSE)&gt;0,"Y",""),"")</f>
        <v/>
      </c>
      <c r="J357" s="75" t="str">
        <f>IFERROR(IF(VLOOKUP(TableHandbook[[#This Row],[UDC]],TableAvailabilities[],5,FALSE)&gt;0,"Y",""),"")</f>
        <v/>
      </c>
      <c r="K357" s="75" t="str">
        <f>IFERROR(IF(VLOOKUP(TableHandbook[[#This Row],[UDC]],TableAvailabilities[],6,FALSE)&gt;0,"Y",""),"")</f>
        <v/>
      </c>
      <c r="L357" s="75" t="str">
        <f>IFERROR(IF(VLOOKUP(TableHandbook[[#This Row],[UDC]],TableAvailabilities[],7,FALSE)&gt;0,"Y",""),"")</f>
        <v/>
      </c>
      <c r="M357" s="207"/>
      <c r="N357" s="209" t="str">
        <f>IFERROR(VLOOKUP(TableHandbook[[#This Row],[UDC]],TableBEDUC[],7,FALSE),"")</f>
        <v/>
      </c>
      <c r="O357" s="209" t="str">
        <f>IFERROR(VLOOKUP(TableHandbook[[#This Row],[UDC]],TableBEDEC[],7,FALSE),"")</f>
        <v/>
      </c>
      <c r="P357" s="211" t="str">
        <f>IFERROR(VLOOKUP(TableHandbook[[#This Row],[UDC]],TableBEDPR[],7,FALSE),"")</f>
        <v>Option</v>
      </c>
      <c r="Q357" s="209" t="str">
        <f>IFERROR(VLOOKUP(TableHandbook[[#This Row],[UDC]],TableSTRUCATHL[],7,FALSE),"")</f>
        <v/>
      </c>
      <c r="R357" s="209" t="str">
        <f>IFERROR(VLOOKUP(TableHandbook[[#This Row],[UDC]],TableSTRUENGLL[],7,FALSE),"")</f>
        <v/>
      </c>
      <c r="S357" s="209" t="str">
        <f>IFERROR(VLOOKUP(TableHandbook[[#This Row],[UDC]],TableSTRUHLTPE[],7,FALSE),"")</f>
        <v/>
      </c>
      <c r="T357" s="209" t="str">
        <f>IFERROR(VLOOKUP(TableHandbook[[#This Row],[UDC]],TableSTRUISTEM[],7,FALSE),"")</f>
        <v/>
      </c>
      <c r="U357" s="209" t="str">
        <f>IFERROR(VLOOKUP(TableHandbook[[#This Row],[UDC]],TableSTRULITNU[],7,FALSE),"")</f>
        <v/>
      </c>
      <c r="V357" s="209" t="str">
        <f>IFERROR(VLOOKUP(TableHandbook[[#This Row],[UDC]],TableSTRUTECHS[],7,FALSE),"")</f>
        <v/>
      </c>
      <c r="W357" s="211" t="str">
        <f>IFERROR(VLOOKUP(TableHandbook[[#This Row],[UDC]],TableBEDSC[],7,FALSE),"")</f>
        <v/>
      </c>
      <c r="X357" s="211" t="str">
        <f>IFERROR(VLOOKUP(TableHandbook[[#This Row],[UDC]],TableMJRUARDR1[],7,FALSE),"")</f>
        <v/>
      </c>
      <c r="Y357" s="209" t="str">
        <f>IFERROR(VLOOKUP(TableHandbook[[#This Row],[UDC]],TableMJRUARME1[],7,FALSE),"")</f>
        <v/>
      </c>
      <c r="Z357" s="209" t="str">
        <f>IFERROR(VLOOKUP(TableHandbook[[#This Row],[UDC]],TableMJRUARVA1[],7,FALSE),"")</f>
        <v/>
      </c>
      <c r="AA357" s="209" t="str">
        <f>IFERROR(VLOOKUP(TableHandbook[[#This Row],[UDC]],TableMJRUENGL1[],7,FALSE),"")</f>
        <v/>
      </c>
      <c r="AB357" s="209" t="str">
        <f>IFERROR(VLOOKUP(TableHandbook[[#This Row],[UDC]],TableMJRUHSEC1[],7,FALSE),"")</f>
        <v/>
      </c>
      <c r="AC357" s="209" t="str">
        <f>IFERROR(VLOOKUP(TableHandbook[[#This Row],[UDC]],TableMJRUHSGE1[],7,FALSE),"")</f>
        <v/>
      </c>
      <c r="AD357" s="209" t="str">
        <f>IFERROR(VLOOKUP(TableHandbook[[#This Row],[UDC]],TableMJRUHSHI1[],7,FALSE),"")</f>
        <v/>
      </c>
      <c r="AE357" s="209" t="str">
        <f>IFERROR(VLOOKUP(TableHandbook[[#This Row],[UDC]],TableMJRUHSPL1[],7,FALSE),"")</f>
        <v/>
      </c>
      <c r="AF357" s="209" t="str">
        <f>IFERROR(VLOOKUP(TableHandbook[[#This Row],[UDC]],TableMJRUMATH1[],7,FALSE),"")</f>
        <v/>
      </c>
      <c r="AG357" s="209" t="str">
        <f>IFERROR(VLOOKUP(TableHandbook[[#This Row],[UDC]],TableMJRUPHYSE[],7,FALSE),"")</f>
        <v/>
      </c>
      <c r="AH357" s="209" t="str">
        <f>IFERROR(VLOOKUP(TableHandbook[[#This Row],[UDC]],TableMJRUSCBI1[],7,FALSE),"")</f>
        <v/>
      </c>
      <c r="AI357" s="209" t="str">
        <f>IFERROR(VLOOKUP(TableHandbook[[#This Row],[UDC]],TableMJRUSCCH1[],7,FALSE),"")</f>
        <v/>
      </c>
      <c r="AJ357" s="209" t="str">
        <f>IFERROR(VLOOKUP(TableHandbook[[#This Row],[UDC]],TableMJRUSCHB1[],7,FALSE),"")</f>
        <v/>
      </c>
      <c r="AK357" s="209" t="str">
        <f>IFERROR(VLOOKUP(TableHandbook[[#This Row],[UDC]],TableMJRUSCPH1[],7,FALSE),"")</f>
        <v/>
      </c>
      <c r="AL357" s="209" t="str">
        <f>IFERROR(VLOOKUP(TableHandbook[[#This Row],[UDC]],TableMJRUSCPS1[],7,FALSE),"")</f>
        <v/>
      </c>
      <c r="AM357" s="211" t="str">
        <f>IFERROR(VLOOKUP(TableHandbook[[#This Row],[UDC]],TableSTRUBIOLB[],7,FALSE),"")</f>
        <v/>
      </c>
      <c r="AN357" s="209" t="str">
        <f>IFERROR(VLOOKUP(TableHandbook[[#This Row],[UDC]],TableSTRUBSCIM[],7,FALSE),"")</f>
        <v/>
      </c>
      <c r="AO357" s="209" t="str">
        <f>IFERROR(VLOOKUP(TableHandbook[[#This Row],[UDC]],TableSTRUCHEMB[],7,FALSE),"")</f>
        <v/>
      </c>
      <c r="AP357" s="209" t="str">
        <f>IFERROR(VLOOKUP(TableHandbook[[#This Row],[UDC]],TableSTRUECOB1[],7,FALSE),"")</f>
        <v/>
      </c>
      <c r="AQ357" s="209" t="str">
        <f>IFERROR(VLOOKUP(TableHandbook[[#This Row],[UDC]],TableSTRUENGLB[],7,FALSE),"")</f>
        <v/>
      </c>
      <c r="AR357" s="209" t="str">
        <f>IFERROR(VLOOKUP(TableHandbook[[#This Row],[UDC]],TableSTRUENGLM[],7,FALSE),"")</f>
        <v/>
      </c>
      <c r="AS357" s="209" t="str">
        <f>IFERROR(VLOOKUP(TableHandbook[[#This Row],[UDC]],TableSTRUGEOB1[],7,FALSE),"")</f>
        <v/>
      </c>
      <c r="AT357" s="209" t="str">
        <f>IFERROR(VLOOKUP(TableHandbook[[#This Row],[UDC]],TableSTRUGEOGM[],7,FALSE),"")</f>
        <v/>
      </c>
      <c r="AU357" s="209" t="str">
        <f>IFERROR(VLOOKUP(TableHandbook[[#This Row],[UDC]],TableSTRUHISB1[],7,FALSE),"")</f>
        <v/>
      </c>
      <c r="AV357" s="209" t="str">
        <f>IFERROR(VLOOKUP(TableHandbook[[#This Row],[UDC]],TableSTRUHISTM[],7,FALSE),"")</f>
        <v/>
      </c>
      <c r="AW357" s="209" t="str">
        <f>IFERROR(VLOOKUP(TableHandbook[[#This Row],[UDC]],TableSTRUHPEB1[],7,FALSE),"")</f>
        <v/>
      </c>
      <c r="AX357" s="209" t="str">
        <f>IFERROR(VLOOKUP(TableHandbook[[#This Row],[UDC]],TableSTRUHUMBB[],7,FALSE),"")</f>
        <v/>
      </c>
      <c r="AY357" s="209" t="str">
        <f>IFERROR(VLOOKUP(TableHandbook[[#This Row],[UDC]],TableSTRUMARTM[],7,FALSE),"")</f>
        <v/>
      </c>
      <c r="AZ357" s="209" t="str">
        <f>IFERROR(VLOOKUP(TableHandbook[[#This Row],[UDC]],TableSTRUMATHB[],7,FALSE),"")</f>
        <v/>
      </c>
      <c r="BA357" s="209" t="str">
        <f>IFERROR(VLOOKUP(TableHandbook[[#This Row],[UDC]],TableSTRUMATHM[],7,FALSE),"")</f>
        <v/>
      </c>
      <c r="BB357" s="209" t="str">
        <f>IFERROR(VLOOKUP(TableHandbook[[#This Row],[UDC]],TableSTRUPARTB[],7,FALSE),"")</f>
        <v/>
      </c>
      <c r="BC357" s="209" t="str">
        <f>IFERROR(VLOOKUP(TableHandbook[[#This Row],[UDC]],TableSTRUPARTM[],7,FALSE),"")</f>
        <v/>
      </c>
      <c r="BD357" s="209" t="str">
        <f>IFERROR(VLOOKUP(TableHandbook[[#This Row],[UDC]],TableSTRUPOLB1[],7,FALSE),"")</f>
        <v/>
      </c>
      <c r="BE357" s="209" t="str">
        <f>IFERROR(VLOOKUP(TableHandbook[[#This Row],[UDC]],TableSTRUPSYCB[],7,FALSE),"")</f>
        <v/>
      </c>
      <c r="BF357" s="209" t="str">
        <f>IFERROR(VLOOKUP(TableHandbook[[#This Row],[UDC]],TableSTRUPSYCM[],7,FALSE),"")</f>
        <v/>
      </c>
      <c r="BG357" s="209" t="str">
        <f>IFERROR(VLOOKUP(TableHandbook[[#This Row],[UDC]],TableSTRUVARTB[],7,FALSE),"")</f>
        <v/>
      </c>
      <c r="BH357" s="209" t="str">
        <f>IFERROR(VLOOKUP(TableHandbook[[#This Row],[UDC]],TableSTRUVARTM[],7,FALSE),"")</f>
        <v/>
      </c>
    </row>
    <row r="358" spans="1:60" x14ac:dyDescent="0.25">
      <c r="A358" s="6" t="s">
        <v>115</v>
      </c>
      <c r="B358" s="7">
        <v>1</v>
      </c>
      <c r="C358" s="7"/>
      <c r="D358" s="207" t="s">
        <v>114</v>
      </c>
      <c r="E358" s="7">
        <v>75</v>
      </c>
      <c r="F358" s="84"/>
      <c r="G358" s="75" t="str">
        <f>IFERROR(IF(VLOOKUP(TableHandbook[[#This Row],[UDC]],TableAvailabilities[],2,FALSE)&gt;0,"Y",""),"")</f>
        <v/>
      </c>
      <c r="H358" s="75" t="str">
        <f>IFERROR(IF(VLOOKUP(TableHandbook[[#This Row],[UDC]],TableAvailabilities[],3,FALSE)&gt;0,"Y",""),"")</f>
        <v/>
      </c>
      <c r="I358" s="75" t="str">
        <f>IFERROR(IF(VLOOKUP(TableHandbook[[#This Row],[UDC]],TableAvailabilities[],4,FALSE)&gt;0,"Y",""),"")</f>
        <v/>
      </c>
      <c r="J358" s="75" t="str">
        <f>IFERROR(IF(VLOOKUP(TableHandbook[[#This Row],[UDC]],TableAvailabilities[],5,FALSE)&gt;0,"Y",""),"")</f>
        <v/>
      </c>
      <c r="K358" s="75" t="str">
        <f>IFERROR(IF(VLOOKUP(TableHandbook[[#This Row],[UDC]],TableAvailabilities[],6,FALSE)&gt;0,"Y",""),"")</f>
        <v/>
      </c>
      <c r="L358" s="75" t="str">
        <f>IFERROR(IF(VLOOKUP(TableHandbook[[#This Row],[UDC]],TableAvailabilities[],7,FALSE)&gt;0,"Y",""),"")</f>
        <v/>
      </c>
      <c r="M358" s="207"/>
      <c r="N358" s="209" t="str">
        <f>IFERROR(VLOOKUP(TableHandbook[[#This Row],[UDC]],TableBEDUC[],7,FALSE),"")</f>
        <v/>
      </c>
      <c r="O358" s="209" t="str">
        <f>IFERROR(VLOOKUP(TableHandbook[[#This Row],[UDC]],TableBEDEC[],7,FALSE),"")</f>
        <v/>
      </c>
      <c r="P358" s="211" t="str">
        <f>IFERROR(VLOOKUP(TableHandbook[[#This Row],[UDC]],TableBEDPR[],7,FALSE),"")</f>
        <v>Option</v>
      </c>
      <c r="Q358" s="209" t="str">
        <f>IFERROR(VLOOKUP(TableHandbook[[#This Row],[UDC]],TableSTRUCATHL[],7,FALSE),"")</f>
        <v/>
      </c>
      <c r="R358" s="209" t="str">
        <f>IFERROR(VLOOKUP(TableHandbook[[#This Row],[UDC]],TableSTRUENGLL[],7,FALSE),"")</f>
        <v/>
      </c>
      <c r="S358" s="209" t="str">
        <f>IFERROR(VLOOKUP(TableHandbook[[#This Row],[UDC]],TableSTRUHLTPE[],7,FALSE),"")</f>
        <v/>
      </c>
      <c r="T358" s="209" t="str">
        <f>IFERROR(VLOOKUP(TableHandbook[[#This Row],[UDC]],TableSTRUISTEM[],7,FALSE),"")</f>
        <v/>
      </c>
      <c r="U358" s="209" t="str">
        <f>IFERROR(VLOOKUP(TableHandbook[[#This Row],[UDC]],TableSTRULITNU[],7,FALSE),"")</f>
        <v/>
      </c>
      <c r="V358" s="209" t="str">
        <f>IFERROR(VLOOKUP(TableHandbook[[#This Row],[UDC]],TableSTRUTECHS[],7,FALSE),"")</f>
        <v/>
      </c>
      <c r="W358" s="211" t="str">
        <f>IFERROR(VLOOKUP(TableHandbook[[#This Row],[UDC]],TableBEDSC[],7,FALSE),"")</f>
        <v/>
      </c>
      <c r="X358" s="211" t="str">
        <f>IFERROR(VLOOKUP(TableHandbook[[#This Row],[UDC]],TableMJRUARDR1[],7,FALSE),"")</f>
        <v/>
      </c>
      <c r="Y358" s="209" t="str">
        <f>IFERROR(VLOOKUP(TableHandbook[[#This Row],[UDC]],TableMJRUARME1[],7,FALSE),"")</f>
        <v/>
      </c>
      <c r="Z358" s="209" t="str">
        <f>IFERROR(VLOOKUP(TableHandbook[[#This Row],[UDC]],TableMJRUARVA1[],7,FALSE),"")</f>
        <v/>
      </c>
      <c r="AA358" s="209" t="str">
        <f>IFERROR(VLOOKUP(TableHandbook[[#This Row],[UDC]],TableMJRUENGL1[],7,FALSE),"")</f>
        <v/>
      </c>
      <c r="AB358" s="209" t="str">
        <f>IFERROR(VLOOKUP(TableHandbook[[#This Row],[UDC]],TableMJRUHSEC1[],7,FALSE),"")</f>
        <v/>
      </c>
      <c r="AC358" s="209" t="str">
        <f>IFERROR(VLOOKUP(TableHandbook[[#This Row],[UDC]],TableMJRUHSGE1[],7,FALSE),"")</f>
        <v/>
      </c>
      <c r="AD358" s="209" t="str">
        <f>IFERROR(VLOOKUP(TableHandbook[[#This Row],[UDC]],TableMJRUHSHI1[],7,FALSE),"")</f>
        <v/>
      </c>
      <c r="AE358" s="209" t="str">
        <f>IFERROR(VLOOKUP(TableHandbook[[#This Row],[UDC]],TableMJRUHSPL1[],7,FALSE),"")</f>
        <v/>
      </c>
      <c r="AF358" s="209" t="str">
        <f>IFERROR(VLOOKUP(TableHandbook[[#This Row],[UDC]],TableMJRUMATH1[],7,FALSE),"")</f>
        <v/>
      </c>
      <c r="AG358" s="209" t="str">
        <f>IFERROR(VLOOKUP(TableHandbook[[#This Row],[UDC]],TableMJRUPHYSE[],7,FALSE),"")</f>
        <v/>
      </c>
      <c r="AH358" s="209" t="str">
        <f>IFERROR(VLOOKUP(TableHandbook[[#This Row],[UDC]],TableMJRUSCBI1[],7,FALSE),"")</f>
        <v/>
      </c>
      <c r="AI358" s="209" t="str">
        <f>IFERROR(VLOOKUP(TableHandbook[[#This Row],[UDC]],TableMJRUSCCH1[],7,FALSE),"")</f>
        <v/>
      </c>
      <c r="AJ358" s="209" t="str">
        <f>IFERROR(VLOOKUP(TableHandbook[[#This Row],[UDC]],TableMJRUSCHB1[],7,FALSE),"")</f>
        <v/>
      </c>
      <c r="AK358" s="209" t="str">
        <f>IFERROR(VLOOKUP(TableHandbook[[#This Row],[UDC]],TableMJRUSCPH1[],7,FALSE),"")</f>
        <v/>
      </c>
      <c r="AL358" s="209" t="str">
        <f>IFERROR(VLOOKUP(TableHandbook[[#This Row],[UDC]],TableMJRUSCPS1[],7,FALSE),"")</f>
        <v/>
      </c>
      <c r="AM358" s="211" t="str">
        <f>IFERROR(VLOOKUP(TableHandbook[[#This Row],[UDC]],TableSTRUBIOLB[],7,FALSE),"")</f>
        <v/>
      </c>
      <c r="AN358" s="209" t="str">
        <f>IFERROR(VLOOKUP(TableHandbook[[#This Row],[UDC]],TableSTRUBSCIM[],7,FALSE),"")</f>
        <v/>
      </c>
      <c r="AO358" s="209" t="str">
        <f>IFERROR(VLOOKUP(TableHandbook[[#This Row],[UDC]],TableSTRUCHEMB[],7,FALSE),"")</f>
        <v/>
      </c>
      <c r="AP358" s="209" t="str">
        <f>IFERROR(VLOOKUP(TableHandbook[[#This Row],[UDC]],TableSTRUECOB1[],7,FALSE),"")</f>
        <v/>
      </c>
      <c r="AQ358" s="209" t="str">
        <f>IFERROR(VLOOKUP(TableHandbook[[#This Row],[UDC]],TableSTRUENGLB[],7,FALSE),"")</f>
        <v/>
      </c>
      <c r="AR358" s="209" t="str">
        <f>IFERROR(VLOOKUP(TableHandbook[[#This Row],[UDC]],TableSTRUENGLM[],7,FALSE),"")</f>
        <v/>
      </c>
      <c r="AS358" s="209" t="str">
        <f>IFERROR(VLOOKUP(TableHandbook[[#This Row],[UDC]],TableSTRUGEOB1[],7,FALSE),"")</f>
        <v/>
      </c>
      <c r="AT358" s="209" t="str">
        <f>IFERROR(VLOOKUP(TableHandbook[[#This Row],[UDC]],TableSTRUGEOGM[],7,FALSE),"")</f>
        <v/>
      </c>
      <c r="AU358" s="209" t="str">
        <f>IFERROR(VLOOKUP(TableHandbook[[#This Row],[UDC]],TableSTRUHISB1[],7,FALSE),"")</f>
        <v/>
      </c>
      <c r="AV358" s="209" t="str">
        <f>IFERROR(VLOOKUP(TableHandbook[[#This Row],[UDC]],TableSTRUHISTM[],7,FALSE),"")</f>
        <v/>
      </c>
      <c r="AW358" s="209" t="str">
        <f>IFERROR(VLOOKUP(TableHandbook[[#This Row],[UDC]],TableSTRUHPEB1[],7,FALSE),"")</f>
        <v/>
      </c>
      <c r="AX358" s="209" t="str">
        <f>IFERROR(VLOOKUP(TableHandbook[[#This Row],[UDC]],TableSTRUHUMBB[],7,FALSE),"")</f>
        <v/>
      </c>
      <c r="AY358" s="209" t="str">
        <f>IFERROR(VLOOKUP(TableHandbook[[#This Row],[UDC]],TableSTRUMARTM[],7,FALSE),"")</f>
        <v/>
      </c>
      <c r="AZ358" s="209" t="str">
        <f>IFERROR(VLOOKUP(TableHandbook[[#This Row],[UDC]],TableSTRUMATHB[],7,FALSE),"")</f>
        <v/>
      </c>
      <c r="BA358" s="209" t="str">
        <f>IFERROR(VLOOKUP(TableHandbook[[#This Row],[UDC]],TableSTRUMATHM[],7,FALSE),"")</f>
        <v/>
      </c>
      <c r="BB358" s="209" t="str">
        <f>IFERROR(VLOOKUP(TableHandbook[[#This Row],[UDC]],TableSTRUPARTB[],7,FALSE),"")</f>
        <v/>
      </c>
      <c r="BC358" s="209" t="str">
        <f>IFERROR(VLOOKUP(TableHandbook[[#This Row],[UDC]],TableSTRUPARTM[],7,FALSE),"")</f>
        <v/>
      </c>
      <c r="BD358" s="209" t="str">
        <f>IFERROR(VLOOKUP(TableHandbook[[#This Row],[UDC]],TableSTRUPOLB1[],7,FALSE),"")</f>
        <v/>
      </c>
      <c r="BE358" s="209" t="str">
        <f>IFERROR(VLOOKUP(TableHandbook[[#This Row],[UDC]],TableSTRUPSYCB[],7,FALSE),"")</f>
        <v/>
      </c>
      <c r="BF358" s="209" t="str">
        <f>IFERROR(VLOOKUP(TableHandbook[[#This Row],[UDC]],TableSTRUPSYCM[],7,FALSE),"")</f>
        <v/>
      </c>
      <c r="BG358" s="209" t="str">
        <f>IFERROR(VLOOKUP(TableHandbook[[#This Row],[UDC]],TableSTRUVARTB[],7,FALSE),"")</f>
        <v/>
      </c>
      <c r="BH358" s="209" t="str">
        <f>IFERROR(VLOOKUP(TableHandbook[[#This Row],[UDC]],TableSTRUVARTM[],7,FALSE),"")</f>
        <v/>
      </c>
    </row>
    <row r="359" spans="1:60" x14ac:dyDescent="0.25">
      <c r="A359" s="296" t="s">
        <v>360</v>
      </c>
      <c r="B359" s="7">
        <v>1</v>
      </c>
      <c r="C359" s="7"/>
      <c r="D359" s="207" t="s">
        <v>491</v>
      </c>
      <c r="E359" s="7">
        <v>150</v>
      </c>
      <c r="F359" s="84"/>
      <c r="G359" s="75" t="str">
        <f>IFERROR(IF(VLOOKUP(TableHandbook[[#This Row],[UDC]],TableAvailabilities[],2,FALSE)&gt;0,"Y",""),"")</f>
        <v/>
      </c>
      <c r="H359" s="75" t="str">
        <f>IFERROR(IF(VLOOKUP(TableHandbook[[#This Row],[UDC]],TableAvailabilities[],3,FALSE)&gt;0,"Y",""),"")</f>
        <v/>
      </c>
      <c r="I359" s="75" t="str">
        <f>IFERROR(IF(VLOOKUP(TableHandbook[[#This Row],[UDC]],TableAvailabilities[],4,FALSE)&gt;0,"Y",""),"")</f>
        <v/>
      </c>
      <c r="J359" s="75" t="str">
        <f>IFERROR(IF(VLOOKUP(TableHandbook[[#This Row],[UDC]],TableAvailabilities[],5,FALSE)&gt;0,"Y",""),"")</f>
        <v/>
      </c>
      <c r="K359" s="75" t="str">
        <f>IFERROR(IF(VLOOKUP(TableHandbook[[#This Row],[UDC]],TableAvailabilities[],6,FALSE)&gt;0,"Y",""),"")</f>
        <v/>
      </c>
      <c r="L359" s="75" t="str">
        <f>IFERROR(IF(VLOOKUP(TableHandbook[[#This Row],[UDC]],TableAvailabilities[],7,FALSE)&gt;0,"Y",""),"")</f>
        <v/>
      </c>
      <c r="M359" s="207"/>
      <c r="N359" s="209" t="str">
        <f>IFERROR(VLOOKUP(TableHandbook[[#This Row],[UDC]],TableBEDUC[],7,FALSE),"")</f>
        <v/>
      </c>
      <c r="O359" s="209" t="str">
        <f>IFERROR(VLOOKUP(TableHandbook[[#This Row],[UDC]],TableBEDEC[],7,FALSE),"")</f>
        <v/>
      </c>
      <c r="P359" s="211" t="str">
        <f>IFERROR(VLOOKUP(TableHandbook[[#This Row],[UDC]],TableBEDPR[],7,FALSE),"")</f>
        <v/>
      </c>
      <c r="Q359" s="209" t="str">
        <f>IFERROR(VLOOKUP(TableHandbook[[#This Row],[UDC]],TableSTRUCATHL[],7,FALSE),"")</f>
        <v/>
      </c>
      <c r="R359" s="209" t="str">
        <f>IFERROR(VLOOKUP(TableHandbook[[#This Row],[UDC]],TableSTRUENGLL[],7,FALSE),"")</f>
        <v/>
      </c>
      <c r="S359" s="209" t="str">
        <f>IFERROR(VLOOKUP(TableHandbook[[#This Row],[UDC]],TableSTRUHLTPE[],7,FALSE),"")</f>
        <v/>
      </c>
      <c r="T359" s="209" t="str">
        <f>IFERROR(VLOOKUP(TableHandbook[[#This Row],[UDC]],TableSTRUISTEM[],7,FALSE),"")</f>
        <v/>
      </c>
      <c r="U359" s="209" t="str">
        <f>IFERROR(VLOOKUP(TableHandbook[[#This Row],[UDC]],TableSTRULITNU[],7,FALSE),"")</f>
        <v/>
      </c>
      <c r="V359" s="209" t="str">
        <f>IFERROR(VLOOKUP(TableHandbook[[#This Row],[UDC]],TableSTRUTECHS[],7,FALSE),"")</f>
        <v/>
      </c>
      <c r="W359" s="211" t="str">
        <f>IFERROR(VLOOKUP(TableHandbook[[#This Row],[UDC]],TableBEDSC[],7,FALSE),"")</f>
        <v/>
      </c>
      <c r="X359" s="211" t="str">
        <f>IFERROR(VLOOKUP(TableHandbook[[#This Row],[UDC]],TableMJRUARDR1[],7,FALSE),"")</f>
        <v/>
      </c>
      <c r="Y359" s="209" t="str">
        <f>IFERROR(VLOOKUP(TableHandbook[[#This Row],[UDC]],TableMJRUARME1[],7,FALSE),"")</f>
        <v/>
      </c>
      <c r="Z359" s="209" t="str">
        <f>IFERROR(VLOOKUP(TableHandbook[[#This Row],[UDC]],TableMJRUARVA1[],7,FALSE),"")</f>
        <v/>
      </c>
      <c r="AA359" s="209" t="str">
        <f>IFERROR(VLOOKUP(TableHandbook[[#This Row],[UDC]],TableMJRUENGL1[],7,FALSE),"")</f>
        <v>Option</v>
      </c>
      <c r="AB359" s="209" t="str">
        <f>IFERROR(VLOOKUP(TableHandbook[[#This Row],[UDC]],TableMJRUHSEC1[],7,FALSE),"")</f>
        <v>Option</v>
      </c>
      <c r="AC359" s="209" t="str">
        <f>IFERROR(VLOOKUP(TableHandbook[[#This Row],[UDC]],TableMJRUHSGE1[],7,FALSE),"")</f>
        <v>Option</v>
      </c>
      <c r="AD359" s="209" t="str">
        <f>IFERROR(VLOOKUP(TableHandbook[[#This Row],[UDC]],TableMJRUHSHI1[],7,FALSE),"")</f>
        <v>Option</v>
      </c>
      <c r="AE359" s="209" t="str">
        <f>IFERROR(VLOOKUP(TableHandbook[[#This Row],[UDC]],TableMJRUHSPL1[],7,FALSE),"")</f>
        <v>Option</v>
      </c>
      <c r="AF359" s="209" t="str">
        <f>IFERROR(VLOOKUP(TableHandbook[[#This Row],[UDC]],TableMJRUMATH1[],7,FALSE),"")</f>
        <v>Option</v>
      </c>
      <c r="AG359" s="209" t="str">
        <f>IFERROR(VLOOKUP(TableHandbook[[#This Row],[UDC]],TableMJRUPHYSE[],7,FALSE),"")</f>
        <v/>
      </c>
      <c r="AH359" s="209" t="str">
        <f>IFERROR(VLOOKUP(TableHandbook[[#This Row],[UDC]],TableMJRUSCBI1[],7,FALSE),"")</f>
        <v>Option</v>
      </c>
      <c r="AI359" s="209" t="str">
        <f>IFERROR(VLOOKUP(TableHandbook[[#This Row],[UDC]],TableMJRUSCCH1[],7,FALSE),"")</f>
        <v>Option</v>
      </c>
      <c r="AJ359" s="209" t="str">
        <f>IFERROR(VLOOKUP(TableHandbook[[#This Row],[UDC]],TableMJRUSCHB1[],7,FALSE),"")</f>
        <v>Option</v>
      </c>
      <c r="AK359" s="209" t="str">
        <f>IFERROR(VLOOKUP(TableHandbook[[#This Row],[UDC]],TableMJRUSCPH1[],7,FALSE),"")</f>
        <v/>
      </c>
      <c r="AL359" s="209" t="str">
        <f>IFERROR(VLOOKUP(TableHandbook[[#This Row],[UDC]],TableMJRUSCPS1[],7,FALSE),"")</f>
        <v>Option</v>
      </c>
      <c r="AM359" s="211" t="str">
        <f>IFERROR(VLOOKUP(TableHandbook[[#This Row],[UDC]],TableSTRUBIOLB[],7,FALSE),"")</f>
        <v/>
      </c>
      <c r="AN359" s="209" t="str">
        <f>IFERROR(VLOOKUP(TableHandbook[[#This Row],[UDC]],TableSTRUBSCIM[],7,FALSE),"")</f>
        <v/>
      </c>
      <c r="AO359" s="209" t="str">
        <f>IFERROR(VLOOKUP(TableHandbook[[#This Row],[UDC]],TableSTRUCHEMB[],7,FALSE),"")</f>
        <v/>
      </c>
      <c r="AP359" s="209" t="str">
        <f>IFERROR(VLOOKUP(TableHandbook[[#This Row],[UDC]],TableSTRUECOB1[],7,FALSE),"")</f>
        <v/>
      </c>
      <c r="AQ359" s="209" t="str">
        <f>IFERROR(VLOOKUP(TableHandbook[[#This Row],[UDC]],TableSTRUENGLB[],7,FALSE),"")</f>
        <v/>
      </c>
      <c r="AR359" s="209" t="str">
        <f>IFERROR(VLOOKUP(TableHandbook[[#This Row],[UDC]],TableSTRUENGLM[],7,FALSE),"")</f>
        <v/>
      </c>
      <c r="AS359" s="209" t="str">
        <f>IFERROR(VLOOKUP(TableHandbook[[#This Row],[UDC]],TableSTRUGEOB1[],7,FALSE),"")</f>
        <v/>
      </c>
      <c r="AT359" s="209" t="str">
        <f>IFERROR(VLOOKUP(TableHandbook[[#This Row],[UDC]],TableSTRUGEOGM[],7,FALSE),"")</f>
        <v/>
      </c>
      <c r="AU359" s="209" t="str">
        <f>IFERROR(VLOOKUP(TableHandbook[[#This Row],[UDC]],TableSTRUHISB1[],7,FALSE),"")</f>
        <v/>
      </c>
      <c r="AV359" s="209" t="str">
        <f>IFERROR(VLOOKUP(TableHandbook[[#This Row],[UDC]],TableSTRUHISTM[],7,FALSE),"")</f>
        <v/>
      </c>
      <c r="AW359" s="209" t="str">
        <f>IFERROR(VLOOKUP(TableHandbook[[#This Row],[UDC]],TableSTRUHPEB1[],7,FALSE),"")</f>
        <v/>
      </c>
      <c r="AX359" s="209" t="str">
        <f>IFERROR(VLOOKUP(TableHandbook[[#This Row],[UDC]],TableSTRUHUMBB[],7,FALSE),"")</f>
        <v/>
      </c>
      <c r="AY359" s="209" t="str">
        <f>IFERROR(VLOOKUP(TableHandbook[[#This Row],[UDC]],TableSTRUMARTM[],7,FALSE),"")</f>
        <v/>
      </c>
      <c r="AZ359" s="209" t="str">
        <f>IFERROR(VLOOKUP(TableHandbook[[#This Row],[UDC]],TableSTRUMATHB[],7,FALSE),"")</f>
        <v/>
      </c>
      <c r="BA359" s="209" t="str">
        <f>IFERROR(VLOOKUP(TableHandbook[[#This Row],[UDC]],TableSTRUMATHM[],7,FALSE),"")</f>
        <v/>
      </c>
      <c r="BB359" s="209" t="str">
        <f>IFERROR(VLOOKUP(TableHandbook[[#This Row],[UDC]],TableSTRUPARTB[],7,FALSE),"")</f>
        <v/>
      </c>
      <c r="BC359" s="209" t="str">
        <f>IFERROR(VLOOKUP(TableHandbook[[#This Row],[UDC]],TableSTRUPARTM[],7,FALSE),"")</f>
        <v/>
      </c>
      <c r="BD359" s="209" t="str">
        <f>IFERROR(VLOOKUP(TableHandbook[[#This Row],[UDC]],TableSTRUPOLB1[],7,FALSE),"")</f>
        <v/>
      </c>
      <c r="BE359" s="209" t="str">
        <f>IFERROR(VLOOKUP(TableHandbook[[#This Row],[UDC]],TableSTRUPSYCB[],7,FALSE),"")</f>
        <v/>
      </c>
      <c r="BF359" s="209" t="str">
        <f>IFERROR(VLOOKUP(TableHandbook[[#This Row],[UDC]],TableSTRUPSYCM[],7,FALSE),"")</f>
        <v/>
      </c>
      <c r="BG359" s="209" t="str">
        <f>IFERROR(VLOOKUP(TableHandbook[[#This Row],[UDC]],TableSTRUVARTB[],7,FALSE),"")</f>
        <v/>
      </c>
      <c r="BH359" s="209" t="str">
        <f>IFERROR(VLOOKUP(TableHandbook[[#This Row],[UDC]],TableSTRUVARTM[],7,FALSE),"")</f>
        <v/>
      </c>
    </row>
    <row r="360" spans="1:60" x14ac:dyDescent="0.25">
      <c r="A360" s="296" t="s">
        <v>366</v>
      </c>
      <c r="B360" s="7">
        <v>4</v>
      </c>
      <c r="C360" s="7"/>
      <c r="D360" s="207" t="s">
        <v>409</v>
      </c>
      <c r="E360" s="7">
        <v>150</v>
      </c>
      <c r="F360" s="84"/>
      <c r="G360" s="75" t="str">
        <f>IFERROR(IF(VLOOKUP(TableHandbook[[#This Row],[UDC]],TableAvailabilities[],2,FALSE)&gt;0,"Y",""),"")</f>
        <v/>
      </c>
      <c r="H360" s="75" t="str">
        <f>IFERROR(IF(VLOOKUP(TableHandbook[[#This Row],[UDC]],TableAvailabilities[],3,FALSE)&gt;0,"Y",""),"")</f>
        <v/>
      </c>
      <c r="I360" s="75" t="str">
        <f>IFERROR(IF(VLOOKUP(TableHandbook[[#This Row],[UDC]],TableAvailabilities[],4,FALSE)&gt;0,"Y",""),"")</f>
        <v/>
      </c>
      <c r="J360" s="75" t="str">
        <f>IFERROR(IF(VLOOKUP(TableHandbook[[#This Row],[UDC]],TableAvailabilities[],5,FALSE)&gt;0,"Y",""),"")</f>
        <v/>
      </c>
      <c r="K360" s="75" t="str">
        <f>IFERROR(IF(VLOOKUP(TableHandbook[[#This Row],[UDC]],TableAvailabilities[],6,FALSE)&gt;0,"Y",""),"")</f>
        <v/>
      </c>
      <c r="L360" s="75" t="str">
        <f>IFERROR(IF(VLOOKUP(TableHandbook[[#This Row],[UDC]],TableAvailabilities[],7,FALSE)&gt;0,"Y",""),"")</f>
        <v/>
      </c>
      <c r="M360" s="207"/>
      <c r="N360" s="209" t="str">
        <f>IFERROR(VLOOKUP(TableHandbook[[#This Row],[UDC]],TableBEDUC[],7,FALSE),"")</f>
        <v/>
      </c>
      <c r="O360" s="209" t="str">
        <f>IFERROR(VLOOKUP(TableHandbook[[#This Row],[UDC]],TableBEDEC[],7,FALSE),"")</f>
        <v/>
      </c>
      <c r="P360" s="211" t="str">
        <f>IFERROR(VLOOKUP(TableHandbook[[#This Row],[UDC]],TableBEDPR[],7,FALSE),"")</f>
        <v/>
      </c>
      <c r="Q360" s="209" t="str">
        <f>IFERROR(VLOOKUP(TableHandbook[[#This Row],[UDC]],TableSTRUCATHL[],7,FALSE),"")</f>
        <v/>
      </c>
      <c r="R360" s="209" t="str">
        <f>IFERROR(VLOOKUP(TableHandbook[[#This Row],[UDC]],TableSTRUENGLL[],7,FALSE),"")</f>
        <v/>
      </c>
      <c r="S360" s="209" t="str">
        <f>IFERROR(VLOOKUP(TableHandbook[[#This Row],[UDC]],TableSTRUHLTPE[],7,FALSE),"")</f>
        <v/>
      </c>
      <c r="T360" s="209" t="str">
        <f>IFERROR(VLOOKUP(TableHandbook[[#This Row],[UDC]],TableSTRUISTEM[],7,FALSE),"")</f>
        <v/>
      </c>
      <c r="U360" s="209" t="str">
        <f>IFERROR(VLOOKUP(TableHandbook[[#This Row],[UDC]],TableSTRULITNU[],7,FALSE),"")</f>
        <v/>
      </c>
      <c r="V360" s="209" t="str">
        <f>IFERROR(VLOOKUP(TableHandbook[[#This Row],[UDC]],TableSTRUTECHS[],7,FALSE),"")</f>
        <v/>
      </c>
      <c r="W360" s="211" t="str">
        <f>IFERROR(VLOOKUP(TableHandbook[[#This Row],[UDC]],TableBEDSC[],7,FALSE),"")</f>
        <v/>
      </c>
      <c r="X360" s="211" t="str">
        <f>IFERROR(VLOOKUP(TableHandbook[[#This Row],[UDC]],TableMJRUARDR1[],7,FALSE),"")</f>
        <v/>
      </c>
      <c r="Y360" s="209" t="str">
        <f>IFERROR(VLOOKUP(TableHandbook[[#This Row],[UDC]],TableMJRUARME1[],7,FALSE),"")</f>
        <v/>
      </c>
      <c r="Z360" s="209" t="str">
        <f>IFERROR(VLOOKUP(TableHandbook[[#This Row],[UDC]],TableMJRUARVA1[],7,FALSE),"")</f>
        <v/>
      </c>
      <c r="AA360" s="209" t="str">
        <f>IFERROR(VLOOKUP(TableHandbook[[#This Row],[UDC]],TableMJRUENGL1[],7,FALSE),"")</f>
        <v/>
      </c>
      <c r="AB360" s="209" t="str">
        <f>IFERROR(VLOOKUP(TableHandbook[[#This Row],[UDC]],TableMJRUHSEC1[],7,FALSE),"")</f>
        <v/>
      </c>
      <c r="AC360" s="209" t="str">
        <f>IFERROR(VLOOKUP(TableHandbook[[#This Row],[UDC]],TableMJRUHSGE1[],7,FALSE),"")</f>
        <v/>
      </c>
      <c r="AD360" s="209" t="str">
        <f>IFERROR(VLOOKUP(TableHandbook[[#This Row],[UDC]],TableMJRUHSHI1[],7,FALSE),"")</f>
        <v/>
      </c>
      <c r="AE360" s="209" t="str">
        <f>IFERROR(VLOOKUP(TableHandbook[[#This Row],[UDC]],TableMJRUHSPL1[],7,FALSE),"")</f>
        <v/>
      </c>
      <c r="AF360" s="209" t="str">
        <f>IFERROR(VLOOKUP(TableHandbook[[#This Row],[UDC]],TableMJRUMATH1[],7,FALSE),"")</f>
        <v>Option</v>
      </c>
      <c r="AG360" s="209" t="str">
        <f>IFERROR(VLOOKUP(TableHandbook[[#This Row],[UDC]],TableMJRUPHYSE[],7,FALSE),"")</f>
        <v/>
      </c>
      <c r="AH360" s="209" t="str">
        <f>IFERROR(VLOOKUP(TableHandbook[[#This Row],[UDC]],TableMJRUSCBI1[],7,FALSE),"")</f>
        <v/>
      </c>
      <c r="AI360" s="209" t="str">
        <f>IFERROR(VLOOKUP(TableHandbook[[#This Row],[UDC]],TableMJRUSCCH1[],7,FALSE),"")</f>
        <v/>
      </c>
      <c r="AJ360" s="209" t="str">
        <f>IFERROR(VLOOKUP(TableHandbook[[#This Row],[UDC]],TableMJRUSCHB1[],7,FALSE),"")</f>
        <v/>
      </c>
      <c r="AK360" s="209" t="str">
        <f>IFERROR(VLOOKUP(TableHandbook[[#This Row],[UDC]],TableMJRUSCPH1[],7,FALSE),"")</f>
        <v/>
      </c>
      <c r="AL360" s="209" t="str">
        <f>IFERROR(VLOOKUP(TableHandbook[[#This Row],[UDC]],TableMJRUSCPS1[],7,FALSE),"")</f>
        <v/>
      </c>
      <c r="AM360" s="211" t="str">
        <f>IFERROR(VLOOKUP(TableHandbook[[#This Row],[UDC]],TableSTRUBIOLB[],7,FALSE),"")</f>
        <v/>
      </c>
      <c r="AN360" s="209" t="str">
        <f>IFERROR(VLOOKUP(TableHandbook[[#This Row],[UDC]],TableSTRUBSCIM[],7,FALSE),"")</f>
        <v/>
      </c>
      <c r="AO360" s="209" t="str">
        <f>IFERROR(VLOOKUP(TableHandbook[[#This Row],[UDC]],TableSTRUCHEMB[],7,FALSE),"")</f>
        <v/>
      </c>
      <c r="AP360" s="209" t="str">
        <f>IFERROR(VLOOKUP(TableHandbook[[#This Row],[UDC]],TableSTRUECOB1[],7,FALSE),"")</f>
        <v/>
      </c>
      <c r="AQ360" s="209" t="str">
        <f>IFERROR(VLOOKUP(TableHandbook[[#This Row],[UDC]],TableSTRUENGLB[],7,FALSE),"")</f>
        <v/>
      </c>
      <c r="AR360" s="209" t="str">
        <f>IFERROR(VLOOKUP(TableHandbook[[#This Row],[UDC]],TableSTRUENGLM[],7,FALSE),"")</f>
        <v/>
      </c>
      <c r="AS360" s="209" t="str">
        <f>IFERROR(VLOOKUP(TableHandbook[[#This Row],[UDC]],TableSTRUGEOB1[],7,FALSE),"")</f>
        <v/>
      </c>
      <c r="AT360" s="209" t="str">
        <f>IFERROR(VLOOKUP(TableHandbook[[#This Row],[UDC]],TableSTRUGEOGM[],7,FALSE),"")</f>
        <v/>
      </c>
      <c r="AU360" s="209" t="str">
        <f>IFERROR(VLOOKUP(TableHandbook[[#This Row],[UDC]],TableSTRUHISB1[],7,FALSE),"")</f>
        <v/>
      </c>
      <c r="AV360" s="209" t="str">
        <f>IFERROR(VLOOKUP(TableHandbook[[#This Row],[UDC]],TableSTRUHISTM[],7,FALSE),"")</f>
        <v/>
      </c>
      <c r="AW360" s="209" t="str">
        <f>IFERROR(VLOOKUP(TableHandbook[[#This Row],[UDC]],TableSTRUHPEB1[],7,FALSE),"")</f>
        <v/>
      </c>
      <c r="AX360" s="209" t="str">
        <f>IFERROR(VLOOKUP(TableHandbook[[#This Row],[UDC]],TableSTRUHUMBB[],7,FALSE),"")</f>
        <v/>
      </c>
      <c r="AY360" s="209" t="str">
        <f>IFERROR(VLOOKUP(TableHandbook[[#This Row],[UDC]],TableSTRUMARTM[],7,FALSE),"")</f>
        <v/>
      </c>
      <c r="AZ360" s="209" t="str">
        <f>IFERROR(VLOOKUP(TableHandbook[[#This Row],[UDC]],TableSTRUMATHB[],7,FALSE),"")</f>
        <v/>
      </c>
      <c r="BA360" s="209" t="str">
        <f>IFERROR(VLOOKUP(TableHandbook[[#This Row],[UDC]],TableSTRUMATHM[],7,FALSE),"")</f>
        <v/>
      </c>
      <c r="BB360" s="209" t="str">
        <f>IFERROR(VLOOKUP(TableHandbook[[#This Row],[UDC]],TableSTRUPARTB[],7,FALSE),"")</f>
        <v/>
      </c>
      <c r="BC360" s="209" t="str">
        <f>IFERROR(VLOOKUP(TableHandbook[[#This Row],[UDC]],TableSTRUPARTM[],7,FALSE),"")</f>
        <v/>
      </c>
      <c r="BD360" s="209" t="str">
        <f>IFERROR(VLOOKUP(TableHandbook[[#This Row],[UDC]],TableSTRUPOLB1[],7,FALSE),"")</f>
        <v/>
      </c>
      <c r="BE360" s="209" t="str">
        <f>IFERROR(VLOOKUP(TableHandbook[[#This Row],[UDC]],TableSTRUPSYCB[],7,FALSE),"")</f>
        <v/>
      </c>
      <c r="BF360" s="209" t="str">
        <f>IFERROR(VLOOKUP(TableHandbook[[#This Row],[UDC]],TableSTRUPSYCM[],7,FALSE),"")</f>
        <v/>
      </c>
      <c r="BG360" s="209" t="str">
        <f>IFERROR(VLOOKUP(TableHandbook[[#This Row],[UDC]],TableSTRUVARTB[],7,FALSE),"")</f>
        <v/>
      </c>
      <c r="BH360" s="209" t="str">
        <f>IFERROR(VLOOKUP(TableHandbook[[#This Row],[UDC]],TableSTRUVARTM[],7,FALSE),"")</f>
        <v/>
      </c>
    </row>
    <row r="361" spans="1:60" x14ac:dyDescent="0.25">
      <c r="A361" s="296" t="s">
        <v>356</v>
      </c>
      <c r="B361" s="7">
        <v>3</v>
      </c>
      <c r="C361" s="7"/>
      <c r="D361" s="207" t="s">
        <v>213</v>
      </c>
      <c r="E361" s="7">
        <v>150</v>
      </c>
      <c r="F361" s="84"/>
      <c r="G361" s="75" t="str">
        <f>IFERROR(IF(VLOOKUP(TableHandbook[[#This Row],[UDC]],TableAvailabilities[],2,FALSE)&gt;0,"Y",""),"")</f>
        <v/>
      </c>
      <c r="H361" s="75" t="str">
        <f>IFERROR(IF(VLOOKUP(TableHandbook[[#This Row],[UDC]],TableAvailabilities[],3,FALSE)&gt;0,"Y",""),"")</f>
        <v/>
      </c>
      <c r="I361" s="75" t="str">
        <f>IFERROR(IF(VLOOKUP(TableHandbook[[#This Row],[UDC]],TableAvailabilities[],4,FALSE)&gt;0,"Y",""),"")</f>
        <v/>
      </c>
      <c r="J361" s="75" t="str">
        <f>IFERROR(IF(VLOOKUP(TableHandbook[[#This Row],[UDC]],TableAvailabilities[],5,FALSE)&gt;0,"Y",""),"")</f>
        <v/>
      </c>
      <c r="K361" s="75" t="str">
        <f>IFERROR(IF(VLOOKUP(TableHandbook[[#This Row],[UDC]],TableAvailabilities[],6,FALSE)&gt;0,"Y",""),"")</f>
        <v/>
      </c>
      <c r="L361" s="75" t="str">
        <f>IFERROR(IF(VLOOKUP(TableHandbook[[#This Row],[UDC]],TableAvailabilities[],7,FALSE)&gt;0,"Y",""),"")</f>
        <v/>
      </c>
      <c r="M361" s="207"/>
      <c r="N361" s="209" t="str">
        <f>IFERROR(VLOOKUP(TableHandbook[[#This Row],[UDC]],TableBEDUC[],7,FALSE),"")</f>
        <v/>
      </c>
      <c r="O361" s="209" t="str">
        <f>IFERROR(VLOOKUP(TableHandbook[[#This Row],[UDC]],TableBEDEC[],7,FALSE),"")</f>
        <v/>
      </c>
      <c r="P361" s="211" t="str">
        <f>IFERROR(VLOOKUP(TableHandbook[[#This Row],[UDC]],TableBEDPR[],7,FALSE),"")</f>
        <v/>
      </c>
      <c r="Q361" s="209" t="str">
        <f>IFERROR(VLOOKUP(TableHandbook[[#This Row],[UDC]],TableSTRUCATHL[],7,FALSE),"")</f>
        <v/>
      </c>
      <c r="R361" s="209" t="str">
        <f>IFERROR(VLOOKUP(TableHandbook[[#This Row],[UDC]],TableSTRUENGLL[],7,FALSE),"")</f>
        <v/>
      </c>
      <c r="S361" s="209" t="str">
        <f>IFERROR(VLOOKUP(TableHandbook[[#This Row],[UDC]],TableSTRUHLTPE[],7,FALSE),"")</f>
        <v/>
      </c>
      <c r="T361" s="209" t="str">
        <f>IFERROR(VLOOKUP(TableHandbook[[#This Row],[UDC]],TableSTRUISTEM[],7,FALSE),"")</f>
        <v/>
      </c>
      <c r="U361" s="209" t="str">
        <f>IFERROR(VLOOKUP(TableHandbook[[#This Row],[UDC]],TableSTRULITNU[],7,FALSE),"")</f>
        <v/>
      </c>
      <c r="V361" s="209" t="str">
        <f>IFERROR(VLOOKUP(TableHandbook[[#This Row],[UDC]],TableSTRUTECHS[],7,FALSE),"")</f>
        <v/>
      </c>
      <c r="W361" s="211" t="str">
        <f>IFERROR(VLOOKUP(TableHandbook[[#This Row],[UDC]],TableBEDSC[],7,FALSE),"")</f>
        <v/>
      </c>
      <c r="X361" s="211" t="str">
        <f>IFERROR(VLOOKUP(TableHandbook[[#This Row],[UDC]],TableMJRUARDR1[],7,FALSE),"")</f>
        <v>Option</v>
      </c>
      <c r="Y361" s="209" t="str">
        <f>IFERROR(VLOOKUP(TableHandbook[[#This Row],[UDC]],TableMJRUARME1[],7,FALSE),"")</f>
        <v>Option</v>
      </c>
      <c r="Z361" s="209" t="str">
        <f>IFERROR(VLOOKUP(TableHandbook[[#This Row],[UDC]],TableMJRUARVA1[],7,FALSE),"")</f>
        <v>Option</v>
      </c>
      <c r="AA361" s="209" t="str">
        <f>IFERROR(VLOOKUP(TableHandbook[[#This Row],[UDC]],TableMJRUENGL1[],7,FALSE),"")</f>
        <v>Option</v>
      </c>
      <c r="AB361" s="209" t="str">
        <f>IFERROR(VLOOKUP(TableHandbook[[#This Row],[UDC]],TableMJRUHSEC1[],7,FALSE),"")</f>
        <v>Option</v>
      </c>
      <c r="AC361" s="209" t="str">
        <f>IFERROR(VLOOKUP(TableHandbook[[#This Row],[UDC]],TableMJRUHSGE1[],7,FALSE),"")</f>
        <v>Option</v>
      </c>
      <c r="AD361" s="209" t="str">
        <f>IFERROR(VLOOKUP(TableHandbook[[#This Row],[UDC]],TableMJRUHSHI1[],7,FALSE),"")</f>
        <v>Option</v>
      </c>
      <c r="AE361" s="209" t="str">
        <f>IFERROR(VLOOKUP(TableHandbook[[#This Row],[UDC]],TableMJRUHSPL1[],7,FALSE),"")</f>
        <v>Option</v>
      </c>
      <c r="AF361" s="209" t="str">
        <f>IFERROR(VLOOKUP(TableHandbook[[#This Row],[UDC]],TableMJRUMATH1[],7,FALSE),"")</f>
        <v/>
      </c>
      <c r="AG361" s="209" t="str">
        <f>IFERROR(VLOOKUP(TableHandbook[[#This Row],[UDC]],TableMJRUPHYSE[],7,FALSE),"")</f>
        <v/>
      </c>
      <c r="AH361" s="209" t="str">
        <f>IFERROR(VLOOKUP(TableHandbook[[#This Row],[UDC]],TableMJRUSCBI1[],7,FALSE),"")</f>
        <v>Option</v>
      </c>
      <c r="AI361" s="209" t="str">
        <f>IFERROR(VLOOKUP(TableHandbook[[#This Row],[UDC]],TableMJRUSCCH1[],7,FALSE),"")</f>
        <v>Option</v>
      </c>
      <c r="AJ361" s="209" t="str">
        <f>IFERROR(VLOOKUP(TableHandbook[[#This Row],[UDC]],TableMJRUSCHB1[],7,FALSE),"")</f>
        <v>Option</v>
      </c>
      <c r="AK361" s="209" t="str">
        <f>IFERROR(VLOOKUP(TableHandbook[[#This Row],[UDC]],TableMJRUSCPH1[],7,FALSE),"")</f>
        <v/>
      </c>
      <c r="AL361" s="209" t="str">
        <f>IFERROR(VLOOKUP(TableHandbook[[#This Row],[UDC]],TableMJRUSCPS1[],7,FALSE),"")</f>
        <v>Option</v>
      </c>
      <c r="AM361" s="211" t="str">
        <f>IFERROR(VLOOKUP(TableHandbook[[#This Row],[UDC]],TableSTRUBIOLB[],7,FALSE),"")</f>
        <v/>
      </c>
      <c r="AN361" s="209" t="str">
        <f>IFERROR(VLOOKUP(TableHandbook[[#This Row],[UDC]],TableSTRUBSCIM[],7,FALSE),"")</f>
        <v/>
      </c>
      <c r="AO361" s="209" t="str">
        <f>IFERROR(VLOOKUP(TableHandbook[[#This Row],[UDC]],TableSTRUCHEMB[],7,FALSE),"")</f>
        <v/>
      </c>
      <c r="AP361" s="209" t="str">
        <f>IFERROR(VLOOKUP(TableHandbook[[#This Row],[UDC]],TableSTRUECOB1[],7,FALSE),"")</f>
        <v/>
      </c>
      <c r="AQ361" s="209" t="str">
        <f>IFERROR(VLOOKUP(TableHandbook[[#This Row],[UDC]],TableSTRUENGLB[],7,FALSE),"")</f>
        <v/>
      </c>
      <c r="AR361" s="209" t="str">
        <f>IFERROR(VLOOKUP(TableHandbook[[#This Row],[UDC]],TableSTRUENGLM[],7,FALSE),"")</f>
        <v/>
      </c>
      <c r="AS361" s="209" t="str">
        <f>IFERROR(VLOOKUP(TableHandbook[[#This Row],[UDC]],TableSTRUGEOB1[],7,FALSE),"")</f>
        <v/>
      </c>
      <c r="AT361" s="209" t="str">
        <f>IFERROR(VLOOKUP(TableHandbook[[#This Row],[UDC]],TableSTRUGEOGM[],7,FALSE),"")</f>
        <v/>
      </c>
      <c r="AU361" s="209" t="str">
        <f>IFERROR(VLOOKUP(TableHandbook[[#This Row],[UDC]],TableSTRUHISB1[],7,FALSE),"")</f>
        <v/>
      </c>
      <c r="AV361" s="209" t="str">
        <f>IFERROR(VLOOKUP(TableHandbook[[#This Row],[UDC]],TableSTRUHISTM[],7,FALSE),"")</f>
        <v/>
      </c>
      <c r="AW361" s="209" t="str">
        <f>IFERROR(VLOOKUP(TableHandbook[[#This Row],[UDC]],TableSTRUHPEB1[],7,FALSE),"")</f>
        <v/>
      </c>
      <c r="AX361" s="209" t="str">
        <f>IFERROR(VLOOKUP(TableHandbook[[#This Row],[UDC]],TableSTRUHUMBB[],7,FALSE),"")</f>
        <v/>
      </c>
      <c r="AY361" s="209" t="str">
        <f>IFERROR(VLOOKUP(TableHandbook[[#This Row],[UDC]],TableSTRUMARTM[],7,FALSE),"")</f>
        <v/>
      </c>
      <c r="AZ361" s="209" t="str">
        <f>IFERROR(VLOOKUP(TableHandbook[[#This Row],[UDC]],TableSTRUMATHB[],7,FALSE),"")</f>
        <v/>
      </c>
      <c r="BA361" s="209" t="str">
        <f>IFERROR(VLOOKUP(TableHandbook[[#This Row],[UDC]],TableSTRUMATHM[],7,FALSE),"")</f>
        <v/>
      </c>
      <c r="BB361" s="209" t="str">
        <f>IFERROR(VLOOKUP(TableHandbook[[#This Row],[UDC]],TableSTRUPARTB[],7,FALSE),"")</f>
        <v/>
      </c>
      <c r="BC361" s="209" t="str">
        <f>IFERROR(VLOOKUP(TableHandbook[[#This Row],[UDC]],TableSTRUPARTM[],7,FALSE),"")</f>
        <v/>
      </c>
      <c r="BD361" s="209" t="str">
        <f>IFERROR(VLOOKUP(TableHandbook[[#This Row],[UDC]],TableSTRUPOLB1[],7,FALSE),"")</f>
        <v/>
      </c>
      <c r="BE361" s="209" t="str">
        <f>IFERROR(VLOOKUP(TableHandbook[[#This Row],[UDC]],TableSTRUPSYCB[],7,FALSE),"")</f>
        <v/>
      </c>
      <c r="BF361" s="209" t="str">
        <f>IFERROR(VLOOKUP(TableHandbook[[#This Row],[UDC]],TableSTRUPSYCM[],7,FALSE),"")</f>
        <v/>
      </c>
      <c r="BG361" s="209" t="str">
        <f>IFERROR(VLOOKUP(TableHandbook[[#This Row],[UDC]],TableSTRUVARTB[],7,FALSE),"")</f>
        <v/>
      </c>
      <c r="BH361" s="209" t="str">
        <f>IFERROR(VLOOKUP(TableHandbook[[#This Row],[UDC]],TableSTRUVARTM[],7,FALSE),"")</f>
        <v/>
      </c>
    </row>
    <row r="362" spans="1:60" x14ac:dyDescent="0.25">
      <c r="A362" s="296" t="s">
        <v>352</v>
      </c>
      <c r="B362" s="7">
        <v>3</v>
      </c>
      <c r="C362" s="7"/>
      <c r="D362" s="207" t="s">
        <v>410</v>
      </c>
      <c r="E362" s="7">
        <v>150</v>
      </c>
      <c r="F362" s="84"/>
      <c r="G362" s="75" t="str">
        <f>IFERROR(IF(VLOOKUP(TableHandbook[[#This Row],[UDC]],TableAvailabilities[],2,FALSE)&gt;0,"Y",""),"")</f>
        <v/>
      </c>
      <c r="H362" s="75" t="str">
        <f>IFERROR(IF(VLOOKUP(TableHandbook[[#This Row],[UDC]],TableAvailabilities[],3,FALSE)&gt;0,"Y",""),"")</f>
        <v/>
      </c>
      <c r="I362" s="75" t="str">
        <f>IFERROR(IF(VLOOKUP(TableHandbook[[#This Row],[UDC]],TableAvailabilities[],4,FALSE)&gt;0,"Y",""),"")</f>
        <v/>
      </c>
      <c r="J362" s="75" t="str">
        <f>IFERROR(IF(VLOOKUP(TableHandbook[[#This Row],[UDC]],TableAvailabilities[],5,FALSE)&gt;0,"Y",""),"")</f>
        <v/>
      </c>
      <c r="K362" s="75" t="str">
        <f>IFERROR(IF(VLOOKUP(TableHandbook[[#This Row],[UDC]],TableAvailabilities[],6,FALSE)&gt;0,"Y",""),"")</f>
        <v/>
      </c>
      <c r="L362" s="75" t="str">
        <f>IFERROR(IF(VLOOKUP(TableHandbook[[#This Row],[UDC]],TableAvailabilities[],7,FALSE)&gt;0,"Y",""),"")</f>
        <v/>
      </c>
      <c r="M362" s="207"/>
      <c r="N362" s="209" t="str">
        <f>IFERROR(VLOOKUP(TableHandbook[[#This Row],[UDC]],TableBEDUC[],7,FALSE),"")</f>
        <v/>
      </c>
      <c r="O362" s="209" t="str">
        <f>IFERROR(VLOOKUP(TableHandbook[[#This Row],[UDC]],TableBEDEC[],7,FALSE),"")</f>
        <v/>
      </c>
      <c r="P362" s="211" t="str">
        <f>IFERROR(VLOOKUP(TableHandbook[[#This Row],[UDC]],TableBEDPR[],7,FALSE),"")</f>
        <v/>
      </c>
      <c r="Q362" s="209" t="str">
        <f>IFERROR(VLOOKUP(TableHandbook[[#This Row],[UDC]],TableSTRUCATHL[],7,FALSE),"")</f>
        <v/>
      </c>
      <c r="R362" s="209" t="str">
        <f>IFERROR(VLOOKUP(TableHandbook[[#This Row],[UDC]],TableSTRUENGLL[],7,FALSE),"")</f>
        <v/>
      </c>
      <c r="S362" s="209" t="str">
        <f>IFERROR(VLOOKUP(TableHandbook[[#This Row],[UDC]],TableSTRUHLTPE[],7,FALSE),"")</f>
        <v/>
      </c>
      <c r="T362" s="209" t="str">
        <f>IFERROR(VLOOKUP(TableHandbook[[#This Row],[UDC]],TableSTRUISTEM[],7,FALSE),"")</f>
        <v/>
      </c>
      <c r="U362" s="209" t="str">
        <f>IFERROR(VLOOKUP(TableHandbook[[#This Row],[UDC]],TableSTRULITNU[],7,FALSE),"")</f>
        <v/>
      </c>
      <c r="V362" s="209" t="str">
        <f>IFERROR(VLOOKUP(TableHandbook[[#This Row],[UDC]],TableSTRUTECHS[],7,FALSE),"")</f>
        <v/>
      </c>
      <c r="W362" s="211" t="str">
        <f>IFERROR(VLOOKUP(TableHandbook[[#This Row],[UDC]],TableBEDSC[],7,FALSE),"")</f>
        <v/>
      </c>
      <c r="X362" s="211" t="str">
        <f>IFERROR(VLOOKUP(TableHandbook[[#This Row],[UDC]],TableMJRUARDR1[],7,FALSE),"")</f>
        <v>Option</v>
      </c>
      <c r="Y362" s="209" t="str">
        <f>IFERROR(VLOOKUP(TableHandbook[[#This Row],[UDC]],TableMJRUARME1[],7,FALSE),"")</f>
        <v/>
      </c>
      <c r="Z362" s="209" t="str">
        <f>IFERROR(VLOOKUP(TableHandbook[[#This Row],[UDC]],TableMJRUARVA1[],7,FALSE),"")</f>
        <v/>
      </c>
      <c r="AA362" s="209" t="str">
        <f>IFERROR(VLOOKUP(TableHandbook[[#This Row],[UDC]],TableMJRUENGL1[],7,FALSE),"")</f>
        <v/>
      </c>
      <c r="AB362" s="209" t="str">
        <f>IFERROR(VLOOKUP(TableHandbook[[#This Row],[UDC]],TableMJRUHSEC1[],7,FALSE),"")</f>
        <v/>
      </c>
      <c r="AC362" s="209" t="str">
        <f>IFERROR(VLOOKUP(TableHandbook[[#This Row],[UDC]],TableMJRUHSGE1[],7,FALSE),"")</f>
        <v/>
      </c>
      <c r="AD362" s="209" t="str">
        <f>IFERROR(VLOOKUP(TableHandbook[[#This Row],[UDC]],TableMJRUHSHI1[],7,FALSE),"")</f>
        <v/>
      </c>
      <c r="AE362" s="209" t="str">
        <f>IFERROR(VLOOKUP(TableHandbook[[#This Row],[UDC]],TableMJRUHSPL1[],7,FALSE),"")</f>
        <v/>
      </c>
      <c r="AF362" s="209" t="str">
        <f>IFERROR(VLOOKUP(TableHandbook[[#This Row],[UDC]],TableMJRUMATH1[],7,FALSE),"")</f>
        <v/>
      </c>
      <c r="AG362" s="209" t="str">
        <f>IFERROR(VLOOKUP(TableHandbook[[#This Row],[UDC]],TableMJRUPHYSE[],7,FALSE),"")</f>
        <v/>
      </c>
      <c r="AH362" s="209" t="str">
        <f>IFERROR(VLOOKUP(TableHandbook[[#This Row],[UDC]],TableMJRUSCBI1[],7,FALSE),"")</f>
        <v/>
      </c>
      <c r="AI362" s="209" t="str">
        <f>IFERROR(VLOOKUP(TableHandbook[[#This Row],[UDC]],TableMJRUSCCH1[],7,FALSE),"")</f>
        <v/>
      </c>
      <c r="AJ362" s="209" t="str">
        <f>IFERROR(VLOOKUP(TableHandbook[[#This Row],[UDC]],TableMJRUSCHB1[],7,FALSE),"")</f>
        <v/>
      </c>
      <c r="AK362" s="209" t="str">
        <f>IFERROR(VLOOKUP(TableHandbook[[#This Row],[UDC]],TableMJRUSCPH1[],7,FALSE),"")</f>
        <v/>
      </c>
      <c r="AL362" s="209" t="str">
        <f>IFERROR(VLOOKUP(TableHandbook[[#This Row],[UDC]],TableMJRUSCPS1[],7,FALSE),"")</f>
        <v/>
      </c>
      <c r="AM362" s="211" t="str">
        <f>IFERROR(VLOOKUP(TableHandbook[[#This Row],[UDC]],TableSTRUBIOLB[],7,FALSE),"")</f>
        <v/>
      </c>
      <c r="AN362" s="209" t="str">
        <f>IFERROR(VLOOKUP(TableHandbook[[#This Row],[UDC]],TableSTRUBSCIM[],7,FALSE),"")</f>
        <v/>
      </c>
      <c r="AO362" s="209" t="str">
        <f>IFERROR(VLOOKUP(TableHandbook[[#This Row],[UDC]],TableSTRUCHEMB[],7,FALSE),"")</f>
        <v/>
      </c>
      <c r="AP362" s="209" t="str">
        <f>IFERROR(VLOOKUP(TableHandbook[[#This Row],[UDC]],TableSTRUECOB1[],7,FALSE),"")</f>
        <v/>
      </c>
      <c r="AQ362" s="209" t="str">
        <f>IFERROR(VLOOKUP(TableHandbook[[#This Row],[UDC]],TableSTRUENGLB[],7,FALSE),"")</f>
        <v/>
      </c>
      <c r="AR362" s="209" t="str">
        <f>IFERROR(VLOOKUP(TableHandbook[[#This Row],[UDC]],TableSTRUENGLM[],7,FALSE),"")</f>
        <v/>
      </c>
      <c r="AS362" s="209" t="str">
        <f>IFERROR(VLOOKUP(TableHandbook[[#This Row],[UDC]],TableSTRUGEOB1[],7,FALSE),"")</f>
        <v/>
      </c>
      <c r="AT362" s="209" t="str">
        <f>IFERROR(VLOOKUP(TableHandbook[[#This Row],[UDC]],TableSTRUGEOGM[],7,FALSE),"")</f>
        <v/>
      </c>
      <c r="AU362" s="209" t="str">
        <f>IFERROR(VLOOKUP(TableHandbook[[#This Row],[UDC]],TableSTRUHISB1[],7,FALSE),"")</f>
        <v/>
      </c>
      <c r="AV362" s="209" t="str">
        <f>IFERROR(VLOOKUP(TableHandbook[[#This Row],[UDC]],TableSTRUHISTM[],7,FALSE),"")</f>
        <v/>
      </c>
      <c r="AW362" s="209" t="str">
        <f>IFERROR(VLOOKUP(TableHandbook[[#This Row],[UDC]],TableSTRUHPEB1[],7,FALSE),"")</f>
        <v/>
      </c>
      <c r="AX362" s="209" t="str">
        <f>IFERROR(VLOOKUP(TableHandbook[[#This Row],[UDC]],TableSTRUHUMBB[],7,FALSE),"")</f>
        <v/>
      </c>
      <c r="AY362" s="209" t="str">
        <f>IFERROR(VLOOKUP(TableHandbook[[#This Row],[UDC]],TableSTRUMARTM[],7,FALSE),"")</f>
        <v/>
      </c>
      <c r="AZ362" s="209" t="str">
        <f>IFERROR(VLOOKUP(TableHandbook[[#This Row],[UDC]],TableSTRUMATHB[],7,FALSE),"")</f>
        <v/>
      </c>
      <c r="BA362" s="209" t="str">
        <f>IFERROR(VLOOKUP(TableHandbook[[#This Row],[UDC]],TableSTRUMATHM[],7,FALSE),"")</f>
        <v/>
      </c>
      <c r="BB362" s="209" t="str">
        <f>IFERROR(VLOOKUP(TableHandbook[[#This Row],[UDC]],TableSTRUPARTB[],7,FALSE),"")</f>
        <v/>
      </c>
      <c r="BC362" s="209" t="str">
        <f>IFERROR(VLOOKUP(TableHandbook[[#This Row],[UDC]],TableSTRUPARTM[],7,FALSE),"")</f>
        <v/>
      </c>
      <c r="BD362" s="209" t="str">
        <f>IFERROR(VLOOKUP(TableHandbook[[#This Row],[UDC]],TableSTRUPOLB1[],7,FALSE),"")</f>
        <v/>
      </c>
      <c r="BE362" s="209" t="str">
        <f>IFERROR(VLOOKUP(TableHandbook[[#This Row],[UDC]],TableSTRUPSYCB[],7,FALSE),"")</f>
        <v/>
      </c>
      <c r="BF362" s="209" t="str">
        <f>IFERROR(VLOOKUP(TableHandbook[[#This Row],[UDC]],TableSTRUPSYCM[],7,FALSE),"")</f>
        <v/>
      </c>
      <c r="BG362" s="209" t="str">
        <f>IFERROR(VLOOKUP(TableHandbook[[#This Row],[UDC]],TableSTRUVARTB[],7,FALSE),"")</f>
        <v/>
      </c>
      <c r="BH362" s="209" t="str">
        <f>IFERROR(VLOOKUP(TableHandbook[[#This Row],[UDC]],TableSTRUVARTM[],7,FALSE),"")</f>
        <v/>
      </c>
    </row>
    <row r="363" spans="1:60" x14ac:dyDescent="0.25">
      <c r="A363" s="6" t="s">
        <v>361</v>
      </c>
      <c r="B363" s="7">
        <v>2</v>
      </c>
      <c r="C363" s="7"/>
      <c r="D363" s="207" t="s">
        <v>505</v>
      </c>
      <c r="E363" s="7">
        <v>150</v>
      </c>
      <c r="F363" s="84" t="s">
        <v>590</v>
      </c>
      <c r="G363" s="75" t="str">
        <f>IFERROR(IF(VLOOKUP(TableHandbook[[#This Row],[UDC]],TableAvailabilities[],2,FALSE)&gt;0,"Y",""),"")</f>
        <v/>
      </c>
      <c r="H363" s="75" t="str">
        <f>IFERROR(IF(VLOOKUP(TableHandbook[[#This Row],[UDC]],TableAvailabilities[],3,FALSE)&gt;0,"Y",""),"")</f>
        <v/>
      </c>
      <c r="I363" s="75" t="str">
        <f>IFERROR(IF(VLOOKUP(TableHandbook[[#This Row],[UDC]],TableAvailabilities[],4,FALSE)&gt;0,"Y",""),"")</f>
        <v/>
      </c>
      <c r="J363" s="75" t="str">
        <f>IFERROR(IF(VLOOKUP(TableHandbook[[#This Row],[UDC]],TableAvailabilities[],5,FALSE)&gt;0,"Y",""),"")</f>
        <v/>
      </c>
      <c r="K363" s="75" t="str">
        <f>IFERROR(IF(VLOOKUP(TableHandbook[[#This Row],[UDC]],TableAvailabilities[],6,FALSE)&gt;0,"Y",""),"")</f>
        <v/>
      </c>
      <c r="L363" s="75" t="str">
        <f>IFERROR(IF(VLOOKUP(TableHandbook[[#This Row],[UDC]],TableAvailabilities[],7,FALSE)&gt;0,"Y",""),"")</f>
        <v/>
      </c>
      <c r="M363" s="207"/>
      <c r="N363" s="209" t="str">
        <f>IFERROR(VLOOKUP(TableHandbook[[#This Row],[UDC]],TableBEDUC[],7,FALSE),"")</f>
        <v/>
      </c>
      <c r="O363" s="209" t="str">
        <f>IFERROR(VLOOKUP(TableHandbook[[#This Row],[UDC]],TableBEDEC[],7,FALSE),"")</f>
        <v/>
      </c>
      <c r="P363" s="211" t="str">
        <f>IFERROR(VLOOKUP(TableHandbook[[#This Row],[UDC]],TableBEDPR[],7,FALSE),"")</f>
        <v/>
      </c>
      <c r="Q363" s="209" t="str">
        <f>IFERROR(VLOOKUP(TableHandbook[[#This Row],[UDC]],TableSTRUCATHL[],7,FALSE),"")</f>
        <v/>
      </c>
      <c r="R363" s="209" t="str">
        <f>IFERROR(VLOOKUP(TableHandbook[[#This Row],[UDC]],TableSTRUENGLL[],7,FALSE),"")</f>
        <v/>
      </c>
      <c r="S363" s="209" t="str">
        <f>IFERROR(VLOOKUP(TableHandbook[[#This Row],[UDC]],TableSTRUHLTPE[],7,FALSE),"")</f>
        <v/>
      </c>
      <c r="T363" s="209" t="str">
        <f>IFERROR(VLOOKUP(TableHandbook[[#This Row],[UDC]],TableSTRUISTEM[],7,FALSE),"")</f>
        <v/>
      </c>
      <c r="U363" s="209" t="str">
        <f>IFERROR(VLOOKUP(TableHandbook[[#This Row],[UDC]],TableSTRULITNU[],7,FALSE),"")</f>
        <v/>
      </c>
      <c r="V363" s="209" t="str">
        <f>IFERROR(VLOOKUP(TableHandbook[[#This Row],[UDC]],TableSTRUTECHS[],7,FALSE),"")</f>
        <v/>
      </c>
      <c r="W363" s="211" t="str">
        <f>IFERROR(VLOOKUP(TableHandbook[[#This Row],[UDC]],TableBEDSC[],7,FALSE),"")</f>
        <v/>
      </c>
      <c r="X363" s="211" t="str">
        <f>IFERROR(VLOOKUP(TableHandbook[[#This Row],[UDC]],TableMJRUARDR1[],7,FALSE),"")</f>
        <v/>
      </c>
      <c r="Y363" s="209" t="str">
        <f>IFERROR(VLOOKUP(TableHandbook[[#This Row],[UDC]],TableMJRUARME1[],7,FALSE),"")</f>
        <v/>
      </c>
      <c r="Z363" s="209" t="str">
        <f>IFERROR(VLOOKUP(TableHandbook[[#This Row],[UDC]],TableMJRUARVA1[],7,FALSE),"")</f>
        <v/>
      </c>
      <c r="AA363" s="209" t="str">
        <f>IFERROR(VLOOKUP(TableHandbook[[#This Row],[UDC]],TableMJRUENGL1[],7,FALSE),"")</f>
        <v>Option</v>
      </c>
      <c r="AB363" s="209" t="str">
        <f>IFERROR(VLOOKUP(TableHandbook[[#This Row],[UDC]],TableMJRUHSEC1[],7,FALSE),"")</f>
        <v>Option</v>
      </c>
      <c r="AC363" s="209" t="str">
        <f>IFERROR(VLOOKUP(TableHandbook[[#This Row],[UDC]],TableMJRUHSGE1[],7,FALSE),"")</f>
        <v>Option</v>
      </c>
      <c r="AD363" s="209" t="str">
        <f>IFERROR(VLOOKUP(TableHandbook[[#This Row],[UDC]],TableMJRUHSHI1[],7,FALSE),"")</f>
        <v>Option</v>
      </c>
      <c r="AE363" s="209" t="str">
        <f>IFERROR(VLOOKUP(TableHandbook[[#This Row],[UDC]],TableMJRUHSPL1[],7,FALSE),"")</f>
        <v>Option</v>
      </c>
      <c r="AF363" s="209" t="str">
        <f>IFERROR(VLOOKUP(TableHandbook[[#This Row],[UDC]],TableMJRUMATH1[],7,FALSE),"")</f>
        <v>Option</v>
      </c>
      <c r="AG363" s="209" t="str">
        <f>IFERROR(VLOOKUP(TableHandbook[[#This Row],[UDC]],TableMJRUPHYSE[],7,FALSE),"")</f>
        <v/>
      </c>
      <c r="AH363" s="209" t="str">
        <f>IFERROR(VLOOKUP(TableHandbook[[#This Row],[UDC]],TableMJRUSCBI1[],7,FALSE),"")</f>
        <v>Option</v>
      </c>
      <c r="AI363" s="209" t="str">
        <f>IFERROR(VLOOKUP(TableHandbook[[#This Row],[UDC]],TableMJRUSCCH1[],7,FALSE),"")</f>
        <v>Option</v>
      </c>
      <c r="AJ363" s="209" t="str">
        <f>IFERROR(VLOOKUP(TableHandbook[[#This Row],[UDC]],TableMJRUSCHB1[],7,FALSE),"")</f>
        <v>Option</v>
      </c>
      <c r="AK363" s="209" t="str">
        <f>IFERROR(VLOOKUP(TableHandbook[[#This Row],[UDC]],TableMJRUSCPH1[],7,FALSE),"")</f>
        <v/>
      </c>
      <c r="AL363" s="209" t="str">
        <f>IFERROR(VLOOKUP(TableHandbook[[#This Row],[UDC]],TableMJRUSCPS1[],7,FALSE),"")</f>
        <v>Option</v>
      </c>
      <c r="AM363" s="211" t="str">
        <f>IFERROR(VLOOKUP(TableHandbook[[#This Row],[UDC]],TableSTRUBIOLB[],7,FALSE),"")</f>
        <v/>
      </c>
      <c r="AN363" s="209" t="str">
        <f>IFERROR(VLOOKUP(TableHandbook[[#This Row],[UDC]],TableSTRUBSCIM[],7,FALSE),"")</f>
        <v/>
      </c>
      <c r="AO363" s="209" t="str">
        <f>IFERROR(VLOOKUP(TableHandbook[[#This Row],[UDC]],TableSTRUCHEMB[],7,FALSE),"")</f>
        <v/>
      </c>
      <c r="AP363" s="209" t="str">
        <f>IFERROR(VLOOKUP(TableHandbook[[#This Row],[UDC]],TableSTRUECOB1[],7,FALSE),"")</f>
        <v/>
      </c>
      <c r="AQ363" s="209" t="str">
        <f>IFERROR(VLOOKUP(TableHandbook[[#This Row],[UDC]],TableSTRUENGLB[],7,FALSE),"")</f>
        <v/>
      </c>
      <c r="AR363" s="209" t="str">
        <f>IFERROR(VLOOKUP(TableHandbook[[#This Row],[UDC]],TableSTRUENGLM[],7,FALSE),"")</f>
        <v/>
      </c>
      <c r="AS363" s="209" t="str">
        <f>IFERROR(VLOOKUP(TableHandbook[[#This Row],[UDC]],TableSTRUGEOB1[],7,FALSE),"")</f>
        <v/>
      </c>
      <c r="AT363" s="209" t="str">
        <f>IFERROR(VLOOKUP(TableHandbook[[#This Row],[UDC]],TableSTRUGEOGM[],7,FALSE),"")</f>
        <v/>
      </c>
      <c r="AU363" s="209" t="str">
        <f>IFERROR(VLOOKUP(TableHandbook[[#This Row],[UDC]],TableSTRUHISB1[],7,FALSE),"")</f>
        <v/>
      </c>
      <c r="AV363" s="209" t="str">
        <f>IFERROR(VLOOKUP(TableHandbook[[#This Row],[UDC]],TableSTRUHISTM[],7,FALSE),"")</f>
        <v/>
      </c>
      <c r="AW363" s="209" t="str">
        <f>IFERROR(VLOOKUP(TableHandbook[[#This Row],[UDC]],TableSTRUHPEB1[],7,FALSE),"")</f>
        <v/>
      </c>
      <c r="AX363" s="209" t="str">
        <f>IFERROR(VLOOKUP(TableHandbook[[#This Row],[UDC]],TableSTRUHUMBB[],7,FALSE),"")</f>
        <v/>
      </c>
      <c r="AY363" s="209" t="str">
        <f>IFERROR(VLOOKUP(TableHandbook[[#This Row],[UDC]],TableSTRUMARTM[],7,FALSE),"")</f>
        <v/>
      </c>
      <c r="AZ363" s="209" t="str">
        <f>IFERROR(VLOOKUP(TableHandbook[[#This Row],[UDC]],TableSTRUMATHB[],7,FALSE),"")</f>
        <v/>
      </c>
      <c r="BA363" s="209" t="str">
        <f>IFERROR(VLOOKUP(TableHandbook[[#This Row],[UDC]],TableSTRUMATHM[],7,FALSE),"")</f>
        <v/>
      </c>
      <c r="BB363" s="209" t="str">
        <f>IFERROR(VLOOKUP(TableHandbook[[#This Row],[UDC]],TableSTRUPARTB[],7,FALSE),"")</f>
        <v/>
      </c>
      <c r="BC363" s="209" t="str">
        <f>IFERROR(VLOOKUP(TableHandbook[[#This Row],[UDC]],TableSTRUPARTM[],7,FALSE),"")</f>
        <v/>
      </c>
      <c r="BD363" s="209" t="str">
        <f>IFERROR(VLOOKUP(TableHandbook[[#This Row],[UDC]],TableSTRUPOLB1[],7,FALSE),"")</f>
        <v/>
      </c>
      <c r="BE363" s="209" t="str">
        <f>IFERROR(VLOOKUP(TableHandbook[[#This Row],[UDC]],TableSTRUPSYCB[],7,FALSE),"")</f>
        <v/>
      </c>
      <c r="BF363" s="209" t="str">
        <f>IFERROR(VLOOKUP(TableHandbook[[#This Row],[UDC]],TableSTRUPSYCM[],7,FALSE),"")</f>
        <v/>
      </c>
      <c r="BG363" s="209" t="str">
        <f>IFERROR(VLOOKUP(TableHandbook[[#This Row],[UDC]],TableSTRUVARTB[],7,FALSE),"")</f>
        <v/>
      </c>
      <c r="BH363" s="209" t="str">
        <f>IFERROR(VLOOKUP(TableHandbook[[#This Row],[UDC]],TableSTRUVARTM[],7,FALSE),"")</f>
        <v/>
      </c>
    </row>
    <row r="364" spans="1:60" ht="26.25" x14ac:dyDescent="0.25">
      <c r="A364" s="296" t="s">
        <v>365</v>
      </c>
      <c r="B364" s="7">
        <v>2</v>
      </c>
      <c r="C364" s="7"/>
      <c r="D364" s="207" t="s">
        <v>1162</v>
      </c>
      <c r="E364" s="7">
        <v>150</v>
      </c>
      <c r="F364" s="84"/>
      <c r="G364" s="75" t="str">
        <f>IFERROR(IF(VLOOKUP(TableHandbook[[#This Row],[UDC]],TableAvailabilities[],2,FALSE)&gt;0,"Y",""),"")</f>
        <v/>
      </c>
      <c r="H364" s="75" t="str">
        <f>IFERROR(IF(VLOOKUP(TableHandbook[[#This Row],[UDC]],TableAvailabilities[],3,FALSE)&gt;0,"Y",""),"")</f>
        <v/>
      </c>
      <c r="I364" s="75" t="str">
        <f>IFERROR(IF(VLOOKUP(TableHandbook[[#This Row],[UDC]],TableAvailabilities[],4,FALSE)&gt;0,"Y",""),"")</f>
        <v/>
      </c>
      <c r="J364" s="75" t="str">
        <f>IFERROR(IF(VLOOKUP(TableHandbook[[#This Row],[UDC]],TableAvailabilities[],5,FALSE)&gt;0,"Y",""),"")</f>
        <v/>
      </c>
      <c r="K364" s="75" t="str">
        <f>IFERROR(IF(VLOOKUP(TableHandbook[[#This Row],[UDC]],TableAvailabilities[],6,FALSE)&gt;0,"Y",""),"")</f>
        <v/>
      </c>
      <c r="L364" s="75" t="str">
        <f>IFERROR(IF(VLOOKUP(TableHandbook[[#This Row],[UDC]],TableAvailabilities[],7,FALSE)&gt;0,"Y",""),"")</f>
        <v/>
      </c>
      <c r="M364" s="207"/>
      <c r="N364" s="209" t="str">
        <f>IFERROR(VLOOKUP(TableHandbook[[#This Row],[UDC]],TableBEDUC[],7,FALSE),"")</f>
        <v/>
      </c>
      <c r="O364" s="209" t="str">
        <f>IFERROR(VLOOKUP(TableHandbook[[#This Row],[UDC]],TableBEDEC[],7,FALSE),"")</f>
        <v/>
      </c>
      <c r="P364" s="211" t="str">
        <f>IFERROR(VLOOKUP(TableHandbook[[#This Row],[UDC]],TableBEDPR[],7,FALSE),"")</f>
        <v/>
      </c>
      <c r="Q364" s="209" t="str">
        <f>IFERROR(VLOOKUP(TableHandbook[[#This Row],[UDC]],TableSTRUCATHL[],7,FALSE),"")</f>
        <v/>
      </c>
      <c r="R364" s="209" t="str">
        <f>IFERROR(VLOOKUP(TableHandbook[[#This Row],[UDC]],TableSTRUENGLL[],7,FALSE),"")</f>
        <v/>
      </c>
      <c r="S364" s="209" t="str">
        <f>IFERROR(VLOOKUP(TableHandbook[[#This Row],[UDC]],TableSTRUHLTPE[],7,FALSE),"")</f>
        <v/>
      </c>
      <c r="T364" s="209" t="str">
        <f>IFERROR(VLOOKUP(TableHandbook[[#This Row],[UDC]],TableSTRUISTEM[],7,FALSE),"")</f>
        <v/>
      </c>
      <c r="U364" s="209" t="str">
        <f>IFERROR(VLOOKUP(TableHandbook[[#This Row],[UDC]],TableSTRULITNU[],7,FALSE),"")</f>
        <v/>
      </c>
      <c r="V364" s="209" t="str">
        <f>IFERROR(VLOOKUP(TableHandbook[[#This Row],[UDC]],TableSTRUTECHS[],7,FALSE),"")</f>
        <v/>
      </c>
      <c r="W364" s="211" t="str">
        <f>IFERROR(VLOOKUP(TableHandbook[[#This Row],[UDC]],TableBEDSC[],7,FALSE),"")</f>
        <v/>
      </c>
      <c r="X364" s="211" t="str">
        <f>IFERROR(VLOOKUP(TableHandbook[[#This Row],[UDC]],TableMJRUARDR1[],7,FALSE),"")</f>
        <v/>
      </c>
      <c r="Y364" s="209" t="str">
        <f>IFERROR(VLOOKUP(TableHandbook[[#This Row],[UDC]],TableMJRUARME1[],7,FALSE),"")</f>
        <v/>
      </c>
      <c r="Z364" s="209" t="str">
        <f>IFERROR(VLOOKUP(TableHandbook[[#This Row],[UDC]],TableMJRUARVA1[],7,FALSE),"")</f>
        <v/>
      </c>
      <c r="AA364" s="209" t="str">
        <f>IFERROR(VLOOKUP(TableHandbook[[#This Row],[UDC]],TableMJRUENGL1[],7,FALSE),"")</f>
        <v/>
      </c>
      <c r="AB364" s="209" t="str">
        <f>IFERROR(VLOOKUP(TableHandbook[[#This Row],[UDC]],TableMJRUHSEC1[],7,FALSE),"")</f>
        <v/>
      </c>
      <c r="AC364" s="209" t="str">
        <f>IFERROR(VLOOKUP(TableHandbook[[#This Row],[UDC]],TableMJRUHSGE1[],7,FALSE),"")</f>
        <v/>
      </c>
      <c r="AD364" s="209" t="str">
        <f>IFERROR(VLOOKUP(TableHandbook[[#This Row],[UDC]],TableMJRUHSHI1[],7,FALSE),"")</f>
        <v/>
      </c>
      <c r="AE364" s="209" t="str">
        <f>IFERROR(VLOOKUP(TableHandbook[[#This Row],[UDC]],TableMJRUHSPL1[],7,FALSE),"")</f>
        <v>Option</v>
      </c>
      <c r="AF364" s="209" t="str">
        <f>IFERROR(VLOOKUP(TableHandbook[[#This Row],[UDC]],TableMJRUMATH1[],7,FALSE),"")</f>
        <v/>
      </c>
      <c r="AG364" s="209" t="str">
        <f>IFERROR(VLOOKUP(TableHandbook[[#This Row],[UDC]],TableMJRUPHYSE[],7,FALSE),"")</f>
        <v/>
      </c>
      <c r="AH364" s="209" t="str">
        <f>IFERROR(VLOOKUP(TableHandbook[[#This Row],[UDC]],TableMJRUSCBI1[],7,FALSE),"")</f>
        <v/>
      </c>
      <c r="AI364" s="209" t="str">
        <f>IFERROR(VLOOKUP(TableHandbook[[#This Row],[UDC]],TableMJRUSCCH1[],7,FALSE),"")</f>
        <v/>
      </c>
      <c r="AJ364" s="209" t="str">
        <f>IFERROR(VLOOKUP(TableHandbook[[#This Row],[UDC]],TableMJRUSCHB1[],7,FALSE),"")</f>
        <v/>
      </c>
      <c r="AK364" s="209" t="str">
        <f>IFERROR(VLOOKUP(TableHandbook[[#This Row],[UDC]],TableMJRUSCPH1[],7,FALSE),"")</f>
        <v/>
      </c>
      <c r="AL364" s="209" t="str">
        <f>IFERROR(VLOOKUP(TableHandbook[[#This Row],[UDC]],TableMJRUSCPS1[],7,FALSE),"")</f>
        <v/>
      </c>
      <c r="AM364" s="211" t="str">
        <f>IFERROR(VLOOKUP(TableHandbook[[#This Row],[UDC]],TableSTRUBIOLB[],7,FALSE),"")</f>
        <v/>
      </c>
      <c r="AN364" s="209" t="str">
        <f>IFERROR(VLOOKUP(TableHandbook[[#This Row],[UDC]],TableSTRUBSCIM[],7,FALSE),"")</f>
        <v/>
      </c>
      <c r="AO364" s="209" t="str">
        <f>IFERROR(VLOOKUP(TableHandbook[[#This Row],[UDC]],TableSTRUCHEMB[],7,FALSE),"")</f>
        <v/>
      </c>
      <c r="AP364" s="209" t="str">
        <f>IFERROR(VLOOKUP(TableHandbook[[#This Row],[UDC]],TableSTRUECOB1[],7,FALSE),"")</f>
        <v/>
      </c>
      <c r="AQ364" s="209" t="str">
        <f>IFERROR(VLOOKUP(TableHandbook[[#This Row],[UDC]],TableSTRUENGLB[],7,FALSE),"")</f>
        <v/>
      </c>
      <c r="AR364" s="209" t="str">
        <f>IFERROR(VLOOKUP(TableHandbook[[#This Row],[UDC]],TableSTRUENGLM[],7,FALSE),"")</f>
        <v/>
      </c>
      <c r="AS364" s="209" t="str">
        <f>IFERROR(VLOOKUP(TableHandbook[[#This Row],[UDC]],TableSTRUGEOB1[],7,FALSE),"")</f>
        <v/>
      </c>
      <c r="AT364" s="209" t="str">
        <f>IFERROR(VLOOKUP(TableHandbook[[#This Row],[UDC]],TableSTRUGEOGM[],7,FALSE),"")</f>
        <v/>
      </c>
      <c r="AU364" s="209" t="str">
        <f>IFERROR(VLOOKUP(TableHandbook[[#This Row],[UDC]],TableSTRUHISB1[],7,FALSE),"")</f>
        <v/>
      </c>
      <c r="AV364" s="209" t="str">
        <f>IFERROR(VLOOKUP(TableHandbook[[#This Row],[UDC]],TableSTRUHISTM[],7,FALSE),"")</f>
        <v/>
      </c>
      <c r="AW364" s="209" t="str">
        <f>IFERROR(VLOOKUP(TableHandbook[[#This Row],[UDC]],TableSTRUHPEB1[],7,FALSE),"")</f>
        <v/>
      </c>
      <c r="AX364" s="209" t="str">
        <f>IFERROR(VLOOKUP(TableHandbook[[#This Row],[UDC]],TableSTRUHUMBB[],7,FALSE),"")</f>
        <v/>
      </c>
      <c r="AY364" s="209" t="str">
        <f>IFERROR(VLOOKUP(TableHandbook[[#This Row],[UDC]],TableSTRUMARTM[],7,FALSE),"")</f>
        <v/>
      </c>
      <c r="AZ364" s="209" t="str">
        <f>IFERROR(VLOOKUP(TableHandbook[[#This Row],[UDC]],TableSTRUMATHB[],7,FALSE),"")</f>
        <v/>
      </c>
      <c r="BA364" s="209" t="str">
        <f>IFERROR(VLOOKUP(TableHandbook[[#This Row],[UDC]],TableSTRUMATHM[],7,FALSE),"")</f>
        <v/>
      </c>
      <c r="BB364" s="209" t="str">
        <f>IFERROR(VLOOKUP(TableHandbook[[#This Row],[UDC]],TableSTRUPARTB[],7,FALSE),"")</f>
        <v/>
      </c>
      <c r="BC364" s="209" t="str">
        <f>IFERROR(VLOOKUP(TableHandbook[[#This Row],[UDC]],TableSTRUPARTM[],7,FALSE),"")</f>
        <v/>
      </c>
      <c r="BD364" s="209" t="str">
        <f>IFERROR(VLOOKUP(TableHandbook[[#This Row],[UDC]],TableSTRUPOLB1[],7,FALSE),"")</f>
        <v/>
      </c>
      <c r="BE364" s="209" t="str">
        <f>IFERROR(VLOOKUP(TableHandbook[[#This Row],[UDC]],TableSTRUPSYCB[],7,FALSE),"")</f>
        <v/>
      </c>
      <c r="BF364" s="209" t="str">
        <f>IFERROR(VLOOKUP(TableHandbook[[#This Row],[UDC]],TableSTRUPSYCM[],7,FALSE),"")</f>
        <v/>
      </c>
      <c r="BG364" s="209" t="str">
        <f>IFERROR(VLOOKUP(TableHandbook[[#This Row],[UDC]],TableSTRUVARTB[],7,FALSE),"")</f>
        <v/>
      </c>
      <c r="BH364" s="209" t="str">
        <f>IFERROR(VLOOKUP(TableHandbook[[#This Row],[UDC]],TableSTRUVARTM[],7,FALSE),"")</f>
        <v/>
      </c>
    </row>
    <row r="365" spans="1:60" x14ac:dyDescent="0.25">
      <c r="A365" s="296" t="s">
        <v>371</v>
      </c>
      <c r="B365" s="7">
        <v>3</v>
      </c>
      <c r="C365" s="7"/>
      <c r="D365" s="207" t="s">
        <v>411</v>
      </c>
      <c r="E365" s="7">
        <v>150</v>
      </c>
      <c r="F365" s="84"/>
      <c r="G365" s="75" t="str">
        <f>IFERROR(IF(VLOOKUP(TableHandbook[[#This Row],[UDC]],TableAvailabilities[],2,FALSE)&gt;0,"Y",""),"")</f>
        <v/>
      </c>
      <c r="H365" s="75" t="str">
        <f>IFERROR(IF(VLOOKUP(TableHandbook[[#This Row],[UDC]],TableAvailabilities[],3,FALSE)&gt;0,"Y",""),"")</f>
        <v/>
      </c>
      <c r="I365" s="75" t="str">
        <f>IFERROR(IF(VLOOKUP(TableHandbook[[#This Row],[UDC]],TableAvailabilities[],4,FALSE)&gt;0,"Y",""),"")</f>
        <v/>
      </c>
      <c r="J365" s="75" t="str">
        <f>IFERROR(IF(VLOOKUP(TableHandbook[[#This Row],[UDC]],TableAvailabilities[],5,FALSE)&gt;0,"Y",""),"")</f>
        <v/>
      </c>
      <c r="K365" s="75" t="str">
        <f>IFERROR(IF(VLOOKUP(TableHandbook[[#This Row],[UDC]],TableAvailabilities[],6,FALSE)&gt;0,"Y",""),"")</f>
        <v/>
      </c>
      <c r="L365" s="75" t="str">
        <f>IFERROR(IF(VLOOKUP(TableHandbook[[#This Row],[UDC]],TableAvailabilities[],7,FALSE)&gt;0,"Y",""),"")</f>
        <v/>
      </c>
      <c r="M365" s="207"/>
      <c r="N365" s="209" t="str">
        <f>IFERROR(VLOOKUP(TableHandbook[[#This Row],[UDC]],TableBEDUC[],7,FALSE),"")</f>
        <v/>
      </c>
      <c r="O365" s="209" t="str">
        <f>IFERROR(VLOOKUP(TableHandbook[[#This Row],[UDC]],TableBEDEC[],7,FALSE),"")</f>
        <v/>
      </c>
      <c r="P365" s="211" t="str">
        <f>IFERROR(VLOOKUP(TableHandbook[[#This Row],[UDC]],TableBEDPR[],7,FALSE),"")</f>
        <v/>
      </c>
      <c r="Q365" s="209" t="str">
        <f>IFERROR(VLOOKUP(TableHandbook[[#This Row],[UDC]],TableSTRUCATHL[],7,FALSE),"")</f>
        <v/>
      </c>
      <c r="R365" s="209" t="str">
        <f>IFERROR(VLOOKUP(TableHandbook[[#This Row],[UDC]],TableSTRUENGLL[],7,FALSE),"")</f>
        <v/>
      </c>
      <c r="S365" s="209" t="str">
        <f>IFERROR(VLOOKUP(TableHandbook[[#This Row],[UDC]],TableSTRUHLTPE[],7,FALSE),"")</f>
        <v/>
      </c>
      <c r="T365" s="209" t="str">
        <f>IFERROR(VLOOKUP(TableHandbook[[#This Row],[UDC]],TableSTRUISTEM[],7,FALSE),"")</f>
        <v/>
      </c>
      <c r="U365" s="209" t="str">
        <f>IFERROR(VLOOKUP(TableHandbook[[#This Row],[UDC]],TableSTRULITNU[],7,FALSE),"")</f>
        <v/>
      </c>
      <c r="V365" s="209" t="str">
        <f>IFERROR(VLOOKUP(TableHandbook[[#This Row],[UDC]],TableSTRUTECHS[],7,FALSE),"")</f>
        <v/>
      </c>
      <c r="W365" s="211" t="str">
        <f>IFERROR(VLOOKUP(TableHandbook[[#This Row],[UDC]],TableBEDSC[],7,FALSE),"")</f>
        <v/>
      </c>
      <c r="X365" s="211" t="str">
        <f>IFERROR(VLOOKUP(TableHandbook[[#This Row],[UDC]],TableMJRUARDR1[],7,FALSE),"")</f>
        <v/>
      </c>
      <c r="Y365" s="209" t="str">
        <f>IFERROR(VLOOKUP(TableHandbook[[#This Row],[UDC]],TableMJRUARME1[],7,FALSE),"")</f>
        <v/>
      </c>
      <c r="Z365" s="209" t="str">
        <f>IFERROR(VLOOKUP(TableHandbook[[#This Row],[UDC]],TableMJRUARVA1[],7,FALSE),"")</f>
        <v/>
      </c>
      <c r="AA365" s="209" t="str">
        <f>IFERROR(VLOOKUP(TableHandbook[[#This Row],[UDC]],TableMJRUENGL1[],7,FALSE),"")</f>
        <v/>
      </c>
      <c r="AB365" s="209" t="str">
        <f>IFERROR(VLOOKUP(TableHandbook[[#This Row],[UDC]],TableMJRUHSEC1[],7,FALSE),"")</f>
        <v/>
      </c>
      <c r="AC365" s="209" t="str">
        <f>IFERROR(VLOOKUP(TableHandbook[[#This Row],[UDC]],TableMJRUHSGE1[],7,FALSE),"")</f>
        <v/>
      </c>
      <c r="AD365" s="209" t="str">
        <f>IFERROR(VLOOKUP(TableHandbook[[#This Row],[UDC]],TableMJRUHSHI1[],7,FALSE),"")</f>
        <v/>
      </c>
      <c r="AE365" s="209" t="str">
        <f>IFERROR(VLOOKUP(TableHandbook[[#This Row],[UDC]],TableMJRUHSPL1[],7,FALSE),"")</f>
        <v/>
      </c>
      <c r="AF365" s="209" t="str">
        <f>IFERROR(VLOOKUP(TableHandbook[[#This Row],[UDC]],TableMJRUMATH1[],7,FALSE),"")</f>
        <v/>
      </c>
      <c r="AG365" s="209" t="str">
        <f>IFERROR(VLOOKUP(TableHandbook[[#This Row],[UDC]],TableMJRUPHYSE[],7,FALSE),"")</f>
        <v/>
      </c>
      <c r="AH365" s="209" t="str">
        <f>IFERROR(VLOOKUP(TableHandbook[[#This Row],[UDC]],TableMJRUSCBI1[],7,FALSE),"")</f>
        <v/>
      </c>
      <c r="AI365" s="209" t="str">
        <f>IFERROR(VLOOKUP(TableHandbook[[#This Row],[UDC]],TableMJRUSCCH1[],7,FALSE),"")</f>
        <v/>
      </c>
      <c r="AJ365" s="209" t="str">
        <f>IFERROR(VLOOKUP(TableHandbook[[#This Row],[UDC]],TableMJRUSCHB1[],7,FALSE),"")</f>
        <v/>
      </c>
      <c r="AK365" s="209" t="str">
        <f>IFERROR(VLOOKUP(TableHandbook[[#This Row],[UDC]],TableMJRUSCPH1[],7,FALSE),"")</f>
        <v/>
      </c>
      <c r="AL365" s="209" t="str">
        <f>IFERROR(VLOOKUP(TableHandbook[[#This Row],[UDC]],TableMJRUSCPS1[],7,FALSE),"")</f>
        <v>Option</v>
      </c>
      <c r="AM365" s="211" t="str">
        <f>IFERROR(VLOOKUP(TableHandbook[[#This Row],[UDC]],TableSTRUBIOLB[],7,FALSE),"")</f>
        <v/>
      </c>
      <c r="AN365" s="209" t="str">
        <f>IFERROR(VLOOKUP(TableHandbook[[#This Row],[UDC]],TableSTRUBSCIM[],7,FALSE),"")</f>
        <v/>
      </c>
      <c r="AO365" s="209" t="str">
        <f>IFERROR(VLOOKUP(TableHandbook[[#This Row],[UDC]],TableSTRUCHEMB[],7,FALSE),"")</f>
        <v/>
      </c>
      <c r="AP365" s="209" t="str">
        <f>IFERROR(VLOOKUP(TableHandbook[[#This Row],[UDC]],TableSTRUECOB1[],7,FALSE),"")</f>
        <v/>
      </c>
      <c r="AQ365" s="209" t="str">
        <f>IFERROR(VLOOKUP(TableHandbook[[#This Row],[UDC]],TableSTRUENGLB[],7,FALSE),"")</f>
        <v/>
      </c>
      <c r="AR365" s="209" t="str">
        <f>IFERROR(VLOOKUP(TableHandbook[[#This Row],[UDC]],TableSTRUENGLM[],7,FALSE),"")</f>
        <v/>
      </c>
      <c r="AS365" s="209" t="str">
        <f>IFERROR(VLOOKUP(TableHandbook[[#This Row],[UDC]],TableSTRUGEOB1[],7,FALSE),"")</f>
        <v/>
      </c>
      <c r="AT365" s="209" t="str">
        <f>IFERROR(VLOOKUP(TableHandbook[[#This Row],[UDC]],TableSTRUGEOGM[],7,FALSE),"")</f>
        <v/>
      </c>
      <c r="AU365" s="209" t="str">
        <f>IFERROR(VLOOKUP(TableHandbook[[#This Row],[UDC]],TableSTRUHISB1[],7,FALSE),"")</f>
        <v/>
      </c>
      <c r="AV365" s="209" t="str">
        <f>IFERROR(VLOOKUP(TableHandbook[[#This Row],[UDC]],TableSTRUHISTM[],7,FALSE),"")</f>
        <v/>
      </c>
      <c r="AW365" s="209" t="str">
        <f>IFERROR(VLOOKUP(TableHandbook[[#This Row],[UDC]],TableSTRUHPEB1[],7,FALSE),"")</f>
        <v/>
      </c>
      <c r="AX365" s="209" t="str">
        <f>IFERROR(VLOOKUP(TableHandbook[[#This Row],[UDC]],TableSTRUHUMBB[],7,FALSE),"")</f>
        <v/>
      </c>
      <c r="AY365" s="209" t="str">
        <f>IFERROR(VLOOKUP(TableHandbook[[#This Row],[UDC]],TableSTRUMARTM[],7,FALSE),"")</f>
        <v/>
      </c>
      <c r="AZ365" s="209" t="str">
        <f>IFERROR(VLOOKUP(TableHandbook[[#This Row],[UDC]],TableSTRUMATHB[],7,FALSE),"")</f>
        <v/>
      </c>
      <c r="BA365" s="209" t="str">
        <f>IFERROR(VLOOKUP(TableHandbook[[#This Row],[UDC]],TableSTRUMATHM[],7,FALSE),"")</f>
        <v/>
      </c>
      <c r="BB365" s="209" t="str">
        <f>IFERROR(VLOOKUP(TableHandbook[[#This Row],[UDC]],TableSTRUPARTB[],7,FALSE),"")</f>
        <v/>
      </c>
      <c r="BC365" s="209" t="str">
        <f>IFERROR(VLOOKUP(TableHandbook[[#This Row],[UDC]],TableSTRUPARTM[],7,FALSE),"")</f>
        <v/>
      </c>
      <c r="BD365" s="209" t="str">
        <f>IFERROR(VLOOKUP(TableHandbook[[#This Row],[UDC]],TableSTRUPOLB1[],7,FALSE),"")</f>
        <v/>
      </c>
      <c r="BE365" s="209" t="str">
        <f>IFERROR(VLOOKUP(TableHandbook[[#This Row],[UDC]],TableSTRUPSYCB[],7,FALSE),"")</f>
        <v/>
      </c>
      <c r="BF365" s="209" t="str">
        <f>IFERROR(VLOOKUP(TableHandbook[[#This Row],[UDC]],TableSTRUPSYCM[],7,FALSE),"")</f>
        <v/>
      </c>
      <c r="BG365" s="209" t="str">
        <f>IFERROR(VLOOKUP(TableHandbook[[#This Row],[UDC]],TableSTRUVARTB[],7,FALSE),"")</f>
        <v/>
      </c>
      <c r="BH365" s="209" t="str">
        <f>IFERROR(VLOOKUP(TableHandbook[[#This Row],[UDC]],TableSTRUVARTM[],7,FALSE),"")</f>
        <v/>
      </c>
    </row>
    <row r="366" spans="1:60" x14ac:dyDescent="0.25">
      <c r="A366" s="296" t="s">
        <v>357</v>
      </c>
      <c r="B366" s="7">
        <v>3</v>
      </c>
      <c r="C366" s="7"/>
      <c r="D366" s="207" t="s">
        <v>482</v>
      </c>
      <c r="E366" s="7">
        <v>150</v>
      </c>
      <c r="F366" s="84"/>
      <c r="G366" s="75" t="str">
        <f>IFERROR(IF(VLOOKUP(TableHandbook[[#This Row],[UDC]],TableAvailabilities[],2,FALSE)&gt;0,"Y",""),"")</f>
        <v/>
      </c>
      <c r="H366" s="75" t="str">
        <f>IFERROR(IF(VLOOKUP(TableHandbook[[#This Row],[UDC]],TableAvailabilities[],3,FALSE)&gt;0,"Y",""),"")</f>
        <v/>
      </c>
      <c r="I366" s="75" t="str">
        <f>IFERROR(IF(VLOOKUP(TableHandbook[[#This Row],[UDC]],TableAvailabilities[],4,FALSE)&gt;0,"Y",""),"")</f>
        <v/>
      </c>
      <c r="J366" s="75" t="str">
        <f>IFERROR(IF(VLOOKUP(TableHandbook[[#This Row],[UDC]],TableAvailabilities[],5,FALSE)&gt;0,"Y",""),"")</f>
        <v/>
      </c>
      <c r="K366" s="75" t="str">
        <f>IFERROR(IF(VLOOKUP(TableHandbook[[#This Row],[UDC]],TableAvailabilities[],6,FALSE)&gt;0,"Y",""),"")</f>
        <v/>
      </c>
      <c r="L366" s="75" t="str">
        <f>IFERROR(IF(VLOOKUP(TableHandbook[[#This Row],[UDC]],TableAvailabilities[],7,FALSE)&gt;0,"Y",""),"")</f>
        <v/>
      </c>
      <c r="M366" s="207"/>
      <c r="N366" s="209" t="str">
        <f>IFERROR(VLOOKUP(TableHandbook[[#This Row],[UDC]],TableBEDUC[],7,FALSE),"")</f>
        <v/>
      </c>
      <c r="O366" s="209" t="str">
        <f>IFERROR(VLOOKUP(TableHandbook[[#This Row],[UDC]],TableBEDEC[],7,FALSE),"")</f>
        <v/>
      </c>
      <c r="P366" s="211" t="str">
        <f>IFERROR(VLOOKUP(TableHandbook[[#This Row],[UDC]],TableBEDPR[],7,FALSE),"")</f>
        <v/>
      </c>
      <c r="Q366" s="209" t="str">
        <f>IFERROR(VLOOKUP(TableHandbook[[#This Row],[UDC]],TableSTRUCATHL[],7,FALSE),"")</f>
        <v/>
      </c>
      <c r="R366" s="209" t="str">
        <f>IFERROR(VLOOKUP(TableHandbook[[#This Row],[UDC]],TableSTRUENGLL[],7,FALSE),"")</f>
        <v/>
      </c>
      <c r="S366" s="209" t="str">
        <f>IFERROR(VLOOKUP(TableHandbook[[#This Row],[UDC]],TableSTRUHLTPE[],7,FALSE),"")</f>
        <v/>
      </c>
      <c r="T366" s="209" t="str">
        <f>IFERROR(VLOOKUP(TableHandbook[[#This Row],[UDC]],TableSTRUISTEM[],7,FALSE),"")</f>
        <v/>
      </c>
      <c r="U366" s="209" t="str">
        <f>IFERROR(VLOOKUP(TableHandbook[[#This Row],[UDC]],TableSTRULITNU[],7,FALSE),"")</f>
        <v/>
      </c>
      <c r="V366" s="209" t="str">
        <f>IFERROR(VLOOKUP(TableHandbook[[#This Row],[UDC]],TableSTRUTECHS[],7,FALSE),"")</f>
        <v/>
      </c>
      <c r="W366" s="211" t="str">
        <f>IFERROR(VLOOKUP(TableHandbook[[#This Row],[UDC]],TableBEDSC[],7,FALSE),"")</f>
        <v/>
      </c>
      <c r="X366" s="211" t="str">
        <f>IFERROR(VLOOKUP(TableHandbook[[#This Row],[UDC]],TableMJRUARDR1[],7,FALSE),"")</f>
        <v>Option</v>
      </c>
      <c r="Y366" s="209" t="str">
        <f>IFERROR(VLOOKUP(TableHandbook[[#This Row],[UDC]],TableMJRUARME1[],7,FALSE),"")</f>
        <v>Option</v>
      </c>
      <c r="Z366" s="209" t="str">
        <f>IFERROR(VLOOKUP(TableHandbook[[#This Row],[UDC]],TableMJRUARVA1[],7,FALSE),"")</f>
        <v>Option</v>
      </c>
      <c r="AA366" s="209" t="str">
        <f>IFERROR(VLOOKUP(TableHandbook[[#This Row],[UDC]],TableMJRUENGL1[],7,FALSE),"")</f>
        <v>Option</v>
      </c>
      <c r="AB366" s="209" t="str">
        <f>IFERROR(VLOOKUP(TableHandbook[[#This Row],[UDC]],TableMJRUHSEC1[],7,FALSE),"")</f>
        <v>Option</v>
      </c>
      <c r="AC366" s="209" t="str">
        <f>IFERROR(VLOOKUP(TableHandbook[[#This Row],[UDC]],TableMJRUHSGE1[],7,FALSE),"")</f>
        <v>Option</v>
      </c>
      <c r="AD366" s="209" t="str">
        <f>IFERROR(VLOOKUP(TableHandbook[[#This Row],[UDC]],TableMJRUHSHI1[],7,FALSE),"")</f>
        <v>Option</v>
      </c>
      <c r="AE366" s="209" t="str">
        <f>IFERROR(VLOOKUP(TableHandbook[[#This Row],[UDC]],TableMJRUHSPL1[],7,FALSE),"")</f>
        <v>Option</v>
      </c>
      <c r="AF366" s="209" t="str">
        <f>IFERROR(VLOOKUP(TableHandbook[[#This Row],[UDC]],TableMJRUMATH1[],7,FALSE),"")</f>
        <v>Option</v>
      </c>
      <c r="AG366" s="209" t="str">
        <f>IFERROR(VLOOKUP(TableHandbook[[#This Row],[UDC]],TableMJRUPHYSE[],7,FALSE),"")</f>
        <v/>
      </c>
      <c r="AH366" s="209" t="str">
        <f>IFERROR(VLOOKUP(TableHandbook[[#This Row],[UDC]],TableMJRUSCBI1[],7,FALSE),"")</f>
        <v/>
      </c>
      <c r="AI366" s="209" t="str">
        <f>IFERROR(VLOOKUP(TableHandbook[[#This Row],[UDC]],TableMJRUSCCH1[],7,FALSE),"")</f>
        <v/>
      </c>
      <c r="AJ366" s="209" t="str">
        <f>IFERROR(VLOOKUP(TableHandbook[[#This Row],[UDC]],TableMJRUSCHB1[],7,FALSE),"")</f>
        <v/>
      </c>
      <c r="AK366" s="209" t="str">
        <f>IFERROR(VLOOKUP(TableHandbook[[#This Row],[UDC]],TableMJRUSCPH1[],7,FALSE),"")</f>
        <v/>
      </c>
      <c r="AL366" s="209" t="str">
        <f>IFERROR(VLOOKUP(TableHandbook[[#This Row],[UDC]],TableMJRUSCPS1[],7,FALSE),"")</f>
        <v/>
      </c>
      <c r="AM366" s="211" t="str">
        <f>IFERROR(VLOOKUP(TableHandbook[[#This Row],[UDC]],TableSTRUBIOLB[],7,FALSE),"")</f>
        <v/>
      </c>
      <c r="AN366" s="209" t="str">
        <f>IFERROR(VLOOKUP(TableHandbook[[#This Row],[UDC]],TableSTRUBSCIM[],7,FALSE),"")</f>
        <v/>
      </c>
      <c r="AO366" s="209" t="str">
        <f>IFERROR(VLOOKUP(TableHandbook[[#This Row],[UDC]],TableSTRUCHEMB[],7,FALSE),"")</f>
        <v/>
      </c>
      <c r="AP366" s="209" t="str">
        <f>IFERROR(VLOOKUP(TableHandbook[[#This Row],[UDC]],TableSTRUECOB1[],7,FALSE),"")</f>
        <v/>
      </c>
      <c r="AQ366" s="209" t="str">
        <f>IFERROR(VLOOKUP(TableHandbook[[#This Row],[UDC]],TableSTRUENGLB[],7,FALSE),"")</f>
        <v/>
      </c>
      <c r="AR366" s="209" t="str">
        <f>IFERROR(VLOOKUP(TableHandbook[[#This Row],[UDC]],TableSTRUENGLM[],7,FALSE),"")</f>
        <v/>
      </c>
      <c r="AS366" s="209" t="str">
        <f>IFERROR(VLOOKUP(TableHandbook[[#This Row],[UDC]],TableSTRUGEOB1[],7,FALSE),"")</f>
        <v/>
      </c>
      <c r="AT366" s="209" t="str">
        <f>IFERROR(VLOOKUP(TableHandbook[[#This Row],[UDC]],TableSTRUGEOGM[],7,FALSE),"")</f>
        <v/>
      </c>
      <c r="AU366" s="209" t="str">
        <f>IFERROR(VLOOKUP(TableHandbook[[#This Row],[UDC]],TableSTRUHISB1[],7,FALSE),"")</f>
        <v/>
      </c>
      <c r="AV366" s="209" t="str">
        <f>IFERROR(VLOOKUP(TableHandbook[[#This Row],[UDC]],TableSTRUHISTM[],7,FALSE),"")</f>
        <v/>
      </c>
      <c r="AW366" s="209" t="str">
        <f>IFERROR(VLOOKUP(TableHandbook[[#This Row],[UDC]],TableSTRUHPEB1[],7,FALSE),"")</f>
        <v/>
      </c>
      <c r="AX366" s="209" t="str">
        <f>IFERROR(VLOOKUP(TableHandbook[[#This Row],[UDC]],TableSTRUHUMBB[],7,FALSE),"")</f>
        <v/>
      </c>
      <c r="AY366" s="209" t="str">
        <f>IFERROR(VLOOKUP(TableHandbook[[#This Row],[UDC]],TableSTRUMARTM[],7,FALSE),"")</f>
        <v/>
      </c>
      <c r="AZ366" s="209" t="str">
        <f>IFERROR(VLOOKUP(TableHandbook[[#This Row],[UDC]],TableSTRUMATHB[],7,FALSE),"")</f>
        <v/>
      </c>
      <c r="BA366" s="209" t="str">
        <f>IFERROR(VLOOKUP(TableHandbook[[#This Row],[UDC]],TableSTRUMATHM[],7,FALSE),"")</f>
        <v/>
      </c>
      <c r="BB366" s="209" t="str">
        <f>IFERROR(VLOOKUP(TableHandbook[[#This Row],[UDC]],TableSTRUPARTB[],7,FALSE),"")</f>
        <v/>
      </c>
      <c r="BC366" s="209" t="str">
        <f>IFERROR(VLOOKUP(TableHandbook[[#This Row],[UDC]],TableSTRUPARTM[],7,FALSE),"")</f>
        <v/>
      </c>
      <c r="BD366" s="209" t="str">
        <f>IFERROR(VLOOKUP(TableHandbook[[#This Row],[UDC]],TableSTRUPOLB1[],7,FALSE),"")</f>
        <v/>
      </c>
      <c r="BE366" s="209" t="str">
        <f>IFERROR(VLOOKUP(TableHandbook[[#This Row],[UDC]],TableSTRUPSYCB[],7,FALSE),"")</f>
        <v/>
      </c>
      <c r="BF366" s="209" t="str">
        <f>IFERROR(VLOOKUP(TableHandbook[[#This Row],[UDC]],TableSTRUPSYCM[],7,FALSE),"")</f>
        <v/>
      </c>
      <c r="BG366" s="209" t="str">
        <f>IFERROR(VLOOKUP(TableHandbook[[#This Row],[UDC]],TableSTRUVARTB[],7,FALSE),"")</f>
        <v/>
      </c>
      <c r="BH366" s="209" t="str">
        <f>IFERROR(VLOOKUP(TableHandbook[[#This Row],[UDC]],TableSTRUVARTM[],7,FALSE),"")</f>
        <v/>
      </c>
    </row>
    <row r="367" spans="1:60" x14ac:dyDescent="0.25">
      <c r="A367" s="6" t="s">
        <v>118</v>
      </c>
      <c r="B367" s="7">
        <v>1</v>
      </c>
      <c r="C367" s="7"/>
      <c r="D367" s="207" t="s">
        <v>117</v>
      </c>
      <c r="E367" s="7">
        <v>75</v>
      </c>
      <c r="F367" s="84"/>
      <c r="G367" s="75" t="str">
        <f>IFERROR(IF(VLOOKUP(TableHandbook[[#This Row],[UDC]],TableAvailabilities[],2,FALSE)&gt;0,"Y",""),"")</f>
        <v/>
      </c>
      <c r="H367" s="75" t="str">
        <f>IFERROR(IF(VLOOKUP(TableHandbook[[#This Row],[UDC]],TableAvailabilities[],3,FALSE)&gt;0,"Y",""),"")</f>
        <v/>
      </c>
      <c r="I367" s="75" t="str">
        <f>IFERROR(IF(VLOOKUP(TableHandbook[[#This Row],[UDC]],TableAvailabilities[],4,FALSE)&gt;0,"Y",""),"")</f>
        <v/>
      </c>
      <c r="J367" s="75" t="str">
        <f>IFERROR(IF(VLOOKUP(TableHandbook[[#This Row],[UDC]],TableAvailabilities[],5,FALSE)&gt;0,"Y",""),"")</f>
        <v/>
      </c>
      <c r="K367" s="75" t="str">
        <f>IFERROR(IF(VLOOKUP(TableHandbook[[#This Row],[UDC]],TableAvailabilities[],6,FALSE)&gt;0,"Y",""),"")</f>
        <v/>
      </c>
      <c r="L367" s="75" t="str">
        <f>IFERROR(IF(VLOOKUP(TableHandbook[[#This Row],[UDC]],TableAvailabilities[],7,FALSE)&gt;0,"Y",""),"")</f>
        <v/>
      </c>
      <c r="M367" s="207"/>
      <c r="N367" s="209" t="str">
        <f>IFERROR(VLOOKUP(TableHandbook[[#This Row],[UDC]],TableBEDUC[],7,FALSE),"")</f>
        <v/>
      </c>
      <c r="O367" s="209" t="str">
        <f>IFERROR(VLOOKUP(TableHandbook[[#This Row],[UDC]],TableBEDEC[],7,FALSE),"")</f>
        <v/>
      </c>
      <c r="P367" s="211" t="str">
        <f>IFERROR(VLOOKUP(TableHandbook[[#This Row],[UDC]],TableBEDPR[],7,FALSE),"")</f>
        <v>Option</v>
      </c>
      <c r="Q367" s="209" t="str">
        <f>IFERROR(VLOOKUP(TableHandbook[[#This Row],[UDC]],TableSTRUCATHL[],7,FALSE),"")</f>
        <v/>
      </c>
      <c r="R367" s="209" t="str">
        <f>IFERROR(VLOOKUP(TableHandbook[[#This Row],[UDC]],TableSTRUENGLL[],7,FALSE),"")</f>
        <v/>
      </c>
      <c r="S367" s="209" t="str">
        <f>IFERROR(VLOOKUP(TableHandbook[[#This Row],[UDC]],TableSTRUHLTPE[],7,FALSE),"")</f>
        <v/>
      </c>
      <c r="T367" s="209" t="str">
        <f>IFERROR(VLOOKUP(TableHandbook[[#This Row],[UDC]],TableSTRUISTEM[],7,FALSE),"")</f>
        <v/>
      </c>
      <c r="U367" s="209" t="str">
        <f>IFERROR(VLOOKUP(TableHandbook[[#This Row],[UDC]],TableSTRULITNU[],7,FALSE),"")</f>
        <v/>
      </c>
      <c r="V367" s="209" t="str">
        <f>IFERROR(VLOOKUP(TableHandbook[[#This Row],[UDC]],TableSTRUTECHS[],7,FALSE),"")</f>
        <v/>
      </c>
      <c r="W367" s="211" t="str">
        <f>IFERROR(VLOOKUP(TableHandbook[[#This Row],[UDC]],TableBEDSC[],7,FALSE),"")</f>
        <v/>
      </c>
      <c r="X367" s="211" t="str">
        <f>IFERROR(VLOOKUP(TableHandbook[[#This Row],[UDC]],TableMJRUARDR1[],7,FALSE),"")</f>
        <v/>
      </c>
      <c r="Y367" s="209" t="str">
        <f>IFERROR(VLOOKUP(TableHandbook[[#This Row],[UDC]],TableMJRUARME1[],7,FALSE),"")</f>
        <v/>
      </c>
      <c r="Z367" s="209" t="str">
        <f>IFERROR(VLOOKUP(TableHandbook[[#This Row],[UDC]],TableMJRUARVA1[],7,FALSE),"")</f>
        <v/>
      </c>
      <c r="AA367" s="209" t="str">
        <f>IFERROR(VLOOKUP(TableHandbook[[#This Row],[UDC]],TableMJRUENGL1[],7,FALSE),"")</f>
        <v/>
      </c>
      <c r="AB367" s="209" t="str">
        <f>IFERROR(VLOOKUP(TableHandbook[[#This Row],[UDC]],TableMJRUHSEC1[],7,FALSE),"")</f>
        <v/>
      </c>
      <c r="AC367" s="209" t="str">
        <f>IFERROR(VLOOKUP(TableHandbook[[#This Row],[UDC]],TableMJRUHSGE1[],7,FALSE),"")</f>
        <v/>
      </c>
      <c r="AD367" s="209" t="str">
        <f>IFERROR(VLOOKUP(TableHandbook[[#This Row],[UDC]],TableMJRUHSHI1[],7,FALSE),"")</f>
        <v/>
      </c>
      <c r="AE367" s="209" t="str">
        <f>IFERROR(VLOOKUP(TableHandbook[[#This Row],[UDC]],TableMJRUHSPL1[],7,FALSE),"")</f>
        <v/>
      </c>
      <c r="AF367" s="209" t="str">
        <f>IFERROR(VLOOKUP(TableHandbook[[#This Row],[UDC]],TableMJRUMATH1[],7,FALSE),"")</f>
        <v/>
      </c>
      <c r="AG367" s="209" t="str">
        <f>IFERROR(VLOOKUP(TableHandbook[[#This Row],[UDC]],TableMJRUPHYSE[],7,FALSE),"")</f>
        <v/>
      </c>
      <c r="AH367" s="209" t="str">
        <f>IFERROR(VLOOKUP(TableHandbook[[#This Row],[UDC]],TableMJRUSCBI1[],7,FALSE),"")</f>
        <v/>
      </c>
      <c r="AI367" s="209" t="str">
        <f>IFERROR(VLOOKUP(TableHandbook[[#This Row],[UDC]],TableMJRUSCCH1[],7,FALSE),"")</f>
        <v/>
      </c>
      <c r="AJ367" s="209" t="str">
        <f>IFERROR(VLOOKUP(TableHandbook[[#This Row],[UDC]],TableMJRUSCHB1[],7,FALSE),"")</f>
        <v/>
      </c>
      <c r="AK367" s="209" t="str">
        <f>IFERROR(VLOOKUP(TableHandbook[[#This Row],[UDC]],TableMJRUSCPH1[],7,FALSE),"")</f>
        <v/>
      </c>
      <c r="AL367" s="209" t="str">
        <f>IFERROR(VLOOKUP(TableHandbook[[#This Row],[UDC]],TableMJRUSCPS1[],7,FALSE),"")</f>
        <v/>
      </c>
      <c r="AM367" s="211" t="str">
        <f>IFERROR(VLOOKUP(TableHandbook[[#This Row],[UDC]],TableSTRUBIOLB[],7,FALSE),"")</f>
        <v/>
      </c>
      <c r="AN367" s="209" t="str">
        <f>IFERROR(VLOOKUP(TableHandbook[[#This Row],[UDC]],TableSTRUBSCIM[],7,FALSE),"")</f>
        <v/>
      </c>
      <c r="AO367" s="209" t="str">
        <f>IFERROR(VLOOKUP(TableHandbook[[#This Row],[UDC]],TableSTRUCHEMB[],7,FALSE),"")</f>
        <v/>
      </c>
      <c r="AP367" s="209" t="str">
        <f>IFERROR(VLOOKUP(TableHandbook[[#This Row],[UDC]],TableSTRUECOB1[],7,FALSE),"")</f>
        <v/>
      </c>
      <c r="AQ367" s="209" t="str">
        <f>IFERROR(VLOOKUP(TableHandbook[[#This Row],[UDC]],TableSTRUENGLB[],7,FALSE),"")</f>
        <v/>
      </c>
      <c r="AR367" s="209" t="str">
        <f>IFERROR(VLOOKUP(TableHandbook[[#This Row],[UDC]],TableSTRUENGLM[],7,FALSE),"")</f>
        <v/>
      </c>
      <c r="AS367" s="209" t="str">
        <f>IFERROR(VLOOKUP(TableHandbook[[#This Row],[UDC]],TableSTRUGEOB1[],7,FALSE),"")</f>
        <v/>
      </c>
      <c r="AT367" s="209" t="str">
        <f>IFERROR(VLOOKUP(TableHandbook[[#This Row],[UDC]],TableSTRUGEOGM[],7,FALSE),"")</f>
        <v/>
      </c>
      <c r="AU367" s="209" t="str">
        <f>IFERROR(VLOOKUP(TableHandbook[[#This Row],[UDC]],TableSTRUHISB1[],7,FALSE),"")</f>
        <v/>
      </c>
      <c r="AV367" s="209" t="str">
        <f>IFERROR(VLOOKUP(TableHandbook[[#This Row],[UDC]],TableSTRUHISTM[],7,FALSE),"")</f>
        <v/>
      </c>
      <c r="AW367" s="209" t="str">
        <f>IFERROR(VLOOKUP(TableHandbook[[#This Row],[UDC]],TableSTRUHPEB1[],7,FALSE),"")</f>
        <v/>
      </c>
      <c r="AX367" s="209" t="str">
        <f>IFERROR(VLOOKUP(TableHandbook[[#This Row],[UDC]],TableSTRUHUMBB[],7,FALSE),"")</f>
        <v/>
      </c>
      <c r="AY367" s="209" t="str">
        <f>IFERROR(VLOOKUP(TableHandbook[[#This Row],[UDC]],TableSTRUMARTM[],7,FALSE),"")</f>
        <v/>
      </c>
      <c r="AZ367" s="209" t="str">
        <f>IFERROR(VLOOKUP(TableHandbook[[#This Row],[UDC]],TableSTRUMATHB[],7,FALSE),"")</f>
        <v/>
      </c>
      <c r="BA367" s="209" t="str">
        <f>IFERROR(VLOOKUP(TableHandbook[[#This Row],[UDC]],TableSTRUMATHM[],7,FALSE),"")</f>
        <v/>
      </c>
      <c r="BB367" s="209" t="str">
        <f>IFERROR(VLOOKUP(TableHandbook[[#This Row],[UDC]],TableSTRUPARTB[],7,FALSE),"")</f>
        <v/>
      </c>
      <c r="BC367" s="209" t="str">
        <f>IFERROR(VLOOKUP(TableHandbook[[#This Row],[UDC]],TableSTRUPARTM[],7,FALSE),"")</f>
        <v/>
      </c>
      <c r="BD367" s="209" t="str">
        <f>IFERROR(VLOOKUP(TableHandbook[[#This Row],[UDC]],TableSTRUPOLB1[],7,FALSE),"")</f>
        <v/>
      </c>
      <c r="BE367" s="209" t="str">
        <f>IFERROR(VLOOKUP(TableHandbook[[#This Row],[UDC]],TableSTRUPSYCB[],7,FALSE),"")</f>
        <v/>
      </c>
      <c r="BF367" s="209" t="str">
        <f>IFERROR(VLOOKUP(TableHandbook[[#This Row],[UDC]],TableSTRUPSYCM[],7,FALSE),"")</f>
        <v/>
      </c>
      <c r="BG367" s="209" t="str">
        <f>IFERROR(VLOOKUP(TableHandbook[[#This Row],[UDC]],TableSTRUVARTB[],7,FALSE),"")</f>
        <v/>
      </c>
      <c r="BH367" s="209" t="str">
        <f>IFERROR(VLOOKUP(TableHandbook[[#This Row],[UDC]],TableSTRUVARTM[],7,FALSE),"")</f>
        <v/>
      </c>
    </row>
    <row r="368" spans="1:60" x14ac:dyDescent="0.25">
      <c r="A368" s="296" t="s">
        <v>358</v>
      </c>
      <c r="B368" s="7">
        <v>3</v>
      </c>
      <c r="C368" s="7"/>
      <c r="D368" s="207" t="s">
        <v>412</v>
      </c>
      <c r="E368" s="7">
        <v>150</v>
      </c>
      <c r="F368" s="84"/>
      <c r="G368" s="75" t="str">
        <f>IFERROR(IF(VLOOKUP(TableHandbook[[#This Row],[UDC]],TableAvailabilities[],2,FALSE)&gt;0,"Y",""),"")</f>
        <v/>
      </c>
      <c r="H368" s="75" t="str">
        <f>IFERROR(IF(VLOOKUP(TableHandbook[[#This Row],[UDC]],TableAvailabilities[],3,FALSE)&gt;0,"Y",""),"")</f>
        <v/>
      </c>
      <c r="I368" s="75" t="str">
        <f>IFERROR(IF(VLOOKUP(TableHandbook[[#This Row],[UDC]],TableAvailabilities[],4,FALSE)&gt;0,"Y",""),"")</f>
        <v/>
      </c>
      <c r="J368" s="75" t="str">
        <f>IFERROR(IF(VLOOKUP(TableHandbook[[#This Row],[UDC]],TableAvailabilities[],5,FALSE)&gt;0,"Y",""),"")</f>
        <v/>
      </c>
      <c r="K368" s="75" t="str">
        <f>IFERROR(IF(VLOOKUP(TableHandbook[[#This Row],[UDC]],TableAvailabilities[],6,FALSE)&gt;0,"Y",""),"")</f>
        <v/>
      </c>
      <c r="L368" s="75" t="str">
        <f>IFERROR(IF(VLOOKUP(TableHandbook[[#This Row],[UDC]],TableAvailabilities[],7,FALSE)&gt;0,"Y",""),"")</f>
        <v/>
      </c>
      <c r="M368" s="207"/>
      <c r="N368" s="209" t="str">
        <f>IFERROR(VLOOKUP(TableHandbook[[#This Row],[UDC]],TableBEDUC[],7,FALSE),"")</f>
        <v/>
      </c>
      <c r="O368" s="209" t="str">
        <f>IFERROR(VLOOKUP(TableHandbook[[#This Row],[UDC]],TableBEDEC[],7,FALSE),"")</f>
        <v/>
      </c>
      <c r="P368" s="211" t="str">
        <f>IFERROR(VLOOKUP(TableHandbook[[#This Row],[UDC]],TableBEDPR[],7,FALSE),"")</f>
        <v/>
      </c>
      <c r="Q368" s="209" t="str">
        <f>IFERROR(VLOOKUP(TableHandbook[[#This Row],[UDC]],TableSTRUCATHL[],7,FALSE),"")</f>
        <v/>
      </c>
      <c r="R368" s="209" t="str">
        <f>IFERROR(VLOOKUP(TableHandbook[[#This Row],[UDC]],TableSTRUENGLL[],7,FALSE),"")</f>
        <v/>
      </c>
      <c r="S368" s="209" t="str">
        <f>IFERROR(VLOOKUP(TableHandbook[[#This Row],[UDC]],TableSTRUHLTPE[],7,FALSE),"")</f>
        <v/>
      </c>
      <c r="T368" s="209" t="str">
        <f>IFERROR(VLOOKUP(TableHandbook[[#This Row],[UDC]],TableSTRUISTEM[],7,FALSE),"")</f>
        <v/>
      </c>
      <c r="U368" s="209" t="str">
        <f>IFERROR(VLOOKUP(TableHandbook[[#This Row],[UDC]],TableSTRULITNU[],7,FALSE),"")</f>
        <v/>
      </c>
      <c r="V368" s="209" t="str">
        <f>IFERROR(VLOOKUP(TableHandbook[[#This Row],[UDC]],TableSTRUTECHS[],7,FALSE),"")</f>
        <v/>
      </c>
      <c r="W368" s="211" t="str">
        <f>IFERROR(VLOOKUP(TableHandbook[[#This Row],[UDC]],TableBEDSC[],7,FALSE),"")</f>
        <v/>
      </c>
      <c r="X368" s="211" t="str">
        <f>IFERROR(VLOOKUP(TableHandbook[[#This Row],[UDC]],TableMJRUARDR1[],7,FALSE),"")</f>
        <v/>
      </c>
      <c r="Y368" s="209" t="str">
        <f>IFERROR(VLOOKUP(TableHandbook[[#This Row],[UDC]],TableMJRUARME1[],7,FALSE),"")</f>
        <v/>
      </c>
      <c r="Z368" s="209" t="str">
        <f>IFERROR(VLOOKUP(TableHandbook[[#This Row],[UDC]],TableMJRUARVA1[],7,FALSE),"")</f>
        <v>Option</v>
      </c>
      <c r="AA368" s="209" t="str">
        <f>IFERROR(VLOOKUP(TableHandbook[[#This Row],[UDC]],TableMJRUENGL1[],7,FALSE),"")</f>
        <v/>
      </c>
      <c r="AB368" s="209" t="str">
        <f>IFERROR(VLOOKUP(TableHandbook[[#This Row],[UDC]],TableMJRUHSEC1[],7,FALSE),"")</f>
        <v/>
      </c>
      <c r="AC368" s="209" t="str">
        <f>IFERROR(VLOOKUP(TableHandbook[[#This Row],[UDC]],TableMJRUHSGE1[],7,FALSE),"")</f>
        <v/>
      </c>
      <c r="AD368" s="209" t="str">
        <f>IFERROR(VLOOKUP(TableHandbook[[#This Row],[UDC]],TableMJRUHSHI1[],7,FALSE),"")</f>
        <v/>
      </c>
      <c r="AE368" s="209" t="str">
        <f>IFERROR(VLOOKUP(TableHandbook[[#This Row],[UDC]],TableMJRUHSPL1[],7,FALSE),"")</f>
        <v/>
      </c>
      <c r="AF368" s="209" t="str">
        <f>IFERROR(VLOOKUP(TableHandbook[[#This Row],[UDC]],TableMJRUMATH1[],7,FALSE),"")</f>
        <v/>
      </c>
      <c r="AG368" s="209" t="str">
        <f>IFERROR(VLOOKUP(TableHandbook[[#This Row],[UDC]],TableMJRUPHYSE[],7,FALSE),"")</f>
        <v/>
      </c>
      <c r="AH368" s="209" t="str">
        <f>IFERROR(VLOOKUP(TableHandbook[[#This Row],[UDC]],TableMJRUSCBI1[],7,FALSE),"")</f>
        <v/>
      </c>
      <c r="AI368" s="209" t="str">
        <f>IFERROR(VLOOKUP(TableHandbook[[#This Row],[UDC]],TableMJRUSCCH1[],7,FALSE),"")</f>
        <v/>
      </c>
      <c r="AJ368" s="209" t="str">
        <f>IFERROR(VLOOKUP(TableHandbook[[#This Row],[UDC]],TableMJRUSCHB1[],7,FALSE),"")</f>
        <v/>
      </c>
      <c r="AK368" s="209" t="str">
        <f>IFERROR(VLOOKUP(TableHandbook[[#This Row],[UDC]],TableMJRUSCPH1[],7,FALSE),"")</f>
        <v/>
      </c>
      <c r="AL368" s="209" t="str">
        <f>IFERROR(VLOOKUP(TableHandbook[[#This Row],[UDC]],TableMJRUSCPS1[],7,FALSE),"")</f>
        <v/>
      </c>
      <c r="AM368" s="211" t="str">
        <f>IFERROR(VLOOKUP(TableHandbook[[#This Row],[UDC]],TableSTRUBIOLB[],7,FALSE),"")</f>
        <v/>
      </c>
      <c r="AN368" s="209" t="str">
        <f>IFERROR(VLOOKUP(TableHandbook[[#This Row],[UDC]],TableSTRUBSCIM[],7,FALSE),"")</f>
        <v/>
      </c>
      <c r="AO368" s="209" t="str">
        <f>IFERROR(VLOOKUP(TableHandbook[[#This Row],[UDC]],TableSTRUCHEMB[],7,FALSE),"")</f>
        <v/>
      </c>
      <c r="AP368" s="209" t="str">
        <f>IFERROR(VLOOKUP(TableHandbook[[#This Row],[UDC]],TableSTRUECOB1[],7,FALSE),"")</f>
        <v/>
      </c>
      <c r="AQ368" s="209" t="str">
        <f>IFERROR(VLOOKUP(TableHandbook[[#This Row],[UDC]],TableSTRUENGLB[],7,FALSE),"")</f>
        <v/>
      </c>
      <c r="AR368" s="209" t="str">
        <f>IFERROR(VLOOKUP(TableHandbook[[#This Row],[UDC]],TableSTRUENGLM[],7,FALSE),"")</f>
        <v/>
      </c>
      <c r="AS368" s="209" t="str">
        <f>IFERROR(VLOOKUP(TableHandbook[[#This Row],[UDC]],TableSTRUGEOB1[],7,FALSE),"")</f>
        <v/>
      </c>
      <c r="AT368" s="209" t="str">
        <f>IFERROR(VLOOKUP(TableHandbook[[#This Row],[UDC]],TableSTRUGEOGM[],7,FALSE),"")</f>
        <v/>
      </c>
      <c r="AU368" s="209" t="str">
        <f>IFERROR(VLOOKUP(TableHandbook[[#This Row],[UDC]],TableSTRUHISB1[],7,FALSE),"")</f>
        <v/>
      </c>
      <c r="AV368" s="209" t="str">
        <f>IFERROR(VLOOKUP(TableHandbook[[#This Row],[UDC]],TableSTRUHISTM[],7,FALSE),"")</f>
        <v/>
      </c>
      <c r="AW368" s="209" t="str">
        <f>IFERROR(VLOOKUP(TableHandbook[[#This Row],[UDC]],TableSTRUHPEB1[],7,FALSE),"")</f>
        <v/>
      </c>
      <c r="AX368" s="209" t="str">
        <f>IFERROR(VLOOKUP(TableHandbook[[#This Row],[UDC]],TableSTRUHUMBB[],7,FALSE),"")</f>
        <v/>
      </c>
      <c r="AY368" s="209" t="str">
        <f>IFERROR(VLOOKUP(TableHandbook[[#This Row],[UDC]],TableSTRUMARTM[],7,FALSE),"")</f>
        <v/>
      </c>
      <c r="AZ368" s="209" t="str">
        <f>IFERROR(VLOOKUP(TableHandbook[[#This Row],[UDC]],TableSTRUMATHB[],7,FALSE),"")</f>
        <v/>
      </c>
      <c r="BA368" s="209" t="str">
        <f>IFERROR(VLOOKUP(TableHandbook[[#This Row],[UDC]],TableSTRUMATHM[],7,FALSE),"")</f>
        <v/>
      </c>
      <c r="BB368" s="209" t="str">
        <f>IFERROR(VLOOKUP(TableHandbook[[#This Row],[UDC]],TableSTRUPARTB[],7,FALSE),"")</f>
        <v/>
      </c>
      <c r="BC368" s="209" t="str">
        <f>IFERROR(VLOOKUP(TableHandbook[[#This Row],[UDC]],TableSTRUPARTM[],7,FALSE),"")</f>
        <v/>
      </c>
      <c r="BD368" s="209" t="str">
        <f>IFERROR(VLOOKUP(TableHandbook[[#This Row],[UDC]],TableSTRUPOLB1[],7,FALSE),"")</f>
        <v/>
      </c>
      <c r="BE368" s="209" t="str">
        <f>IFERROR(VLOOKUP(TableHandbook[[#This Row],[UDC]],TableSTRUPSYCB[],7,FALSE),"")</f>
        <v/>
      </c>
      <c r="BF368" s="209" t="str">
        <f>IFERROR(VLOOKUP(TableHandbook[[#This Row],[UDC]],TableSTRUPSYCM[],7,FALSE),"")</f>
        <v/>
      </c>
      <c r="BG368" s="209" t="str">
        <f>IFERROR(VLOOKUP(TableHandbook[[#This Row],[UDC]],TableSTRUVARTB[],7,FALSE),"")</f>
        <v/>
      </c>
      <c r="BH368" s="209" t="str">
        <f>IFERROR(VLOOKUP(TableHandbook[[#This Row],[UDC]],TableSTRUVARTM[],7,FALSE),"")</f>
        <v/>
      </c>
    </row>
    <row r="369" spans="1:60" x14ac:dyDescent="0.25">
      <c r="A369" s="296" t="s">
        <v>217</v>
      </c>
      <c r="B369" s="7">
        <v>3</v>
      </c>
      <c r="C369" s="7"/>
      <c r="D369" s="207" t="s">
        <v>520</v>
      </c>
      <c r="E369" s="7">
        <v>150</v>
      </c>
      <c r="F369" s="84"/>
      <c r="G369" s="75" t="str">
        <f>IFERROR(IF(VLOOKUP(TableHandbook[[#This Row],[UDC]],TableAvailabilities[],2,FALSE)&gt;0,"Y",""),"")</f>
        <v/>
      </c>
      <c r="H369" s="75" t="str">
        <f>IFERROR(IF(VLOOKUP(TableHandbook[[#This Row],[UDC]],TableAvailabilities[],3,FALSE)&gt;0,"Y",""),"")</f>
        <v/>
      </c>
      <c r="I369" s="75" t="str">
        <f>IFERROR(IF(VLOOKUP(TableHandbook[[#This Row],[UDC]],TableAvailabilities[],4,FALSE)&gt;0,"Y",""),"")</f>
        <v/>
      </c>
      <c r="J369" s="75" t="str">
        <f>IFERROR(IF(VLOOKUP(TableHandbook[[#This Row],[UDC]],TableAvailabilities[],5,FALSE)&gt;0,"Y",""),"")</f>
        <v/>
      </c>
      <c r="K369" s="75" t="str">
        <f>IFERROR(IF(VLOOKUP(TableHandbook[[#This Row],[UDC]],TableAvailabilities[],6,FALSE)&gt;0,"Y",""),"")</f>
        <v/>
      </c>
      <c r="L369" s="75" t="str">
        <f>IFERROR(IF(VLOOKUP(TableHandbook[[#This Row],[UDC]],TableAvailabilities[],7,FALSE)&gt;0,"Y",""),"")</f>
        <v/>
      </c>
      <c r="M369" s="207"/>
      <c r="N369" s="209" t="str">
        <f>IFERROR(VLOOKUP(TableHandbook[[#This Row],[UDC]],TableBEDUC[],7,FALSE),"")</f>
        <v/>
      </c>
      <c r="O369" s="209" t="str">
        <f>IFERROR(VLOOKUP(TableHandbook[[#This Row],[UDC]],TableBEDEC[],7,FALSE),"")</f>
        <v/>
      </c>
      <c r="P369" s="211" t="str">
        <f>IFERROR(VLOOKUP(TableHandbook[[#This Row],[UDC]],TableBEDPR[],7,FALSE),"")</f>
        <v/>
      </c>
      <c r="Q369" s="209" t="str">
        <f>IFERROR(VLOOKUP(TableHandbook[[#This Row],[UDC]],TableSTRUCATHL[],7,FALSE),"")</f>
        <v/>
      </c>
      <c r="R369" s="209" t="str">
        <f>IFERROR(VLOOKUP(TableHandbook[[#This Row],[UDC]],TableSTRUENGLL[],7,FALSE),"")</f>
        <v/>
      </c>
      <c r="S369" s="209" t="str">
        <f>IFERROR(VLOOKUP(TableHandbook[[#This Row],[UDC]],TableSTRUHLTPE[],7,FALSE),"")</f>
        <v/>
      </c>
      <c r="T369" s="209" t="str">
        <f>IFERROR(VLOOKUP(TableHandbook[[#This Row],[UDC]],TableSTRUISTEM[],7,FALSE),"")</f>
        <v/>
      </c>
      <c r="U369" s="209" t="str">
        <f>IFERROR(VLOOKUP(TableHandbook[[#This Row],[UDC]],TableSTRULITNU[],7,FALSE),"")</f>
        <v/>
      </c>
      <c r="V369" s="209" t="str">
        <f>IFERROR(VLOOKUP(TableHandbook[[#This Row],[UDC]],TableSTRUTECHS[],7,FALSE),"")</f>
        <v/>
      </c>
      <c r="W369" s="211" t="str">
        <f>IFERROR(VLOOKUP(TableHandbook[[#This Row],[UDC]],TableBEDSC[],7,FALSE),"")</f>
        <v/>
      </c>
      <c r="X369" s="211" t="str">
        <f>IFERROR(VLOOKUP(TableHandbook[[#This Row],[UDC]],TableMJRUARDR1[],7,FALSE),"")</f>
        <v/>
      </c>
      <c r="Y369" s="209" t="str">
        <f>IFERROR(VLOOKUP(TableHandbook[[#This Row],[UDC]],TableMJRUARME1[],7,FALSE),"")</f>
        <v/>
      </c>
      <c r="Z369" s="209" t="str">
        <f>IFERROR(VLOOKUP(TableHandbook[[#This Row],[UDC]],TableMJRUARVA1[],7,FALSE),"")</f>
        <v/>
      </c>
      <c r="AA369" s="209" t="str">
        <f>IFERROR(VLOOKUP(TableHandbook[[#This Row],[UDC]],TableMJRUENGL1[],7,FALSE),"")</f>
        <v>Option</v>
      </c>
      <c r="AB369" s="209" t="str">
        <f>IFERROR(VLOOKUP(TableHandbook[[#This Row],[UDC]],TableMJRUHSEC1[],7,FALSE),"")</f>
        <v>Option</v>
      </c>
      <c r="AC369" s="209" t="str">
        <f>IFERROR(VLOOKUP(TableHandbook[[#This Row],[UDC]],TableMJRUHSGE1[],7,FALSE),"")</f>
        <v>Option</v>
      </c>
      <c r="AD369" s="209" t="str">
        <f>IFERROR(VLOOKUP(TableHandbook[[#This Row],[UDC]],TableMJRUHSHI1[],7,FALSE),"")</f>
        <v>Option</v>
      </c>
      <c r="AE369" s="209" t="str">
        <f>IFERROR(VLOOKUP(TableHandbook[[#This Row],[UDC]],TableMJRUHSPL1[],7,FALSE),"")</f>
        <v>Option</v>
      </c>
      <c r="AF369" s="209" t="str">
        <f>IFERROR(VLOOKUP(TableHandbook[[#This Row],[UDC]],TableMJRUMATH1[],7,FALSE),"")</f>
        <v>Option</v>
      </c>
      <c r="AG369" s="209" t="str">
        <f>IFERROR(VLOOKUP(TableHandbook[[#This Row],[UDC]],TableMJRUPHYSE[],7,FALSE),"")</f>
        <v/>
      </c>
      <c r="AH369" s="209" t="str">
        <f>IFERROR(VLOOKUP(TableHandbook[[#This Row],[UDC]],TableMJRUSCBI1[],7,FALSE),"")</f>
        <v>Option</v>
      </c>
      <c r="AI369" s="209" t="str">
        <f>IFERROR(VLOOKUP(TableHandbook[[#This Row],[UDC]],TableMJRUSCCH1[],7,FALSE),"")</f>
        <v>Option</v>
      </c>
      <c r="AJ369" s="209" t="str">
        <f>IFERROR(VLOOKUP(TableHandbook[[#This Row],[UDC]],TableMJRUSCHB1[],7,FALSE),"")</f>
        <v>Option</v>
      </c>
      <c r="AK369" s="209" t="str">
        <f>IFERROR(VLOOKUP(TableHandbook[[#This Row],[UDC]],TableMJRUSCPH1[],7,FALSE),"")</f>
        <v/>
      </c>
      <c r="AL369" s="209" t="str">
        <f>IFERROR(VLOOKUP(TableHandbook[[#This Row],[UDC]],TableMJRUSCPS1[],7,FALSE),"")</f>
        <v>Option</v>
      </c>
      <c r="AM369" s="211" t="str">
        <f>IFERROR(VLOOKUP(TableHandbook[[#This Row],[UDC]],TableSTRUBIOLB[],7,FALSE),"")</f>
        <v/>
      </c>
      <c r="AN369" s="209" t="str">
        <f>IFERROR(VLOOKUP(TableHandbook[[#This Row],[UDC]],TableSTRUBSCIM[],7,FALSE),"")</f>
        <v/>
      </c>
      <c r="AO369" s="209" t="str">
        <f>IFERROR(VLOOKUP(TableHandbook[[#This Row],[UDC]],TableSTRUCHEMB[],7,FALSE),"")</f>
        <v/>
      </c>
      <c r="AP369" s="209" t="str">
        <f>IFERROR(VLOOKUP(TableHandbook[[#This Row],[UDC]],TableSTRUECOB1[],7,FALSE),"")</f>
        <v/>
      </c>
      <c r="AQ369" s="209" t="str">
        <f>IFERROR(VLOOKUP(TableHandbook[[#This Row],[UDC]],TableSTRUENGLB[],7,FALSE),"")</f>
        <v/>
      </c>
      <c r="AR369" s="209" t="str">
        <f>IFERROR(VLOOKUP(TableHandbook[[#This Row],[UDC]],TableSTRUENGLM[],7,FALSE),"")</f>
        <v/>
      </c>
      <c r="AS369" s="209" t="str">
        <f>IFERROR(VLOOKUP(TableHandbook[[#This Row],[UDC]],TableSTRUGEOB1[],7,FALSE),"")</f>
        <v/>
      </c>
      <c r="AT369" s="209" t="str">
        <f>IFERROR(VLOOKUP(TableHandbook[[#This Row],[UDC]],TableSTRUGEOGM[],7,FALSE),"")</f>
        <v/>
      </c>
      <c r="AU369" s="209" t="str">
        <f>IFERROR(VLOOKUP(TableHandbook[[#This Row],[UDC]],TableSTRUHISB1[],7,FALSE),"")</f>
        <v/>
      </c>
      <c r="AV369" s="209" t="str">
        <f>IFERROR(VLOOKUP(TableHandbook[[#This Row],[UDC]],TableSTRUHISTM[],7,FALSE),"")</f>
        <v/>
      </c>
      <c r="AW369" s="209" t="str">
        <f>IFERROR(VLOOKUP(TableHandbook[[#This Row],[UDC]],TableSTRUHPEB1[],7,FALSE),"")</f>
        <v/>
      </c>
      <c r="AX369" s="209" t="str">
        <f>IFERROR(VLOOKUP(TableHandbook[[#This Row],[UDC]],TableSTRUHUMBB[],7,FALSE),"")</f>
        <v/>
      </c>
      <c r="AY369" s="209" t="str">
        <f>IFERROR(VLOOKUP(TableHandbook[[#This Row],[UDC]],TableSTRUMARTM[],7,FALSE),"")</f>
        <v/>
      </c>
      <c r="AZ369" s="209" t="str">
        <f>IFERROR(VLOOKUP(TableHandbook[[#This Row],[UDC]],TableSTRUMATHB[],7,FALSE),"")</f>
        <v/>
      </c>
      <c r="BA369" s="209" t="str">
        <f>IFERROR(VLOOKUP(TableHandbook[[#This Row],[UDC]],TableSTRUMATHM[],7,FALSE),"")</f>
        <v/>
      </c>
      <c r="BB369" s="209" t="str">
        <f>IFERROR(VLOOKUP(TableHandbook[[#This Row],[UDC]],TableSTRUPARTB[],7,FALSE),"")</f>
        <v/>
      </c>
      <c r="BC369" s="209" t="str">
        <f>IFERROR(VLOOKUP(TableHandbook[[#This Row],[UDC]],TableSTRUPARTM[],7,FALSE),"")</f>
        <v/>
      </c>
      <c r="BD369" s="209" t="str">
        <f>IFERROR(VLOOKUP(TableHandbook[[#This Row],[UDC]],TableSTRUPOLB1[],7,FALSE),"")</f>
        <v/>
      </c>
      <c r="BE369" s="209" t="str">
        <f>IFERROR(VLOOKUP(TableHandbook[[#This Row],[UDC]],TableSTRUPSYCB[],7,FALSE),"")</f>
        <v/>
      </c>
      <c r="BF369" s="209" t="str">
        <f>IFERROR(VLOOKUP(TableHandbook[[#This Row],[UDC]],TableSTRUPSYCM[],7,FALSE),"")</f>
        <v/>
      </c>
      <c r="BG369" s="209" t="str">
        <f>IFERROR(VLOOKUP(TableHandbook[[#This Row],[UDC]],TableSTRUVARTB[],7,FALSE),"")</f>
        <v/>
      </c>
      <c r="BH369" s="209" t="str">
        <f>IFERROR(VLOOKUP(TableHandbook[[#This Row],[UDC]],TableSTRUVARTM[],7,FALSE),"")</f>
        <v/>
      </c>
    </row>
    <row r="370" spans="1:60" x14ac:dyDescent="0.25">
      <c r="A370" s="6" t="s">
        <v>110</v>
      </c>
      <c r="B370" s="7">
        <v>0</v>
      </c>
      <c r="C370" s="7"/>
      <c r="D370" s="207" t="s">
        <v>1163</v>
      </c>
      <c r="E370" s="7">
        <v>25</v>
      </c>
      <c r="F370" s="84" t="s">
        <v>769</v>
      </c>
      <c r="G370" s="75" t="str">
        <f>IFERROR(IF(VLOOKUP(TableHandbook[[#This Row],[UDC]],TableAvailabilities[],2,FALSE)&gt;0,"Y",""),"")</f>
        <v/>
      </c>
      <c r="H370" s="75" t="str">
        <f>IFERROR(IF(VLOOKUP(TableHandbook[[#This Row],[UDC]],TableAvailabilities[],3,FALSE)&gt;0,"Y",""),"")</f>
        <v/>
      </c>
      <c r="I370" s="75" t="str">
        <f>IFERROR(IF(VLOOKUP(TableHandbook[[#This Row],[UDC]],TableAvailabilities[],4,FALSE)&gt;0,"Y",""),"")</f>
        <v/>
      </c>
      <c r="J370" s="75" t="str">
        <f>IFERROR(IF(VLOOKUP(TableHandbook[[#This Row],[UDC]],TableAvailabilities[],5,FALSE)&gt;0,"Y",""),"")</f>
        <v/>
      </c>
      <c r="K370" s="75" t="str">
        <f>IFERROR(IF(VLOOKUP(TableHandbook[[#This Row],[UDC]],TableAvailabilities[],6,FALSE)&gt;0,"Y",""),"")</f>
        <v/>
      </c>
      <c r="L370" s="75" t="str">
        <f>IFERROR(IF(VLOOKUP(TableHandbook[[#This Row],[UDC]],TableAvailabilities[],7,FALSE)&gt;0,"Y",""),"")</f>
        <v/>
      </c>
      <c r="M370" s="207"/>
      <c r="N370" s="209" t="str">
        <f>IFERROR(VLOOKUP(TableHandbook[[#This Row],[UDC]],TableBEDUC[],7,FALSE),"")</f>
        <v/>
      </c>
      <c r="O370" s="209" t="str">
        <f>IFERROR(VLOOKUP(TableHandbook[[#This Row],[UDC]],TableBEDEC[],7,FALSE),"")</f>
        <v/>
      </c>
      <c r="P370" s="211" t="str">
        <f>IFERROR(VLOOKUP(TableHandbook[[#This Row],[UDC]],TableBEDPR[],7,FALSE),"")</f>
        <v>Option</v>
      </c>
      <c r="Q370" s="209" t="str">
        <f>IFERROR(VLOOKUP(TableHandbook[[#This Row],[UDC]],TableSTRUCATHL[],7,FALSE),"")</f>
        <v/>
      </c>
      <c r="R370" s="209" t="str">
        <f>IFERROR(VLOOKUP(TableHandbook[[#This Row],[UDC]],TableSTRUENGLL[],7,FALSE),"")</f>
        <v/>
      </c>
      <c r="S370" s="209" t="str">
        <f>IFERROR(VLOOKUP(TableHandbook[[#This Row],[UDC]],TableSTRUHLTPE[],7,FALSE),"")</f>
        <v/>
      </c>
      <c r="T370" s="209" t="str">
        <f>IFERROR(VLOOKUP(TableHandbook[[#This Row],[UDC]],TableSTRUISTEM[],7,FALSE),"")</f>
        <v/>
      </c>
      <c r="U370" s="209" t="str">
        <f>IFERROR(VLOOKUP(TableHandbook[[#This Row],[UDC]],TableSTRULITNU[],7,FALSE),"")</f>
        <v/>
      </c>
      <c r="V370" s="209" t="str">
        <f>IFERROR(VLOOKUP(TableHandbook[[#This Row],[UDC]],TableSTRUTECHS[],7,FALSE),"")</f>
        <v/>
      </c>
      <c r="W370" s="211" t="str">
        <f>IFERROR(VLOOKUP(TableHandbook[[#This Row],[UDC]],TableBEDSC[],7,FALSE),"")</f>
        <v/>
      </c>
      <c r="X370" s="211" t="str">
        <f>IFERROR(VLOOKUP(TableHandbook[[#This Row],[UDC]],TableMJRUARDR1[],7,FALSE),"")</f>
        <v/>
      </c>
      <c r="Y370" s="209" t="str">
        <f>IFERROR(VLOOKUP(TableHandbook[[#This Row],[UDC]],TableMJRUARME1[],7,FALSE),"")</f>
        <v/>
      </c>
      <c r="Z370" s="209" t="str">
        <f>IFERROR(VLOOKUP(TableHandbook[[#This Row],[UDC]],TableMJRUARVA1[],7,FALSE),"")</f>
        <v/>
      </c>
      <c r="AA370" s="209" t="str">
        <f>IFERROR(VLOOKUP(TableHandbook[[#This Row],[UDC]],TableMJRUENGL1[],7,FALSE),"")</f>
        <v/>
      </c>
      <c r="AB370" s="209" t="str">
        <f>IFERROR(VLOOKUP(TableHandbook[[#This Row],[UDC]],TableMJRUHSEC1[],7,FALSE),"")</f>
        <v/>
      </c>
      <c r="AC370" s="209" t="str">
        <f>IFERROR(VLOOKUP(TableHandbook[[#This Row],[UDC]],TableMJRUHSGE1[],7,FALSE),"")</f>
        <v/>
      </c>
      <c r="AD370" s="209" t="str">
        <f>IFERROR(VLOOKUP(TableHandbook[[#This Row],[UDC]],TableMJRUHSHI1[],7,FALSE),"")</f>
        <v/>
      </c>
      <c r="AE370" s="209" t="str">
        <f>IFERROR(VLOOKUP(TableHandbook[[#This Row],[UDC]],TableMJRUHSPL1[],7,FALSE),"")</f>
        <v/>
      </c>
      <c r="AF370" s="209" t="str">
        <f>IFERROR(VLOOKUP(TableHandbook[[#This Row],[UDC]],TableMJRUMATH1[],7,FALSE),"")</f>
        <v/>
      </c>
      <c r="AG370" s="209" t="str">
        <f>IFERROR(VLOOKUP(TableHandbook[[#This Row],[UDC]],TableMJRUPHYSE[],7,FALSE),"")</f>
        <v/>
      </c>
      <c r="AH370" s="209" t="str">
        <f>IFERROR(VLOOKUP(TableHandbook[[#This Row],[UDC]],TableMJRUSCBI1[],7,FALSE),"")</f>
        <v/>
      </c>
      <c r="AI370" s="209" t="str">
        <f>IFERROR(VLOOKUP(TableHandbook[[#This Row],[UDC]],TableMJRUSCCH1[],7,FALSE),"")</f>
        <v/>
      </c>
      <c r="AJ370" s="209" t="str">
        <f>IFERROR(VLOOKUP(TableHandbook[[#This Row],[UDC]],TableMJRUSCHB1[],7,FALSE),"")</f>
        <v/>
      </c>
      <c r="AK370" s="209" t="str">
        <f>IFERROR(VLOOKUP(TableHandbook[[#This Row],[UDC]],TableMJRUSCPH1[],7,FALSE),"")</f>
        <v/>
      </c>
      <c r="AL370" s="209" t="str">
        <f>IFERROR(VLOOKUP(TableHandbook[[#This Row],[UDC]],TableMJRUSCPS1[],7,FALSE),"")</f>
        <v/>
      </c>
      <c r="AM370" s="211" t="str">
        <f>IFERROR(VLOOKUP(TableHandbook[[#This Row],[UDC]],TableSTRUBIOLB[],7,FALSE),"")</f>
        <v/>
      </c>
      <c r="AN370" s="209" t="str">
        <f>IFERROR(VLOOKUP(TableHandbook[[#This Row],[UDC]],TableSTRUBSCIM[],7,FALSE),"")</f>
        <v/>
      </c>
      <c r="AO370" s="209" t="str">
        <f>IFERROR(VLOOKUP(TableHandbook[[#This Row],[UDC]],TableSTRUCHEMB[],7,FALSE),"")</f>
        <v/>
      </c>
      <c r="AP370" s="209" t="str">
        <f>IFERROR(VLOOKUP(TableHandbook[[#This Row],[UDC]],TableSTRUECOB1[],7,FALSE),"")</f>
        <v/>
      </c>
      <c r="AQ370" s="209" t="str">
        <f>IFERROR(VLOOKUP(TableHandbook[[#This Row],[UDC]],TableSTRUENGLB[],7,FALSE),"")</f>
        <v/>
      </c>
      <c r="AR370" s="209" t="str">
        <f>IFERROR(VLOOKUP(TableHandbook[[#This Row],[UDC]],TableSTRUENGLM[],7,FALSE),"")</f>
        <v/>
      </c>
      <c r="AS370" s="209" t="str">
        <f>IFERROR(VLOOKUP(TableHandbook[[#This Row],[UDC]],TableSTRUGEOB1[],7,FALSE),"")</f>
        <v/>
      </c>
      <c r="AT370" s="209" t="str">
        <f>IFERROR(VLOOKUP(TableHandbook[[#This Row],[UDC]],TableSTRUGEOGM[],7,FALSE),"")</f>
        <v/>
      </c>
      <c r="AU370" s="209" t="str">
        <f>IFERROR(VLOOKUP(TableHandbook[[#This Row],[UDC]],TableSTRUHISB1[],7,FALSE),"")</f>
        <v/>
      </c>
      <c r="AV370" s="209" t="str">
        <f>IFERROR(VLOOKUP(TableHandbook[[#This Row],[UDC]],TableSTRUHISTM[],7,FALSE),"")</f>
        <v/>
      </c>
      <c r="AW370" s="209" t="str">
        <f>IFERROR(VLOOKUP(TableHandbook[[#This Row],[UDC]],TableSTRUHPEB1[],7,FALSE),"")</f>
        <v/>
      </c>
      <c r="AX370" s="209" t="str">
        <f>IFERROR(VLOOKUP(TableHandbook[[#This Row],[UDC]],TableSTRUHUMBB[],7,FALSE),"")</f>
        <v/>
      </c>
      <c r="AY370" s="209" t="str">
        <f>IFERROR(VLOOKUP(TableHandbook[[#This Row],[UDC]],TableSTRUMARTM[],7,FALSE),"")</f>
        <v/>
      </c>
      <c r="AZ370" s="209" t="str">
        <f>IFERROR(VLOOKUP(TableHandbook[[#This Row],[UDC]],TableSTRUMATHB[],7,FALSE),"")</f>
        <v/>
      </c>
      <c r="BA370" s="209" t="str">
        <f>IFERROR(VLOOKUP(TableHandbook[[#This Row],[UDC]],TableSTRUMATHM[],7,FALSE),"")</f>
        <v/>
      </c>
      <c r="BB370" s="209" t="str">
        <f>IFERROR(VLOOKUP(TableHandbook[[#This Row],[UDC]],TableSTRUPARTB[],7,FALSE),"")</f>
        <v/>
      </c>
      <c r="BC370" s="209" t="str">
        <f>IFERROR(VLOOKUP(TableHandbook[[#This Row],[UDC]],TableSTRUPARTM[],7,FALSE),"")</f>
        <v/>
      </c>
      <c r="BD370" s="209" t="str">
        <f>IFERROR(VLOOKUP(TableHandbook[[#This Row],[UDC]],TableSTRUPOLB1[],7,FALSE),"")</f>
        <v/>
      </c>
      <c r="BE370" s="209" t="str">
        <f>IFERROR(VLOOKUP(TableHandbook[[#This Row],[UDC]],TableSTRUPSYCB[],7,FALSE),"")</f>
        <v/>
      </c>
      <c r="BF370" s="209" t="str">
        <f>IFERROR(VLOOKUP(TableHandbook[[#This Row],[UDC]],TableSTRUPSYCM[],7,FALSE),"")</f>
        <v/>
      </c>
      <c r="BG370" s="209" t="str">
        <f>IFERROR(VLOOKUP(TableHandbook[[#This Row],[UDC]],TableSTRUVARTB[],7,FALSE),"")</f>
        <v/>
      </c>
      <c r="BH370" s="209" t="str">
        <f>IFERROR(VLOOKUP(TableHandbook[[#This Row],[UDC]],TableSTRUVARTM[],7,FALSE),"")</f>
        <v/>
      </c>
    </row>
    <row r="371" spans="1:60" x14ac:dyDescent="0.25">
      <c r="A371" s="6" t="s">
        <v>462</v>
      </c>
      <c r="B371" s="7">
        <v>1</v>
      </c>
      <c r="C371" s="7"/>
      <c r="D371" s="207" t="s">
        <v>1164</v>
      </c>
      <c r="E371" s="7">
        <v>25</v>
      </c>
      <c r="F371" s="84" t="s">
        <v>783</v>
      </c>
      <c r="G371" s="75" t="str">
        <f>IFERROR(IF(VLOOKUP(TableHandbook[[#This Row],[UDC]],TableAvailabilities[],2,FALSE)&gt;0,"Y",""),"")</f>
        <v>Y</v>
      </c>
      <c r="H371" s="75" t="str">
        <f>IFERROR(IF(VLOOKUP(TableHandbook[[#This Row],[UDC]],TableAvailabilities[],3,FALSE)&gt;0,"Y",""),"")</f>
        <v/>
      </c>
      <c r="I371" s="75" t="str">
        <f>IFERROR(IF(VLOOKUP(TableHandbook[[#This Row],[UDC]],TableAvailabilities[],4,FALSE)&gt;0,"Y",""),"")</f>
        <v/>
      </c>
      <c r="J371" s="75" t="str">
        <f>IFERROR(IF(VLOOKUP(TableHandbook[[#This Row],[UDC]],TableAvailabilities[],5,FALSE)&gt;0,"Y",""),"")</f>
        <v/>
      </c>
      <c r="K371" s="75" t="str">
        <f>IFERROR(IF(VLOOKUP(TableHandbook[[#This Row],[UDC]],TableAvailabilities[],6,FALSE)&gt;0,"Y",""),"")</f>
        <v/>
      </c>
      <c r="L371" s="75" t="str">
        <f>IFERROR(IF(VLOOKUP(TableHandbook[[#This Row],[UDC]],TableAvailabilities[],7,FALSE)&gt;0,"Y",""),"")</f>
        <v/>
      </c>
      <c r="M371" s="207"/>
      <c r="N371" s="209" t="str">
        <f>IFERROR(VLOOKUP(TableHandbook[[#This Row],[UDC]],TableBEDUC[],7,FALSE),"")</f>
        <v/>
      </c>
      <c r="O371" s="209" t="str">
        <f>IFERROR(VLOOKUP(TableHandbook[[#This Row],[UDC]],TableBEDEC[],7,FALSE),"")</f>
        <v/>
      </c>
      <c r="P371" s="211" t="str">
        <f>IFERROR(VLOOKUP(TableHandbook[[#This Row],[UDC]],TableBEDPR[],7,FALSE),"")</f>
        <v/>
      </c>
      <c r="Q371" s="209" t="str">
        <f>IFERROR(VLOOKUP(TableHandbook[[#This Row],[UDC]],TableSTRUCATHL[],7,FALSE),"")</f>
        <v/>
      </c>
      <c r="R371" s="209" t="str">
        <f>IFERROR(VLOOKUP(TableHandbook[[#This Row],[UDC]],TableSTRUENGLL[],7,FALSE),"")</f>
        <v/>
      </c>
      <c r="S371" s="209" t="str">
        <f>IFERROR(VLOOKUP(TableHandbook[[#This Row],[UDC]],TableSTRUHLTPE[],7,FALSE),"")</f>
        <v/>
      </c>
      <c r="T371" s="209" t="str">
        <f>IFERROR(VLOOKUP(TableHandbook[[#This Row],[UDC]],TableSTRUISTEM[],7,FALSE),"")</f>
        <v/>
      </c>
      <c r="U371" s="209" t="str">
        <f>IFERROR(VLOOKUP(TableHandbook[[#This Row],[UDC]],TableSTRULITNU[],7,FALSE),"")</f>
        <v/>
      </c>
      <c r="V371" s="209" t="str">
        <f>IFERROR(VLOOKUP(TableHandbook[[#This Row],[UDC]],TableSTRUTECHS[],7,FALSE),"")</f>
        <v/>
      </c>
      <c r="W371" s="211" t="str">
        <f>IFERROR(VLOOKUP(TableHandbook[[#This Row],[UDC]],TableBEDSC[],7,FALSE),"")</f>
        <v/>
      </c>
      <c r="X371" s="211" t="str">
        <f>IFERROR(VLOOKUP(TableHandbook[[#This Row],[UDC]],TableMJRUARDR1[],7,FALSE),"")</f>
        <v>Core</v>
      </c>
      <c r="Y371" s="209" t="str">
        <f>IFERROR(VLOOKUP(TableHandbook[[#This Row],[UDC]],TableMJRUARME1[],7,FALSE),"")</f>
        <v/>
      </c>
      <c r="Z371" s="209" t="str">
        <f>IFERROR(VLOOKUP(TableHandbook[[#This Row],[UDC]],TableMJRUARVA1[],7,FALSE),"")</f>
        <v/>
      </c>
      <c r="AA371" s="209" t="str">
        <f>IFERROR(VLOOKUP(TableHandbook[[#This Row],[UDC]],TableMJRUENGL1[],7,FALSE),"")</f>
        <v/>
      </c>
      <c r="AB371" s="209" t="str">
        <f>IFERROR(VLOOKUP(TableHandbook[[#This Row],[UDC]],TableMJRUHSEC1[],7,FALSE),"")</f>
        <v/>
      </c>
      <c r="AC371" s="209" t="str">
        <f>IFERROR(VLOOKUP(TableHandbook[[#This Row],[UDC]],TableMJRUHSGE1[],7,FALSE),"")</f>
        <v/>
      </c>
      <c r="AD371" s="209" t="str">
        <f>IFERROR(VLOOKUP(TableHandbook[[#This Row],[UDC]],TableMJRUHSHI1[],7,FALSE),"")</f>
        <v/>
      </c>
      <c r="AE371" s="209" t="str">
        <f>IFERROR(VLOOKUP(TableHandbook[[#This Row],[UDC]],TableMJRUHSPL1[],7,FALSE),"")</f>
        <v/>
      </c>
      <c r="AF371" s="209" t="str">
        <f>IFERROR(VLOOKUP(TableHandbook[[#This Row],[UDC]],TableMJRUMATH1[],7,FALSE),"")</f>
        <v/>
      </c>
      <c r="AG371" s="209" t="str">
        <f>IFERROR(VLOOKUP(TableHandbook[[#This Row],[UDC]],TableMJRUPHYSE[],7,FALSE),"")</f>
        <v/>
      </c>
      <c r="AH371" s="209" t="str">
        <f>IFERROR(VLOOKUP(TableHandbook[[#This Row],[UDC]],TableMJRUSCBI1[],7,FALSE),"")</f>
        <v/>
      </c>
      <c r="AI371" s="209" t="str">
        <f>IFERROR(VLOOKUP(TableHandbook[[#This Row],[UDC]],TableMJRUSCCH1[],7,FALSE),"")</f>
        <v/>
      </c>
      <c r="AJ371" s="209" t="str">
        <f>IFERROR(VLOOKUP(TableHandbook[[#This Row],[UDC]],TableMJRUSCHB1[],7,FALSE),"")</f>
        <v/>
      </c>
      <c r="AK371" s="209" t="str">
        <f>IFERROR(VLOOKUP(TableHandbook[[#This Row],[UDC]],TableMJRUSCPH1[],7,FALSE),"")</f>
        <v/>
      </c>
      <c r="AL371" s="209" t="str">
        <f>IFERROR(VLOOKUP(TableHandbook[[#This Row],[UDC]],TableMJRUSCPS1[],7,FALSE),"")</f>
        <v/>
      </c>
      <c r="AM371" s="211" t="str">
        <f>IFERROR(VLOOKUP(TableHandbook[[#This Row],[UDC]],TableSTRUBIOLB[],7,FALSE),"")</f>
        <v/>
      </c>
      <c r="AN371" s="209" t="str">
        <f>IFERROR(VLOOKUP(TableHandbook[[#This Row],[UDC]],TableSTRUBSCIM[],7,FALSE),"")</f>
        <v/>
      </c>
      <c r="AO371" s="209" t="str">
        <f>IFERROR(VLOOKUP(TableHandbook[[#This Row],[UDC]],TableSTRUCHEMB[],7,FALSE),"")</f>
        <v/>
      </c>
      <c r="AP371" s="209" t="str">
        <f>IFERROR(VLOOKUP(TableHandbook[[#This Row],[UDC]],TableSTRUECOB1[],7,FALSE),"")</f>
        <v/>
      </c>
      <c r="AQ371" s="209" t="str">
        <f>IFERROR(VLOOKUP(TableHandbook[[#This Row],[UDC]],TableSTRUENGLB[],7,FALSE),"")</f>
        <v/>
      </c>
      <c r="AR371" s="209" t="str">
        <f>IFERROR(VLOOKUP(TableHandbook[[#This Row],[UDC]],TableSTRUENGLM[],7,FALSE),"")</f>
        <v/>
      </c>
      <c r="AS371" s="209" t="str">
        <f>IFERROR(VLOOKUP(TableHandbook[[#This Row],[UDC]],TableSTRUGEOB1[],7,FALSE),"")</f>
        <v/>
      </c>
      <c r="AT371" s="209" t="str">
        <f>IFERROR(VLOOKUP(TableHandbook[[#This Row],[UDC]],TableSTRUGEOGM[],7,FALSE),"")</f>
        <v/>
      </c>
      <c r="AU371" s="209" t="str">
        <f>IFERROR(VLOOKUP(TableHandbook[[#This Row],[UDC]],TableSTRUHISB1[],7,FALSE),"")</f>
        <v/>
      </c>
      <c r="AV371" s="209" t="str">
        <f>IFERROR(VLOOKUP(TableHandbook[[#This Row],[UDC]],TableSTRUHISTM[],7,FALSE),"")</f>
        <v/>
      </c>
      <c r="AW371" s="209" t="str">
        <f>IFERROR(VLOOKUP(TableHandbook[[#This Row],[UDC]],TableSTRUHPEB1[],7,FALSE),"")</f>
        <v/>
      </c>
      <c r="AX371" s="209" t="str">
        <f>IFERROR(VLOOKUP(TableHandbook[[#This Row],[UDC]],TableSTRUHUMBB[],7,FALSE),"")</f>
        <v/>
      </c>
      <c r="AY371" s="209" t="str">
        <f>IFERROR(VLOOKUP(TableHandbook[[#This Row],[UDC]],TableSTRUMARTM[],7,FALSE),"")</f>
        <v/>
      </c>
      <c r="AZ371" s="209" t="str">
        <f>IFERROR(VLOOKUP(TableHandbook[[#This Row],[UDC]],TableSTRUMATHB[],7,FALSE),"")</f>
        <v/>
      </c>
      <c r="BA371" s="209" t="str">
        <f>IFERROR(VLOOKUP(TableHandbook[[#This Row],[UDC]],TableSTRUMATHM[],7,FALSE),"")</f>
        <v/>
      </c>
      <c r="BB371" s="209" t="str">
        <f>IFERROR(VLOOKUP(TableHandbook[[#This Row],[UDC]],TableSTRUPARTB[],7,FALSE),"")</f>
        <v/>
      </c>
      <c r="BC371" s="209" t="str">
        <f>IFERROR(VLOOKUP(TableHandbook[[#This Row],[UDC]],TableSTRUPARTM[],7,FALSE),"")</f>
        <v>Core</v>
      </c>
      <c r="BD371" s="209" t="str">
        <f>IFERROR(VLOOKUP(TableHandbook[[#This Row],[UDC]],TableSTRUPOLB1[],7,FALSE),"")</f>
        <v/>
      </c>
      <c r="BE371" s="209" t="str">
        <f>IFERROR(VLOOKUP(TableHandbook[[#This Row],[UDC]],TableSTRUPSYCB[],7,FALSE),"")</f>
        <v/>
      </c>
      <c r="BF371" s="209" t="str">
        <f>IFERROR(VLOOKUP(TableHandbook[[#This Row],[UDC]],TableSTRUPSYCM[],7,FALSE),"")</f>
        <v/>
      </c>
      <c r="BG371" s="209" t="str">
        <f>IFERROR(VLOOKUP(TableHandbook[[#This Row],[UDC]],TableSTRUVARTB[],7,FALSE),"")</f>
        <v/>
      </c>
      <c r="BH371" s="209" t="str">
        <f>IFERROR(VLOOKUP(TableHandbook[[#This Row],[UDC]],TableSTRUVARTM[],7,FALSE),"")</f>
        <v/>
      </c>
    </row>
    <row r="372" spans="1:60" x14ac:dyDescent="0.25">
      <c r="A372" s="6" t="s">
        <v>448</v>
      </c>
      <c r="B372" s="7">
        <v>1</v>
      </c>
      <c r="C372" s="7"/>
      <c r="D372" s="207" t="s">
        <v>1165</v>
      </c>
      <c r="E372" s="7">
        <v>25</v>
      </c>
      <c r="F372" s="84" t="s">
        <v>783</v>
      </c>
      <c r="G372" s="75" t="str">
        <f>IFERROR(IF(VLOOKUP(TableHandbook[[#This Row],[UDC]],TableAvailabilities[],2,FALSE)&gt;0,"Y",""),"")</f>
        <v/>
      </c>
      <c r="H372" s="75" t="str">
        <f>IFERROR(IF(VLOOKUP(TableHandbook[[#This Row],[UDC]],TableAvailabilities[],3,FALSE)&gt;0,"Y",""),"")</f>
        <v/>
      </c>
      <c r="I372" s="75" t="str">
        <f>IFERROR(IF(VLOOKUP(TableHandbook[[#This Row],[UDC]],TableAvailabilities[],4,FALSE)&gt;0,"Y",""),"")</f>
        <v/>
      </c>
      <c r="J372" s="75" t="str">
        <f>IFERROR(IF(VLOOKUP(TableHandbook[[#This Row],[UDC]],TableAvailabilities[],5,FALSE)&gt;0,"Y",""),"")</f>
        <v>Y</v>
      </c>
      <c r="K372" s="75" t="str">
        <f>IFERROR(IF(VLOOKUP(TableHandbook[[#This Row],[UDC]],TableAvailabilities[],6,FALSE)&gt;0,"Y",""),"")</f>
        <v/>
      </c>
      <c r="L372" s="75" t="str">
        <f>IFERROR(IF(VLOOKUP(TableHandbook[[#This Row],[UDC]],TableAvailabilities[],7,FALSE)&gt;0,"Y",""),"")</f>
        <v/>
      </c>
      <c r="M372" s="207"/>
      <c r="N372" s="209" t="str">
        <f>IFERROR(VLOOKUP(TableHandbook[[#This Row],[UDC]],TableBEDUC[],7,FALSE),"")</f>
        <v/>
      </c>
      <c r="O372" s="209" t="str">
        <f>IFERROR(VLOOKUP(TableHandbook[[#This Row],[UDC]],TableBEDEC[],7,FALSE),"")</f>
        <v/>
      </c>
      <c r="P372" s="211" t="str">
        <f>IFERROR(VLOOKUP(TableHandbook[[#This Row],[UDC]],TableBEDPR[],7,FALSE),"")</f>
        <v/>
      </c>
      <c r="Q372" s="209" t="str">
        <f>IFERROR(VLOOKUP(TableHandbook[[#This Row],[UDC]],TableSTRUCATHL[],7,FALSE),"")</f>
        <v/>
      </c>
      <c r="R372" s="209" t="str">
        <f>IFERROR(VLOOKUP(TableHandbook[[#This Row],[UDC]],TableSTRUENGLL[],7,FALSE),"")</f>
        <v/>
      </c>
      <c r="S372" s="209" t="str">
        <f>IFERROR(VLOOKUP(TableHandbook[[#This Row],[UDC]],TableSTRUHLTPE[],7,FALSE),"")</f>
        <v/>
      </c>
      <c r="T372" s="209" t="str">
        <f>IFERROR(VLOOKUP(TableHandbook[[#This Row],[UDC]],TableSTRUISTEM[],7,FALSE),"")</f>
        <v/>
      </c>
      <c r="U372" s="209" t="str">
        <f>IFERROR(VLOOKUP(TableHandbook[[#This Row],[UDC]],TableSTRULITNU[],7,FALSE),"")</f>
        <v/>
      </c>
      <c r="V372" s="209" t="str">
        <f>IFERROR(VLOOKUP(TableHandbook[[#This Row],[UDC]],TableSTRUTECHS[],7,FALSE),"")</f>
        <v/>
      </c>
      <c r="W372" s="211" t="str">
        <f>IFERROR(VLOOKUP(TableHandbook[[#This Row],[UDC]],TableBEDSC[],7,FALSE),"")</f>
        <v/>
      </c>
      <c r="X372" s="211" t="str">
        <f>IFERROR(VLOOKUP(TableHandbook[[#This Row],[UDC]],TableMJRUARDR1[],7,FALSE),"")</f>
        <v>Core</v>
      </c>
      <c r="Y372" s="209" t="str">
        <f>IFERROR(VLOOKUP(TableHandbook[[#This Row],[UDC]],TableMJRUARME1[],7,FALSE),"")</f>
        <v/>
      </c>
      <c r="Z372" s="209" t="str">
        <f>IFERROR(VLOOKUP(TableHandbook[[#This Row],[UDC]],TableMJRUARVA1[],7,FALSE),"")</f>
        <v/>
      </c>
      <c r="AA372" s="209" t="str">
        <f>IFERROR(VLOOKUP(TableHandbook[[#This Row],[UDC]],TableMJRUENGL1[],7,FALSE),"")</f>
        <v/>
      </c>
      <c r="AB372" s="209" t="str">
        <f>IFERROR(VLOOKUP(TableHandbook[[#This Row],[UDC]],TableMJRUHSEC1[],7,FALSE),"")</f>
        <v/>
      </c>
      <c r="AC372" s="209" t="str">
        <f>IFERROR(VLOOKUP(TableHandbook[[#This Row],[UDC]],TableMJRUHSGE1[],7,FALSE),"")</f>
        <v/>
      </c>
      <c r="AD372" s="209" t="str">
        <f>IFERROR(VLOOKUP(TableHandbook[[#This Row],[UDC]],TableMJRUHSHI1[],7,FALSE),"")</f>
        <v/>
      </c>
      <c r="AE372" s="209" t="str">
        <f>IFERROR(VLOOKUP(TableHandbook[[#This Row],[UDC]],TableMJRUHSPL1[],7,FALSE),"")</f>
        <v/>
      </c>
      <c r="AF372" s="209" t="str">
        <f>IFERROR(VLOOKUP(TableHandbook[[#This Row],[UDC]],TableMJRUMATH1[],7,FALSE),"")</f>
        <v/>
      </c>
      <c r="AG372" s="209" t="str">
        <f>IFERROR(VLOOKUP(TableHandbook[[#This Row],[UDC]],TableMJRUPHYSE[],7,FALSE),"")</f>
        <v/>
      </c>
      <c r="AH372" s="209" t="str">
        <f>IFERROR(VLOOKUP(TableHandbook[[#This Row],[UDC]],TableMJRUSCBI1[],7,FALSE),"")</f>
        <v/>
      </c>
      <c r="AI372" s="209" t="str">
        <f>IFERROR(VLOOKUP(TableHandbook[[#This Row],[UDC]],TableMJRUSCCH1[],7,FALSE),"")</f>
        <v/>
      </c>
      <c r="AJ372" s="209" t="str">
        <f>IFERROR(VLOOKUP(TableHandbook[[#This Row],[UDC]],TableMJRUSCHB1[],7,FALSE),"")</f>
        <v/>
      </c>
      <c r="AK372" s="209" t="str">
        <f>IFERROR(VLOOKUP(TableHandbook[[#This Row],[UDC]],TableMJRUSCPH1[],7,FALSE),"")</f>
        <v/>
      </c>
      <c r="AL372" s="209" t="str">
        <f>IFERROR(VLOOKUP(TableHandbook[[#This Row],[UDC]],TableMJRUSCPS1[],7,FALSE),"")</f>
        <v/>
      </c>
      <c r="AM372" s="211" t="str">
        <f>IFERROR(VLOOKUP(TableHandbook[[#This Row],[UDC]],TableSTRUBIOLB[],7,FALSE),"")</f>
        <v/>
      </c>
      <c r="AN372" s="209" t="str">
        <f>IFERROR(VLOOKUP(TableHandbook[[#This Row],[UDC]],TableSTRUBSCIM[],7,FALSE),"")</f>
        <v/>
      </c>
      <c r="AO372" s="209" t="str">
        <f>IFERROR(VLOOKUP(TableHandbook[[#This Row],[UDC]],TableSTRUCHEMB[],7,FALSE),"")</f>
        <v/>
      </c>
      <c r="AP372" s="209" t="str">
        <f>IFERROR(VLOOKUP(TableHandbook[[#This Row],[UDC]],TableSTRUECOB1[],7,FALSE),"")</f>
        <v/>
      </c>
      <c r="AQ372" s="209" t="str">
        <f>IFERROR(VLOOKUP(TableHandbook[[#This Row],[UDC]],TableSTRUENGLB[],7,FALSE),"")</f>
        <v/>
      </c>
      <c r="AR372" s="209" t="str">
        <f>IFERROR(VLOOKUP(TableHandbook[[#This Row],[UDC]],TableSTRUENGLM[],7,FALSE),"")</f>
        <v/>
      </c>
      <c r="AS372" s="209" t="str">
        <f>IFERROR(VLOOKUP(TableHandbook[[#This Row],[UDC]],TableSTRUGEOB1[],7,FALSE),"")</f>
        <v/>
      </c>
      <c r="AT372" s="209" t="str">
        <f>IFERROR(VLOOKUP(TableHandbook[[#This Row],[UDC]],TableSTRUGEOGM[],7,FALSE),"")</f>
        <v/>
      </c>
      <c r="AU372" s="209" t="str">
        <f>IFERROR(VLOOKUP(TableHandbook[[#This Row],[UDC]],TableSTRUHISB1[],7,FALSE),"")</f>
        <v/>
      </c>
      <c r="AV372" s="209" t="str">
        <f>IFERROR(VLOOKUP(TableHandbook[[#This Row],[UDC]],TableSTRUHISTM[],7,FALSE),"")</f>
        <v/>
      </c>
      <c r="AW372" s="209" t="str">
        <f>IFERROR(VLOOKUP(TableHandbook[[#This Row],[UDC]],TableSTRUHPEB1[],7,FALSE),"")</f>
        <v/>
      </c>
      <c r="AX372" s="209" t="str">
        <f>IFERROR(VLOOKUP(TableHandbook[[#This Row],[UDC]],TableSTRUHUMBB[],7,FALSE),"")</f>
        <v/>
      </c>
      <c r="AY372" s="209" t="str">
        <f>IFERROR(VLOOKUP(TableHandbook[[#This Row],[UDC]],TableSTRUMARTM[],7,FALSE),"")</f>
        <v/>
      </c>
      <c r="AZ372" s="209" t="str">
        <f>IFERROR(VLOOKUP(TableHandbook[[#This Row],[UDC]],TableSTRUMATHB[],7,FALSE),"")</f>
        <v/>
      </c>
      <c r="BA372" s="209" t="str">
        <f>IFERROR(VLOOKUP(TableHandbook[[#This Row],[UDC]],TableSTRUMATHM[],7,FALSE),"")</f>
        <v/>
      </c>
      <c r="BB372" s="209" t="str">
        <f>IFERROR(VLOOKUP(TableHandbook[[#This Row],[UDC]],TableSTRUPARTB[],7,FALSE),"")</f>
        <v/>
      </c>
      <c r="BC372" s="209" t="str">
        <f>IFERROR(VLOOKUP(TableHandbook[[#This Row],[UDC]],TableSTRUPARTM[],7,FALSE),"")</f>
        <v/>
      </c>
      <c r="BD372" s="209" t="str">
        <f>IFERROR(VLOOKUP(TableHandbook[[#This Row],[UDC]],TableSTRUPOLB1[],7,FALSE),"")</f>
        <v/>
      </c>
      <c r="BE372" s="209" t="str">
        <f>IFERROR(VLOOKUP(TableHandbook[[#This Row],[UDC]],TableSTRUPSYCB[],7,FALSE),"")</f>
        <v/>
      </c>
      <c r="BF372" s="209" t="str">
        <f>IFERROR(VLOOKUP(TableHandbook[[#This Row],[UDC]],TableSTRUPSYCM[],7,FALSE),"")</f>
        <v/>
      </c>
      <c r="BG372" s="209" t="str">
        <f>IFERROR(VLOOKUP(TableHandbook[[#This Row],[UDC]],TableSTRUVARTB[],7,FALSE),"")</f>
        <v/>
      </c>
      <c r="BH372" s="209" t="str">
        <f>IFERROR(VLOOKUP(TableHandbook[[#This Row],[UDC]],TableSTRUVARTM[],7,FALSE),"")</f>
        <v/>
      </c>
    </row>
    <row r="373" spans="1:60" x14ac:dyDescent="0.25">
      <c r="A373" s="6" t="s">
        <v>506</v>
      </c>
      <c r="B373" s="7">
        <v>1</v>
      </c>
      <c r="C373" s="7"/>
      <c r="D373" s="207" t="s">
        <v>1166</v>
      </c>
      <c r="E373" s="7">
        <v>25</v>
      </c>
      <c r="F373" s="84" t="s">
        <v>783</v>
      </c>
      <c r="G373" s="75" t="str">
        <f>IFERROR(IF(VLOOKUP(TableHandbook[[#This Row],[UDC]],TableAvailabilities[],2,FALSE)&gt;0,"Y",""),"")</f>
        <v>Y</v>
      </c>
      <c r="H373" s="75" t="str">
        <f>IFERROR(IF(VLOOKUP(TableHandbook[[#This Row],[UDC]],TableAvailabilities[],3,FALSE)&gt;0,"Y",""),"")</f>
        <v/>
      </c>
      <c r="I373" s="75" t="str">
        <f>IFERROR(IF(VLOOKUP(TableHandbook[[#This Row],[UDC]],TableAvailabilities[],4,FALSE)&gt;0,"Y",""),"")</f>
        <v/>
      </c>
      <c r="J373" s="75" t="str">
        <f>IFERROR(IF(VLOOKUP(TableHandbook[[#This Row],[UDC]],TableAvailabilities[],5,FALSE)&gt;0,"Y",""),"")</f>
        <v>Y</v>
      </c>
      <c r="K373" s="75" t="str">
        <f>IFERROR(IF(VLOOKUP(TableHandbook[[#This Row],[UDC]],TableAvailabilities[],6,FALSE)&gt;0,"Y",""),"")</f>
        <v/>
      </c>
      <c r="L373" s="75" t="str">
        <f>IFERROR(IF(VLOOKUP(TableHandbook[[#This Row],[UDC]],TableAvailabilities[],7,FALSE)&gt;0,"Y",""),"")</f>
        <v/>
      </c>
      <c r="M373" s="207"/>
      <c r="N373" s="209" t="str">
        <f>IFERROR(VLOOKUP(TableHandbook[[#This Row],[UDC]],TableBEDUC[],7,FALSE),"")</f>
        <v/>
      </c>
      <c r="O373" s="209" t="str">
        <f>IFERROR(VLOOKUP(TableHandbook[[#This Row],[UDC]],TableBEDEC[],7,FALSE),"")</f>
        <v/>
      </c>
      <c r="P373" s="211" t="str">
        <f>IFERROR(VLOOKUP(TableHandbook[[#This Row],[UDC]],TableBEDPR[],7,FALSE),"")</f>
        <v/>
      </c>
      <c r="Q373" s="209" t="str">
        <f>IFERROR(VLOOKUP(TableHandbook[[#This Row],[UDC]],TableSTRUCATHL[],7,FALSE),"")</f>
        <v/>
      </c>
      <c r="R373" s="209" t="str">
        <f>IFERROR(VLOOKUP(TableHandbook[[#This Row],[UDC]],TableSTRUENGLL[],7,FALSE),"")</f>
        <v/>
      </c>
      <c r="S373" s="209" t="str">
        <f>IFERROR(VLOOKUP(TableHandbook[[#This Row],[UDC]],TableSTRUHLTPE[],7,FALSE),"")</f>
        <v/>
      </c>
      <c r="T373" s="209" t="str">
        <f>IFERROR(VLOOKUP(TableHandbook[[#This Row],[UDC]],TableSTRUISTEM[],7,FALSE),"")</f>
        <v/>
      </c>
      <c r="U373" s="209" t="str">
        <f>IFERROR(VLOOKUP(TableHandbook[[#This Row],[UDC]],TableSTRULITNU[],7,FALSE),"")</f>
        <v/>
      </c>
      <c r="V373" s="209" t="str">
        <f>IFERROR(VLOOKUP(TableHandbook[[#This Row],[UDC]],TableSTRUTECHS[],7,FALSE),"")</f>
        <v/>
      </c>
      <c r="W373" s="211" t="str">
        <f>IFERROR(VLOOKUP(TableHandbook[[#This Row],[UDC]],TableBEDSC[],7,FALSE),"")</f>
        <v/>
      </c>
      <c r="X373" s="211" t="str">
        <f>IFERROR(VLOOKUP(TableHandbook[[#This Row],[UDC]],TableMJRUARDR1[],7,FALSE),"")</f>
        <v>Core</v>
      </c>
      <c r="Y373" s="209" t="str">
        <f>IFERROR(VLOOKUP(TableHandbook[[#This Row],[UDC]],TableMJRUARME1[],7,FALSE),"")</f>
        <v>Option</v>
      </c>
      <c r="Z373" s="209" t="str">
        <f>IFERROR(VLOOKUP(TableHandbook[[#This Row],[UDC]],TableMJRUARVA1[],7,FALSE),"")</f>
        <v/>
      </c>
      <c r="AA373" s="209" t="str">
        <f>IFERROR(VLOOKUP(TableHandbook[[#This Row],[UDC]],TableMJRUENGL1[],7,FALSE),"")</f>
        <v/>
      </c>
      <c r="AB373" s="209" t="str">
        <f>IFERROR(VLOOKUP(TableHandbook[[#This Row],[UDC]],TableMJRUHSEC1[],7,FALSE),"")</f>
        <v/>
      </c>
      <c r="AC373" s="209" t="str">
        <f>IFERROR(VLOOKUP(TableHandbook[[#This Row],[UDC]],TableMJRUHSGE1[],7,FALSE),"")</f>
        <v/>
      </c>
      <c r="AD373" s="209" t="str">
        <f>IFERROR(VLOOKUP(TableHandbook[[#This Row],[UDC]],TableMJRUHSHI1[],7,FALSE),"")</f>
        <v/>
      </c>
      <c r="AE373" s="209" t="str">
        <f>IFERROR(VLOOKUP(TableHandbook[[#This Row],[UDC]],TableMJRUHSPL1[],7,FALSE),"")</f>
        <v/>
      </c>
      <c r="AF373" s="209" t="str">
        <f>IFERROR(VLOOKUP(TableHandbook[[#This Row],[UDC]],TableMJRUMATH1[],7,FALSE),"")</f>
        <v/>
      </c>
      <c r="AG373" s="209" t="str">
        <f>IFERROR(VLOOKUP(TableHandbook[[#This Row],[UDC]],TableMJRUPHYSE[],7,FALSE),"")</f>
        <v/>
      </c>
      <c r="AH373" s="209" t="str">
        <f>IFERROR(VLOOKUP(TableHandbook[[#This Row],[UDC]],TableMJRUSCBI1[],7,FALSE),"")</f>
        <v/>
      </c>
      <c r="AI373" s="209" t="str">
        <f>IFERROR(VLOOKUP(TableHandbook[[#This Row],[UDC]],TableMJRUSCCH1[],7,FALSE),"")</f>
        <v/>
      </c>
      <c r="AJ373" s="209" t="str">
        <f>IFERROR(VLOOKUP(TableHandbook[[#This Row],[UDC]],TableMJRUSCHB1[],7,FALSE),"")</f>
        <v/>
      </c>
      <c r="AK373" s="209" t="str">
        <f>IFERROR(VLOOKUP(TableHandbook[[#This Row],[UDC]],TableMJRUSCPH1[],7,FALSE),"")</f>
        <v/>
      </c>
      <c r="AL373" s="209" t="str">
        <f>IFERROR(VLOOKUP(TableHandbook[[#This Row],[UDC]],TableMJRUSCPS1[],7,FALSE),"")</f>
        <v/>
      </c>
      <c r="AM373" s="211" t="str">
        <f>IFERROR(VLOOKUP(TableHandbook[[#This Row],[UDC]],TableSTRUBIOLB[],7,FALSE),"")</f>
        <v/>
      </c>
      <c r="AN373" s="209" t="str">
        <f>IFERROR(VLOOKUP(TableHandbook[[#This Row],[UDC]],TableSTRUBSCIM[],7,FALSE),"")</f>
        <v/>
      </c>
      <c r="AO373" s="209" t="str">
        <f>IFERROR(VLOOKUP(TableHandbook[[#This Row],[UDC]],TableSTRUCHEMB[],7,FALSE),"")</f>
        <v/>
      </c>
      <c r="AP373" s="209" t="str">
        <f>IFERROR(VLOOKUP(TableHandbook[[#This Row],[UDC]],TableSTRUECOB1[],7,FALSE),"")</f>
        <v/>
      </c>
      <c r="AQ373" s="209" t="str">
        <f>IFERROR(VLOOKUP(TableHandbook[[#This Row],[UDC]],TableSTRUENGLB[],7,FALSE),"")</f>
        <v/>
      </c>
      <c r="AR373" s="209" t="str">
        <f>IFERROR(VLOOKUP(TableHandbook[[#This Row],[UDC]],TableSTRUENGLM[],7,FALSE),"")</f>
        <v/>
      </c>
      <c r="AS373" s="209" t="str">
        <f>IFERROR(VLOOKUP(TableHandbook[[#This Row],[UDC]],TableSTRUGEOB1[],7,FALSE),"")</f>
        <v/>
      </c>
      <c r="AT373" s="209" t="str">
        <f>IFERROR(VLOOKUP(TableHandbook[[#This Row],[UDC]],TableSTRUGEOGM[],7,FALSE),"")</f>
        <v/>
      </c>
      <c r="AU373" s="209" t="str">
        <f>IFERROR(VLOOKUP(TableHandbook[[#This Row],[UDC]],TableSTRUHISB1[],7,FALSE),"")</f>
        <v/>
      </c>
      <c r="AV373" s="209" t="str">
        <f>IFERROR(VLOOKUP(TableHandbook[[#This Row],[UDC]],TableSTRUHISTM[],7,FALSE),"")</f>
        <v/>
      </c>
      <c r="AW373" s="209" t="str">
        <f>IFERROR(VLOOKUP(TableHandbook[[#This Row],[UDC]],TableSTRUHPEB1[],7,FALSE),"")</f>
        <v/>
      </c>
      <c r="AX373" s="209" t="str">
        <f>IFERROR(VLOOKUP(TableHandbook[[#This Row],[UDC]],TableSTRUHUMBB[],7,FALSE),"")</f>
        <v/>
      </c>
      <c r="AY373" s="209" t="str">
        <f>IFERROR(VLOOKUP(TableHandbook[[#This Row],[UDC]],TableSTRUMARTM[],7,FALSE),"")</f>
        <v/>
      </c>
      <c r="AZ373" s="209" t="str">
        <f>IFERROR(VLOOKUP(TableHandbook[[#This Row],[UDC]],TableSTRUMATHB[],7,FALSE),"")</f>
        <v/>
      </c>
      <c r="BA373" s="209" t="str">
        <f>IFERROR(VLOOKUP(TableHandbook[[#This Row],[UDC]],TableSTRUMATHM[],7,FALSE),"")</f>
        <v/>
      </c>
      <c r="BB373" s="209" t="str">
        <f>IFERROR(VLOOKUP(TableHandbook[[#This Row],[UDC]],TableSTRUPARTB[],7,FALSE),"")</f>
        <v/>
      </c>
      <c r="BC373" s="209" t="str">
        <f>IFERROR(VLOOKUP(TableHandbook[[#This Row],[UDC]],TableSTRUPARTM[],7,FALSE),"")</f>
        <v/>
      </c>
      <c r="BD373" s="209" t="str">
        <f>IFERROR(VLOOKUP(TableHandbook[[#This Row],[UDC]],TableSTRUPOLB1[],7,FALSE),"")</f>
        <v/>
      </c>
      <c r="BE373" s="209" t="str">
        <f>IFERROR(VLOOKUP(TableHandbook[[#This Row],[UDC]],TableSTRUPSYCB[],7,FALSE),"")</f>
        <v/>
      </c>
      <c r="BF373" s="209" t="str">
        <f>IFERROR(VLOOKUP(TableHandbook[[#This Row],[UDC]],TableSTRUPSYCM[],7,FALSE),"")</f>
        <v/>
      </c>
      <c r="BG373" s="209" t="str">
        <f>IFERROR(VLOOKUP(TableHandbook[[#This Row],[UDC]],TableSTRUVARTB[],7,FALSE),"")</f>
        <v/>
      </c>
      <c r="BH373" s="209" t="str">
        <f>IFERROR(VLOOKUP(TableHandbook[[#This Row],[UDC]],TableSTRUVARTM[],7,FALSE),"")</f>
        <v/>
      </c>
    </row>
    <row r="374" spans="1:60" x14ac:dyDescent="0.25">
      <c r="A374" s="296" t="s">
        <v>493</v>
      </c>
      <c r="B374" s="7">
        <v>1</v>
      </c>
      <c r="C374" s="7"/>
      <c r="D374" s="207" t="s">
        <v>1167</v>
      </c>
      <c r="E374" s="7">
        <v>25</v>
      </c>
      <c r="F374" s="311" t="s">
        <v>783</v>
      </c>
      <c r="G374" s="75" t="str">
        <f>IFERROR(IF(VLOOKUP(TableHandbook[[#This Row],[UDC]],TableAvailabilities[],2,FALSE)&gt;0,"Y",""),"")</f>
        <v/>
      </c>
      <c r="H374" s="75" t="str">
        <f>IFERROR(IF(VLOOKUP(TableHandbook[[#This Row],[UDC]],TableAvailabilities[],3,FALSE)&gt;0,"Y",""),"")</f>
        <v/>
      </c>
      <c r="I374" s="75" t="str">
        <f>IFERROR(IF(VLOOKUP(TableHandbook[[#This Row],[UDC]],TableAvailabilities[],4,FALSE)&gt;0,"Y",""),"")</f>
        <v/>
      </c>
      <c r="J374" s="75" t="str">
        <f>IFERROR(IF(VLOOKUP(TableHandbook[[#This Row],[UDC]],TableAvailabilities[],5,FALSE)&gt;0,"Y",""),"")</f>
        <v>Y</v>
      </c>
      <c r="K374" s="75" t="str">
        <f>IFERROR(IF(VLOOKUP(TableHandbook[[#This Row],[UDC]],TableAvailabilities[],6,FALSE)&gt;0,"Y",""),"")</f>
        <v/>
      </c>
      <c r="L374" s="75" t="str">
        <f>IFERROR(IF(VLOOKUP(TableHandbook[[#This Row],[UDC]],TableAvailabilities[],7,FALSE)&gt;0,"Y",""),"")</f>
        <v/>
      </c>
      <c r="M374" s="207"/>
      <c r="N374" s="209" t="str">
        <f>IFERROR(VLOOKUP(TableHandbook[[#This Row],[UDC]],TableBEDUC[],7,FALSE),"")</f>
        <v/>
      </c>
      <c r="O374" s="209" t="str">
        <f>IFERROR(VLOOKUP(TableHandbook[[#This Row],[UDC]],TableBEDEC[],7,FALSE),"")</f>
        <v/>
      </c>
      <c r="P374" s="211" t="str">
        <f>IFERROR(VLOOKUP(TableHandbook[[#This Row],[UDC]],TableBEDPR[],7,FALSE),"")</f>
        <v/>
      </c>
      <c r="Q374" s="209" t="str">
        <f>IFERROR(VLOOKUP(TableHandbook[[#This Row],[UDC]],TableSTRUCATHL[],7,FALSE),"")</f>
        <v/>
      </c>
      <c r="R374" s="209" t="str">
        <f>IFERROR(VLOOKUP(TableHandbook[[#This Row],[UDC]],TableSTRUENGLL[],7,FALSE),"")</f>
        <v/>
      </c>
      <c r="S374" s="209" t="str">
        <f>IFERROR(VLOOKUP(TableHandbook[[#This Row],[UDC]],TableSTRUHLTPE[],7,FALSE),"")</f>
        <v/>
      </c>
      <c r="T374" s="209" t="str">
        <f>IFERROR(VLOOKUP(TableHandbook[[#This Row],[UDC]],TableSTRUISTEM[],7,FALSE),"")</f>
        <v/>
      </c>
      <c r="U374" s="209" t="str">
        <f>IFERROR(VLOOKUP(TableHandbook[[#This Row],[UDC]],TableSTRULITNU[],7,FALSE),"")</f>
        <v/>
      </c>
      <c r="V374" s="209" t="str">
        <f>IFERROR(VLOOKUP(TableHandbook[[#This Row],[UDC]],TableSTRUTECHS[],7,FALSE),"")</f>
        <v/>
      </c>
      <c r="W374" s="211" t="str">
        <f>IFERROR(VLOOKUP(TableHandbook[[#This Row],[UDC]],TableBEDSC[],7,FALSE),"")</f>
        <v/>
      </c>
      <c r="X374" s="211" t="str">
        <f>IFERROR(VLOOKUP(TableHandbook[[#This Row],[UDC]],TableMJRUARDR1[],7,FALSE),"")</f>
        <v>Core</v>
      </c>
      <c r="Y374" s="209" t="str">
        <f>IFERROR(VLOOKUP(TableHandbook[[#This Row],[UDC]],TableMJRUARME1[],7,FALSE),"")</f>
        <v/>
      </c>
      <c r="Z374" s="209" t="str">
        <f>IFERROR(VLOOKUP(TableHandbook[[#This Row],[UDC]],TableMJRUARVA1[],7,FALSE),"")</f>
        <v/>
      </c>
      <c r="AA374" s="209" t="str">
        <f>IFERROR(VLOOKUP(TableHandbook[[#This Row],[UDC]],TableMJRUENGL1[],7,FALSE),"")</f>
        <v/>
      </c>
      <c r="AB374" s="209" t="str">
        <f>IFERROR(VLOOKUP(TableHandbook[[#This Row],[UDC]],TableMJRUHSEC1[],7,FALSE),"")</f>
        <v/>
      </c>
      <c r="AC374" s="209" t="str">
        <f>IFERROR(VLOOKUP(TableHandbook[[#This Row],[UDC]],TableMJRUHSGE1[],7,FALSE),"")</f>
        <v/>
      </c>
      <c r="AD374" s="209" t="str">
        <f>IFERROR(VLOOKUP(TableHandbook[[#This Row],[UDC]],TableMJRUHSHI1[],7,FALSE),"")</f>
        <v/>
      </c>
      <c r="AE374" s="209" t="str">
        <f>IFERROR(VLOOKUP(TableHandbook[[#This Row],[UDC]],TableMJRUHSPL1[],7,FALSE),"")</f>
        <v/>
      </c>
      <c r="AF374" s="209" t="str">
        <f>IFERROR(VLOOKUP(TableHandbook[[#This Row],[UDC]],TableMJRUMATH1[],7,FALSE),"")</f>
        <v/>
      </c>
      <c r="AG374" s="209" t="str">
        <f>IFERROR(VLOOKUP(TableHandbook[[#This Row],[UDC]],TableMJRUPHYSE[],7,FALSE),"")</f>
        <v/>
      </c>
      <c r="AH374" s="209" t="str">
        <f>IFERROR(VLOOKUP(TableHandbook[[#This Row],[UDC]],TableMJRUSCBI1[],7,FALSE),"")</f>
        <v/>
      </c>
      <c r="AI374" s="209" t="str">
        <f>IFERROR(VLOOKUP(TableHandbook[[#This Row],[UDC]],TableMJRUSCCH1[],7,FALSE),"")</f>
        <v/>
      </c>
      <c r="AJ374" s="209" t="str">
        <f>IFERROR(VLOOKUP(TableHandbook[[#This Row],[UDC]],TableMJRUSCHB1[],7,FALSE),"")</f>
        <v/>
      </c>
      <c r="AK374" s="209" t="str">
        <f>IFERROR(VLOOKUP(TableHandbook[[#This Row],[UDC]],TableMJRUSCPH1[],7,FALSE),"")</f>
        <v/>
      </c>
      <c r="AL374" s="209" t="str">
        <f>IFERROR(VLOOKUP(TableHandbook[[#This Row],[UDC]],TableMJRUSCPS1[],7,FALSE),"")</f>
        <v/>
      </c>
      <c r="AM374" s="211" t="str">
        <f>IFERROR(VLOOKUP(TableHandbook[[#This Row],[UDC]],TableSTRUBIOLB[],7,FALSE),"")</f>
        <v/>
      </c>
      <c r="AN374" s="209" t="str">
        <f>IFERROR(VLOOKUP(TableHandbook[[#This Row],[UDC]],TableSTRUBSCIM[],7,FALSE),"")</f>
        <v/>
      </c>
      <c r="AO374" s="209" t="str">
        <f>IFERROR(VLOOKUP(TableHandbook[[#This Row],[UDC]],TableSTRUCHEMB[],7,FALSE),"")</f>
        <v/>
      </c>
      <c r="AP374" s="209" t="str">
        <f>IFERROR(VLOOKUP(TableHandbook[[#This Row],[UDC]],TableSTRUECOB1[],7,FALSE),"")</f>
        <v/>
      </c>
      <c r="AQ374" s="209" t="str">
        <f>IFERROR(VLOOKUP(TableHandbook[[#This Row],[UDC]],TableSTRUENGLB[],7,FALSE),"")</f>
        <v/>
      </c>
      <c r="AR374" s="209" t="str">
        <f>IFERROR(VLOOKUP(TableHandbook[[#This Row],[UDC]],TableSTRUENGLM[],7,FALSE),"")</f>
        <v/>
      </c>
      <c r="AS374" s="209" t="str">
        <f>IFERROR(VLOOKUP(TableHandbook[[#This Row],[UDC]],TableSTRUGEOB1[],7,FALSE),"")</f>
        <v/>
      </c>
      <c r="AT374" s="209" t="str">
        <f>IFERROR(VLOOKUP(TableHandbook[[#This Row],[UDC]],TableSTRUGEOGM[],7,FALSE),"")</f>
        <v/>
      </c>
      <c r="AU374" s="209" t="str">
        <f>IFERROR(VLOOKUP(TableHandbook[[#This Row],[UDC]],TableSTRUHISB1[],7,FALSE),"")</f>
        <v/>
      </c>
      <c r="AV374" s="209" t="str">
        <f>IFERROR(VLOOKUP(TableHandbook[[#This Row],[UDC]],TableSTRUHISTM[],7,FALSE),"")</f>
        <v/>
      </c>
      <c r="AW374" s="209" t="str">
        <f>IFERROR(VLOOKUP(TableHandbook[[#This Row],[UDC]],TableSTRUHPEB1[],7,FALSE),"")</f>
        <v/>
      </c>
      <c r="AX374" s="209" t="str">
        <f>IFERROR(VLOOKUP(TableHandbook[[#This Row],[UDC]],TableSTRUHUMBB[],7,FALSE),"")</f>
        <v/>
      </c>
      <c r="AY374" s="209" t="str">
        <f>IFERROR(VLOOKUP(TableHandbook[[#This Row],[UDC]],TableSTRUMARTM[],7,FALSE),"")</f>
        <v/>
      </c>
      <c r="AZ374" s="209" t="str">
        <f>IFERROR(VLOOKUP(TableHandbook[[#This Row],[UDC]],TableSTRUMATHB[],7,FALSE),"")</f>
        <v/>
      </c>
      <c r="BA374" s="209" t="str">
        <f>IFERROR(VLOOKUP(TableHandbook[[#This Row],[UDC]],TableSTRUMATHM[],7,FALSE),"")</f>
        <v/>
      </c>
      <c r="BB374" s="209" t="str">
        <f>IFERROR(VLOOKUP(TableHandbook[[#This Row],[UDC]],TableSTRUPARTB[],7,FALSE),"")</f>
        <v/>
      </c>
      <c r="BC374" s="209" t="str">
        <f>IFERROR(VLOOKUP(TableHandbook[[#This Row],[UDC]],TableSTRUPARTM[],7,FALSE),"")</f>
        <v/>
      </c>
      <c r="BD374" s="209" t="str">
        <f>IFERROR(VLOOKUP(TableHandbook[[#This Row],[UDC]],TableSTRUPOLB1[],7,FALSE),"")</f>
        <v/>
      </c>
      <c r="BE374" s="209" t="str">
        <f>IFERROR(VLOOKUP(TableHandbook[[#This Row],[UDC]],TableSTRUPSYCB[],7,FALSE),"")</f>
        <v/>
      </c>
      <c r="BF374" s="209" t="str">
        <f>IFERROR(VLOOKUP(TableHandbook[[#This Row],[UDC]],TableSTRUPSYCM[],7,FALSE),"")</f>
        <v/>
      </c>
      <c r="BG374" s="209" t="str">
        <f>IFERROR(VLOOKUP(TableHandbook[[#This Row],[UDC]],TableSTRUVARTB[],7,FALSE),"")</f>
        <v/>
      </c>
      <c r="BH374" s="209" t="str">
        <f>IFERROR(VLOOKUP(TableHandbook[[#This Row],[UDC]],TableSTRUVARTM[],7,FALSE),"")</f>
        <v/>
      </c>
    </row>
    <row r="375" spans="1:60" x14ac:dyDescent="0.25">
      <c r="A375" s="6" t="s">
        <v>734</v>
      </c>
      <c r="B375" s="7">
        <v>1</v>
      </c>
      <c r="C375" s="7"/>
      <c r="D375" s="207" t="s">
        <v>1168</v>
      </c>
      <c r="E375" s="7">
        <v>25</v>
      </c>
      <c r="F375" s="84" t="s">
        <v>783</v>
      </c>
      <c r="G375" s="75" t="str">
        <f>IFERROR(IF(VLOOKUP(TableHandbook[[#This Row],[UDC]],TableAvailabilities[],2,FALSE)&gt;0,"Y",""),"")</f>
        <v>Y</v>
      </c>
      <c r="H375" s="75" t="str">
        <f>IFERROR(IF(VLOOKUP(TableHandbook[[#This Row],[UDC]],TableAvailabilities[],3,FALSE)&gt;0,"Y",""),"")</f>
        <v/>
      </c>
      <c r="I375" s="75" t="str">
        <f>IFERROR(IF(VLOOKUP(TableHandbook[[#This Row],[UDC]],TableAvailabilities[],4,FALSE)&gt;0,"Y",""),"")</f>
        <v/>
      </c>
      <c r="J375" s="75" t="str">
        <f>IFERROR(IF(VLOOKUP(TableHandbook[[#This Row],[UDC]],TableAvailabilities[],5,FALSE)&gt;0,"Y",""),"")</f>
        <v/>
      </c>
      <c r="K375" s="75" t="str">
        <f>IFERROR(IF(VLOOKUP(TableHandbook[[#This Row],[UDC]],TableAvailabilities[],6,FALSE)&gt;0,"Y",""),"")</f>
        <v/>
      </c>
      <c r="L375" s="75" t="str">
        <f>IFERROR(IF(VLOOKUP(TableHandbook[[#This Row],[UDC]],TableAvailabilities[],7,FALSE)&gt;0,"Y",""),"")</f>
        <v/>
      </c>
      <c r="M375" s="207"/>
      <c r="N375" s="209" t="str">
        <f>IFERROR(VLOOKUP(TableHandbook[[#This Row],[UDC]],TableBEDUC[],7,FALSE),"")</f>
        <v/>
      </c>
      <c r="O375" s="209" t="str">
        <f>IFERROR(VLOOKUP(TableHandbook[[#This Row],[UDC]],TableBEDEC[],7,FALSE),"")</f>
        <v/>
      </c>
      <c r="P375" s="211" t="str">
        <f>IFERROR(VLOOKUP(TableHandbook[[#This Row],[UDC]],TableBEDPR[],7,FALSE),"")</f>
        <v/>
      </c>
      <c r="Q375" s="209" t="str">
        <f>IFERROR(VLOOKUP(TableHandbook[[#This Row],[UDC]],TableSTRUCATHL[],7,FALSE),"")</f>
        <v/>
      </c>
      <c r="R375" s="209" t="str">
        <f>IFERROR(VLOOKUP(TableHandbook[[#This Row],[UDC]],TableSTRUENGLL[],7,FALSE),"")</f>
        <v/>
      </c>
      <c r="S375" s="209" t="str">
        <f>IFERROR(VLOOKUP(TableHandbook[[#This Row],[UDC]],TableSTRUHLTPE[],7,FALSE),"")</f>
        <v/>
      </c>
      <c r="T375" s="209" t="str">
        <f>IFERROR(VLOOKUP(TableHandbook[[#This Row],[UDC]],TableSTRUISTEM[],7,FALSE),"")</f>
        <v/>
      </c>
      <c r="U375" s="209" t="str">
        <f>IFERROR(VLOOKUP(TableHandbook[[#This Row],[UDC]],TableSTRULITNU[],7,FALSE),"")</f>
        <v/>
      </c>
      <c r="V375" s="209" t="str">
        <f>IFERROR(VLOOKUP(TableHandbook[[#This Row],[UDC]],TableSTRUTECHS[],7,FALSE),"")</f>
        <v/>
      </c>
      <c r="W375" s="211" t="str">
        <f>IFERROR(VLOOKUP(TableHandbook[[#This Row],[UDC]],TableBEDSC[],7,FALSE),"")</f>
        <v/>
      </c>
      <c r="X375" s="211" t="str">
        <f>IFERROR(VLOOKUP(TableHandbook[[#This Row],[UDC]],TableMJRUARDR1[],7,FALSE),"")</f>
        <v/>
      </c>
      <c r="Y375" s="209" t="str">
        <f>IFERROR(VLOOKUP(TableHandbook[[#This Row],[UDC]],TableMJRUARME1[],7,FALSE),"")</f>
        <v/>
      </c>
      <c r="Z375" s="209" t="str">
        <f>IFERROR(VLOOKUP(TableHandbook[[#This Row],[UDC]],TableMJRUARVA1[],7,FALSE),"")</f>
        <v/>
      </c>
      <c r="AA375" s="209" t="str">
        <f>IFERROR(VLOOKUP(TableHandbook[[#This Row],[UDC]],TableMJRUENGL1[],7,FALSE),"")</f>
        <v/>
      </c>
      <c r="AB375" s="209" t="str">
        <f>IFERROR(VLOOKUP(TableHandbook[[#This Row],[UDC]],TableMJRUHSEC1[],7,FALSE),"")</f>
        <v/>
      </c>
      <c r="AC375" s="209" t="str">
        <f>IFERROR(VLOOKUP(TableHandbook[[#This Row],[UDC]],TableMJRUHSGE1[],7,FALSE),"")</f>
        <v/>
      </c>
      <c r="AD375" s="209" t="str">
        <f>IFERROR(VLOOKUP(TableHandbook[[#This Row],[UDC]],TableMJRUHSHI1[],7,FALSE),"")</f>
        <v/>
      </c>
      <c r="AE375" s="209" t="str">
        <f>IFERROR(VLOOKUP(TableHandbook[[#This Row],[UDC]],TableMJRUHSPL1[],7,FALSE),"")</f>
        <v/>
      </c>
      <c r="AF375" s="209" t="str">
        <f>IFERROR(VLOOKUP(TableHandbook[[#This Row],[UDC]],TableMJRUMATH1[],7,FALSE),"")</f>
        <v/>
      </c>
      <c r="AG375" s="209" t="str">
        <f>IFERROR(VLOOKUP(TableHandbook[[#This Row],[UDC]],TableMJRUPHYSE[],7,FALSE),"")</f>
        <v/>
      </c>
      <c r="AH375" s="209" t="str">
        <f>IFERROR(VLOOKUP(TableHandbook[[#This Row],[UDC]],TableMJRUSCBI1[],7,FALSE),"")</f>
        <v/>
      </c>
      <c r="AI375" s="209" t="str">
        <f>IFERROR(VLOOKUP(TableHandbook[[#This Row],[UDC]],TableMJRUSCCH1[],7,FALSE),"")</f>
        <v/>
      </c>
      <c r="AJ375" s="209" t="str">
        <f>IFERROR(VLOOKUP(TableHandbook[[#This Row],[UDC]],TableMJRUSCHB1[],7,FALSE),"")</f>
        <v/>
      </c>
      <c r="AK375" s="209" t="str">
        <f>IFERROR(VLOOKUP(TableHandbook[[#This Row],[UDC]],TableMJRUSCPH1[],7,FALSE),"")</f>
        <v/>
      </c>
      <c r="AL375" s="209" t="str">
        <f>IFERROR(VLOOKUP(TableHandbook[[#This Row],[UDC]],TableMJRUSCPS1[],7,FALSE),"")</f>
        <v/>
      </c>
      <c r="AM375" s="211" t="str">
        <f>IFERROR(VLOOKUP(TableHandbook[[#This Row],[UDC]],TableSTRUBIOLB[],7,FALSE),"")</f>
        <v/>
      </c>
      <c r="AN375" s="209" t="str">
        <f>IFERROR(VLOOKUP(TableHandbook[[#This Row],[UDC]],TableSTRUBSCIM[],7,FALSE),"")</f>
        <v/>
      </c>
      <c r="AO375" s="209" t="str">
        <f>IFERROR(VLOOKUP(TableHandbook[[#This Row],[UDC]],TableSTRUCHEMB[],7,FALSE),"")</f>
        <v/>
      </c>
      <c r="AP375" s="209" t="str">
        <f>IFERROR(VLOOKUP(TableHandbook[[#This Row],[UDC]],TableSTRUECOB1[],7,FALSE),"")</f>
        <v/>
      </c>
      <c r="AQ375" s="209" t="str">
        <f>IFERROR(VLOOKUP(TableHandbook[[#This Row],[UDC]],TableSTRUENGLB[],7,FALSE),"")</f>
        <v/>
      </c>
      <c r="AR375" s="209" t="str">
        <f>IFERROR(VLOOKUP(TableHandbook[[#This Row],[UDC]],TableSTRUENGLM[],7,FALSE),"")</f>
        <v/>
      </c>
      <c r="AS375" s="209" t="str">
        <f>IFERROR(VLOOKUP(TableHandbook[[#This Row],[UDC]],TableSTRUGEOB1[],7,FALSE),"")</f>
        <v/>
      </c>
      <c r="AT375" s="209" t="str">
        <f>IFERROR(VLOOKUP(TableHandbook[[#This Row],[UDC]],TableSTRUGEOGM[],7,FALSE),"")</f>
        <v/>
      </c>
      <c r="AU375" s="209" t="str">
        <f>IFERROR(VLOOKUP(TableHandbook[[#This Row],[UDC]],TableSTRUHISB1[],7,FALSE),"")</f>
        <v/>
      </c>
      <c r="AV375" s="209" t="str">
        <f>IFERROR(VLOOKUP(TableHandbook[[#This Row],[UDC]],TableSTRUHISTM[],7,FALSE),"")</f>
        <v/>
      </c>
      <c r="AW375" s="209" t="str">
        <f>IFERROR(VLOOKUP(TableHandbook[[#This Row],[UDC]],TableSTRUHPEB1[],7,FALSE),"")</f>
        <v/>
      </c>
      <c r="AX375" s="209" t="str">
        <f>IFERROR(VLOOKUP(TableHandbook[[#This Row],[UDC]],TableSTRUHUMBB[],7,FALSE),"")</f>
        <v/>
      </c>
      <c r="AY375" s="209" t="str">
        <f>IFERROR(VLOOKUP(TableHandbook[[#This Row],[UDC]],TableSTRUMARTM[],7,FALSE),"")</f>
        <v/>
      </c>
      <c r="AZ375" s="209" t="str">
        <f>IFERROR(VLOOKUP(TableHandbook[[#This Row],[UDC]],TableSTRUMATHB[],7,FALSE),"")</f>
        <v/>
      </c>
      <c r="BA375" s="209" t="str">
        <f>IFERROR(VLOOKUP(TableHandbook[[#This Row],[UDC]],TableSTRUMATHM[],7,FALSE),"")</f>
        <v/>
      </c>
      <c r="BB375" s="209" t="str">
        <f>IFERROR(VLOOKUP(TableHandbook[[#This Row],[UDC]],TableSTRUPARTB[],7,FALSE),"")</f>
        <v>AltCore</v>
      </c>
      <c r="BC375" s="209" t="str">
        <f>IFERROR(VLOOKUP(TableHandbook[[#This Row],[UDC]],TableSTRUPARTM[],7,FALSE),"")</f>
        <v>Core</v>
      </c>
      <c r="BD375" s="209" t="str">
        <f>IFERROR(VLOOKUP(TableHandbook[[#This Row],[UDC]],TableSTRUPOLB1[],7,FALSE),"")</f>
        <v/>
      </c>
      <c r="BE375" s="209" t="str">
        <f>IFERROR(VLOOKUP(TableHandbook[[#This Row],[UDC]],TableSTRUPSYCB[],7,FALSE),"")</f>
        <v/>
      </c>
      <c r="BF375" s="209" t="str">
        <f>IFERROR(VLOOKUP(TableHandbook[[#This Row],[UDC]],TableSTRUPSYCM[],7,FALSE),"")</f>
        <v/>
      </c>
      <c r="BG375" s="209" t="str">
        <f>IFERROR(VLOOKUP(TableHandbook[[#This Row],[UDC]],TableSTRUVARTB[],7,FALSE),"")</f>
        <v/>
      </c>
      <c r="BH375" s="209" t="str">
        <f>IFERROR(VLOOKUP(TableHandbook[[#This Row],[UDC]],TableSTRUVARTM[],7,FALSE),"")</f>
        <v/>
      </c>
    </row>
    <row r="376" spans="1:60" x14ac:dyDescent="0.25">
      <c r="A376" s="6" t="s">
        <v>536</v>
      </c>
      <c r="B376" s="7">
        <v>1</v>
      </c>
      <c r="C376" s="7"/>
      <c r="D376" s="207" t="s">
        <v>1169</v>
      </c>
      <c r="E376" s="7">
        <v>25</v>
      </c>
      <c r="F376" s="311" t="s">
        <v>1170</v>
      </c>
      <c r="G376" s="75" t="str">
        <f>IFERROR(IF(VLOOKUP(TableHandbook[[#This Row],[UDC]],TableAvailabilities[],2,FALSE)&gt;0,"Y",""),"")</f>
        <v>Y</v>
      </c>
      <c r="H376" s="75" t="str">
        <f>IFERROR(IF(VLOOKUP(TableHandbook[[#This Row],[UDC]],TableAvailabilities[],3,FALSE)&gt;0,"Y",""),"")</f>
        <v/>
      </c>
      <c r="I376" s="75" t="str">
        <f>IFERROR(IF(VLOOKUP(TableHandbook[[#This Row],[UDC]],TableAvailabilities[],4,FALSE)&gt;0,"Y",""),"")</f>
        <v/>
      </c>
      <c r="J376" s="75" t="str">
        <f>IFERROR(IF(VLOOKUP(TableHandbook[[#This Row],[UDC]],TableAvailabilities[],5,FALSE)&gt;0,"Y",""),"")</f>
        <v/>
      </c>
      <c r="K376" s="75" t="str">
        <f>IFERROR(IF(VLOOKUP(TableHandbook[[#This Row],[UDC]],TableAvailabilities[],6,FALSE)&gt;0,"Y",""),"")</f>
        <v/>
      </c>
      <c r="L376" s="75" t="str">
        <f>IFERROR(IF(VLOOKUP(TableHandbook[[#This Row],[UDC]],TableAvailabilities[],7,FALSE)&gt;0,"Y",""),"")</f>
        <v/>
      </c>
      <c r="M376" s="207"/>
      <c r="N376" s="209" t="str">
        <f>IFERROR(VLOOKUP(TableHandbook[[#This Row],[UDC]],TableBEDUC[],7,FALSE),"")</f>
        <v/>
      </c>
      <c r="O376" s="209" t="str">
        <f>IFERROR(VLOOKUP(TableHandbook[[#This Row],[UDC]],TableBEDEC[],7,FALSE),"")</f>
        <v/>
      </c>
      <c r="P376" s="211" t="str">
        <f>IFERROR(VLOOKUP(TableHandbook[[#This Row],[UDC]],TableBEDPR[],7,FALSE),"")</f>
        <v/>
      </c>
      <c r="Q376" s="209" t="str">
        <f>IFERROR(VLOOKUP(TableHandbook[[#This Row],[UDC]],TableSTRUCATHL[],7,FALSE),"")</f>
        <v/>
      </c>
      <c r="R376" s="209" t="str">
        <f>IFERROR(VLOOKUP(TableHandbook[[#This Row],[UDC]],TableSTRUENGLL[],7,FALSE),"")</f>
        <v/>
      </c>
      <c r="S376" s="209" t="str">
        <f>IFERROR(VLOOKUP(TableHandbook[[#This Row],[UDC]],TableSTRUHLTPE[],7,FALSE),"")</f>
        <v/>
      </c>
      <c r="T376" s="209" t="str">
        <f>IFERROR(VLOOKUP(TableHandbook[[#This Row],[UDC]],TableSTRUISTEM[],7,FALSE),"")</f>
        <v/>
      </c>
      <c r="U376" s="209" t="str">
        <f>IFERROR(VLOOKUP(TableHandbook[[#This Row],[UDC]],TableSTRULITNU[],7,FALSE),"")</f>
        <v/>
      </c>
      <c r="V376" s="209" t="str">
        <f>IFERROR(VLOOKUP(TableHandbook[[#This Row],[UDC]],TableSTRUTECHS[],7,FALSE),"")</f>
        <v/>
      </c>
      <c r="W376" s="211" t="str">
        <f>IFERROR(VLOOKUP(TableHandbook[[#This Row],[UDC]],TableBEDSC[],7,FALSE),"")</f>
        <v/>
      </c>
      <c r="X376" s="211" t="str">
        <f>IFERROR(VLOOKUP(TableHandbook[[#This Row],[UDC]],TableMJRUARDR1[],7,FALSE),"")</f>
        <v>Core</v>
      </c>
      <c r="Y376" s="209" t="str">
        <f>IFERROR(VLOOKUP(TableHandbook[[#This Row],[UDC]],TableMJRUARME1[],7,FALSE),"")</f>
        <v/>
      </c>
      <c r="Z376" s="209" t="str">
        <f>IFERROR(VLOOKUP(TableHandbook[[#This Row],[UDC]],TableMJRUARVA1[],7,FALSE),"")</f>
        <v/>
      </c>
      <c r="AA376" s="209" t="str">
        <f>IFERROR(VLOOKUP(TableHandbook[[#This Row],[UDC]],TableMJRUENGL1[],7,FALSE),"")</f>
        <v/>
      </c>
      <c r="AB376" s="209" t="str">
        <f>IFERROR(VLOOKUP(TableHandbook[[#This Row],[UDC]],TableMJRUHSEC1[],7,FALSE),"")</f>
        <v/>
      </c>
      <c r="AC376" s="209" t="str">
        <f>IFERROR(VLOOKUP(TableHandbook[[#This Row],[UDC]],TableMJRUHSGE1[],7,FALSE),"")</f>
        <v/>
      </c>
      <c r="AD376" s="209" t="str">
        <f>IFERROR(VLOOKUP(TableHandbook[[#This Row],[UDC]],TableMJRUHSHI1[],7,FALSE),"")</f>
        <v/>
      </c>
      <c r="AE376" s="209" t="str">
        <f>IFERROR(VLOOKUP(TableHandbook[[#This Row],[UDC]],TableMJRUHSPL1[],7,FALSE),"")</f>
        <v/>
      </c>
      <c r="AF376" s="209" t="str">
        <f>IFERROR(VLOOKUP(TableHandbook[[#This Row],[UDC]],TableMJRUMATH1[],7,FALSE),"")</f>
        <v/>
      </c>
      <c r="AG376" s="209" t="str">
        <f>IFERROR(VLOOKUP(TableHandbook[[#This Row],[UDC]],TableMJRUPHYSE[],7,FALSE),"")</f>
        <v/>
      </c>
      <c r="AH376" s="209" t="str">
        <f>IFERROR(VLOOKUP(TableHandbook[[#This Row],[UDC]],TableMJRUSCBI1[],7,FALSE),"")</f>
        <v/>
      </c>
      <c r="AI376" s="209" t="str">
        <f>IFERROR(VLOOKUP(TableHandbook[[#This Row],[UDC]],TableMJRUSCCH1[],7,FALSE),"")</f>
        <v/>
      </c>
      <c r="AJ376" s="209" t="str">
        <f>IFERROR(VLOOKUP(TableHandbook[[#This Row],[UDC]],TableMJRUSCHB1[],7,FALSE),"")</f>
        <v/>
      </c>
      <c r="AK376" s="209" t="str">
        <f>IFERROR(VLOOKUP(TableHandbook[[#This Row],[UDC]],TableMJRUSCPH1[],7,FALSE),"")</f>
        <v/>
      </c>
      <c r="AL376" s="209" t="str">
        <f>IFERROR(VLOOKUP(TableHandbook[[#This Row],[UDC]],TableMJRUSCPS1[],7,FALSE),"")</f>
        <v/>
      </c>
      <c r="AM376" s="211" t="str">
        <f>IFERROR(VLOOKUP(TableHandbook[[#This Row],[UDC]],TableSTRUBIOLB[],7,FALSE),"")</f>
        <v/>
      </c>
      <c r="AN376" s="209" t="str">
        <f>IFERROR(VLOOKUP(TableHandbook[[#This Row],[UDC]],TableSTRUBSCIM[],7,FALSE),"")</f>
        <v/>
      </c>
      <c r="AO376" s="209" t="str">
        <f>IFERROR(VLOOKUP(TableHandbook[[#This Row],[UDC]],TableSTRUCHEMB[],7,FALSE),"")</f>
        <v/>
      </c>
      <c r="AP376" s="209" t="str">
        <f>IFERROR(VLOOKUP(TableHandbook[[#This Row],[UDC]],TableSTRUECOB1[],7,FALSE),"")</f>
        <v/>
      </c>
      <c r="AQ376" s="209" t="str">
        <f>IFERROR(VLOOKUP(TableHandbook[[#This Row],[UDC]],TableSTRUENGLB[],7,FALSE),"")</f>
        <v/>
      </c>
      <c r="AR376" s="209" t="str">
        <f>IFERROR(VLOOKUP(TableHandbook[[#This Row],[UDC]],TableSTRUENGLM[],7,FALSE),"")</f>
        <v/>
      </c>
      <c r="AS376" s="209" t="str">
        <f>IFERROR(VLOOKUP(TableHandbook[[#This Row],[UDC]],TableSTRUGEOB1[],7,FALSE),"")</f>
        <v/>
      </c>
      <c r="AT376" s="209" t="str">
        <f>IFERROR(VLOOKUP(TableHandbook[[#This Row],[UDC]],TableSTRUGEOGM[],7,FALSE),"")</f>
        <v/>
      </c>
      <c r="AU376" s="209" t="str">
        <f>IFERROR(VLOOKUP(TableHandbook[[#This Row],[UDC]],TableSTRUHISB1[],7,FALSE),"")</f>
        <v/>
      </c>
      <c r="AV376" s="209" t="str">
        <f>IFERROR(VLOOKUP(TableHandbook[[#This Row],[UDC]],TableSTRUHISTM[],7,FALSE),"")</f>
        <v/>
      </c>
      <c r="AW376" s="209" t="str">
        <f>IFERROR(VLOOKUP(TableHandbook[[#This Row],[UDC]],TableSTRUHPEB1[],7,FALSE),"")</f>
        <v/>
      </c>
      <c r="AX376" s="209" t="str">
        <f>IFERROR(VLOOKUP(TableHandbook[[#This Row],[UDC]],TableSTRUHUMBB[],7,FALSE),"")</f>
        <v/>
      </c>
      <c r="AY376" s="209" t="str">
        <f>IFERROR(VLOOKUP(TableHandbook[[#This Row],[UDC]],TableSTRUMARTM[],7,FALSE),"")</f>
        <v/>
      </c>
      <c r="AZ376" s="209" t="str">
        <f>IFERROR(VLOOKUP(TableHandbook[[#This Row],[UDC]],TableSTRUMATHB[],7,FALSE),"")</f>
        <v/>
      </c>
      <c r="BA376" s="209" t="str">
        <f>IFERROR(VLOOKUP(TableHandbook[[#This Row],[UDC]],TableSTRUMATHM[],7,FALSE),"")</f>
        <v/>
      </c>
      <c r="BB376" s="209" t="str">
        <f>IFERROR(VLOOKUP(TableHandbook[[#This Row],[UDC]],TableSTRUPARTB[],7,FALSE),"")</f>
        <v/>
      </c>
      <c r="BC376" s="209" t="str">
        <f>IFERROR(VLOOKUP(TableHandbook[[#This Row],[UDC]],TableSTRUPARTM[],7,FALSE),"")</f>
        <v/>
      </c>
      <c r="BD376" s="209" t="str">
        <f>IFERROR(VLOOKUP(TableHandbook[[#This Row],[UDC]],TableSTRUPOLB1[],7,FALSE),"")</f>
        <v/>
      </c>
      <c r="BE376" s="209" t="str">
        <f>IFERROR(VLOOKUP(TableHandbook[[#This Row],[UDC]],TableSTRUPSYCB[],7,FALSE),"")</f>
        <v/>
      </c>
      <c r="BF376" s="209" t="str">
        <f>IFERROR(VLOOKUP(TableHandbook[[#This Row],[UDC]],TableSTRUPSYCM[],7,FALSE),"")</f>
        <v/>
      </c>
      <c r="BG376" s="209" t="str">
        <f>IFERROR(VLOOKUP(TableHandbook[[#This Row],[UDC]],TableSTRUVARTB[],7,FALSE),"")</f>
        <v/>
      </c>
      <c r="BH376" s="209" t="str">
        <f>IFERROR(VLOOKUP(TableHandbook[[#This Row],[UDC]],TableSTRUVARTM[],7,FALSE),"")</f>
        <v/>
      </c>
    </row>
    <row r="377" spans="1:60" x14ac:dyDescent="0.25">
      <c r="A377" s="296" t="s">
        <v>521</v>
      </c>
      <c r="B377" s="7">
        <v>1</v>
      </c>
      <c r="C377" s="7"/>
      <c r="D377" s="207" t="s">
        <v>1171</v>
      </c>
      <c r="E377" s="7">
        <v>25</v>
      </c>
      <c r="F377" s="309" t="s">
        <v>1172</v>
      </c>
      <c r="G377" s="75" t="str">
        <f>IFERROR(IF(VLOOKUP(TableHandbook[[#This Row],[UDC]],TableAvailabilities[],2,FALSE)&gt;0,"Y",""),"")</f>
        <v/>
      </c>
      <c r="H377" s="75" t="str">
        <f>IFERROR(IF(VLOOKUP(TableHandbook[[#This Row],[UDC]],TableAvailabilities[],3,FALSE)&gt;0,"Y",""),"")</f>
        <v/>
      </c>
      <c r="I377" s="75" t="str">
        <f>IFERROR(IF(VLOOKUP(TableHandbook[[#This Row],[UDC]],TableAvailabilities[],4,FALSE)&gt;0,"Y",""),"")</f>
        <v/>
      </c>
      <c r="J377" s="75" t="str">
        <f>IFERROR(IF(VLOOKUP(TableHandbook[[#This Row],[UDC]],TableAvailabilities[],5,FALSE)&gt;0,"Y",""),"")</f>
        <v>Y</v>
      </c>
      <c r="K377" s="75" t="str">
        <f>IFERROR(IF(VLOOKUP(TableHandbook[[#This Row],[UDC]],TableAvailabilities[],6,FALSE)&gt;0,"Y",""),"")</f>
        <v/>
      </c>
      <c r="L377" s="75" t="str">
        <f>IFERROR(IF(VLOOKUP(TableHandbook[[#This Row],[UDC]],TableAvailabilities[],7,FALSE)&gt;0,"Y",""),"")</f>
        <v/>
      </c>
      <c r="M377" s="309" t="s">
        <v>1111</v>
      </c>
      <c r="N377" s="209" t="str">
        <f>IFERROR(VLOOKUP(TableHandbook[[#This Row],[UDC]],TableBEDUC[],7,FALSE),"")</f>
        <v/>
      </c>
      <c r="O377" s="209" t="str">
        <f>IFERROR(VLOOKUP(TableHandbook[[#This Row],[UDC]],TableBEDEC[],7,FALSE),"")</f>
        <v/>
      </c>
      <c r="P377" s="211" t="str">
        <f>IFERROR(VLOOKUP(TableHandbook[[#This Row],[UDC]],TableBEDPR[],7,FALSE),"")</f>
        <v/>
      </c>
      <c r="Q377" s="209" t="str">
        <f>IFERROR(VLOOKUP(TableHandbook[[#This Row],[UDC]],TableSTRUCATHL[],7,FALSE),"")</f>
        <v/>
      </c>
      <c r="R377" s="209" t="str">
        <f>IFERROR(VLOOKUP(TableHandbook[[#This Row],[UDC]],TableSTRUENGLL[],7,FALSE),"")</f>
        <v/>
      </c>
      <c r="S377" s="209" t="str">
        <f>IFERROR(VLOOKUP(TableHandbook[[#This Row],[UDC]],TableSTRUHLTPE[],7,FALSE),"")</f>
        <v/>
      </c>
      <c r="T377" s="209" t="str">
        <f>IFERROR(VLOOKUP(TableHandbook[[#This Row],[UDC]],TableSTRUISTEM[],7,FALSE),"")</f>
        <v/>
      </c>
      <c r="U377" s="209" t="str">
        <f>IFERROR(VLOOKUP(TableHandbook[[#This Row],[UDC]],TableSTRULITNU[],7,FALSE),"")</f>
        <v/>
      </c>
      <c r="V377" s="209" t="str">
        <f>IFERROR(VLOOKUP(TableHandbook[[#This Row],[UDC]],TableSTRUTECHS[],7,FALSE),"")</f>
        <v/>
      </c>
      <c r="W377" s="211" t="str">
        <f>IFERROR(VLOOKUP(TableHandbook[[#This Row],[UDC]],TableBEDSC[],7,FALSE),"")</f>
        <v/>
      </c>
      <c r="X377" s="211" t="str">
        <f>IFERROR(VLOOKUP(TableHandbook[[#This Row],[UDC]],TableMJRUARDR1[],7,FALSE),"")</f>
        <v>Core</v>
      </c>
      <c r="Y377" s="209" t="str">
        <f>IFERROR(VLOOKUP(TableHandbook[[#This Row],[UDC]],TableMJRUARME1[],7,FALSE),"")</f>
        <v/>
      </c>
      <c r="Z377" s="209" t="str">
        <f>IFERROR(VLOOKUP(TableHandbook[[#This Row],[UDC]],TableMJRUARVA1[],7,FALSE),"")</f>
        <v/>
      </c>
      <c r="AA377" s="209" t="str">
        <f>IFERROR(VLOOKUP(TableHandbook[[#This Row],[UDC]],TableMJRUENGL1[],7,FALSE),"")</f>
        <v/>
      </c>
      <c r="AB377" s="209" t="str">
        <f>IFERROR(VLOOKUP(TableHandbook[[#This Row],[UDC]],TableMJRUHSEC1[],7,FALSE),"")</f>
        <v/>
      </c>
      <c r="AC377" s="209" t="str">
        <f>IFERROR(VLOOKUP(TableHandbook[[#This Row],[UDC]],TableMJRUHSGE1[],7,FALSE),"")</f>
        <v/>
      </c>
      <c r="AD377" s="209" t="str">
        <f>IFERROR(VLOOKUP(TableHandbook[[#This Row],[UDC]],TableMJRUHSHI1[],7,FALSE),"")</f>
        <v/>
      </c>
      <c r="AE377" s="209" t="str">
        <f>IFERROR(VLOOKUP(TableHandbook[[#This Row],[UDC]],TableMJRUHSPL1[],7,FALSE),"")</f>
        <v/>
      </c>
      <c r="AF377" s="209" t="str">
        <f>IFERROR(VLOOKUP(TableHandbook[[#This Row],[UDC]],TableMJRUMATH1[],7,FALSE),"")</f>
        <v/>
      </c>
      <c r="AG377" s="209" t="str">
        <f>IFERROR(VLOOKUP(TableHandbook[[#This Row],[UDC]],TableMJRUPHYSE[],7,FALSE),"")</f>
        <v/>
      </c>
      <c r="AH377" s="209" t="str">
        <f>IFERROR(VLOOKUP(TableHandbook[[#This Row],[UDC]],TableMJRUSCBI1[],7,FALSE),"")</f>
        <v/>
      </c>
      <c r="AI377" s="209" t="str">
        <f>IFERROR(VLOOKUP(TableHandbook[[#This Row],[UDC]],TableMJRUSCCH1[],7,FALSE),"")</f>
        <v/>
      </c>
      <c r="AJ377" s="209" t="str">
        <f>IFERROR(VLOOKUP(TableHandbook[[#This Row],[UDC]],TableMJRUSCHB1[],7,FALSE),"")</f>
        <v/>
      </c>
      <c r="AK377" s="209" t="str">
        <f>IFERROR(VLOOKUP(TableHandbook[[#This Row],[UDC]],TableMJRUSCPH1[],7,FALSE),"")</f>
        <v/>
      </c>
      <c r="AL377" s="209" t="str">
        <f>IFERROR(VLOOKUP(TableHandbook[[#This Row],[UDC]],TableMJRUSCPS1[],7,FALSE),"")</f>
        <v/>
      </c>
      <c r="AM377" s="211" t="str">
        <f>IFERROR(VLOOKUP(TableHandbook[[#This Row],[UDC]],TableSTRUBIOLB[],7,FALSE),"")</f>
        <v/>
      </c>
      <c r="AN377" s="209" t="str">
        <f>IFERROR(VLOOKUP(TableHandbook[[#This Row],[UDC]],TableSTRUBSCIM[],7,FALSE),"")</f>
        <v/>
      </c>
      <c r="AO377" s="209" t="str">
        <f>IFERROR(VLOOKUP(TableHandbook[[#This Row],[UDC]],TableSTRUCHEMB[],7,FALSE),"")</f>
        <v/>
      </c>
      <c r="AP377" s="209" t="str">
        <f>IFERROR(VLOOKUP(TableHandbook[[#This Row],[UDC]],TableSTRUECOB1[],7,FALSE),"")</f>
        <v/>
      </c>
      <c r="AQ377" s="209" t="str">
        <f>IFERROR(VLOOKUP(TableHandbook[[#This Row],[UDC]],TableSTRUENGLB[],7,FALSE),"")</f>
        <v/>
      </c>
      <c r="AR377" s="209" t="str">
        <f>IFERROR(VLOOKUP(TableHandbook[[#This Row],[UDC]],TableSTRUENGLM[],7,FALSE),"")</f>
        <v/>
      </c>
      <c r="AS377" s="209" t="str">
        <f>IFERROR(VLOOKUP(TableHandbook[[#This Row],[UDC]],TableSTRUGEOB1[],7,FALSE),"")</f>
        <v/>
      </c>
      <c r="AT377" s="209" t="str">
        <f>IFERROR(VLOOKUP(TableHandbook[[#This Row],[UDC]],TableSTRUGEOGM[],7,FALSE),"")</f>
        <v/>
      </c>
      <c r="AU377" s="209" t="str">
        <f>IFERROR(VLOOKUP(TableHandbook[[#This Row],[UDC]],TableSTRUHISB1[],7,FALSE),"")</f>
        <v/>
      </c>
      <c r="AV377" s="209" t="str">
        <f>IFERROR(VLOOKUP(TableHandbook[[#This Row],[UDC]],TableSTRUHISTM[],7,FALSE),"")</f>
        <v/>
      </c>
      <c r="AW377" s="209" t="str">
        <f>IFERROR(VLOOKUP(TableHandbook[[#This Row],[UDC]],TableSTRUHPEB1[],7,FALSE),"")</f>
        <v/>
      </c>
      <c r="AX377" s="209" t="str">
        <f>IFERROR(VLOOKUP(TableHandbook[[#This Row],[UDC]],TableSTRUHUMBB[],7,FALSE),"")</f>
        <v/>
      </c>
      <c r="AY377" s="209" t="str">
        <f>IFERROR(VLOOKUP(TableHandbook[[#This Row],[UDC]],TableSTRUMARTM[],7,FALSE),"")</f>
        <v/>
      </c>
      <c r="AZ377" s="209" t="str">
        <f>IFERROR(VLOOKUP(TableHandbook[[#This Row],[UDC]],TableSTRUMATHB[],7,FALSE),"")</f>
        <v/>
      </c>
      <c r="BA377" s="209" t="str">
        <f>IFERROR(VLOOKUP(TableHandbook[[#This Row],[UDC]],TableSTRUMATHM[],7,FALSE),"")</f>
        <v/>
      </c>
      <c r="BB377" s="209" t="str">
        <f>IFERROR(VLOOKUP(TableHandbook[[#This Row],[UDC]],TableSTRUPARTB[],7,FALSE),"")</f>
        <v/>
      </c>
      <c r="BC377" s="209" t="str">
        <f>IFERROR(VLOOKUP(TableHandbook[[#This Row],[UDC]],TableSTRUPARTM[],7,FALSE),"")</f>
        <v/>
      </c>
      <c r="BD377" s="209" t="str">
        <f>IFERROR(VLOOKUP(TableHandbook[[#This Row],[UDC]],TableSTRUPOLB1[],7,FALSE),"")</f>
        <v/>
      </c>
      <c r="BE377" s="209" t="str">
        <f>IFERROR(VLOOKUP(TableHandbook[[#This Row],[UDC]],TableSTRUPSYCB[],7,FALSE),"")</f>
        <v/>
      </c>
      <c r="BF377" s="209" t="str">
        <f>IFERROR(VLOOKUP(TableHandbook[[#This Row],[UDC]],TableSTRUPSYCM[],7,FALSE),"")</f>
        <v/>
      </c>
      <c r="BG377" s="209" t="str">
        <f>IFERROR(VLOOKUP(TableHandbook[[#This Row],[UDC]],TableSTRUVARTB[],7,FALSE),"")</f>
        <v/>
      </c>
      <c r="BH377" s="209" t="str">
        <f>IFERROR(VLOOKUP(TableHandbook[[#This Row],[UDC]],TableSTRUVARTM[],7,FALSE),"")</f>
        <v/>
      </c>
    </row>
    <row r="378" spans="1:60" x14ac:dyDescent="0.25">
      <c r="A378" s="296" t="s">
        <v>581</v>
      </c>
      <c r="B378" s="7">
        <v>1</v>
      </c>
      <c r="C378" s="7"/>
      <c r="D378" s="207" t="s">
        <v>1173</v>
      </c>
      <c r="E378" s="7">
        <v>25</v>
      </c>
      <c r="F378" s="311" t="s">
        <v>783</v>
      </c>
      <c r="G378" s="75" t="str">
        <f>IFERROR(IF(VLOOKUP(TableHandbook[[#This Row],[UDC]],TableAvailabilities[],2,FALSE)&gt;0,"Y",""),"")</f>
        <v/>
      </c>
      <c r="H378" s="75" t="str">
        <f>IFERROR(IF(VLOOKUP(TableHandbook[[#This Row],[UDC]],TableAvailabilities[],3,FALSE)&gt;0,"Y",""),"")</f>
        <v/>
      </c>
      <c r="I378" s="75" t="str">
        <f>IFERROR(IF(VLOOKUP(TableHandbook[[#This Row],[UDC]],TableAvailabilities[],4,FALSE)&gt;0,"Y",""),"")</f>
        <v/>
      </c>
      <c r="J378" s="75" t="str">
        <f>IFERROR(IF(VLOOKUP(TableHandbook[[#This Row],[UDC]],TableAvailabilities[],5,FALSE)&gt;0,"Y",""),"")</f>
        <v>Y</v>
      </c>
      <c r="K378" s="75" t="str">
        <f>IFERROR(IF(VLOOKUP(TableHandbook[[#This Row],[UDC]],TableAvailabilities[],6,FALSE)&gt;0,"Y",""),"")</f>
        <v/>
      </c>
      <c r="L378" s="75" t="str">
        <f>IFERROR(IF(VLOOKUP(TableHandbook[[#This Row],[UDC]],TableAvailabilities[],7,FALSE)&gt;0,"Y",""),"")</f>
        <v/>
      </c>
      <c r="M378" s="207"/>
      <c r="N378" s="209" t="str">
        <f>IFERROR(VLOOKUP(TableHandbook[[#This Row],[UDC]],TableBEDUC[],7,FALSE),"")</f>
        <v/>
      </c>
      <c r="O378" s="209" t="str">
        <f>IFERROR(VLOOKUP(TableHandbook[[#This Row],[UDC]],TableBEDEC[],7,FALSE),"")</f>
        <v/>
      </c>
      <c r="P378" s="211" t="str">
        <f>IFERROR(VLOOKUP(TableHandbook[[#This Row],[UDC]],TableBEDPR[],7,FALSE),"")</f>
        <v/>
      </c>
      <c r="Q378" s="209" t="str">
        <f>IFERROR(VLOOKUP(TableHandbook[[#This Row],[UDC]],TableSTRUCATHL[],7,FALSE),"")</f>
        <v/>
      </c>
      <c r="R378" s="209" t="str">
        <f>IFERROR(VLOOKUP(TableHandbook[[#This Row],[UDC]],TableSTRUENGLL[],7,FALSE),"")</f>
        <v/>
      </c>
      <c r="S378" s="209" t="str">
        <f>IFERROR(VLOOKUP(TableHandbook[[#This Row],[UDC]],TableSTRUHLTPE[],7,FALSE),"")</f>
        <v/>
      </c>
      <c r="T378" s="209" t="str">
        <f>IFERROR(VLOOKUP(TableHandbook[[#This Row],[UDC]],TableSTRUISTEM[],7,FALSE),"")</f>
        <v/>
      </c>
      <c r="U378" s="209" t="str">
        <f>IFERROR(VLOOKUP(TableHandbook[[#This Row],[UDC]],TableSTRULITNU[],7,FALSE),"")</f>
        <v/>
      </c>
      <c r="V378" s="209" t="str">
        <f>IFERROR(VLOOKUP(TableHandbook[[#This Row],[UDC]],TableSTRUTECHS[],7,FALSE),"")</f>
        <v/>
      </c>
      <c r="W378" s="211" t="str">
        <f>IFERROR(VLOOKUP(TableHandbook[[#This Row],[UDC]],TableBEDSC[],7,FALSE),"")</f>
        <v/>
      </c>
      <c r="X378" s="211" t="str">
        <f>IFERROR(VLOOKUP(TableHandbook[[#This Row],[UDC]],TableMJRUARDR1[],7,FALSE),"")</f>
        <v/>
      </c>
      <c r="Y378" s="209" t="str">
        <f>IFERROR(VLOOKUP(TableHandbook[[#This Row],[UDC]],TableMJRUARME1[],7,FALSE),"")</f>
        <v/>
      </c>
      <c r="Z378" s="209" t="str">
        <f>IFERROR(VLOOKUP(TableHandbook[[#This Row],[UDC]],TableMJRUARVA1[],7,FALSE),"")</f>
        <v/>
      </c>
      <c r="AA378" s="209" t="str">
        <f>IFERROR(VLOOKUP(TableHandbook[[#This Row],[UDC]],TableMJRUENGL1[],7,FALSE),"")</f>
        <v/>
      </c>
      <c r="AB378" s="209" t="str">
        <f>IFERROR(VLOOKUP(TableHandbook[[#This Row],[UDC]],TableMJRUHSEC1[],7,FALSE),"")</f>
        <v/>
      </c>
      <c r="AC378" s="209" t="str">
        <f>IFERROR(VLOOKUP(TableHandbook[[#This Row],[UDC]],TableMJRUHSGE1[],7,FALSE),"")</f>
        <v>AltCore</v>
      </c>
      <c r="AD378" s="209" t="str">
        <f>IFERROR(VLOOKUP(TableHandbook[[#This Row],[UDC]],TableMJRUHSHI1[],7,FALSE),"")</f>
        <v/>
      </c>
      <c r="AE378" s="209" t="str">
        <f>IFERROR(VLOOKUP(TableHandbook[[#This Row],[UDC]],TableMJRUHSPL1[],7,FALSE),"")</f>
        <v/>
      </c>
      <c r="AF378" s="209" t="str">
        <f>IFERROR(VLOOKUP(TableHandbook[[#This Row],[UDC]],TableMJRUMATH1[],7,FALSE),"")</f>
        <v/>
      </c>
      <c r="AG378" s="209" t="str">
        <f>IFERROR(VLOOKUP(TableHandbook[[#This Row],[UDC]],TableMJRUPHYSE[],7,FALSE),"")</f>
        <v/>
      </c>
      <c r="AH378" s="209" t="str">
        <f>IFERROR(VLOOKUP(TableHandbook[[#This Row],[UDC]],TableMJRUSCBI1[],7,FALSE),"")</f>
        <v/>
      </c>
      <c r="AI378" s="209" t="str">
        <f>IFERROR(VLOOKUP(TableHandbook[[#This Row],[UDC]],TableMJRUSCCH1[],7,FALSE),"")</f>
        <v/>
      </c>
      <c r="AJ378" s="209" t="str">
        <f>IFERROR(VLOOKUP(TableHandbook[[#This Row],[UDC]],TableMJRUSCHB1[],7,FALSE),"")</f>
        <v/>
      </c>
      <c r="AK378" s="209" t="str">
        <f>IFERROR(VLOOKUP(TableHandbook[[#This Row],[UDC]],TableMJRUSCPH1[],7,FALSE),"")</f>
        <v/>
      </c>
      <c r="AL378" s="209" t="str">
        <f>IFERROR(VLOOKUP(TableHandbook[[#This Row],[UDC]],TableMJRUSCPS1[],7,FALSE),"")</f>
        <v/>
      </c>
      <c r="AM378" s="211" t="str">
        <f>IFERROR(VLOOKUP(TableHandbook[[#This Row],[UDC]],TableSTRUBIOLB[],7,FALSE),"")</f>
        <v/>
      </c>
      <c r="AN378" s="209" t="str">
        <f>IFERROR(VLOOKUP(TableHandbook[[#This Row],[UDC]],TableSTRUBSCIM[],7,FALSE),"")</f>
        <v/>
      </c>
      <c r="AO378" s="209" t="str">
        <f>IFERROR(VLOOKUP(TableHandbook[[#This Row],[UDC]],TableSTRUCHEMB[],7,FALSE),"")</f>
        <v/>
      </c>
      <c r="AP378" s="209" t="str">
        <f>IFERROR(VLOOKUP(TableHandbook[[#This Row],[UDC]],TableSTRUECOB1[],7,FALSE),"")</f>
        <v/>
      </c>
      <c r="AQ378" s="209" t="str">
        <f>IFERROR(VLOOKUP(TableHandbook[[#This Row],[UDC]],TableSTRUENGLB[],7,FALSE),"")</f>
        <v/>
      </c>
      <c r="AR378" s="209" t="str">
        <f>IFERROR(VLOOKUP(TableHandbook[[#This Row],[UDC]],TableSTRUENGLM[],7,FALSE),"")</f>
        <v/>
      </c>
      <c r="AS378" s="209" t="str">
        <f>IFERROR(VLOOKUP(TableHandbook[[#This Row],[UDC]],TableSTRUGEOB1[],7,FALSE),"")</f>
        <v/>
      </c>
      <c r="AT378" s="209" t="str">
        <f>IFERROR(VLOOKUP(TableHandbook[[#This Row],[UDC]],TableSTRUGEOGM[],7,FALSE),"")</f>
        <v/>
      </c>
      <c r="AU378" s="209" t="str">
        <f>IFERROR(VLOOKUP(TableHandbook[[#This Row],[UDC]],TableSTRUHISB1[],7,FALSE),"")</f>
        <v/>
      </c>
      <c r="AV378" s="209" t="str">
        <f>IFERROR(VLOOKUP(TableHandbook[[#This Row],[UDC]],TableSTRUHISTM[],7,FALSE),"")</f>
        <v/>
      </c>
      <c r="AW378" s="209" t="str">
        <f>IFERROR(VLOOKUP(TableHandbook[[#This Row],[UDC]],TableSTRUHPEB1[],7,FALSE),"")</f>
        <v/>
      </c>
      <c r="AX378" s="209" t="str">
        <f>IFERROR(VLOOKUP(TableHandbook[[#This Row],[UDC]],TableSTRUHUMBB[],7,FALSE),"")</f>
        <v/>
      </c>
      <c r="AY378" s="209" t="str">
        <f>IFERROR(VLOOKUP(TableHandbook[[#This Row],[UDC]],TableSTRUMARTM[],7,FALSE),"")</f>
        <v/>
      </c>
      <c r="AZ378" s="209" t="str">
        <f>IFERROR(VLOOKUP(TableHandbook[[#This Row],[UDC]],TableSTRUMATHB[],7,FALSE),"")</f>
        <v/>
      </c>
      <c r="BA378" s="209" t="str">
        <f>IFERROR(VLOOKUP(TableHandbook[[#This Row],[UDC]],TableSTRUMATHM[],7,FALSE),"")</f>
        <v/>
      </c>
      <c r="BB378" s="209" t="str">
        <f>IFERROR(VLOOKUP(TableHandbook[[#This Row],[UDC]],TableSTRUPARTB[],7,FALSE),"")</f>
        <v/>
      </c>
      <c r="BC378" s="209" t="str">
        <f>IFERROR(VLOOKUP(TableHandbook[[#This Row],[UDC]],TableSTRUPARTM[],7,FALSE),"")</f>
        <v/>
      </c>
      <c r="BD378" s="209" t="str">
        <f>IFERROR(VLOOKUP(TableHandbook[[#This Row],[UDC]],TableSTRUPOLB1[],7,FALSE),"")</f>
        <v/>
      </c>
      <c r="BE378" s="209" t="str">
        <f>IFERROR(VLOOKUP(TableHandbook[[#This Row],[UDC]],TableSTRUPSYCB[],7,FALSE),"")</f>
        <v/>
      </c>
      <c r="BF378" s="209" t="str">
        <f>IFERROR(VLOOKUP(TableHandbook[[#This Row],[UDC]],TableSTRUPSYCM[],7,FALSE),"")</f>
        <v/>
      </c>
      <c r="BG378" s="209" t="str">
        <f>IFERROR(VLOOKUP(TableHandbook[[#This Row],[UDC]],TableSTRUVARTB[],7,FALSE),"")</f>
        <v/>
      </c>
      <c r="BH378" s="209" t="str">
        <f>IFERROR(VLOOKUP(TableHandbook[[#This Row],[UDC]],TableSTRUVARTM[],7,FALSE),"")</f>
        <v/>
      </c>
    </row>
    <row r="379" spans="1:60" x14ac:dyDescent="0.25">
      <c r="A379" s="296" t="s">
        <v>644</v>
      </c>
      <c r="B379" s="7">
        <v>1</v>
      </c>
      <c r="C379" s="7"/>
      <c r="D379" s="207" t="s">
        <v>1174</v>
      </c>
      <c r="E379" s="7">
        <v>25</v>
      </c>
      <c r="F379" s="311" t="s">
        <v>783</v>
      </c>
      <c r="G379" s="75" t="str">
        <f>IFERROR(IF(VLOOKUP(TableHandbook[[#This Row],[UDC]],TableAvailabilities[],2,FALSE)&gt;0,"Y",""),"")</f>
        <v>Y</v>
      </c>
      <c r="H379" s="75" t="str">
        <f>IFERROR(IF(VLOOKUP(TableHandbook[[#This Row],[UDC]],TableAvailabilities[],3,FALSE)&gt;0,"Y",""),"")</f>
        <v/>
      </c>
      <c r="I379" s="75" t="str">
        <f>IFERROR(IF(VLOOKUP(TableHandbook[[#This Row],[UDC]],TableAvailabilities[],4,FALSE)&gt;0,"Y",""),"")</f>
        <v/>
      </c>
      <c r="J379" s="75" t="str">
        <f>IFERROR(IF(VLOOKUP(TableHandbook[[#This Row],[UDC]],TableAvailabilities[],5,FALSE)&gt;0,"Y",""),"")</f>
        <v>Y</v>
      </c>
      <c r="K379" s="75" t="str">
        <f>IFERROR(IF(VLOOKUP(TableHandbook[[#This Row],[UDC]],TableAvailabilities[],6,FALSE)&gt;0,"Y",""),"")</f>
        <v/>
      </c>
      <c r="L379" s="75" t="str">
        <f>IFERROR(IF(VLOOKUP(TableHandbook[[#This Row],[UDC]],TableAvailabilities[],7,FALSE)&gt;0,"Y",""),"")</f>
        <v/>
      </c>
      <c r="M379" s="207"/>
      <c r="N379" s="209" t="str">
        <f>IFERROR(VLOOKUP(TableHandbook[[#This Row],[UDC]],TableBEDUC[],7,FALSE),"")</f>
        <v/>
      </c>
      <c r="O379" s="209" t="str">
        <f>IFERROR(VLOOKUP(TableHandbook[[#This Row],[UDC]],TableBEDEC[],7,FALSE),"")</f>
        <v/>
      </c>
      <c r="P379" s="211" t="str">
        <f>IFERROR(VLOOKUP(TableHandbook[[#This Row],[UDC]],TableBEDPR[],7,FALSE),"")</f>
        <v/>
      </c>
      <c r="Q379" s="209" t="str">
        <f>IFERROR(VLOOKUP(TableHandbook[[#This Row],[UDC]],TableSTRUCATHL[],7,FALSE),"")</f>
        <v/>
      </c>
      <c r="R379" s="209" t="str">
        <f>IFERROR(VLOOKUP(TableHandbook[[#This Row],[UDC]],TableSTRUENGLL[],7,FALSE),"")</f>
        <v/>
      </c>
      <c r="S379" s="209" t="str">
        <f>IFERROR(VLOOKUP(TableHandbook[[#This Row],[UDC]],TableSTRUHLTPE[],7,FALSE),"")</f>
        <v/>
      </c>
      <c r="T379" s="209" t="str">
        <f>IFERROR(VLOOKUP(TableHandbook[[#This Row],[UDC]],TableSTRUISTEM[],7,FALSE),"")</f>
        <v/>
      </c>
      <c r="U379" s="209" t="str">
        <f>IFERROR(VLOOKUP(TableHandbook[[#This Row],[UDC]],TableSTRULITNU[],7,FALSE),"")</f>
        <v/>
      </c>
      <c r="V379" s="209" t="str">
        <f>IFERROR(VLOOKUP(TableHandbook[[#This Row],[UDC]],TableSTRUTECHS[],7,FALSE),"")</f>
        <v/>
      </c>
      <c r="W379" s="211" t="str">
        <f>IFERROR(VLOOKUP(TableHandbook[[#This Row],[UDC]],TableBEDSC[],7,FALSE),"")</f>
        <v/>
      </c>
      <c r="X379" s="211" t="str">
        <f>IFERROR(VLOOKUP(TableHandbook[[#This Row],[UDC]],TableMJRUARDR1[],7,FALSE),"")</f>
        <v/>
      </c>
      <c r="Y379" s="209" t="str">
        <f>IFERROR(VLOOKUP(TableHandbook[[#This Row],[UDC]],TableMJRUARME1[],7,FALSE),"")</f>
        <v/>
      </c>
      <c r="Z379" s="209" t="str">
        <f>IFERROR(VLOOKUP(TableHandbook[[#This Row],[UDC]],TableMJRUARVA1[],7,FALSE),"")</f>
        <v/>
      </c>
      <c r="AA379" s="209" t="str">
        <f>IFERROR(VLOOKUP(TableHandbook[[#This Row],[UDC]],TableMJRUENGL1[],7,FALSE),"")</f>
        <v/>
      </c>
      <c r="AB379" s="209" t="str">
        <f>IFERROR(VLOOKUP(TableHandbook[[#This Row],[UDC]],TableMJRUHSEC1[],7,FALSE),"")</f>
        <v/>
      </c>
      <c r="AC379" s="209" t="str">
        <f>IFERROR(VLOOKUP(TableHandbook[[#This Row],[UDC]],TableMJRUHSGE1[],7,FALSE),"")</f>
        <v>Option</v>
      </c>
      <c r="AD379" s="209" t="str">
        <f>IFERROR(VLOOKUP(TableHandbook[[#This Row],[UDC]],TableMJRUHSHI1[],7,FALSE),"")</f>
        <v/>
      </c>
      <c r="AE379" s="209" t="str">
        <f>IFERROR(VLOOKUP(TableHandbook[[#This Row],[UDC]],TableMJRUHSPL1[],7,FALSE),"")</f>
        <v/>
      </c>
      <c r="AF379" s="209" t="str">
        <f>IFERROR(VLOOKUP(TableHandbook[[#This Row],[UDC]],TableMJRUMATH1[],7,FALSE),"")</f>
        <v/>
      </c>
      <c r="AG379" s="209" t="str">
        <f>IFERROR(VLOOKUP(TableHandbook[[#This Row],[UDC]],TableMJRUPHYSE[],7,FALSE),"")</f>
        <v/>
      </c>
      <c r="AH379" s="209" t="str">
        <f>IFERROR(VLOOKUP(TableHandbook[[#This Row],[UDC]],TableMJRUSCBI1[],7,FALSE),"")</f>
        <v/>
      </c>
      <c r="AI379" s="209" t="str">
        <f>IFERROR(VLOOKUP(TableHandbook[[#This Row],[UDC]],TableMJRUSCCH1[],7,FALSE),"")</f>
        <v/>
      </c>
      <c r="AJ379" s="209" t="str">
        <f>IFERROR(VLOOKUP(TableHandbook[[#This Row],[UDC]],TableMJRUSCHB1[],7,FALSE),"")</f>
        <v/>
      </c>
      <c r="AK379" s="209" t="str">
        <f>IFERROR(VLOOKUP(TableHandbook[[#This Row],[UDC]],TableMJRUSCPH1[],7,FALSE),"")</f>
        <v/>
      </c>
      <c r="AL379" s="209" t="str">
        <f>IFERROR(VLOOKUP(TableHandbook[[#This Row],[UDC]],TableMJRUSCPS1[],7,FALSE),"")</f>
        <v/>
      </c>
      <c r="AM379" s="211" t="str">
        <f>IFERROR(VLOOKUP(TableHandbook[[#This Row],[UDC]],TableSTRUBIOLB[],7,FALSE),"")</f>
        <v/>
      </c>
      <c r="AN379" s="209" t="str">
        <f>IFERROR(VLOOKUP(TableHandbook[[#This Row],[UDC]],TableSTRUBSCIM[],7,FALSE),"")</f>
        <v/>
      </c>
      <c r="AO379" s="209" t="str">
        <f>IFERROR(VLOOKUP(TableHandbook[[#This Row],[UDC]],TableSTRUCHEMB[],7,FALSE),"")</f>
        <v/>
      </c>
      <c r="AP379" s="209" t="str">
        <f>IFERROR(VLOOKUP(TableHandbook[[#This Row],[UDC]],TableSTRUECOB1[],7,FALSE),"")</f>
        <v/>
      </c>
      <c r="AQ379" s="209" t="str">
        <f>IFERROR(VLOOKUP(TableHandbook[[#This Row],[UDC]],TableSTRUENGLB[],7,FALSE),"")</f>
        <v/>
      </c>
      <c r="AR379" s="209" t="str">
        <f>IFERROR(VLOOKUP(TableHandbook[[#This Row],[UDC]],TableSTRUENGLM[],7,FALSE),"")</f>
        <v/>
      </c>
      <c r="AS379" s="209" t="str">
        <f>IFERROR(VLOOKUP(TableHandbook[[#This Row],[UDC]],TableSTRUGEOB1[],7,FALSE),"")</f>
        <v/>
      </c>
      <c r="AT379" s="209" t="str">
        <f>IFERROR(VLOOKUP(TableHandbook[[#This Row],[UDC]],TableSTRUGEOGM[],7,FALSE),"")</f>
        <v/>
      </c>
      <c r="AU379" s="209" t="str">
        <f>IFERROR(VLOOKUP(TableHandbook[[#This Row],[UDC]],TableSTRUHISB1[],7,FALSE),"")</f>
        <v/>
      </c>
      <c r="AV379" s="209" t="str">
        <f>IFERROR(VLOOKUP(TableHandbook[[#This Row],[UDC]],TableSTRUHISTM[],7,FALSE),"")</f>
        <v/>
      </c>
      <c r="AW379" s="209" t="str">
        <f>IFERROR(VLOOKUP(TableHandbook[[#This Row],[UDC]],TableSTRUHPEB1[],7,FALSE),"")</f>
        <v/>
      </c>
      <c r="AX379" s="209" t="str">
        <f>IFERROR(VLOOKUP(TableHandbook[[#This Row],[UDC]],TableSTRUHUMBB[],7,FALSE),"")</f>
        <v/>
      </c>
      <c r="AY379" s="209" t="str">
        <f>IFERROR(VLOOKUP(TableHandbook[[#This Row],[UDC]],TableSTRUMARTM[],7,FALSE),"")</f>
        <v/>
      </c>
      <c r="AZ379" s="209" t="str">
        <f>IFERROR(VLOOKUP(TableHandbook[[#This Row],[UDC]],TableSTRUMATHB[],7,FALSE),"")</f>
        <v/>
      </c>
      <c r="BA379" s="209" t="str">
        <f>IFERROR(VLOOKUP(TableHandbook[[#This Row],[UDC]],TableSTRUMATHM[],7,FALSE),"")</f>
        <v/>
      </c>
      <c r="BB379" s="209" t="str">
        <f>IFERROR(VLOOKUP(TableHandbook[[#This Row],[UDC]],TableSTRUPARTB[],7,FALSE),"")</f>
        <v/>
      </c>
      <c r="BC379" s="209" t="str">
        <f>IFERROR(VLOOKUP(TableHandbook[[#This Row],[UDC]],TableSTRUPARTM[],7,FALSE),"")</f>
        <v/>
      </c>
      <c r="BD379" s="209" t="str">
        <f>IFERROR(VLOOKUP(TableHandbook[[#This Row],[UDC]],TableSTRUPOLB1[],7,FALSE),"")</f>
        <v/>
      </c>
      <c r="BE379" s="209" t="str">
        <f>IFERROR(VLOOKUP(TableHandbook[[#This Row],[UDC]],TableSTRUPSYCB[],7,FALSE),"")</f>
        <v/>
      </c>
      <c r="BF379" s="209" t="str">
        <f>IFERROR(VLOOKUP(TableHandbook[[#This Row],[UDC]],TableSTRUPSYCM[],7,FALSE),"")</f>
        <v/>
      </c>
      <c r="BG379" s="209" t="str">
        <f>IFERROR(VLOOKUP(TableHandbook[[#This Row],[UDC]],TableSTRUVARTB[],7,FALSE),"")</f>
        <v/>
      </c>
      <c r="BH379" s="209" t="str">
        <f>IFERROR(VLOOKUP(TableHandbook[[#This Row],[UDC]],TableSTRUVARTM[],7,FALSE),"")</f>
        <v/>
      </c>
    </row>
    <row r="380" spans="1:60" x14ac:dyDescent="0.25">
      <c r="A380" s="296" t="s">
        <v>637</v>
      </c>
      <c r="B380" s="7">
        <v>1</v>
      </c>
      <c r="C380" s="7"/>
      <c r="D380" s="207" t="s">
        <v>1175</v>
      </c>
      <c r="E380" s="7">
        <v>25</v>
      </c>
      <c r="F380" s="311" t="s">
        <v>1144</v>
      </c>
      <c r="G380" s="75" t="str">
        <f>IFERROR(IF(VLOOKUP(TableHandbook[[#This Row],[UDC]],TableAvailabilities[],2,FALSE)&gt;0,"Y",""),"")</f>
        <v>Y</v>
      </c>
      <c r="H380" s="75" t="str">
        <f>IFERROR(IF(VLOOKUP(TableHandbook[[#This Row],[UDC]],TableAvailabilities[],3,FALSE)&gt;0,"Y",""),"")</f>
        <v/>
      </c>
      <c r="I380" s="75" t="str">
        <f>IFERROR(IF(VLOOKUP(TableHandbook[[#This Row],[UDC]],TableAvailabilities[],4,FALSE)&gt;0,"Y",""),"")</f>
        <v/>
      </c>
      <c r="J380" s="75" t="str">
        <f>IFERROR(IF(VLOOKUP(TableHandbook[[#This Row],[UDC]],TableAvailabilities[],5,FALSE)&gt;0,"Y",""),"")</f>
        <v/>
      </c>
      <c r="K380" s="75" t="str">
        <f>IFERROR(IF(VLOOKUP(TableHandbook[[#This Row],[UDC]],TableAvailabilities[],6,FALSE)&gt;0,"Y",""),"")</f>
        <v/>
      </c>
      <c r="L380" s="75" t="str">
        <f>IFERROR(IF(VLOOKUP(TableHandbook[[#This Row],[UDC]],TableAvailabilities[],7,FALSE)&gt;0,"Y",""),"")</f>
        <v/>
      </c>
      <c r="M380" s="313"/>
      <c r="N380" s="209" t="str">
        <f>IFERROR(VLOOKUP(TableHandbook[[#This Row],[UDC]],TableBEDUC[],7,FALSE),"")</f>
        <v/>
      </c>
      <c r="O380" s="209" t="str">
        <f>IFERROR(VLOOKUP(TableHandbook[[#This Row],[UDC]],TableBEDEC[],7,FALSE),"")</f>
        <v/>
      </c>
      <c r="P380" s="211" t="str">
        <f>IFERROR(VLOOKUP(TableHandbook[[#This Row],[UDC]],TableBEDPR[],7,FALSE),"")</f>
        <v/>
      </c>
      <c r="Q380" s="209" t="str">
        <f>IFERROR(VLOOKUP(TableHandbook[[#This Row],[UDC]],TableSTRUCATHL[],7,FALSE),"")</f>
        <v/>
      </c>
      <c r="R380" s="209" t="str">
        <f>IFERROR(VLOOKUP(TableHandbook[[#This Row],[UDC]],TableSTRUENGLL[],7,FALSE),"")</f>
        <v/>
      </c>
      <c r="S380" s="209" t="str">
        <f>IFERROR(VLOOKUP(TableHandbook[[#This Row],[UDC]],TableSTRUHLTPE[],7,FALSE),"")</f>
        <v/>
      </c>
      <c r="T380" s="209" t="str">
        <f>IFERROR(VLOOKUP(TableHandbook[[#This Row],[UDC]],TableSTRUISTEM[],7,FALSE),"")</f>
        <v/>
      </c>
      <c r="U380" s="209" t="str">
        <f>IFERROR(VLOOKUP(TableHandbook[[#This Row],[UDC]],TableSTRULITNU[],7,FALSE),"")</f>
        <v/>
      </c>
      <c r="V380" s="209" t="str">
        <f>IFERROR(VLOOKUP(TableHandbook[[#This Row],[UDC]],TableSTRUTECHS[],7,FALSE),"")</f>
        <v/>
      </c>
      <c r="W380" s="211" t="str">
        <f>IFERROR(VLOOKUP(TableHandbook[[#This Row],[UDC]],TableBEDSC[],7,FALSE),"")</f>
        <v/>
      </c>
      <c r="X380" s="211" t="str">
        <f>IFERROR(VLOOKUP(TableHandbook[[#This Row],[UDC]],TableMJRUARDR1[],7,FALSE),"")</f>
        <v/>
      </c>
      <c r="Y380" s="209" t="str">
        <f>IFERROR(VLOOKUP(TableHandbook[[#This Row],[UDC]],TableMJRUARME1[],7,FALSE),"")</f>
        <v/>
      </c>
      <c r="Z380" s="209" t="str">
        <f>IFERROR(VLOOKUP(TableHandbook[[#This Row],[UDC]],TableMJRUARVA1[],7,FALSE),"")</f>
        <v/>
      </c>
      <c r="AA380" s="209" t="str">
        <f>IFERROR(VLOOKUP(TableHandbook[[#This Row],[UDC]],TableMJRUENGL1[],7,FALSE),"")</f>
        <v/>
      </c>
      <c r="AB380" s="209" t="str">
        <f>IFERROR(VLOOKUP(TableHandbook[[#This Row],[UDC]],TableMJRUHSEC1[],7,FALSE),"")</f>
        <v/>
      </c>
      <c r="AC380" s="209" t="str">
        <f>IFERROR(VLOOKUP(TableHandbook[[#This Row],[UDC]],TableMJRUHSGE1[],7,FALSE),"")</f>
        <v>AltCore</v>
      </c>
      <c r="AD380" s="209" t="str">
        <f>IFERROR(VLOOKUP(TableHandbook[[#This Row],[UDC]],TableMJRUHSHI1[],7,FALSE),"")</f>
        <v/>
      </c>
      <c r="AE380" s="209" t="str">
        <f>IFERROR(VLOOKUP(TableHandbook[[#This Row],[UDC]],TableMJRUHSPL1[],7,FALSE),"")</f>
        <v/>
      </c>
      <c r="AF380" s="209" t="str">
        <f>IFERROR(VLOOKUP(TableHandbook[[#This Row],[UDC]],TableMJRUMATH1[],7,FALSE),"")</f>
        <v/>
      </c>
      <c r="AG380" s="209" t="str">
        <f>IFERROR(VLOOKUP(TableHandbook[[#This Row],[UDC]],TableMJRUPHYSE[],7,FALSE),"")</f>
        <v/>
      </c>
      <c r="AH380" s="209" t="str">
        <f>IFERROR(VLOOKUP(TableHandbook[[#This Row],[UDC]],TableMJRUSCBI1[],7,FALSE),"")</f>
        <v/>
      </c>
      <c r="AI380" s="209" t="str">
        <f>IFERROR(VLOOKUP(TableHandbook[[#This Row],[UDC]],TableMJRUSCCH1[],7,FALSE),"")</f>
        <v/>
      </c>
      <c r="AJ380" s="209" t="str">
        <f>IFERROR(VLOOKUP(TableHandbook[[#This Row],[UDC]],TableMJRUSCHB1[],7,FALSE),"")</f>
        <v/>
      </c>
      <c r="AK380" s="209" t="str">
        <f>IFERROR(VLOOKUP(TableHandbook[[#This Row],[UDC]],TableMJRUSCPH1[],7,FALSE),"")</f>
        <v/>
      </c>
      <c r="AL380" s="209" t="str">
        <f>IFERROR(VLOOKUP(TableHandbook[[#This Row],[UDC]],TableMJRUSCPS1[],7,FALSE),"")</f>
        <v/>
      </c>
      <c r="AM380" s="211" t="str">
        <f>IFERROR(VLOOKUP(TableHandbook[[#This Row],[UDC]],TableSTRUBIOLB[],7,FALSE),"")</f>
        <v/>
      </c>
      <c r="AN380" s="209" t="str">
        <f>IFERROR(VLOOKUP(TableHandbook[[#This Row],[UDC]],TableSTRUBSCIM[],7,FALSE),"")</f>
        <v/>
      </c>
      <c r="AO380" s="209" t="str">
        <f>IFERROR(VLOOKUP(TableHandbook[[#This Row],[UDC]],TableSTRUCHEMB[],7,FALSE),"")</f>
        <v/>
      </c>
      <c r="AP380" s="209" t="str">
        <f>IFERROR(VLOOKUP(TableHandbook[[#This Row],[UDC]],TableSTRUECOB1[],7,FALSE),"")</f>
        <v/>
      </c>
      <c r="AQ380" s="209" t="str">
        <f>IFERROR(VLOOKUP(TableHandbook[[#This Row],[UDC]],TableSTRUENGLB[],7,FALSE),"")</f>
        <v/>
      </c>
      <c r="AR380" s="209" t="str">
        <f>IFERROR(VLOOKUP(TableHandbook[[#This Row],[UDC]],TableSTRUENGLM[],7,FALSE),"")</f>
        <v/>
      </c>
      <c r="AS380" s="209" t="str">
        <f>IFERROR(VLOOKUP(TableHandbook[[#This Row],[UDC]],TableSTRUGEOB1[],7,FALSE),"")</f>
        <v/>
      </c>
      <c r="AT380" s="209" t="str">
        <f>IFERROR(VLOOKUP(TableHandbook[[#This Row],[UDC]],TableSTRUGEOGM[],7,FALSE),"")</f>
        <v/>
      </c>
      <c r="AU380" s="209" t="str">
        <f>IFERROR(VLOOKUP(TableHandbook[[#This Row],[UDC]],TableSTRUHISB1[],7,FALSE),"")</f>
        <v/>
      </c>
      <c r="AV380" s="209" t="str">
        <f>IFERROR(VLOOKUP(TableHandbook[[#This Row],[UDC]],TableSTRUHISTM[],7,FALSE),"")</f>
        <v/>
      </c>
      <c r="AW380" s="209" t="str">
        <f>IFERROR(VLOOKUP(TableHandbook[[#This Row],[UDC]],TableSTRUHPEB1[],7,FALSE),"")</f>
        <v/>
      </c>
      <c r="AX380" s="209" t="str">
        <f>IFERROR(VLOOKUP(TableHandbook[[#This Row],[UDC]],TableSTRUHUMBB[],7,FALSE),"")</f>
        <v/>
      </c>
      <c r="AY380" s="209" t="str">
        <f>IFERROR(VLOOKUP(TableHandbook[[#This Row],[UDC]],TableSTRUMARTM[],7,FALSE),"")</f>
        <v/>
      </c>
      <c r="AZ380" s="209" t="str">
        <f>IFERROR(VLOOKUP(TableHandbook[[#This Row],[UDC]],TableSTRUMATHB[],7,FALSE),"")</f>
        <v/>
      </c>
      <c r="BA380" s="209" t="str">
        <f>IFERROR(VLOOKUP(TableHandbook[[#This Row],[UDC]],TableSTRUMATHM[],7,FALSE),"")</f>
        <v/>
      </c>
      <c r="BB380" s="209" t="str">
        <f>IFERROR(VLOOKUP(TableHandbook[[#This Row],[UDC]],TableSTRUPARTB[],7,FALSE),"")</f>
        <v/>
      </c>
      <c r="BC380" s="209" t="str">
        <f>IFERROR(VLOOKUP(TableHandbook[[#This Row],[UDC]],TableSTRUPARTM[],7,FALSE),"")</f>
        <v/>
      </c>
      <c r="BD380" s="209" t="str">
        <f>IFERROR(VLOOKUP(TableHandbook[[#This Row],[UDC]],TableSTRUPOLB1[],7,FALSE),"")</f>
        <v/>
      </c>
      <c r="BE380" s="209" t="str">
        <f>IFERROR(VLOOKUP(TableHandbook[[#This Row],[UDC]],TableSTRUPSYCB[],7,FALSE),"")</f>
        <v/>
      </c>
      <c r="BF380" s="209" t="str">
        <f>IFERROR(VLOOKUP(TableHandbook[[#This Row],[UDC]],TableSTRUPSYCM[],7,FALSE),"")</f>
        <v/>
      </c>
      <c r="BG380" s="209" t="str">
        <f>IFERROR(VLOOKUP(TableHandbook[[#This Row],[UDC]],TableSTRUVARTB[],7,FALSE),"")</f>
        <v/>
      </c>
      <c r="BH380" s="209" t="str">
        <f>IFERROR(VLOOKUP(TableHandbook[[#This Row],[UDC]],TableSTRUVARTM[],7,FALSE),"")</f>
        <v/>
      </c>
    </row>
    <row r="381" spans="1:60" x14ac:dyDescent="0.25">
      <c r="A381" s="6" t="s">
        <v>565</v>
      </c>
      <c r="B381" s="7">
        <v>1</v>
      </c>
      <c r="C381" s="7"/>
      <c r="D381" s="207" t="s">
        <v>1176</v>
      </c>
      <c r="E381" s="7">
        <v>25</v>
      </c>
      <c r="F381" s="84" t="s">
        <v>783</v>
      </c>
      <c r="G381" s="75" t="str">
        <f>IFERROR(IF(VLOOKUP(TableHandbook[[#This Row],[UDC]],TableAvailabilities[],2,FALSE)&gt;0,"Y",""),"")</f>
        <v>Y</v>
      </c>
      <c r="H381" s="75" t="str">
        <f>IFERROR(IF(VLOOKUP(TableHandbook[[#This Row],[UDC]],TableAvailabilities[],3,FALSE)&gt;0,"Y",""),"")</f>
        <v/>
      </c>
      <c r="I381" s="75" t="str">
        <f>IFERROR(IF(VLOOKUP(TableHandbook[[#This Row],[UDC]],TableAvailabilities[],4,FALSE)&gt;0,"Y",""),"")</f>
        <v/>
      </c>
      <c r="J381" s="75" t="str">
        <f>IFERROR(IF(VLOOKUP(TableHandbook[[#This Row],[UDC]],TableAvailabilities[],5,FALSE)&gt;0,"Y",""),"")</f>
        <v>Y</v>
      </c>
      <c r="K381" s="75" t="str">
        <f>IFERROR(IF(VLOOKUP(TableHandbook[[#This Row],[UDC]],TableAvailabilities[],6,FALSE)&gt;0,"Y",""),"")</f>
        <v/>
      </c>
      <c r="L381" s="75" t="str">
        <f>IFERROR(IF(VLOOKUP(TableHandbook[[#This Row],[UDC]],TableAvailabilities[],7,FALSE)&gt;0,"Y",""),"")</f>
        <v/>
      </c>
      <c r="M381" s="207"/>
      <c r="N381" s="209" t="str">
        <f>IFERROR(VLOOKUP(TableHandbook[[#This Row],[UDC]],TableBEDUC[],7,FALSE),"")</f>
        <v/>
      </c>
      <c r="O381" s="209" t="str">
        <f>IFERROR(VLOOKUP(TableHandbook[[#This Row],[UDC]],TableBEDEC[],7,FALSE),"")</f>
        <v/>
      </c>
      <c r="P381" s="211" t="str">
        <f>IFERROR(VLOOKUP(TableHandbook[[#This Row],[UDC]],TableBEDPR[],7,FALSE),"")</f>
        <v/>
      </c>
      <c r="Q381" s="209" t="str">
        <f>IFERROR(VLOOKUP(TableHandbook[[#This Row],[UDC]],TableSTRUCATHL[],7,FALSE),"")</f>
        <v/>
      </c>
      <c r="R381" s="209" t="str">
        <f>IFERROR(VLOOKUP(TableHandbook[[#This Row],[UDC]],TableSTRUENGLL[],7,FALSE),"")</f>
        <v/>
      </c>
      <c r="S381" s="209" t="str">
        <f>IFERROR(VLOOKUP(TableHandbook[[#This Row],[UDC]],TableSTRUHLTPE[],7,FALSE),"")</f>
        <v/>
      </c>
      <c r="T381" s="209" t="str">
        <f>IFERROR(VLOOKUP(TableHandbook[[#This Row],[UDC]],TableSTRUISTEM[],7,FALSE),"")</f>
        <v/>
      </c>
      <c r="U381" s="209" t="str">
        <f>IFERROR(VLOOKUP(TableHandbook[[#This Row],[UDC]],TableSTRULITNU[],7,FALSE),"")</f>
        <v/>
      </c>
      <c r="V381" s="209" t="str">
        <f>IFERROR(VLOOKUP(TableHandbook[[#This Row],[UDC]],TableSTRUTECHS[],7,FALSE),"")</f>
        <v/>
      </c>
      <c r="W381" s="211" t="str">
        <f>IFERROR(VLOOKUP(TableHandbook[[#This Row],[UDC]],TableBEDSC[],7,FALSE),"")</f>
        <v/>
      </c>
      <c r="X381" s="211" t="str">
        <f>IFERROR(VLOOKUP(TableHandbook[[#This Row],[UDC]],TableMJRUARDR1[],7,FALSE),"")</f>
        <v/>
      </c>
      <c r="Y381" s="209" t="str">
        <f>IFERROR(VLOOKUP(TableHandbook[[#This Row],[UDC]],TableMJRUARME1[],7,FALSE),"")</f>
        <v/>
      </c>
      <c r="Z381" s="209" t="str">
        <f>IFERROR(VLOOKUP(TableHandbook[[#This Row],[UDC]],TableMJRUARVA1[],7,FALSE),"")</f>
        <v>AltCore</v>
      </c>
      <c r="AA381" s="209" t="str">
        <f>IFERROR(VLOOKUP(TableHandbook[[#This Row],[UDC]],TableMJRUENGL1[],7,FALSE),"")</f>
        <v/>
      </c>
      <c r="AB381" s="209" t="str">
        <f>IFERROR(VLOOKUP(TableHandbook[[#This Row],[UDC]],TableMJRUHSEC1[],7,FALSE),"")</f>
        <v/>
      </c>
      <c r="AC381" s="209" t="str">
        <f>IFERROR(VLOOKUP(TableHandbook[[#This Row],[UDC]],TableMJRUHSGE1[],7,FALSE),"")</f>
        <v/>
      </c>
      <c r="AD381" s="209" t="str">
        <f>IFERROR(VLOOKUP(TableHandbook[[#This Row],[UDC]],TableMJRUHSHI1[],7,FALSE),"")</f>
        <v/>
      </c>
      <c r="AE381" s="209" t="str">
        <f>IFERROR(VLOOKUP(TableHandbook[[#This Row],[UDC]],TableMJRUHSPL1[],7,FALSE),"")</f>
        <v/>
      </c>
      <c r="AF381" s="209" t="str">
        <f>IFERROR(VLOOKUP(TableHandbook[[#This Row],[UDC]],TableMJRUMATH1[],7,FALSE),"")</f>
        <v/>
      </c>
      <c r="AG381" s="209" t="str">
        <f>IFERROR(VLOOKUP(TableHandbook[[#This Row],[UDC]],TableMJRUPHYSE[],7,FALSE),"")</f>
        <v/>
      </c>
      <c r="AH381" s="209" t="str">
        <f>IFERROR(VLOOKUP(TableHandbook[[#This Row],[UDC]],TableMJRUSCBI1[],7,FALSE),"")</f>
        <v/>
      </c>
      <c r="AI381" s="209" t="str">
        <f>IFERROR(VLOOKUP(TableHandbook[[#This Row],[UDC]],TableMJRUSCCH1[],7,FALSE),"")</f>
        <v/>
      </c>
      <c r="AJ381" s="209" t="str">
        <f>IFERROR(VLOOKUP(TableHandbook[[#This Row],[UDC]],TableMJRUSCHB1[],7,FALSE),"")</f>
        <v/>
      </c>
      <c r="AK381" s="209" t="str">
        <f>IFERROR(VLOOKUP(TableHandbook[[#This Row],[UDC]],TableMJRUSCPH1[],7,FALSE),"")</f>
        <v/>
      </c>
      <c r="AL381" s="209" t="str">
        <f>IFERROR(VLOOKUP(TableHandbook[[#This Row],[UDC]],TableMJRUSCPS1[],7,FALSE),"")</f>
        <v/>
      </c>
      <c r="AM381" s="211" t="str">
        <f>IFERROR(VLOOKUP(TableHandbook[[#This Row],[UDC]],TableSTRUBIOLB[],7,FALSE),"")</f>
        <v/>
      </c>
      <c r="AN381" s="209" t="str">
        <f>IFERROR(VLOOKUP(TableHandbook[[#This Row],[UDC]],TableSTRUBSCIM[],7,FALSE),"")</f>
        <v/>
      </c>
      <c r="AO381" s="209" t="str">
        <f>IFERROR(VLOOKUP(TableHandbook[[#This Row],[UDC]],TableSTRUCHEMB[],7,FALSE),"")</f>
        <v/>
      </c>
      <c r="AP381" s="209" t="str">
        <f>IFERROR(VLOOKUP(TableHandbook[[#This Row],[UDC]],TableSTRUECOB1[],7,FALSE),"")</f>
        <v/>
      </c>
      <c r="AQ381" s="209" t="str">
        <f>IFERROR(VLOOKUP(TableHandbook[[#This Row],[UDC]],TableSTRUENGLB[],7,FALSE),"")</f>
        <v/>
      </c>
      <c r="AR381" s="209" t="str">
        <f>IFERROR(VLOOKUP(TableHandbook[[#This Row],[UDC]],TableSTRUENGLM[],7,FALSE),"")</f>
        <v/>
      </c>
      <c r="AS381" s="209" t="str">
        <f>IFERROR(VLOOKUP(TableHandbook[[#This Row],[UDC]],TableSTRUGEOB1[],7,FALSE),"")</f>
        <v/>
      </c>
      <c r="AT381" s="209" t="str">
        <f>IFERROR(VLOOKUP(TableHandbook[[#This Row],[UDC]],TableSTRUGEOGM[],7,FALSE),"")</f>
        <v/>
      </c>
      <c r="AU381" s="209" t="str">
        <f>IFERROR(VLOOKUP(TableHandbook[[#This Row],[UDC]],TableSTRUHISB1[],7,FALSE),"")</f>
        <v/>
      </c>
      <c r="AV381" s="209" t="str">
        <f>IFERROR(VLOOKUP(TableHandbook[[#This Row],[UDC]],TableSTRUHISTM[],7,FALSE),"")</f>
        <v/>
      </c>
      <c r="AW381" s="209" t="str">
        <f>IFERROR(VLOOKUP(TableHandbook[[#This Row],[UDC]],TableSTRUHPEB1[],7,FALSE),"")</f>
        <v/>
      </c>
      <c r="AX381" s="209" t="str">
        <f>IFERROR(VLOOKUP(TableHandbook[[#This Row],[UDC]],TableSTRUHUMBB[],7,FALSE),"")</f>
        <v/>
      </c>
      <c r="AY381" s="209" t="str">
        <f>IFERROR(VLOOKUP(TableHandbook[[#This Row],[UDC]],TableSTRUMARTM[],7,FALSE),"")</f>
        <v/>
      </c>
      <c r="AZ381" s="209" t="str">
        <f>IFERROR(VLOOKUP(TableHandbook[[#This Row],[UDC]],TableSTRUMATHB[],7,FALSE),"")</f>
        <v/>
      </c>
      <c r="BA381" s="209" t="str">
        <f>IFERROR(VLOOKUP(TableHandbook[[#This Row],[UDC]],TableSTRUMATHM[],7,FALSE),"")</f>
        <v/>
      </c>
      <c r="BB381" s="209" t="str">
        <f>IFERROR(VLOOKUP(TableHandbook[[#This Row],[UDC]],TableSTRUPARTB[],7,FALSE),"")</f>
        <v/>
      </c>
      <c r="BC381" s="209" t="str">
        <f>IFERROR(VLOOKUP(TableHandbook[[#This Row],[UDC]],TableSTRUPARTM[],7,FALSE),"")</f>
        <v/>
      </c>
      <c r="BD381" s="209" t="str">
        <f>IFERROR(VLOOKUP(TableHandbook[[#This Row],[UDC]],TableSTRUPOLB1[],7,FALSE),"")</f>
        <v/>
      </c>
      <c r="BE381" s="209" t="str">
        <f>IFERROR(VLOOKUP(TableHandbook[[#This Row],[UDC]],TableSTRUPSYCB[],7,FALSE),"")</f>
        <v/>
      </c>
      <c r="BF381" s="209" t="str">
        <f>IFERROR(VLOOKUP(TableHandbook[[#This Row],[UDC]],TableSTRUPSYCM[],7,FALSE),"")</f>
        <v/>
      </c>
      <c r="BG381" s="209" t="str">
        <f>IFERROR(VLOOKUP(TableHandbook[[#This Row],[UDC]],TableSTRUVARTB[],7,FALSE),"")</f>
        <v/>
      </c>
      <c r="BH381" s="209" t="str">
        <f>IFERROR(VLOOKUP(TableHandbook[[#This Row],[UDC]],TableSTRUVARTM[],7,FALSE),"")</f>
        <v>Core</v>
      </c>
    </row>
    <row r="382" spans="1:60" x14ac:dyDescent="0.25">
      <c r="A382" s="6" t="s">
        <v>450</v>
      </c>
      <c r="B382" s="7">
        <v>2</v>
      </c>
      <c r="C382" s="7"/>
      <c r="D382" s="207" t="s">
        <v>1177</v>
      </c>
      <c r="E382" s="7">
        <v>25</v>
      </c>
      <c r="F382" s="84" t="s">
        <v>783</v>
      </c>
      <c r="G382" s="75" t="str">
        <f>IFERROR(IF(VLOOKUP(TableHandbook[[#This Row],[UDC]],TableAvailabilities[],2,FALSE)&gt;0,"Y",""),"")</f>
        <v/>
      </c>
      <c r="H382" s="75" t="str">
        <f>IFERROR(IF(VLOOKUP(TableHandbook[[#This Row],[UDC]],TableAvailabilities[],3,FALSE)&gt;0,"Y",""),"")</f>
        <v/>
      </c>
      <c r="I382" s="75" t="str">
        <f>IFERROR(IF(VLOOKUP(TableHandbook[[#This Row],[UDC]],TableAvailabilities[],4,FALSE)&gt;0,"Y",""),"")</f>
        <v/>
      </c>
      <c r="J382" s="75" t="str">
        <f>IFERROR(IF(VLOOKUP(TableHandbook[[#This Row],[UDC]],TableAvailabilities[],5,FALSE)&gt;0,"Y",""),"")</f>
        <v>Y</v>
      </c>
      <c r="K382" s="75" t="str">
        <f>IFERROR(IF(VLOOKUP(TableHandbook[[#This Row],[UDC]],TableAvailabilities[],6,FALSE)&gt;0,"Y",""),"")</f>
        <v/>
      </c>
      <c r="L382" s="75" t="str">
        <f>IFERROR(IF(VLOOKUP(TableHandbook[[#This Row],[UDC]],TableAvailabilities[],7,FALSE)&gt;0,"Y",""),"")</f>
        <v/>
      </c>
      <c r="M382" s="207"/>
      <c r="N382" s="209" t="str">
        <f>IFERROR(VLOOKUP(TableHandbook[[#This Row],[UDC]],TableBEDUC[],7,FALSE),"")</f>
        <v/>
      </c>
      <c r="O382" s="209" t="str">
        <f>IFERROR(VLOOKUP(TableHandbook[[#This Row],[UDC]],TableBEDEC[],7,FALSE),"")</f>
        <v/>
      </c>
      <c r="P382" s="211" t="str">
        <f>IFERROR(VLOOKUP(TableHandbook[[#This Row],[UDC]],TableBEDPR[],7,FALSE),"")</f>
        <v/>
      </c>
      <c r="Q382" s="209" t="str">
        <f>IFERROR(VLOOKUP(TableHandbook[[#This Row],[UDC]],TableSTRUCATHL[],7,FALSE),"")</f>
        <v/>
      </c>
      <c r="R382" s="209" t="str">
        <f>IFERROR(VLOOKUP(TableHandbook[[#This Row],[UDC]],TableSTRUENGLL[],7,FALSE),"")</f>
        <v/>
      </c>
      <c r="S382" s="209" t="str">
        <f>IFERROR(VLOOKUP(TableHandbook[[#This Row],[UDC]],TableSTRUHLTPE[],7,FALSE),"")</f>
        <v/>
      </c>
      <c r="T382" s="209" t="str">
        <f>IFERROR(VLOOKUP(TableHandbook[[#This Row],[UDC]],TableSTRUISTEM[],7,FALSE),"")</f>
        <v/>
      </c>
      <c r="U382" s="209" t="str">
        <f>IFERROR(VLOOKUP(TableHandbook[[#This Row],[UDC]],TableSTRULITNU[],7,FALSE),"")</f>
        <v/>
      </c>
      <c r="V382" s="209" t="str">
        <f>IFERROR(VLOOKUP(TableHandbook[[#This Row],[UDC]],TableSTRUTECHS[],7,FALSE),"")</f>
        <v/>
      </c>
      <c r="W382" s="211" t="str">
        <f>IFERROR(VLOOKUP(TableHandbook[[#This Row],[UDC]],TableBEDSC[],7,FALSE),"")</f>
        <v/>
      </c>
      <c r="X382" s="211" t="str">
        <f>IFERROR(VLOOKUP(TableHandbook[[#This Row],[UDC]],TableMJRUARDR1[],7,FALSE),"")</f>
        <v/>
      </c>
      <c r="Y382" s="209" t="str">
        <f>IFERROR(VLOOKUP(TableHandbook[[#This Row],[UDC]],TableMJRUARME1[],7,FALSE),"")</f>
        <v/>
      </c>
      <c r="Z382" s="209" t="str">
        <f>IFERROR(VLOOKUP(TableHandbook[[#This Row],[UDC]],TableMJRUARVA1[],7,FALSE),"")</f>
        <v>Core</v>
      </c>
      <c r="AA382" s="209" t="str">
        <f>IFERROR(VLOOKUP(TableHandbook[[#This Row],[UDC]],TableMJRUENGL1[],7,FALSE),"")</f>
        <v/>
      </c>
      <c r="AB382" s="209" t="str">
        <f>IFERROR(VLOOKUP(TableHandbook[[#This Row],[UDC]],TableMJRUHSEC1[],7,FALSE),"")</f>
        <v/>
      </c>
      <c r="AC382" s="209" t="str">
        <f>IFERROR(VLOOKUP(TableHandbook[[#This Row],[UDC]],TableMJRUHSGE1[],7,FALSE),"")</f>
        <v/>
      </c>
      <c r="AD382" s="209" t="str">
        <f>IFERROR(VLOOKUP(TableHandbook[[#This Row],[UDC]],TableMJRUHSHI1[],7,FALSE),"")</f>
        <v/>
      </c>
      <c r="AE382" s="209" t="str">
        <f>IFERROR(VLOOKUP(TableHandbook[[#This Row],[UDC]],TableMJRUHSPL1[],7,FALSE),"")</f>
        <v/>
      </c>
      <c r="AF382" s="209" t="str">
        <f>IFERROR(VLOOKUP(TableHandbook[[#This Row],[UDC]],TableMJRUMATH1[],7,FALSE),"")</f>
        <v/>
      </c>
      <c r="AG382" s="209" t="str">
        <f>IFERROR(VLOOKUP(TableHandbook[[#This Row],[UDC]],TableMJRUPHYSE[],7,FALSE),"")</f>
        <v/>
      </c>
      <c r="AH382" s="209" t="str">
        <f>IFERROR(VLOOKUP(TableHandbook[[#This Row],[UDC]],TableMJRUSCBI1[],7,FALSE),"")</f>
        <v/>
      </c>
      <c r="AI382" s="209" t="str">
        <f>IFERROR(VLOOKUP(TableHandbook[[#This Row],[UDC]],TableMJRUSCCH1[],7,FALSE),"")</f>
        <v/>
      </c>
      <c r="AJ382" s="209" t="str">
        <f>IFERROR(VLOOKUP(TableHandbook[[#This Row],[UDC]],TableMJRUSCHB1[],7,FALSE),"")</f>
        <v/>
      </c>
      <c r="AK382" s="209" t="str">
        <f>IFERROR(VLOOKUP(TableHandbook[[#This Row],[UDC]],TableMJRUSCPH1[],7,FALSE),"")</f>
        <v/>
      </c>
      <c r="AL382" s="209" t="str">
        <f>IFERROR(VLOOKUP(TableHandbook[[#This Row],[UDC]],TableMJRUSCPS1[],7,FALSE),"")</f>
        <v/>
      </c>
      <c r="AM382" s="211" t="str">
        <f>IFERROR(VLOOKUP(TableHandbook[[#This Row],[UDC]],TableSTRUBIOLB[],7,FALSE),"")</f>
        <v/>
      </c>
      <c r="AN382" s="209" t="str">
        <f>IFERROR(VLOOKUP(TableHandbook[[#This Row],[UDC]],TableSTRUBSCIM[],7,FALSE),"")</f>
        <v/>
      </c>
      <c r="AO382" s="209" t="str">
        <f>IFERROR(VLOOKUP(TableHandbook[[#This Row],[UDC]],TableSTRUCHEMB[],7,FALSE),"")</f>
        <v/>
      </c>
      <c r="AP382" s="209" t="str">
        <f>IFERROR(VLOOKUP(TableHandbook[[#This Row],[UDC]],TableSTRUECOB1[],7,FALSE),"")</f>
        <v/>
      </c>
      <c r="AQ382" s="209" t="str">
        <f>IFERROR(VLOOKUP(TableHandbook[[#This Row],[UDC]],TableSTRUENGLB[],7,FALSE),"")</f>
        <v/>
      </c>
      <c r="AR382" s="209" t="str">
        <f>IFERROR(VLOOKUP(TableHandbook[[#This Row],[UDC]],TableSTRUENGLM[],7,FALSE),"")</f>
        <v/>
      </c>
      <c r="AS382" s="209" t="str">
        <f>IFERROR(VLOOKUP(TableHandbook[[#This Row],[UDC]],TableSTRUGEOB1[],7,FALSE),"")</f>
        <v/>
      </c>
      <c r="AT382" s="209" t="str">
        <f>IFERROR(VLOOKUP(TableHandbook[[#This Row],[UDC]],TableSTRUGEOGM[],7,FALSE),"")</f>
        <v/>
      </c>
      <c r="AU382" s="209" t="str">
        <f>IFERROR(VLOOKUP(TableHandbook[[#This Row],[UDC]],TableSTRUHISB1[],7,FALSE),"")</f>
        <v/>
      </c>
      <c r="AV382" s="209" t="str">
        <f>IFERROR(VLOOKUP(TableHandbook[[#This Row],[UDC]],TableSTRUHISTM[],7,FALSE),"")</f>
        <v/>
      </c>
      <c r="AW382" s="209" t="str">
        <f>IFERROR(VLOOKUP(TableHandbook[[#This Row],[UDC]],TableSTRUHPEB1[],7,FALSE),"")</f>
        <v/>
      </c>
      <c r="AX382" s="209" t="str">
        <f>IFERROR(VLOOKUP(TableHandbook[[#This Row],[UDC]],TableSTRUHUMBB[],7,FALSE),"")</f>
        <v/>
      </c>
      <c r="AY382" s="209" t="str">
        <f>IFERROR(VLOOKUP(TableHandbook[[#This Row],[UDC]],TableSTRUMARTM[],7,FALSE),"")</f>
        <v/>
      </c>
      <c r="AZ382" s="209" t="str">
        <f>IFERROR(VLOOKUP(TableHandbook[[#This Row],[UDC]],TableSTRUMATHB[],7,FALSE),"")</f>
        <v/>
      </c>
      <c r="BA382" s="209" t="str">
        <f>IFERROR(VLOOKUP(TableHandbook[[#This Row],[UDC]],TableSTRUMATHM[],7,FALSE),"")</f>
        <v/>
      </c>
      <c r="BB382" s="209" t="str">
        <f>IFERROR(VLOOKUP(TableHandbook[[#This Row],[UDC]],TableSTRUPARTB[],7,FALSE),"")</f>
        <v>AltCore</v>
      </c>
      <c r="BC382" s="209" t="str">
        <f>IFERROR(VLOOKUP(TableHandbook[[#This Row],[UDC]],TableSTRUPARTM[],7,FALSE),"")</f>
        <v/>
      </c>
      <c r="BD382" s="209" t="str">
        <f>IFERROR(VLOOKUP(TableHandbook[[#This Row],[UDC]],TableSTRUPOLB1[],7,FALSE),"")</f>
        <v/>
      </c>
      <c r="BE382" s="209" t="str">
        <f>IFERROR(VLOOKUP(TableHandbook[[#This Row],[UDC]],TableSTRUPSYCB[],7,FALSE),"")</f>
        <v/>
      </c>
      <c r="BF382" s="209" t="str">
        <f>IFERROR(VLOOKUP(TableHandbook[[#This Row],[UDC]],TableSTRUPSYCM[],7,FALSE),"")</f>
        <v/>
      </c>
      <c r="BG382" s="209" t="str">
        <f>IFERROR(VLOOKUP(TableHandbook[[#This Row],[UDC]],TableSTRUVARTB[],7,FALSE),"")</f>
        <v/>
      </c>
      <c r="BH382" s="209" t="str">
        <f>IFERROR(VLOOKUP(TableHandbook[[#This Row],[UDC]],TableSTRUVARTM[],7,FALSE),"")</f>
        <v>Core</v>
      </c>
    </row>
    <row r="383" spans="1:60" x14ac:dyDescent="0.25">
      <c r="A383" s="6" t="s">
        <v>606</v>
      </c>
      <c r="B383" s="7">
        <v>2</v>
      </c>
      <c r="C383" s="7"/>
      <c r="D383" s="207" t="s">
        <v>1178</v>
      </c>
      <c r="E383" s="7">
        <v>25</v>
      </c>
      <c r="F383" s="84" t="s">
        <v>783</v>
      </c>
      <c r="G383" s="75" t="str">
        <f>IFERROR(IF(VLOOKUP(TableHandbook[[#This Row],[UDC]],TableAvailabilities[],2,FALSE)&gt;0,"Y",""),"")</f>
        <v>Y</v>
      </c>
      <c r="H383" s="75" t="str">
        <f>IFERROR(IF(VLOOKUP(TableHandbook[[#This Row],[UDC]],TableAvailabilities[],3,FALSE)&gt;0,"Y",""),"")</f>
        <v/>
      </c>
      <c r="I383" s="75" t="str">
        <f>IFERROR(IF(VLOOKUP(TableHandbook[[#This Row],[UDC]],TableAvailabilities[],4,FALSE)&gt;0,"Y",""),"")</f>
        <v/>
      </c>
      <c r="J383" s="75" t="str">
        <f>IFERROR(IF(VLOOKUP(TableHandbook[[#This Row],[UDC]],TableAvailabilities[],5,FALSE)&gt;0,"Y",""),"")</f>
        <v/>
      </c>
      <c r="K383" s="75" t="str">
        <f>IFERROR(IF(VLOOKUP(TableHandbook[[#This Row],[UDC]],TableAvailabilities[],6,FALSE)&gt;0,"Y",""),"")</f>
        <v/>
      </c>
      <c r="L383" s="75" t="str">
        <f>IFERROR(IF(VLOOKUP(TableHandbook[[#This Row],[UDC]],TableAvailabilities[],7,FALSE)&gt;0,"Y",""),"")</f>
        <v/>
      </c>
      <c r="M383" s="207"/>
      <c r="N383" s="209" t="str">
        <f>IFERROR(VLOOKUP(TableHandbook[[#This Row],[UDC]],TableBEDUC[],7,FALSE),"")</f>
        <v/>
      </c>
      <c r="O383" s="209" t="str">
        <f>IFERROR(VLOOKUP(TableHandbook[[#This Row],[UDC]],TableBEDEC[],7,FALSE),"")</f>
        <v/>
      </c>
      <c r="P383" s="211" t="str">
        <f>IFERROR(VLOOKUP(TableHandbook[[#This Row],[UDC]],TableBEDPR[],7,FALSE),"")</f>
        <v/>
      </c>
      <c r="Q383" s="209" t="str">
        <f>IFERROR(VLOOKUP(TableHandbook[[#This Row],[UDC]],TableSTRUCATHL[],7,FALSE),"")</f>
        <v/>
      </c>
      <c r="R383" s="209" t="str">
        <f>IFERROR(VLOOKUP(TableHandbook[[#This Row],[UDC]],TableSTRUENGLL[],7,FALSE),"")</f>
        <v/>
      </c>
      <c r="S383" s="209" t="str">
        <f>IFERROR(VLOOKUP(TableHandbook[[#This Row],[UDC]],TableSTRUHLTPE[],7,FALSE),"")</f>
        <v/>
      </c>
      <c r="T383" s="209" t="str">
        <f>IFERROR(VLOOKUP(TableHandbook[[#This Row],[UDC]],TableSTRUISTEM[],7,FALSE),"")</f>
        <v/>
      </c>
      <c r="U383" s="209" t="str">
        <f>IFERROR(VLOOKUP(TableHandbook[[#This Row],[UDC]],TableSTRULITNU[],7,FALSE),"")</f>
        <v/>
      </c>
      <c r="V383" s="209" t="str">
        <f>IFERROR(VLOOKUP(TableHandbook[[#This Row],[UDC]],TableSTRUTECHS[],7,FALSE),"")</f>
        <v/>
      </c>
      <c r="W383" s="211" t="str">
        <f>IFERROR(VLOOKUP(TableHandbook[[#This Row],[UDC]],TableBEDSC[],7,FALSE),"")</f>
        <v/>
      </c>
      <c r="X383" s="211" t="str">
        <f>IFERROR(VLOOKUP(TableHandbook[[#This Row],[UDC]],TableMJRUARDR1[],7,FALSE),"")</f>
        <v/>
      </c>
      <c r="Y383" s="209" t="str">
        <f>IFERROR(VLOOKUP(TableHandbook[[#This Row],[UDC]],TableMJRUARME1[],7,FALSE),"")</f>
        <v/>
      </c>
      <c r="Z383" s="209" t="str">
        <f>IFERROR(VLOOKUP(TableHandbook[[#This Row],[UDC]],TableMJRUARVA1[],7,FALSE),"")</f>
        <v>Option</v>
      </c>
      <c r="AA383" s="209" t="str">
        <f>IFERROR(VLOOKUP(TableHandbook[[#This Row],[UDC]],TableMJRUENGL1[],7,FALSE),"")</f>
        <v/>
      </c>
      <c r="AB383" s="209" t="str">
        <f>IFERROR(VLOOKUP(TableHandbook[[#This Row],[UDC]],TableMJRUHSEC1[],7,FALSE),"")</f>
        <v/>
      </c>
      <c r="AC383" s="209" t="str">
        <f>IFERROR(VLOOKUP(TableHandbook[[#This Row],[UDC]],TableMJRUHSGE1[],7,FALSE),"")</f>
        <v/>
      </c>
      <c r="AD383" s="209" t="str">
        <f>IFERROR(VLOOKUP(TableHandbook[[#This Row],[UDC]],TableMJRUHSHI1[],7,FALSE),"")</f>
        <v/>
      </c>
      <c r="AE383" s="209" t="str">
        <f>IFERROR(VLOOKUP(TableHandbook[[#This Row],[UDC]],TableMJRUHSPL1[],7,FALSE),"")</f>
        <v/>
      </c>
      <c r="AF383" s="209" t="str">
        <f>IFERROR(VLOOKUP(TableHandbook[[#This Row],[UDC]],TableMJRUMATH1[],7,FALSE),"")</f>
        <v/>
      </c>
      <c r="AG383" s="209" t="str">
        <f>IFERROR(VLOOKUP(TableHandbook[[#This Row],[UDC]],TableMJRUPHYSE[],7,FALSE),"")</f>
        <v/>
      </c>
      <c r="AH383" s="209" t="str">
        <f>IFERROR(VLOOKUP(TableHandbook[[#This Row],[UDC]],TableMJRUSCBI1[],7,FALSE),"")</f>
        <v/>
      </c>
      <c r="AI383" s="209" t="str">
        <f>IFERROR(VLOOKUP(TableHandbook[[#This Row],[UDC]],TableMJRUSCCH1[],7,FALSE),"")</f>
        <v/>
      </c>
      <c r="AJ383" s="209" t="str">
        <f>IFERROR(VLOOKUP(TableHandbook[[#This Row],[UDC]],TableMJRUSCHB1[],7,FALSE),"")</f>
        <v/>
      </c>
      <c r="AK383" s="209" t="str">
        <f>IFERROR(VLOOKUP(TableHandbook[[#This Row],[UDC]],TableMJRUSCPH1[],7,FALSE),"")</f>
        <v/>
      </c>
      <c r="AL383" s="209" t="str">
        <f>IFERROR(VLOOKUP(TableHandbook[[#This Row],[UDC]],TableMJRUSCPS1[],7,FALSE),"")</f>
        <v/>
      </c>
      <c r="AM383" s="211" t="str">
        <f>IFERROR(VLOOKUP(TableHandbook[[#This Row],[UDC]],TableSTRUBIOLB[],7,FALSE),"")</f>
        <v/>
      </c>
      <c r="AN383" s="209" t="str">
        <f>IFERROR(VLOOKUP(TableHandbook[[#This Row],[UDC]],TableSTRUBSCIM[],7,FALSE),"")</f>
        <v/>
      </c>
      <c r="AO383" s="209" t="str">
        <f>IFERROR(VLOOKUP(TableHandbook[[#This Row],[UDC]],TableSTRUCHEMB[],7,FALSE),"")</f>
        <v/>
      </c>
      <c r="AP383" s="209" t="str">
        <f>IFERROR(VLOOKUP(TableHandbook[[#This Row],[UDC]],TableSTRUECOB1[],7,FALSE),"")</f>
        <v/>
      </c>
      <c r="AQ383" s="209" t="str">
        <f>IFERROR(VLOOKUP(TableHandbook[[#This Row],[UDC]],TableSTRUENGLB[],7,FALSE),"")</f>
        <v/>
      </c>
      <c r="AR383" s="209" t="str">
        <f>IFERROR(VLOOKUP(TableHandbook[[#This Row],[UDC]],TableSTRUENGLM[],7,FALSE),"")</f>
        <v/>
      </c>
      <c r="AS383" s="209" t="str">
        <f>IFERROR(VLOOKUP(TableHandbook[[#This Row],[UDC]],TableSTRUGEOB1[],7,FALSE),"")</f>
        <v/>
      </c>
      <c r="AT383" s="209" t="str">
        <f>IFERROR(VLOOKUP(TableHandbook[[#This Row],[UDC]],TableSTRUGEOGM[],7,FALSE),"")</f>
        <v/>
      </c>
      <c r="AU383" s="209" t="str">
        <f>IFERROR(VLOOKUP(TableHandbook[[#This Row],[UDC]],TableSTRUHISB1[],7,FALSE),"")</f>
        <v/>
      </c>
      <c r="AV383" s="209" t="str">
        <f>IFERROR(VLOOKUP(TableHandbook[[#This Row],[UDC]],TableSTRUHISTM[],7,FALSE),"")</f>
        <v/>
      </c>
      <c r="AW383" s="209" t="str">
        <f>IFERROR(VLOOKUP(TableHandbook[[#This Row],[UDC]],TableSTRUHPEB1[],7,FALSE),"")</f>
        <v/>
      </c>
      <c r="AX383" s="209" t="str">
        <f>IFERROR(VLOOKUP(TableHandbook[[#This Row],[UDC]],TableSTRUHUMBB[],7,FALSE),"")</f>
        <v/>
      </c>
      <c r="AY383" s="209" t="str">
        <f>IFERROR(VLOOKUP(TableHandbook[[#This Row],[UDC]],TableSTRUMARTM[],7,FALSE),"")</f>
        <v/>
      </c>
      <c r="AZ383" s="209" t="str">
        <f>IFERROR(VLOOKUP(TableHandbook[[#This Row],[UDC]],TableSTRUMATHB[],7,FALSE),"")</f>
        <v/>
      </c>
      <c r="BA383" s="209" t="str">
        <f>IFERROR(VLOOKUP(TableHandbook[[#This Row],[UDC]],TableSTRUMATHM[],7,FALSE),"")</f>
        <v/>
      </c>
      <c r="BB383" s="209" t="str">
        <f>IFERROR(VLOOKUP(TableHandbook[[#This Row],[UDC]],TableSTRUPARTB[],7,FALSE),"")</f>
        <v/>
      </c>
      <c r="BC383" s="209" t="str">
        <f>IFERROR(VLOOKUP(TableHandbook[[#This Row],[UDC]],TableSTRUPARTM[],7,FALSE),"")</f>
        <v/>
      </c>
      <c r="BD383" s="209" t="str">
        <f>IFERROR(VLOOKUP(TableHandbook[[#This Row],[UDC]],TableSTRUPOLB1[],7,FALSE),"")</f>
        <v/>
      </c>
      <c r="BE383" s="209" t="str">
        <f>IFERROR(VLOOKUP(TableHandbook[[#This Row],[UDC]],TableSTRUPSYCB[],7,FALSE),"")</f>
        <v/>
      </c>
      <c r="BF383" s="209" t="str">
        <f>IFERROR(VLOOKUP(TableHandbook[[#This Row],[UDC]],TableSTRUPSYCM[],7,FALSE),"")</f>
        <v/>
      </c>
      <c r="BG383" s="209" t="str">
        <f>IFERROR(VLOOKUP(TableHandbook[[#This Row],[UDC]],TableSTRUVARTB[],7,FALSE),"")</f>
        <v>Core</v>
      </c>
      <c r="BH383" s="209" t="str">
        <f>IFERROR(VLOOKUP(TableHandbook[[#This Row],[UDC]],TableSTRUVARTM[],7,FALSE),"")</f>
        <v/>
      </c>
    </row>
    <row r="384" spans="1:60" x14ac:dyDescent="0.25">
      <c r="A384" s="296" t="s">
        <v>578</v>
      </c>
      <c r="B384" s="7">
        <v>1</v>
      </c>
      <c r="C384" s="7"/>
      <c r="D384" s="207" t="s">
        <v>1179</v>
      </c>
      <c r="E384" s="7">
        <v>25</v>
      </c>
      <c r="F384" s="311" t="s">
        <v>783</v>
      </c>
      <c r="G384" s="75" t="str">
        <f>IFERROR(IF(VLOOKUP(TableHandbook[[#This Row],[UDC]],TableAvailabilities[],2,FALSE)&gt;0,"Y",""),"")</f>
        <v>Y</v>
      </c>
      <c r="H384" s="75" t="str">
        <f>IFERROR(IF(VLOOKUP(TableHandbook[[#This Row],[UDC]],TableAvailabilities[],3,FALSE)&gt;0,"Y",""),"")</f>
        <v/>
      </c>
      <c r="I384" s="75" t="str">
        <f>IFERROR(IF(VLOOKUP(TableHandbook[[#This Row],[UDC]],TableAvailabilities[],4,FALSE)&gt;0,"Y",""),"")</f>
        <v/>
      </c>
      <c r="J384" s="75" t="str">
        <f>IFERROR(IF(VLOOKUP(TableHandbook[[#This Row],[UDC]],TableAvailabilities[],5,FALSE)&gt;0,"Y",""),"")</f>
        <v/>
      </c>
      <c r="K384" s="75" t="str">
        <f>IFERROR(IF(VLOOKUP(TableHandbook[[#This Row],[UDC]],TableAvailabilities[],6,FALSE)&gt;0,"Y",""),"")</f>
        <v/>
      </c>
      <c r="L384" s="75" t="str">
        <f>IFERROR(IF(VLOOKUP(TableHandbook[[#This Row],[UDC]],TableAvailabilities[],7,FALSE)&gt;0,"Y",""),"")</f>
        <v/>
      </c>
      <c r="M384" s="207"/>
      <c r="N384" s="209" t="str">
        <f>IFERROR(VLOOKUP(TableHandbook[[#This Row],[UDC]],TableBEDUC[],7,FALSE),"")</f>
        <v/>
      </c>
      <c r="O384" s="209" t="str">
        <f>IFERROR(VLOOKUP(TableHandbook[[#This Row],[UDC]],TableBEDEC[],7,FALSE),"")</f>
        <v/>
      </c>
      <c r="P384" s="211" t="str">
        <f>IFERROR(VLOOKUP(TableHandbook[[#This Row],[UDC]],TableBEDPR[],7,FALSE),"")</f>
        <v/>
      </c>
      <c r="Q384" s="209" t="str">
        <f>IFERROR(VLOOKUP(TableHandbook[[#This Row],[UDC]],TableSTRUCATHL[],7,FALSE),"")</f>
        <v/>
      </c>
      <c r="R384" s="209" t="str">
        <f>IFERROR(VLOOKUP(TableHandbook[[#This Row],[UDC]],TableSTRUENGLL[],7,FALSE),"")</f>
        <v/>
      </c>
      <c r="S384" s="209" t="str">
        <f>IFERROR(VLOOKUP(TableHandbook[[#This Row],[UDC]],TableSTRUHLTPE[],7,FALSE),"")</f>
        <v/>
      </c>
      <c r="T384" s="209" t="str">
        <f>IFERROR(VLOOKUP(TableHandbook[[#This Row],[UDC]],TableSTRUISTEM[],7,FALSE),"")</f>
        <v/>
      </c>
      <c r="U384" s="209" t="str">
        <f>IFERROR(VLOOKUP(TableHandbook[[#This Row],[UDC]],TableSTRULITNU[],7,FALSE),"")</f>
        <v/>
      </c>
      <c r="V384" s="209" t="str">
        <f>IFERROR(VLOOKUP(TableHandbook[[#This Row],[UDC]],TableSTRUTECHS[],7,FALSE),"")</f>
        <v/>
      </c>
      <c r="W384" s="211" t="str">
        <f>IFERROR(VLOOKUP(TableHandbook[[#This Row],[UDC]],TableBEDSC[],7,FALSE),"")</f>
        <v/>
      </c>
      <c r="X384" s="211" t="str">
        <f>IFERROR(VLOOKUP(TableHandbook[[#This Row],[UDC]],TableMJRUARDR1[],7,FALSE),"")</f>
        <v/>
      </c>
      <c r="Y384" s="209" t="str">
        <f>IFERROR(VLOOKUP(TableHandbook[[#This Row],[UDC]],TableMJRUARME1[],7,FALSE),"")</f>
        <v/>
      </c>
      <c r="Z384" s="209" t="str">
        <f>IFERROR(VLOOKUP(TableHandbook[[#This Row],[UDC]],TableMJRUARVA1[],7,FALSE),"")</f>
        <v>AltCore</v>
      </c>
      <c r="AA384" s="209" t="str">
        <f>IFERROR(VLOOKUP(TableHandbook[[#This Row],[UDC]],TableMJRUENGL1[],7,FALSE),"")</f>
        <v/>
      </c>
      <c r="AB384" s="209" t="str">
        <f>IFERROR(VLOOKUP(TableHandbook[[#This Row],[UDC]],TableMJRUHSEC1[],7,FALSE),"")</f>
        <v/>
      </c>
      <c r="AC384" s="209" t="str">
        <f>IFERROR(VLOOKUP(TableHandbook[[#This Row],[UDC]],TableMJRUHSGE1[],7,FALSE),"")</f>
        <v/>
      </c>
      <c r="AD384" s="209" t="str">
        <f>IFERROR(VLOOKUP(TableHandbook[[#This Row],[UDC]],TableMJRUHSHI1[],7,FALSE),"")</f>
        <v/>
      </c>
      <c r="AE384" s="209" t="str">
        <f>IFERROR(VLOOKUP(TableHandbook[[#This Row],[UDC]],TableMJRUHSPL1[],7,FALSE),"")</f>
        <v/>
      </c>
      <c r="AF384" s="209" t="str">
        <f>IFERROR(VLOOKUP(TableHandbook[[#This Row],[UDC]],TableMJRUMATH1[],7,FALSE),"")</f>
        <v/>
      </c>
      <c r="AG384" s="209" t="str">
        <f>IFERROR(VLOOKUP(TableHandbook[[#This Row],[UDC]],TableMJRUPHYSE[],7,FALSE),"")</f>
        <v/>
      </c>
      <c r="AH384" s="209" t="str">
        <f>IFERROR(VLOOKUP(TableHandbook[[#This Row],[UDC]],TableMJRUSCBI1[],7,FALSE),"")</f>
        <v/>
      </c>
      <c r="AI384" s="209" t="str">
        <f>IFERROR(VLOOKUP(TableHandbook[[#This Row],[UDC]],TableMJRUSCCH1[],7,FALSE),"")</f>
        <v/>
      </c>
      <c r="AJ384" s="209" t="str">
        <f>IFERROR(VLOOKUP(TableHandbook[[#This Row],[UDC]],TableMJRUSCHB1[],7,FALSE),"")</f>
        <v/>
      </c>
      <c r="AK384" s="209" t="str">
        <f>IFERROR(VLOOKUP(TableHandbook[[#This Row],[UDC]],TableMJRUSCPH1[],7,FALSE),"")</f>
        <v/>
      </c>
      <c r="AL384" s="209" t="str">
        <f>IFERROR(VLOOKUP(TableHandbook[[#This Row],[UDC]],TableMJRUSCPS1[],7,FALSE),"")</f>
        <v/>
      </c>
      <c r="AM384" s="211" t="str">
        <f>IFERROR(VLOOKUP(TableHandbook[[#This Row],[UDC]],TableSTRUBIOLB[],7,FALSE),"")</f>
        <v/>
      </c>
      <c r="AN384" s="209" t="str">
        <f>IFERROR(VLOOKUP(TableHandbook[[#This Row],[UDC]],TableSTRUBSCIM[],7,FALSE),"")</f>
        <v/>
      </c>
      <c r="AO384" s="209" t="str">
        <f>IFERROR(VLOOKUP(TableHandbook[[#This Row],[UDC]],TableSTRUCHEMB[],7,FALSE),"")</f>
        <v/>
      </c>
      <c r="AP384" s="209" t="str">
        <f>IFERROR(VLOOKUP(TableHandbook[[#This Row],[UDC]],TableSTRUECOB1[],7,FALSE),"")</f>
        <v/>
      </c>
      <c r="AQ384" s="209" t="str">
        <f>IFERROR(VLOOKUP(TableHandbook[[#This Row],[UDC]],TableSTRUENGLB[],7,FALSE),"")</f>
        <v/>
      </c>
      <c r="AR384" s="209" t="str">
        <f>IFERROR(VLOOKUP(TableHandbook[[#This Row],[UDC]],TableSTRUENGLM[],7,FALSE),"")</f>
        <v/>
      </c>
      <c r="AS384" s="209" t="str">
        <f>IFERROR(VLOOKUP(TableHandbook[[#This Row],[UDC]],TableSTRUGEOB1[],7,FALSE),"")</f>
        <v/>
      </c>
      <c r="AT384" s="209" t="str">
        <f>IFERROR(VLOOKUP(TableHandbook[[#This Row],[UDC]],TableSTRUGEOGM[],7,FALSE),"")</f>
        <v/>
      </c>
      <c r="AU384" s="209" t="str">
        <f>IFERROR(VLOOKUP(TableHandbook[[#This Row],[UDC]],TableSTRUHISB1[],7,FALSE),"")</f>
        <v/>
      </c>
      <c r="AV384" s="209" t="str">
        <f>IFERROR(VLOOKUP(TableHandbook[[#This Row],[UDC]],TableSTRUHISTM[],7,FALSE),"")</f>
        <v/>
      </c>
      <c r="AW384" s="209" t="str">
        <f>IFERROR(VLOOKUP(TableHandbook[[#This Row],[UDC]],TableSTRUHPEB1[],7,FALSE),"")</f>
        <v/>
      </c>
      <c r="AX384" s="209" t="str">
        <f>IFERROR(VLOOKUP(TableHandbook[[#This Row],[UDC]],TableSTRUHUMBB[],7,FALSE),"")</f>
        <v/>
      </c>
      <c r="AY384" s="209" t="str">
        <f>IFERROR(VLOOKUP(TableHandbook[[#This Row],[UDC]],TableSTRUMARTM[],7,FALSE),"")</f>
        <v/>
      </c>
      <c r="AZ384" s="209" t="str">
        <f>IFERROR(VLOOKUP(TableHandbook[[#This Row],[UDC]],TableSTRUMATHB[],7,FALSE),"")</f>
        <v/>
      </c>
      <c r="BA384" s="209" t="str">
        <f>IFERROR(VLOOKUP(TableHandbook[[#This Row],[UDC]],TableSTRUMATHM[],7,FALSE),"")</f>
        <v/>
      </c>
      <c r="BB384" s="209" t="str">
        <f>IFERROR(VLOOKUP(TableHandbook[[#This Row],[UDC]],TableSTRUPARTB[],7,FALSE),"")</f>
        <v/>
      </c>
      <c r="BC384" s="209" t="str">
        <f>IFERROR(VLOOKUP(TableHandbook[[#This Row],[UDC]],TableSTRUPARTM[],7,FALSE),"")</f>
        <v/>
      </c>
      <c r="BD384" s="209" t="str">
        <f>IFERROR(VLOOKUP(TableHandbook[[#This Row],[UDC]],TableSTRUPOLB1[],7,FALSE),"")</f>
        <v/>
      </c>
      <c r="BE384" s="209" t="str">
        <f>IFERROR(VLOOKUP(TableHandbook[[#This Row],[UDC]],TableSTRUPSYCB[],7,FALSE),"")</f>
        <v/>
      </c>
      <c r="BF384" s="209" t="str">
        <f>IFERROR(VLOOKUP(TableHandbook[[#This Row],[UDC]],TableSTRUPSYCM[],7,FALSE),"")</f>
        <v/>
      </c>
      <c r="BG384" s="209" t="str">
        <f>IFERROR(VLOOKUP(TableHandbook[[#This Row],[UDC]],TableSTRUVARTB[],7,FALSE),"")</f>
        <v/>
      </c>
      <c r="BH384" s="209" t="str">
        <f>IFERROR(VLOOKUP(TableHandbook[[#This Row],[UDC]],TableSTRUVARTM[],7,FALSE),"")</f>
        <v/>
      </c>
    </row>
    <row r="385" spans="1:60" x14ac:dyDescent="0.25">
      <c r="A385" s="296" t="s">
        <v>609</v>
      </c>
      <c r="B385" s="7">
        <v>2</v>
      </c>
      <c r="C385" s="7"/>
      <c r="D385" s="207" t="s">
        <v>1180</v>
      </c>
      <c r="E385" s="7">
        <v>25</v>
      </c>
      <c r="F385" s="311" t="s">
        <v>830</v>
      </c>
      <c r="G385" s="75" t="str">
        <f>IFERROR(IF(VLOOKUP(TableHandbook[[#This Row],[UDC]],TableAvailabilities[],2,FALSE)&gt;0,"Y",""),"")</f>
        <v>Y</v>
      </c>
      <c r="H385" s="75" t="str">
        <f>IFERROR(IF(VLOOKUP(TableHandbook[[#This Row],[UDC]],TableAvailabilities[],3,FALSE)&gt;0,"Y",""),"")</f>
        <v/>
      </c>
      <c r="I385" s="75" t="str">
        <f>IFERROR(IF(VLOOKUP(TableHandbook[[#This Row],[UDC]],TableAvailabilities[],4,FALSE)&gt;0,"Y",""),"")</f>
        <v/>
      </c>
      <c r="J385" s="75" t="str">
        <f>IFERROR(IF(VLOOKUP(TableHandbook[[#This Row],[UDC]],TableAvailabilities[],5,FALSE)&gt;0,"Y",""),"")</f>
        <v/>
      </c>
      <c r="K385" s="75" t="str">
        <f>IFERROR(IF(VLOOKUP(TableHandbook[[#This Row],[UDC]],TableAvailabilities[],6,FALSE)&gt;0,"Y",""),"")</f>
        <v/>
      </c>
      <c r="L385" s="75" t="str">
        <f>IFERROR(IF(VLOOKUP(TableHandbook[[#This Row],[UDC]],TableAvailabilities[],7,FALSE)&gt;0,"Y",""),"")</f>
        <v/>
      </c>
      <c r="M385" s="207"/>
      <c r="N385" s="209" t="str">
        <f>IFERROR(VLOOKUP(TableHandbook[[#This Row],[UDC]],TableBEDUC[],7,FALSE),"")</f>
        <v/>
      </c>
      <c r="O385" s="209" t="str">
        <f>IFERROR(VLOOKUP(TableHandbook[[#This Row],[UDC]],TableBEDEC[],7,FALSE),"")</f>
        <v/>
      </c>
      <c r="P385" s="211" t="str">
        <f>IFERROR(VLOOKUP(TableHandbook[[#This Row],[UDC]],TableBEDPR[],7,FALSE),"")</f>
        <v/>
      </c>
      <c r="Q385" s="209" t="str">
        <f>IFERROR(VLOOKUP(TableHandbook[[#This Row],[UDC]],TableSTRUCATHL[],7,FALSE),"")</f>
        <v/>
      </c>
      <c r="R385" s="209" t="str">
        <f>IFERROR(VLOOKUP(TableHandbook[[#This Row],[UDC]],TableSTRUENGLL[],7,FALSE),"")</f>
        <v/>
      </c>
      <c r="S385" s="209" t="str">
        <f>IFERROR(VLOOKUP(TableHandbook[[#This Row],[UDC]],TableSTRUHLTPE[],7,FALSE),"")</f>
        <v/>
      </c>
      <c r="T385" s="209" t="str">
        <f>IFERROR(VLOOKUP(TableHandbook[[#This Row],[UDC]],TableSTRUISTEM[],7,FALSE),"")</f>
        <v/>
      </c>
      <c r="U385" s="209" t="str">
        <f>IFERROR(VLOOKUP(TableHandbook[[#This Row],[UDC]],TableSTRULITNU[],7,FALSE),"")</f>
        <v/>
      </c>
      <c r="V385" s="209" t="str">
        <f>IFERROR(VLOOKUP(TableHandbook[[#This Row],[UDC]],TableSTRUTECHS[],7,FALSE),"")</f>
        <v/>
      </c>
      <c r="W385" s="211" t="str">
        <f>IFERROR(VLOOKUP(TableHandbook[[#This Row],[UDC]],TableBEDSC[],7,FALSE),"")</f>
        <v/>
      </c>
      <c r="X385" s="211" t="str">
        <f>IFERROR(VLOOKUP(TableHandbook[[#This Row],[UDC]],TableMJRUARDR1[],7,FALSE),"")</f>
        <v/>
      </c>
      <c r="Y385" s="209" t="str">
        <f>IFERROR(VLOOKUP(TableHandbook[[#This Row],[UDC]],TableMJRUARME1[],7,FALSE),"")</f>
        <v/>
      </c>
      <c r="Z385" s="209" t="str">
        <f>IFERROR(VLOOKUP(TableHandbook[[#This Row],[UDC]],TableMJRUARVA1[],7,FALSE),"")</f>
        <v>Option</v>
      </c>
      <c r="AA385" s="209" t="str">
        <f>IFERROR(VLOOKUP(TableHandbook[[#This Row],[UDC]],TableMJRUENGL1[],7,FALSE),"")</f>
        <v/>
      </c>
      <c r="AB385" s="209" t="str">
        <f>IFERROR(VLOOKUP(TableHandbook[[#This Row],[UDC]],TableMJRUHSEC1[],7,FALSE),"")</f>
        <v/>
      </c>
      <c r="AC385" s="209" t="str">
        <f>IFERROR(VLOOKUP(TableHandbook[[#This Row],[UDC]],TableMJRUHSGE1[],7,FALSE),"")</f>
        <v/>
      </c>
      <c r="AD385" s="209" t="str">
        <f>IFERROR(VLOOKUP(TableHandbook[[#This Row],[UDC]],TableMJRUHSHI1[],7,FALSE),"")</f>
        <v/>
      </c>
      <c r="AE385" s="209" t="str">
        <f>IFERROR(VLOOKUP(TableHandbook[[#This Row],[UDC]],TableMJRUHSPL1[],7,FALSE),"")</f>
        <v/>
      </c>
      <c r="AF385" s="209" t="str">
        <f>IFERROR(VLOOKUP(TableHandbook[[#This Row],[UDC]],TableMJRUMATH1[],7,FALSE),"")</f>
        <v/>
      </c>
      <c r="AG385" s="209" t="str">
        <f>IFERROR(VLOOKUP(TableHandbook[[#This Row],[UDC]],TableMJRUPHYSE[],7,FALSE),"")</f>
        <v/>
      </c>
      <c r="AH385" s="209" t="str">
        <f>IFERROR(VLOOKUP(TableHandbook[[#This Row],[UDC]],TableMJRUSCBI1[],7,FALSE),"")</f>
        <v/>
      </c>
      <c r="AI385" s="209" t="str">
        <f>IFERROR(VLOOKUP(TableHandbook[[#This Row],[UDC]],TableMJRUSCCH1[],7,FALSE),"")</f>
        <v/>
      </c>
      <c r="AJ385" s="209" t="str">
        <f>IFERROR(VLOOKUP(TableHandbook[[#This Row],[UDC]],TableMJRUSCHB1[],7,FALSE),"")</f>
        <v/>
      </c>
      <c r="AK385" s="209" t="str">
        <f>IFERROR(VLOOKUP(TableHandbook[[#This Row],[UDC]],TableMJRUSCPH1[],7,FALSE),"")</f>
        <v/>
      </c>
      <c r="AL385" s="209" t="str">
        <f>IFERROR(VLOOKUP(TableHandbook[[#This Row],[UDC]],TableMJRUSCPS1[],7,FALSE),"")</f>
        <v/>
      </c>
      <c r="AM385" s="211" t="str">
        <f>IFERROR(VLOOKUP(TableHandbook[[#This Row],[UDC]],TableSTRUBIOLB[],7,FALSE),"")</f>
        <v/>
      </c>
      <c r="AN385" s="209" t="str">
        <f>IFERROR(VLOOKUP(TableHandbook[[#This Row],[UDC]],TableSTRUBSCIM[],7,FALSE),"")</f>
        <v/>
      </c>
      <c r="AO385" s="209" t="str">
        <f>IFERROR(VLOOKUP(TableHandbook[[#This Row],[UDC]],TableSTRUCHEMB[],7,FALSE),"")</f>
        <v/>
      </c>
      <c r="AP385" s="209" t="str">
        <f>IFERROR(VLOOKUP(TableHandbook[[#This Row],[UDC]],TableSTRUECOB1[],7,FALSE),"")</f>
        <v/>
      </c>
      <c r="AQ385" s="209" t="str">
        <f>IFERROR(VLOOKUP(TableHandbook[[#This Row],[UDC]],TableSTRUENGLB[],7,FALSE),"")</f>
        <v/>
      </c>
      <c r="AR385" s="209" t="str">
        <f>IFERROR(VLOOKUP(TableHandbook[[#This Row],[UDC]],TableSTRUENGLM[],7,FALSE),"")</f>
        <v/>
      </c>
      <c r="AS385" s="209" t="str">
        <f>IFERROR(VLOOKUP(TableHandbook[[#This Row],[UDC]],TableSTRUGEOB1[],7,FALSE),"")</f>
        <v/>
      </c>
      <c r="AT385" s="209" t="str">
        <f>IFERROR(VLOOKUP(TableHandbook[[#This Row],[UDC]],TableSTRUGEOGM[],7,FALSE),"")</f>
        <v/>
      </c>
      <c r="AU385" s="209" t="str">
        <f>IFERROR(VLOOKUP(TableHandbook[[#This Row],[UDC]],TableSTRUHISB1[],7,FALSE),"")</f>
        <v/>
      </c>
      <c r="AV385" s="209" t="str">
        <f>IFERROR(VLOOKUP(TableHandbook[[#This Row],[UDC]],TableSTRUHISTM[],7,FALSE),"")</f>
        <v/>
      </c>
      <c r="AW385" s="209" t="str">
        <f>IFERROR(VLOOKUP(TableHandbook[[#This Row],[UDC]],TableSTRUHPEB1[],7,FALSE),"")</f>
        <v/>
      </c>
      <c r="AX385" s="209" t="str">
        <f>IFERROR(VLOOKUP(TableHandbook[[#This Row],[UDC]],TableSTRUHUMBB[],7,FALSE),"")</f>
        <v/>
      </c>
      <c r="AY385" s="209" t="str">
        <f>IFERROR(VLOOKUP(TableHandbook[[#This Row],[UDC]],TableSTRUMARTM[],7,FALSE),"")</f>
        <v/>
      </c>
      <c r="AZ385" s="209" t="str">
        <f>IFERROR(VLOOKUP(TableHandbook[[#This Row],[UDC]],TableSTRUMATHB[],7,FALSE),"")</f>
        <v/>
      </c>
      <c r="BA385" s="209" t="str">
        <f>IFERROR(VLOOKUP(TableHandbook[[#This Row],[UDC]],TableSTRUMATHM[],7,FALSE),"")</f>
        <v/>
      </c>
      <c r="BB385" s="209" t="str">
        <f>IFERROR(VLOOKUP(TableHandbook[[#This Row],[UDC]],TableSTRUPARTB[],7,FALSE),"")</f>
        <v/>
      </c>
      <c r="BC385" s="209" t="str">
        <f>IFERROR(VLOOKUP(TableHandbook[[#This Row],[UDC]],TableSTRUPARTM[],7,FALSE),"")</f>
        <v/>
      </c>
      <c r="BD385" s="209" t="str">
        <f>IFERROR(VLOOKUP(TableHandbook[[#This Row],[UDC]],TableSTRUPOLB1[],7,FALSE),"")</f>
        <v/>
      </c>
      <c r="BE385" s="209" t="str">
        <f>IFERROR(VLOOKUP(TableHandbook[[#This Row],[UDC]],TableSTRUPSYCB[],7,FALSE),"")</f>
        <v/>
      </c>
      <c r="BF385" s="209" t="str">
        <f>IFERROR(VLOOKUP(TableHandbook[[#This Row],[UDC]],TableSTRUPSYCM[],7,FALSE),"")</f>
        <v/>
      </c>
      <c r="BG385" s="209" t="str">
        <f>IFERROR(VLOOKUP(TableHandbook[[#This Row],[UDC]],TableSTRUVARTB[],7,FALSE),"")</f>
        <v/>
      </c>
      <c r="BH385" s="209" t="str">
        <f>IFERROR(VLOOKUP(TableHandbook[[#This Row],[UDC]],TableSTRUVARTM[],7,FALSE),"")</f>
        <v>Core</v>
      </c>
    </row>
    <row r="386" spans="1:60" x14ac:dyDescent="0.25">
      <c r="A386" s="296" t="s">
        <v>616</v>
      </c>
      <c r="B386" s="7">
        <v>2</v>
      </c>
      <c r="C386" s="7"/>
      <c r="D386" s="207" t="s">
        <v>1181</v>
      </c>
      <c r="E386" s="7">
        <v>25</v>
      </c>
      <c r="F386" s="311" t="s">
        <v>830</v>
      </c>
      <c r="G386" s="75" t="str">
        <f>IFERROR(IF(VLOOKUP(TableHandbook[[#This Row],[UDC]],TableAvailabilities[],2,FALSE)&gt;0,"Y",""),"")</f>
        <v>Y</v>
      </c>
      <c r="H386" s="75" t="str">
        <f>IFERROR(IF(VLOOKUP(TableHandbook[[#This Row],[UDC]],TableAvailabilities[],3,FALSE)&gt;0,"Y",""),"")</f>
        <v/>
      </c>
      <c r="I386" s="75" t="str">
        <f>IFERROR(IF(VLOOKUP(TableHandbook[[#This Row],[UDC]],TableAvailabilities[],4,FALSE)&gt;0,"Y",""),"")</f>
        <v/>
      </c>
      <c r="J386" s="75" t="str">
        <f>IFERROR(IF(VLOOKUP(TableHandbook[[#This Row],[UDC]],TableAvailabilities[],5,FALSE)&gt;0,"Y",""),"")</f>
        <v/>
      </c>
      <c r="K386" s="75" t="str">
        <f>IFERROR(IF(VLOOKUP(TableHandbook[[#This Row],[UDC]],TableAvailabilities[],6,FALSE)&gt;0,"Y",""),"")</f>
        <v/>
      </c>
      <c r="L386" s="75" t="str">
        <f>IFERROR(IF(VLOOKUP(TableHandbook[[#This Row],[UDC]],TableAvailabilities[],7,FALSE)&gt;0,"Y",""),"")</f>
        <v/>
      </c>
      <c r="M386" s="207"/>
      <c r="N386" s="209" t="str">
        <f>IFERROR(VLOOKUP(TableHandbook[[#This Row],[UDC]],TableBEDUC[],7,FALSE),"")</f>
        <v/>
      </c>
      <c r="O386" s="209" t="str">
        <f>IFERROR(VLOOKUP(TableHandbook[[#This Row],[UDC]],TableBEDEC[],7,FALSE),"")</f>
        <v/>
      </c>
      <c r="P386" s="211" t="str">
        <f>IFERROR(VLOOKUP(TableHandbook[[#This Row],[UDC]],TableBEDPR[],7,FALSE),"")</f>
        <v/>
      </c>
      <c r="Q386" s="209" t="str">
        <f>IFERROR(VLOOKUP(TableHandbook[[#This Row],[UDC]],TableSTRUCATHL[],7,FALSE),"")</f>
        <v/>
      </c>
      <c r="R386" s="209" t="str">
        <f>IFERROR(VLOOKUP(TableHandbook[[#This Row],[UDC]],TableSTRUENGLL[],7,FALSE),"")</f>
        <v/>
      </c>
      <c r="S386" s="209" t="str">
        <f>IFERROR(VLOOKUP(TableHandbook[[#This Row],[UDC]],TableSTRUHLTPE[],7,FALSE),"")</f>
        <v/>
      </c>
      <c r="T386" s="209" t="str">
        <f>IFERROR(VLOOKUP(TableHandbook[[#This Row],[UDC]],TableSTRUISTEM[],7,FALSE),"")</f>
        <v/>
      </c>
      <c r="U386" s="209" t="str">
        <f>IFERROR(VLOOKUP(TableHandbook[[#This Row],[UDC]],TableSTRULITNU[],7,FALSE),"")</f>
        <v/>
      </c>
      <c r="V386" s="209" t="str">
        <f>IFERROR(VLOOKUP(TableHandbook[[#This Row],[UDC]],TableSTRUTECHS[],7,FALSE),"")</f>
        <v/>
      </c>
      <c r="W386" s="211" t="str">
        <f>IFERROR(VLOOKUP(TableHandbook[[#This Row],[UDC]],TableBEDSC[],7,FALSE),"")</f>
        <v/>
      </c>
      <c r="X386" s="211" t="str">
        <f>IFERROR(VLOOKUP(TableHandbook[[#This Row],[UDC]],TableMJRUARDR1[],7,FALSE),"")</f>
        <v/>
      </c>
      <c r="Y386" s="209" t="str">
        <f>IFERROR(VLOOKUP(TableHandbook[[#This Row],[UDC]],TableMJRUARME1[],7,FALSE),"")</f>
        <v/>
      </c>
      <c r="Z386" s="209" t="str">
        <f>IFERROR(VLOOKUP(TableHandbook[[#This Row],[UDC]],TableMJRUARVA1[],7,FALSE),"")</f>
        <v>Option</v>
      </c>
      <c r="AA386" s="209" t="str">
        <f>IFERROR(VLOOKUP(TableHandbook[[#This Row],[UDC]],TableMJRUENGL1[],7,FALSE),"")</f>
        <v/>
      </c>
      <c r="AB386" s="209" t="str">
        <f>IFERROR(VLOOKUP(TableHandbook[[#This Row],[UDC]],TableMJRUHSEC1[],7,FALSE),"")</f>
        <v/>
      </c>
      <c r="AC386" s="209" t="str">
        <f>IFERROR(VLOOKUP(TableHandbook[[#This Row],[UDC]],TableMJRUHSGE1[],7,FALSE),"")</f>
        <v/>
      </c>
      <c r="AD386" s="209" t="str">
        <f>IFERROR(VLOOKUP(TableHandbook[[#This Row],[UDC]],TableMJRUHSHI1[],7,FALSE),"")</f>
        <v/>
      </c>
      <c r="AE386" s="209" t="str">
        <f>IFERROR(VLOOKUP(TableHandbook[[#This Row],[UDC]],TableMJRUHSPL1[],7,FALSE),"")</f>
        <v/>
      </c>
      <c r="AF386" s="209" t="str">
        <f>IFERROR(VLOOKUP(TableHandbook[[#This Row],[UDC]],TableMJRUMATH1[],7,FALSE),"")</f>
        <v/>
      </c>
      <c r="AG386" s="209" t="str">
        <f>IFERROR(VLOOKUP(TableHandbook[[#This Row],[UDC]],TableMJRUPHYSE[],7,FALSE),"")</f>
        <v/>
      </c>
      <c r="AH386" s="209" t="str">
        <f>IFERROR(VLOOKUP(TableHandbook[[#This Row],[UDC]],TableMJRUSCBI1[],7,FALSE),"")</f>
        <v/>
      </c>
      <c r="AI386" s="209" t="str">
        <f>IFERROR(VLOOKUP(TableHandbook[[#This Row],[UDC]],TableMJRUSCCH1[],7,FALSE),"")</f>
        <v/>
      </c>
      <c r="AJ386" s="209" t="str">
        <f>IFERROR(VLOOKUP(TableHandbook[[#This Row],[UDC]],TableMJRUSCHB1[],7,FALSE),"")</f>
        <v/>
      </c>
      <c r="AK386" s="209" t="str">
        <f>IFERROR(VLOOKUP(TableHandbook[[#This Row],[UDC]],TableMJRUSCPH1[],7,FALSE),"")</f>
        <v/>
      </c>
      <c r="AL386" s="209" t="str">
        <f>IFERROR(VLOOKUP(TableHandbook[[#This Row],[UDC]],TableMJRUSCPS1[],7,FALSE),"")</f>
        <v/>
      </c>
      <c r="AM386" s="211" t="str">
        <f>IFERROR(VLOOKUP(TableHandbook[[#This Row],[UDC]],TableSTRUBIOLB[],7,FALSE),"")</f>
        <v/>
      </c>
      <c r="AN386" s="209" t="str">
        <f>IFERROR(VLOOKUP(TableHandbook[[#This Row],[UDC]],TableSTRUBSCIM[],7,FALSE),"")</f>
        <v/>
      </c>
      <c r="AO386" s="209" t="str">
        <f>IFERROR(VLOOKUP(TableHandbook[[#This Row],[UDC]],TableSTRUCHEMB[],7,FALSE),"")</f>
        <v/>
      </c>
      <c r="AP386" s="209" t="str">
        <f>IFERROR(VLOOKUP(TableHandbook[[#This Row],[UDC]],TableSTRUECOB1[],7,FALSE),"")</f>
        <v/>
      </c>
      <c r="AQ386" s="209" t="str">
        <f>IFERROR(VLOOKUP(TableHandbook[[#This Row],[UDC]],TableSTRUENGLB[],7,FALSE),"")</f>
        <v/>
      </c>
      <c r="AR386" s="209" t="str">
        <f>IFERROR(VLOOKUP(TableHandbook[[#This Row],[UDC]],TableSTRUENGLM[],7,FALSE),"")</f>
        <v/>
      </c>
      <c r="AS386" s="209" t="str">
        <f>IFERROR(VLOOKUP(TableHandbook[[#This Row],[UDC]],TableSTRUGEOB1[],7,FALSE),"")</f>
        <v/>
      </c>
      <c r="AT386" s="209" t="str">
        <f>IFERROR(VLOOKUP(TableHandbook[[#This Row],[UDC]],TableSTRUGEOGM[],7,FALSE),"")</f>
        <v/>
      </c>
      <c r="AU386" s="209" t="str">
        <f>IFERROR(VLOOKUP(TableHandbook[[#This Row],[UDC]],TableSTRUHISB1[],7,FALSE),"")</f>
        <v/>
      </c>
      <c r="AV386" s="209" t="str">
        <f>IFERROR(VLOOKUP(TableHandbook[[#This Row],[UDC]],TableSTRUHISTM[],7,FALSE),"")</f>
        <v/>
      </c>
      <c r="AW386" s="209" t="str">
        <f>IFERROR(VLOOKUP(TableHandbook[[#This Row],[UDC]],TableSTRUHPEB1[],7,FALSE),"")</f>
        <v/>
      </c>
      <c r="AX386" s="209" t="str">
        <f>IFERROR(VLOOKUP(TableHandbook[[#This Row],[UDC]],TableSTRUHUMBB[],7,FALSE),"")</f>
        <v/>
      </c>
      <c r="AY386" s="209" t="str">
        <f>IFERROR(VLOOKUP(TableHandbook[[#This Row],[UDC]],TableSTRUMARTM[],7,FALSE),"")</f>
        <v/>
      </c>
      <c r="AZ386" s="209" t="str">
        <f>IFERROR(VLOOKUP(TableHandbook[[#This Row],[UDC]],TableSTRUMATHB[],7,FALSE),"")</f>
        <v/>
      </c>
      <c r="BA386" s="209" t="str">
        <f>IFERROR(VLOOKUP(TableHandbook[[#This Row],[UDC]],TableSTRUMATHM[],7,FALSE),"")</f>
        <v/>
      </c>
      <c r="BB386" s="209" t="str">
        <f>IFERROR(VLOOKUP(TableHandbook[[#This Row],[UDC]],TableSTRUPARTB[],7,FALSE),"")</f>
        <v/>
      </c>
      <c r="BC386" s="209" t="str">
        <f>IFERROR(VLOOKUP(TableHandbook[[#This Row],[UDC]],TableSTRUPARTM[],7,FALSE),"")</f>
        <v/>
      </c>
      <c r="BD386" s="209" t="str">
        <f>IFERROR(VLOOKUP(TableHandbook[[#This Row],[UDC]],TableSTRUPOLB1[],7,FALSE),"")</f>
        <v/>
      </c>
      <c r="BE386" s="209" t="str">
        <f>IFERROR(VLOOKUP(TableHandbook[[#This Row],[UDC]],TableSTRUPSYCB[],7,FALSE),"")</f>
        <v/>
      </c>
      <c r="BF386" s="209" t="str">
        <f>IFERROR(VLOOKUP(TableHandbook[[#This Row],[UDC]],TableSTRUPSYCM[],7,FALSE),"")</f>
        <v/>
      </c>
      <c r="BG386" s="209" t="str">
        <f>IFERROR(VLOOKUP(TableHandbook[[#This Row],[UDC]],TableSTRUVARTB[],7,FALSE),"")</f>
        <v/>
      </c>
      <c r="BH386" s="209" t="str">
        <f>IFERROR(VLOOKUP(TableHandbook[[#This Row],[UDC]],TableSTRUVARTM[],7,FALSE),"")</f>
        <v/>
      </c>
    </row>
    <row r="387" spans="1:60" ht="39" x14ac:dyDescent="0.25">
      <c r="A387" s="6" t="s">
        <v>495</v>
      </c>
      <c r="B387" s="7">
        <v>2</v>
      </c>
      <c r="C387" s="7"/>
      <c r="D387" s="207" t="s">
        <v>1182</v>
      </c>
      <c r="E387" s="7">
        <v>25</v>
      </c>
      <c r="F387" s="311" t="s">
        <v>1183</v>
      </c>
      <c r="G387" s="75" t="str">
        <f>IFERROR(IF(VLOOKUP(TableHandbook[[#This Row],[UDC]],TableAvailabilities[],2,FALSE)&gt;0,"Y",""),"")</f>
        <v/>
      </c>
      <c r="H387" s="75" t="str">
        <f>IFERROR(IF(VLOOKUP(TableHandbook[[#This Row],[UDC]],TableAvailabilities[],3,FALSE)&gt;0,"Y",""),"")</f>
        <v/>
      </c>
      <c r="I387" s="75" t="str">
        <f>IFERROR(IF(VLOOKUP(TableHandbook[[#This Row],[UDC]],TableAvailabilities[],4,FALSE)&gt;0,"Y",""),"")</f>
        <v/>
      </c>
      <c r="J387" s="75" t="str">
        <f>IFERROR(IF(VLOOKUP(TableHandbook[[#This Row],[UDC]],TableAvailabilities[],5,FALSE)&gt;0,"Y",""),"")</f>
        <v>Y</v>
      </c>
      <c r="K387" s="75" t="str">
        <f>IFERROR(IF(VLOOKUP(TableHandbook[[#This Row],[UDC]],TableAvailabilities[],6,FALSE)&gt;0,"Y",""),"")</f>
        <v/>
      </c>
      <c r="L387" s="75" t="str">
        <f>IFERROR(IF(VLOOKUP(TableHandbook[[#This Row],[UDC]],TableAvailabilities[],7,FALSE)&gt;0,"Y",""),"")</f>
        <v/>
      </c>
      <c r="M387" s="207" t="s">
        <v>1184</v>
      </c>
      <c r="N387" s="209" t="str">
        <f>IFERROR(VLOOKUP(TableHandbook[[#This Row],[UDC]],TableBEDUC[],7,FALSE),"")</f>
        <v/>
      </c>
      <c r="O387" s="209" t="str">
        <f>IFERROR(VLOOKUP(TableHandbook[[#This Row],[UDC]],TableBEDEC[],7,FALSE),"")</f>
        <v/>
      </c>
      <c r="P387" s="211" t="str">
        <f>IFERROR(VLOOKUP(TableHandbook[[#This Row],[UDC]],TableBEDPR[],7,FALSE),"")</f>
        <v/>
      </c>
      <c r="Q387" s="209" t="str">
        <f>IFERROR(VLOOKUP(TableHandbook[[#This Row],[UDC]],TableSTRUCATHL[],7,FALSE),"")</f>
        <v/>
      </c>
      <c r="R387" s="209" t="str">
        <f>IFERROR(VLOOKUP(TableHandbook[[#This Row],[UDC]],TableSTRUENGLL[],7,FALSE),"")</f>
        <v/>
      </c>
      <c r="S387" s="209" t="str">
        <f>IFERROR(VLOOKUP(TableHandbook[[#This Row],[UDC]],TableSTRUHLTPE[],7,FALSE),"")</f>
        <v/>
      </c>
      <c r="T387" s="209" t="str">
        <f>IFERROR(VLOOKUP(TableHandbook[[#This Row],[UDC]],TableSTRUISTEM[],7,FALSE),"")</f>
        <v/>
      </c>
      <c r="U387" s="209" t="str">
        <f>IFERROR(VLOOKUP(TableHandbook[[#This Row],[UDC]],TableSTRULITNU[],7,FALSE),"")</f>
        <v/>
      </c>
      <c r="V387" s="209" t="str">
        <f>IFERROR(VLOOKUP(TableHandbook[[#This Row],[UDC]],TableSTRUTECHS[],7,FALSE),"")</f>
        <v/>
      </c>
      <c r="W387" s="211" t="str">
        <f>IFERROR(VLOOKUP(TableHandbook[[#This Row],[UDC]],TableBEDSC[],7,FALSE),"")</f>
        <v/>
      </c>
      <c r="X387" s="211" t="str">
        <f>IFERROR(VLOOKUP(TableHandbook[[#This Row],[UDC]],TableMJRUARDR1[],7,FALSE),"")</f>
        <v/>
      </c>
      <c r="Y387" s="209" t="str">
        <f>IFERROR(VLOOKUP(TableHandbook[[#This Row],[UDC]],TableMJRUARME1[],7,FALSE),"")</f>
        <v/>
      </c>
      <c r="Z387" s="209" t="str">
        <f>IFERROR(VLOOKUP(TableHandbook[[#This Row],[UDC]],TableMJRUARVA1[],7,FALSE),"")</f>
        <v>Core</v>
      </c>
      <c r="AA387" s="209" t="str">
        <f>IFERROR(VLOOKUP(TableHandbook[[#This Row],[UDC]],TableMJRUENGL1[],7,FALSE),"")</f>
        <v/>
      </c>
      <c r="AB387" s="209" t="str">
        <f>IFERROR(VLOOKUP(TableHandbook[[#This Row],[UDC]],TableMJRUHSEC1[],7,FALSE),"")</f>
        <v/>
      </c>
      <c r="AC387" s="209" t="str">
        <f>IFERROR(VLOOKUP(TableHandbook[[#This Row],[UDC]],TableMJRUHSGE1[],7,FALSE),"")</f>
        <v/>
      </c>
      <c r="AD387" s="209" t="str">
        <f>IFERROR(VLOOKUP(TableHandbook[[#This Row],[UDC]],TableMJRUHSHI1[],7,FALSE),"")</f>
        <v/>
      </c>
      <c r="AE387" s="209" t="str">
        <f>IFERROR(VLOOKUP(TableHandbook[[#This Row],[UDC]],TableMJRUHSPL1[],7,FALSE),"")</f>
        <v/>
      </c>
      <c r="AF387" s="209" t="str">
        <f>IFERROR(VLOOKUP(TableHandbook[[#This Row],[UDC]],TableMJRUMATH1[],7,FALSE),"")</f>
        <v/>
      </c>
      <c r="AG387" s="209" t="str">
        <f>IFERROR(VLOOKUP(TableHandbook[[#This Row],[UDC]],TableMJRUPHYSE[],7,FALSE),"")</f>
        <v/>
      </c>
      <c r="AH387" s="209" t="str">
        <f>IFERROR(VLOOKUP(TableHandbook[[#This Row],[UDC]],TableMJRUSCBI1[],7,FALSE),"")</f>
        <v/>
      </c>
      <c r="AI387" s="209" t="str">
        <f>IFERROR(VLOOKUP(TableHandbook[[#This Row],[UDC]],TableMJRUSCCH1[],7,FALSE),"")</f>
        <v/>
      </c>
      <c r="AJ387" s="209" t="str">
        <f>IFERROR(VLOOKUP(TableHandbook[[#This Row],[UDC]],TableMJRUSCHB1[],7,FALSE),"")</f>
        <v/>
      </c>
      <c r="AK387" s="209" t="str">
        <f>IFERROR(VLOOKUP(TableHandbook[[#This Row],[UDC]],TableMJRUSCPH1[],7,FALSE),"")</f>
        <v/>
      </c>
      <c r="AL387" s="209" t="str">
        <f>IFERROR(VLOOKUP(TableHandbook[[#This Row],[UDC]],TableMJRUSCPS1[],7,FALSE),"")</f>
        <v/>
      </c>
      <c r="AM387" s="211" t="str">
        <f>IFERROR(VLOOKUP(TableHandbook[[#This Row],[UDC]],TableSTRUBIOLB[],7,FALSE),"")</f>
        <v/>
      </c>
      <c r="AN387" s="209" t="str">
        <f>IFERROR(VLOOKUP(TableHandbook[[#This Row],[UDC]],TableSTRUBSCIM[],7,FALSE),"")</f>
        <v/>
      </c>
      <c r="AO387" s="209" t="str">
        <f>IFERROR(VLOOKUP(TableHandbook[[#This Row],[UDC]],TableSTRUCHEMB[],7,FALSE),"")</f>
        <v/>
      </c>
      <c r="AP387" s="209" t="str">
        <f>IFERROR(VLOOKUP(TableHandbook[[#This Row],[UDC]],TableSTRUECOB1[],7,FALSE),"")</f>
        <v/>
      </c>
      <c r="AQ387" s="209" t="str">
        <f>IFERROR(VLOOKUP(TableHandbook[[#This Row],[UDC]],TableSTRUENGLB[],7,FALSE),"")</f>
        <v/>
      </c>
      <c r="AR387" s="209" t="str">
        <f>IFERROR(VLOOKUP(TableHandbook[[#This Row],[UDC]],TableSTRUENGLM[],7,FALSE),"")</f>
        <v/>
      </c>
      <c r="AS387" s="209" t="str">
        <f>IFERROR(VLOOKUP(TableHandbook[[#This Row],[UDC]],TableSTRUGEOB1[],7,FALSE),"")</f>
        <v/>
      </c>
      <c r="AT387" s="209" t="str">
        <f>IFERROR(VLOOKUP(TableHandbook[[#This Row],[UDC]],TableSTRUGEOGM[],7,FALSE),"")</f>
        <v/>
      </c>
      <c r="AU387" s="209" t="str">
        <f>IFERROR(VLOOKUP(TableHandbook[[#This Row],[UDC]],TableSTRUHISB1[],7,FALSE),"")</f>
        <v/>
      </c>
      <c r="AV387" s="209" t="str">
        <f>IFERROR(VLOOKUP(TableHandbook[[#This Row],[UDC]],TableSTRUHISTM[],7,FALSE),"")</f>
        <v/>
      </c>
      <c r="AW387" s="209" t="str">
        <f>IFERROR(VLOOKUP(TableHandbook[[#This Row],[UDC]],TableSTRUHPEB1[],7,FALSE),"")</f>
        <v/>
      </c>
      <c r="AX387" s="209" t="str">
        <f>IFERROR(VLOOKUP(TableHandbook[[#This Row],[UDC]],TableSTRUHUMBB[],7,FALSE),"")</f>
        <v/>
      </c>
      <c r="AY387" s="209" t="str">
        <f>IFERROR(VLOOKUP(TableHandbook[[#This Row],[UDC]],TableSTRUMARTM[],7,FALSE),"")</f>
        <v/>
      </c>
      <c r="AZ387" s="209" t="str">
        <f>IFERROR(VLOOKUP(TableHandbook[[#This Row],[UDC]],TableSTRUMATHB[],7,FALSE),"")</f>
        <v/>
      </c>
      <c r="BA387" s="209" t="str">
        <f>IFERROR(VLOOKUP(TableHandbook[[#This Row],[UDC]],TableSTRUMATHM[],7,FALSE),"")</f>
        <v/>
      </c>
      <c r="BB387" s="209" t="str">
        <f>IFERROR(VLOOKUP(TableHandbook[[#This Row],[UDC]],TableSTRUPARTB[],7,FALSE),"")</f>
        <v/>
      </c>
      <c r="BC387" s="209" t="str">
        <f>IFERROR(VLOOKUP(TableHandbook[[#This Row],[UDC]],TableSTRUPARTM[],7,FALSE),"")</f>
        <v/>
      </c>
      <c r="BD387" s="209" t="str">
        <f>IFERROR(VLOOKUP(TableHandbook[[#This Row],[UDC]],TableSTRUPOLB1[],7,FALSE),"")</f>
        <v/>
      </c>
      <c r="BE387" s="209" t="str">
        <f>IFERROR(VLOOKUP(TableHandbook[[#This Row],[UDC]],TableSTRUPSYCB[],7,FALSE),"")</f>
        <v/>
      </c>
      <c r="BF387" s="209" t="str">
        <f>IFERROR(VLOOKUP(TableHandbook[[#This Row],[UDC]],TableSTRUPSYCM[],7,FALSE),"")</f>
        <v/>
      </c>
      <c r="BG387" s="209" t="str">
        <f>IFERROR(VLOOKUP(TableHandbook[[#This Row],[UDC]],TableSTRUVARTB[],7,FALSE),"")</f>
        <v/>
      </c>
      <c r="BH387" s="209" t="str">
        <f>IFERROR(VLOOKUP(TableHandbook[[#This Row],[UDC]],TableSTRUVARTM[],7,FALSE),"")</f>
        <v/>
      </c>
    </row>
    <row r="388" spans="1:60" ht="64.5" x14ac:dyDescent="0.25">
      <c r="A388" s="6" t="s">
        <v>745</v>
      </c>
      <c r="B388" s="7">
        <v>2</v>
      </c>
      <c r="C388" s="7"/>
      <c r="D388" s="207" t="s">
        <v>1185</v>
      </c>
      <c r="E388" s="7">
        <v>25</v>
      </c>
      <c r="F388" s="309" t="s">
        <v>1186</v>
      </c>
      <c r="G388" s="75" t="str">
        <f>IFERROR(IF(VLOOKUP(TableHandbook[[#This Row],[UDC]],TableAvailabilities[],2,FALSE)&gt;0,"Y",""),"")</f>
        <v/>
      </c>
      <c r="H388" s="75" t="str">
        <f>IFERROR(IF(VLOOKUP(TableHandbook[[#This Row],[UDC]],TableAvailabilities[],3,FALSE)&gt;0,"Y",""),"")</f>
        <v/>
      </c>
      <c r="I388" s="75" t="str">
        <f>IFERROR(IF(VLOOKUP(TableHandbook[[#This Row],[UDC]],TableAvailabilities[],4,FALSE)&gt;0,"Y",""),"")</f>
        <v/>
      </c>
      <c r="J388" s="75" t="str">
        <f>IFERROR(IF(VLOOKUP(TableHandbook[[#This Row],[UDC]],TableAvailabilities[],5,FALSE)&gt;0,"Y",""),"")</f>
        <v>Y</v>
      </c>
      <c r="K388" s="75" t="str">
        <f>IFERROR(IF(VLOOKUP(TableHandbook[[#This Row],[UDC]],TableAvailabilities[],6,FALSE)&gt;0,"Y",""),"")</f>
        <v/>
      </c>
      <c r="L388" s="75" t="str">
        <f>IFERROR(IF(VLOOKUP(TableHandbook[[#This Row],[UDC]],TableAvailabilities[],7,FALSE)&gt;0,"Y",""),"")</f>
        <v/>
      </c>
      <c r="M388" s="309" t="s">
        <v>1187</v>
      </c>
      <c r="N388" s="209" t="str">
        <f>IFERROR(VLOOKUP(TableHandbook[[#This Row],[UDC]],TableBEDUC[],7,FALSE),"")</f>
        <v/>
      </c>
      <c r="O388" s="209" t="str">
        <f>IFERROR(VLOOKUP(TableHandbook[[#This Row],[UDC]],TableBEDEC[],7,FALSE),"")</f>
        <v/>
      </c>
      <c r="P388" s="211" t="str">
        <f>IFERROR(VLOOKUP(TableHandbook[[#This Row],[UDC]],TableBEDPR[],7,FALSE),"")</f>
        <v/>
      </c>
      <c r="Q388" s="209" t="str">
        <f>IFERROR(VLOOKUP(TableHandbook[[#This Row],[UDC]],TableSTRUCATHL[],7,FALSE),"")</f>
        <v/>
      </c>
      <c r="R388" s="209" t="str">
        <f>IFERROR(VLOOKUP(TableHandbook[[#This Row],[UDC]],TableSTRUENGLL[],7,FALSE),"")</f>
        <v/>
      </c>
      <c r="S388" s="209" t="str">
        <f>IFERROR(VLOOKUP(TableHandbook[[#This Row],[UDC]],TableSTRUHLTPE[],7,FALSE),"")</f>
        <v/>
      </c>
      <c r="T388" s="209" t="str">
        <f>IFERROR(VLOOKUP(TableHandbook[[#This Row],[UDC]],TableSTRUISTEM[],7,FALSE),"")</f>
        <v/>
      </c>
      <c r="U388" s="209" t="str">
        <f>IFERROR(VLOOKUP(TableHandbook[[#This Row],[UDC]],TableSTRULITNU[],7,FALSE),"")</f>
        <v/>
      </c>
      <c r="V388" s="209" t="str">
        <f>IFERROR(VLOOKUP(TableHandbook[[#This Row],[UDC]],TableSTRUTECHS[],7,FALSE),"")</f>
        <v/>
      </c>
      <c r="W388" s="211" t="str">
        <f>IFERROR(VLOOKUP(TableHandbook[[#This Row],[UDC]],TableBEDSC[],7,FALSE),"")</f>
        <v/>
      </c>
      <c r="X388" s="211" t="str">
        <f>IFERROR(VLOOKUP(TableHandbook[[#This Row],[UDC]],TableMJRUARDR1[],7,FALSE),"")</f>
        <v/>
      </c>
      <c r="Y388" s="209" t="str">
        <f>IFERROR(VLOOKUP(TableHandbook[[#This Row],[UDC]],TableMJRUARME1[],7,FALSE),"")</f>
        <v/>
      </c>
      <c r="Z388" s="209" t="str">
        <f>IFERROR(VLOOKUP(TableHandbook[[#This Row],[UDC]],TableMJRUARVA1[],7,FALSE),"")</f>
        <v/>
      </c>
      <c r="AA388" s="209" t="str">
        <f>IFERROR(VLOOKUP(TableHandbook[[#This Row],[UDC]],TableMJRUENGL1[],7,FALSE),"")</f>
        <v/>
      </c>
      <c r="AB388" s="209" t="str">
        <f>IFERROR(VLOOKUP(TableHandbook[[#This Row],[UDC]],TableMJRUHSEC1[],7,FALSE),"")</f>
        <v/>
      </c>
      <c r="AC388" s="209" t="str">
        <f>IFERROR(VLOOKUP(TableHandbook[[#This Row],[UDC]],TableMJRUHSGE1[],7,FALSE),"")</f>
        <v/>
      </c>
      <c r="AD388" s="209" t="str">
        <f>IFERROR(VLOOKUP(TableHandbook[[#This Row],[UDC]],TableMJRUHSHI1[],7,FALSE),"")</f>
        <v/>
      </c>
      <c r="AE388" s="209" t="str">
        <f>IFERROR(VLOOKUP(TableHandbook[[#This Row],[UDC]],TableMJRUHSPL1[],7,FALSE),"")</f>
        <v/>
      </c>
      <c r="AF388" s="209" t="str">
        <f>IFERROR(VLOOKUP(TableHandbook[[#This Row],[UDC]],TableMJRUMATH1[],7,FALSE),"")</f>
        <v/>
      </c>
      <c r="AG388" s="209" t="str">
        <f>IFERROR(VLOOKUP(TableHandbook[[#This Row],[UDC]],TableMJRUPHYSE[],7,FALSE),"")</f>
        <v/>
      </c>
      <c r="AH388" s="209" t="str">
        <f>IFERROR(VLOOKUP(TableHandbook[[#This Row],[UDC]],TableMJRUSCBI1[],7,FALSE),"")</f>
        <v/>
      </c>
      <c r="AI388" s="209" t="str">
        <f>IFERROR(VLOOKUP(TableHandbook[[#This Row],[UDC]],TableMJRUSCCH1[],7,FALSE),"")</f>
        <v/>
      </c>
      <c r="AJ388" s="209" t="str">
        <f>IFERROR(VLOOKUP(TableHandbook[[#This Row],[UDC]],TableMJRUSCHB1[],7,FALSE),"")</f>
        <v/>
      </c>
      <c r="AK388" s="209" t="str">
        <f>IFERROR(VLOOKUP(TableHandbook[[#This Row],[UDC]],TableMJRUSCPH1[],7,FALSE),"")</f>
        <v/>
      </c>
      <c r="AL388" s="209" t="str">
        <f>IFERROR(VLOOKUP(TableHandbook[[#This Row],[UDC]],TableMJRUSCPS1[],7,FALSE),"")</f>
        <v/>
      </c>
      <c r="AM388" s="211" t="str">
        <f>IFERROR(VLOOKUP(TableHandbook[[#This Row],[UDC]],TableSTRUBIOLB[],7,FALSE),"")</f>
        <v/>
      </c>
      <c r="AN388" s="209" t="str">
        <f>IFERROR(VLOOKUP(TableHandbook[[#This Row],[UDC]],TableSTRUBSCIM[],7,FALSE),"")</f>
        <v/>
      </c>
      <c r="AO388" s="209" t="str">
        <f>IFERROR(VLOOKUP(TableHandbook[[#This Row],[UDC]],TableSTRUCHEMB[],7,FALSE),"")</f>
        <v/>
      </c>
      <c r="AP388" s="209" t="str">
        <f>IFERROR(VLOOKUP(TableHandbook[[#This Row],[UDC]],TableSTRUECOB1[],7,FALSE),"")</f>
        <v/>
      </c>
      <c r="AQ388" s="209" t="str">
        <f>IFERROR(VLOOKUP(TableHandbook[[#This Row],[UDC]],TableSTRUENGLB[],7,FALSE),"")</f>
        <v/>
      </c>
      <c r="AR388" s="209" t="str">
        <f>IFERROR(VLOOKUP(TableHandbook[[#This Row],[UDC]],TableSTRUENGLM[],7,FALSE),"")</f>
        <v/>
      </c>
      <c r="AS388" s="209" t="str">
        <f>IFERROR(VLOOKUP(TableHandbook[[#This Row],[UDC]],TableSTRUGEOB1[],7,FALSE),"")</f>
        <v/>
      </c>
      <c r="AT388" s="209" t="str">
        <f>IFERROR(VLOOKUP(TableHandbook[[#This Row],[UDC]],TableSTRUGEOGM[],7,FALSE),"")</f>
        <v/>
      </c>
      <c r="AU388" s="209" t="str">
        <f>IFERROR(VLOOKUP(TableHandbook[[#This Row],[UDC]],TableSTRUHISB1[],7,FALSE),"")</f>
        <v/>
      </c>
      <c r="AV388" s="209" t="str">
        <f>IFERROR(VLOOKUP(TableHandbook[[#This Row],[UDC]],TableSTRUHISTM[],7,FALSE),"")</f>
        <v/>
      </c>
      <c r="AW388" s="209" t="str">
        <f>IFERROR(VLOOKUP(TableHandbook[[#This Row],[UDC]],TableSTRUHPEB1[],7,FALSE),"")</f>
        <v/>
      </c>
      <c r="AX388" s="209" t="str">
        <f>IFERROR(VLOOKUP(TableHandbook[[#This Row],[UDC]],TableSTRUHUMBB[],7,FALSE),"")</f>
        <v/>
      </c>
      <c r="AY388" s="209" t="str">
        <f>IFERROR(VLOOKUP(TableHandbook[[#This Row],[UDC]],TableSTRUMARTM[],7,FALSE),"")</f>
        <v/>
      </c>
      <c r="AZ388" s="209" t="str">
        <f>IFERROR(VLOOKUP(TableHandbook[[#This Row],[UDC]],TableSTRUMATHB[],7,FALSE),"")</f>
        <v/>
      </c>
      <c r="BA388" s="209" t="str">
        <f>IFERROR(VLOOKUP(TableHandbook[[#This Row],[UDC]],TableSTRUMATHM[],7,FALSE),"")</f>
        <v/>
      </c>
      <c r="BB388" s="209" t="str">
        <f>IFERROR(VLOOKUP(TableHandbook[[#This Row],[UDC]],TableSTRUPARTB[],7,FALSE),"")</f>
        <v/>
      </c>
      <c r="BC388" s="209" t="str">
        <f>IFERROR(VLOOKUP(TableHandbook[[#This Row],[UDC]],TableSTRUPARTM[],7,FALSE),"")</f>
        <v/>
      </c>
      <c r="BD388" s="209" t="str">
        <f>IFERROR(VLOOKUP(TableHandbook[[#This Row],[UDC]],TableSTRUPOLB1[],7,FALSE),"")</f>
        <v/>
      </c>
      <c r="BE388" s="209" t="str">
        <f>IFERROR(VLOOKUP(TableHandbook[[#This Row],[UDC]],TableSTRUPSYCB[],7,FALSE),"")</f>
        <v/>
      </c>
      <c r="BF388" s="209" t="str">
        <f>IFERROR(VLOOKUP(TableHandbook[[#This Row],[UDC]],TableSTRUPSYCM[],7,FALSE),"")</f>
        <v/>
      </c>
      <c r="BG388" s="209" t="str">
        <f>IFERROR(VLOOKUP(TableHandbook[[#This Row],[UDC]],TableSTRUVARTB[],7,FALSE),"")</f>
        <v>Core</v>
      </c>
      <c r="BH388" s="209" t="str">
        <f>IFERROR(VLOOKUP(TableHandbook[[#This Row],[UDC]],TableSTRUVARTM[],7,FALSE),"")</f>
        <v/>
      </c>
    </row>
    <row r="389" spans="1:60" x14ac:dyDescent="0.25">
      <c r="A389" s="6" t="s">
        <v>508</v>
      </c>
      <c r="B389" s="7">
        <v>2</v>
      </c>
      <c r="C389" s="7"/>
      <c r="D389" s="207" t="s">
        <v>1188</v>
      </c>
      <c r="E389" s="7">
        <v>25</v>
      </c>
      <c r="F389" s="311" t="s">
        <v>830</v>
      </c>
      <c r="G389" s="75" t="str">
        <f>IFERROR(IF(VLOOKUP(TableHandbook[[#This Row],[UDC]],TableAvailabilities[],2,FALSE)&gt;0,"Y",""),"")</f>
        <v>Y</v>
      </c>
      <c r="H389" s="75" t="str">
        <f>IFERROR(IF(VLOOKUP(TableHandbook[[#This Row],[UDC]],TableAvailabilities[],3,FALSE)&gt;0,"Y",""),"")</f>
        <v/>
      </c>
      <c r="I389" s="75" t="str">
        <f>IFERROR(IF(VLOOKUP(TableHandbook[[#This Row],[UDC]],TableAvailabilities[],4,FALSE)&gt;0,"Y",""),"")</f>
        <v/>
      </c>
      <c r="J389" s="75" t="str">
        <f>IFERROR(IF(VLOOKUP(TableHandbook[[#This Row],[UDC]],TableAvailabilities[],5,FALSE)&gt;0,"Y",""),"")</f>
        <v/>
      </c>
      <c r="K389" s="75" t="str">
        <f>IFERROR(IF(VLOOKUP(TableHandbook[[#This Row],[UDC]],TableAvailabilities[],6,FALSE)&gt;0,"Y",""),"")</f>
        <v/>
      </c>
      <c r="L389" s="75" t="str">
        <f>IFERROR(IF(VLOOKUP(TableHandbook[[#This Row],[UDC]],TableAvailabilities[],7,FALSE)&gt;0,"Y",""),"")</f>
        <v/>
      </c>
      <c r="M389" s="207"/>
      <c r="N389" s="209" t="str">
        <f>IFERROR(VLOOKUP(TableHandbook[[#This Row],[UDC]],TableBEDUC[],7,FALSE),"")</f>
        <v/>
      </c>
      <c r="O389" s="209" t="str">
        <f>IFERROR(VLOOKUP(TableHandbook[[#This Row],[UDC]],TableBEDEC[],7,FALSE),"")</f>
        <v/>
      </c>
      <c r="P389" s="211" t="str">
        <f>IFERROR(VLOOKUP(TableHandbook[[#This Row],[UDC]],TableBEDPR[],7,FALSE),"")</f>
        <v/>
      </c>
      <c r="Q389" s="209" t="str">
        <f>IFERROR(VLOOKUP(TableHandbook[[#This Row],[UDC]],TableSTRUCATHL[],7,FALSE),"")</f>
        <v/>
      </c>
      <c r="R389" s="209" t="str">
        <f>IFERROR(VLOOKUP(TableHandbook[[#This Row],[UDC]],TableSTRUENGLL[],7,FALSE),"")</f>
        <v/>
      </c>
      <c r="S389" s="209" t="str">
        <f>IFERROR(VLOOKUP(TableHandbook[[#This Row],[UDC]],TableSTRUHLTPE[],7,FALSE),"")</f>
        <v/>
      </c>
      <c r="T389" s="209" t="str">
        <f>IFERROR(VLOOKUP(TableHandbook[[#This Row],[UDC]],TableSTRUISTEM[],7,FALSE),"")</f>
        <v/>
      </c>
      <c r="U389" s="209" t="str">
        <f>IFERROR(VLOOKUP(TableHandbook[[#This Row],[UDC]],TableSTRULITNU[],7,FALSE),"")</f>
        <v/>
      </c>
      <c r="V389" s="209" t="str">
        <f>IFERROR(VLOOKUP(TableHandbook[[#This Row],[UDC]],TableSTRUTECHS[],7,FALSE),"")</f>
        <v/>
      </c>
      <c r="W389" s="211" t="str">
        <f>IFERROR(VLOOKUP(TableHandbook[[#This Row],[UDC]],TableBEDSC[],7,FALSE),"")</f>
        <v/>
      </c>
      <c r="X389" s="211" t="str">
        <f>IFERROR(VLOOKUP(TableHandbook[[#This Row],[UDC]],TableMJRUARDR1[],7,FALSE),"")</f>
        <v/>
      </c>
      <c r="Y389" s="209" t="str">
        <f>IFERROR(VLOOKUP(TableHandbook[[#This Row],[UDC]],TableMJRUARME1[],7,FALSE),"")</f>
        <v/>
      </c>
      <c r="Z389" s="209" t="str">
        <f>IFERROR(VLOOKUP(TableHandbook[[#This Row],[UDC]],TableMJRUARVA1[],7,FALSE),"")</f>
        <v>Core</v>
      </c>
      <c r="AA389" s="209" t="str">
        <f>IFERROR(VLOOKUP(TableHandbook[[#This Row],[UDC]],TableMJRUENGL1[],7,FALSE),"")</f>
        <v/>
      </c>
      <c r="AB389" s="209" t="str">
        <f>IFERROR(VLOOKUP(TableHandbook[[#This Row],[UDC]],TableMJRUHSEC1[],7,FALSE),"")</f>
        <v/>
      </c>
      <c r="AC389" s="209" t="str">
        <f>IFERROR(VLOOKUP(TableHandbook[[#This Row],[UDC]],TableMJRUHSGE1[],7,FALSE),"")</f>
        <v/>
      </c>
      <c r="AD389" s="209" t="str">
        <f>IFERROR(VLOOKUP(TableHandbook[[#This Row],[UDC]],TableMJRUHSHI1[],7,FALSE),"")</f>
        <v/>
      </c>
      <c r="AE389" s="209" t="str">
        <f>IFERROR(VLOOKUP(TableHandbook[[#This Row],[UDC]],TableMJRUHSPL1[],7,FALSE),"")</f>
        <v/>
      </c>
      <c r="AF389" s="209" t="str">
        <f>IFERROR(VLOOKUP(TableHandbook[[#This Row],[UDC]],TableMJRUMATH1[],7,FALSE),"")</f>
        <v/>
      </c>
      <c r="AG389" s="209" t="str">
        <f>IFERROR(VLOOKUP(TableHandbook[[#This Row],[UDC]],TableMJRUPHYSE[],7,FALSE),"")</f>
        <v/>
      </c>
      <c r="AH389" s="209" t="str">
        <f>IFERROR(VLOOKUP(TableHandbook[[#This Row],[UDC]],TableMJRUSCBI1[],7,FALSE),"")</f>
        <v/>
      </c>
      <c r="AI389" s="209" t="str">
        <f>IFERROR(VLOOKUP(TableHandbook[[#This Row],[UDC]],TableMJRUSCCH1[],7,FALSE),"")</f>
        <v/>
      </c>
      <c r="AJ389" s="209" t="str">
        <f>IFERROR(VLOOKUP(TableHandbook[[#This Row],[UDC]],TableMJRUSCHB1[],7,FALSE),"")</f>
        <v/>
      </c>
      <c r="AK389" s="209" t="str">
        <f>IFERROR(VLOOKUP(TableHandbook[[#This Row],[UDC]],TableMJRUSCPH1[],7,FALSE),"")</f>
        <v/>
      </c>
      <c r="AL389" s="209" t="str">
        <f>IFERROR(VLOOKUP(TableHandbook[[#This Row],[UDC]],TableMJRUSCPS1[],7,FALSE),"")</f>
        <v/>
      </c>
      <c r="AM389" s="211" t="str">
        <f>IFERROR(VLOOKUP(TableHandbook[[#This Row],[UDC]],TableSTRUBIOLB[],7,FALSE),"")</f>
        <v/>
      </c>
      <c r="AN389" s="209" t="str">
        <f>IFERROR(VLOOKUP(TableHandbook[[#This Row],[UDC]],TableSTRUBSCIM[],7,FALSE),"")</f>
        <v/>
      </c>
      <c r="AO389" s="209" t="str">
        <f>IFERROR(VLOOKUP(TableHandbook[[#This Row],[UDC]],TableSTRUCHEMB[],7,FALSE),"")</f>
        <v/>
      </c>
      <c r="AP389" s="209" t="str">
        <f>IFERROR(VLOOKUP(TableHandbook[[#This Row],[UDC]],TableSTRUECOB1[],7,FALSE),"")</f>
        <v/>
      </c>
      <c r="AQ389" s="209" t="str">
        <f>IFERROR(VLOOKUP(TableHandbook[[#This Row],[UDC]],TableSTRUENGLB[],7,FALSE),"")</f>
        <v/>
      </c>
      <c r="AR389" s="209" t="str">
        <f>IFERROR(VLOOKUP(TableHandbook[[#This Row],[UDC]],TableSTRUENGLM[],7,FALSE),"")</f>
        <v/>
      </c>
      <c r="AS389" s="209" t="str">
        <f>IFERROR(VLOOKUP(TableHandbook[[#This Row],[UDC]],TableSTRUGEOB1[],7,FALSE),"")</f>
        <v/>
      </c>
      <c r="AT389" s="209" t="str">
        <f>IFERROR(VLOOKUP(TableHandbook[[#This Row],[UDC]],TableSTRUGEOGM[],7,FALSE),"")</f>
        <v/>
      </c>
      <c r="AU389" s="209" t="str">
        <f>IFERROR(VLOOKUP(TableHandbook[[#This Row],[UDC]],TableSTRUHISB1[],7,FALSE),"")</f>
        <v/>
      </c>
      <c r="AV389" s="209" t="str">
        <f>IFERROR(VLOOKUP(TableHandbook[[#This Row],[UDC]],TableSTRUHISTM[],7,FALSE),"")</f>
        <v/>
      </c>
      <c r="AW389" s="209" t="str">
        <f>IFERROR(VLOOKUP(TableHandbook[[#This Row],[UDC]],TableSTRUHPEB1[],7,FALSE),"")</f>
        <v/>
      </c>
      <c r="AX389" s="209" t="str">
        <f>IFERROR(VLOOKUP(TableHandbook[[#This Row],[UDC]],TableSTRUHUMBB[],7,FALSE),"")</f>
        <v/>
      </c>
      <c r="AY389" s="209" t="str">
        <f>IFERROR(VLOOKUP(TableHandbook[[#This Row],[UDC]],TableSTRUMARTM[],7,FALSE),"")</f>
        <v/>
      </c>
      <c r="AZ389" s="209" t="str">
        <f>IFERROR(VLOOKUP(TableHandbook[[#This Row],[UDC]],TableSTRUMATHB[],7,FALSE),"")</f>
        <v/>
      </c>
      <c r="BA389" s="209" t="str">
        <f>IFERROR(VLOOKUP(TableHandbook[[#This Row],[UDC]],TableSTRUMATHM[],7,FALSE),"")</f>
        <v/>
      </c>
      <c r="BB389" s="209" t="str">
        <f>IFERROR(VLOOKUP(TableHandbook[[#This Row],[UDC]],TableSTRUPARTB[],7,FALSE),"")</f>
        <v/>
      </c>
      <c r="BC389" s="209" t="str">
        <f>IFERROR(VLOOKUP(TableHandbook[[#This Row],[UDC]],TableSTRUPARTM[],7,FALSE),"")</f>
        <v/>
      </c>
      <c r="BD389" s="209" t="str">
        <f>IFERROR(VLOOKUP(TableHandbook[[#This Row],[UDC]],TableSTRUPOLB1[],7,FALSE),"")</f>
        <v/>
      </c>
      <c r="BE389" s="209" t="str">
        <f>IFERROR(VLOOKUP(TableHandbook[[#This Row],[UDC]],TableSTRUPSYCB[],7,FALSE),"")</f>
        <v/>
      </c>
      <c r="BF389" s="209" t="str">
        <f>IFERROR(VLOOKUP(TableHandbook[[#This Row],[UDC]],TableSTRUPSYCM[],7,FALSE),"")</f>
        <v/>
      </c>
      <c r="BG389" s="209" t="str">
        <f>IFERROR(VLOOKUP(TableHandbook[[#This Row],[UDC]],TableSTRUVARTB[],7,FALSE),"")</f>
        <v/>
      </c>
      <c r="BH389" s="209" t="str">
        <f>IFERROR(VLOOKUP(TableHandbook[[#This Row],[UDC]],TableSTRUVARTM[],7,FALSE),"")</f>
        <v>Core</v>
      </c>
    </row>
    <row r="390" spans="1:60" x14ac:dyDescent="0.25">
      <c r="A390" s="6" t="s">
        <v>538</v>
      </c>
      <c r="B390" s="7">
        <v>2</v>
      </c>
      <c r="C390" s="7"/>
      <c r="D390" s="207" t="s">
        <v>1189</v>
      </c>
      <c r="E390" s="7">
        <v>25</v>
      </c>
      <c r="F390" s="311" t="s">
        <v>1190</v>
      </c>
      <c r="G390" s="75" t="str">
        <f>IFERROR(IF(VLOOKUP(TableHandbook[[#This Row],[UDC]],TableAvailabilities[],2,FALSE)&gt;0,"Y",""),"")</f>
        <v>Y</v>
      </c>
      <c r="H390" s="75" t="str">
        <f>IFERROR(IF(VLOOKUP(TableHandbook[[#This Row],[UDC]],TableAvailabilities[],3,FALSE)&gt;0,"Y",""),"")</f>
        <v/>
      </c>
      <c r="I390" s="75" t="str">
        <f>IFERROR(IF(VLOOKUP(TableHandbook[[#This Row],[UDC]],TableAvailabilities[],4,FALSE)&gt;0,"Y",""),"")</f>
        <v/>
      </c>
      <c r="J390" s="75" t="str">
        <f>IFERROR(IF(VLOOKUP(TableHandbook[[#This Row],[UDC]],TableAvailabilities[],5,FALSE)&gt;0,"Y",""),"")</f>
        <v/>
      </c>
      <c r="K390" s="75" t="str">
        <f>IFERROR(IF(VLOOKUP(TableHandbook[[#This Row],[UDC]],TableAvailabilities[],6,FALSE)&gt;0,"Y",""),"")</f>
        <v/>
      </c>
      <c r="L390" s="75" t="str">
        <f>IFERROR(IF(VLOOKUP(TableHandbook[[#This Row],[UDC]],TableAvailabilities[],7,FALSE)&gt;0,"Y",""),"")</f>
        <v/>
      </c>
      <c r="M390" s="207"/>
      <c r="N390" s="209" t="str">
        <f>IFERROR(VLOOKUP(TableHandbook[[#This Row],[UDC]],TableBEDUC[],7,FALSE),"")</f>
        <v/>
      </c>
      <c r="O390" s="209" t="str">
        <f>IFERROR(VLOOKUP(TableHandbook[[#This Row],[UDC]],TableBEDEC[],7,FALSE),"")</f>
        <v/>
      </c>
      <c r="P390" s="211" t="str">
        <f>IFERROR(VLOOKUP(TableHandbook[[#This Row],[UDC]],TableBEDPR[],7,FALSE),"")</f>
        <v/>
      </c>
      <c r="Q390" s="209" t="str">
        <f>IFERROR(VLOOKUP(TableHandbook[[#This Row],[UDC]],TableSTRUCATHL[],7,FALSE),"")</f>
        <v/>
      </c>
      <c r="R390" s="209" t="str">
        <f>IFERROR(VLOOKUP(TableHandbook[[#This Row],[UDC]],TableSTRUENGLL[],7,FALSE),"")</f>
        <v/>
      </c>
      <c r="S390" s="209" t="str">
        <f>IFERROR(VLOOKUP(TableHandbook[[#This Row],[UDC]],TableSTRUHLTPE[],7,FALSE),"")</f>
        <v/>
      </c>
      <c r="T390" s="209" t="str">
        <f>IFERROR(VLOOKUP(TableHandbook[[#This Row],[UDC]],TableSTRUISTEM[],7,FALSE),"")</f>
        <v/>
      </c>
      <c r="U390" s="209" t="str">
        <f>IFERROR(VLOOKUP(TableHandbook[[#This Row],[UDC]],TableSTRULITNU[],7,FALSE),"")</f>
        <v/>
      </c>
      <c r="V390" s="209" t="str">
        <f>IFERROR(VLOOKUP(TableHandbook[[#This Row],[UDC]],TableSTRUTECHS[],7,FALSE),"")</f>
        <v/>
      </c>
      <c r="W390" s="211" t="str">
        <f>IFERROR(VLOOKUP(TableHandbook[[#This Row],[UDC]],TableBEDSC[],7,FALSE),"")</f>
        <v/>
      </c>
      <c r="X390" s="211" t="str">
        <f>IFERROR(VLOOKUP(TableHandbook[[#This Row],[UDC]],TableMJRUARDR1[],7,FALSE),"")</f>
        <v/>
      </c>
      <c r="Y390" s="209" t="str">
        <f>IFERROR(VLOOKUP(TableHandbook[[#This Row],[UDC]],TableMJRUARME1[],7,FALSE),"")</f>
        <v/>
      </c>
      <c r="Z390" s="209" t="str">
        <f>IFERROR(VLOOKUP(TableHandbook[[#This Row],[UDC]],TableMJRUARVA1[],7,FALSE),"")</f>
        <v>Core</v>
      </c>
      <c r="AA390" s="209" t="str">
        <f>IFERROR(VLOOKUP(TableHandbook[[#This Row],[UDC]],TableMJRUENGL1[],7,FALSE),"")</f>
        <v/>
      </c>
      <c r="AB390" s="209" t="str">
        <f>IFERROR(VLOOKUP(TableHandbook[[#This Row],[UDC]],TableMJRUHSEC1[],7,FALSE),"")</f>
        <v/>
      </c>
      <c r="AC390" s="209" t="str">
        <f>IFERROR(VLOOKUP(TableHandbook[[#This Row],[UDC]],TableMJRUHSGE1[],7,FALSE),"")</f>
        <v/>
      </c>
      <c r="AD390" s="209" t="str">
        <f>IFERROR(VLOOKUP(TableHandbook[[#This Row],[UDC]],TableMJRUHSHI1[],7,FALSE),"")</f>
        <v/>
      </c>
      <c r="AE390" s="209" t="str">
        <f>IFERROR(VLOOKUP(TableHandbook[[#This Row],[UDC]],TableMJRUHSPL1[],7,FALSE),"")</f>
        <v/>
      </c>
      <c r="AF390" s="209" t="str">
        <f>IFERROR(VLOOKUP(TableHandbook[[#This Row],[UDC]],TableMJRUMATH1[],7,FALSE),"")</f>
        <v/>
      </c>
      <c r="AG390" s="209" t="str">
        <f>IFERROR(VLOOKUP(TableHandbook[[#This Row],[UDC]],TableMJRUPHYSE[],7,FALSE),"")</f>
        <v/>
      </c>
      <c r="AH390" s="209" t="str">
        <f>IFERROR(VLOOKUP(TableHandbook[[#This Row],[UDC]],TableMJRUSCBI1[],7,FALSE),"")</f>
        <v/>
      </c>
      <c r="AI390" s="209" t="str">
        <f>IFERROR(VLOOKUP(TableHandbook[[#This Row],[UDC]],TableMJRUSCCH1[],7,FALSE),"")</f>
        <v/>
      </c>
      <c r="AJ390" s="209" t="str">
        <f>IFERROR(VLOOKUP(TableHandbook[[#This Row],[UDC]],TableMJRUSCHB1[],7,FALSE),"")</f>
        <v/>
      </c>
      <c r="AK390" s="209" t="str">
        <f>IFERROR(VLOOKUP(TableHandbook[[#This Row],[UDC]],TableMJRUSCPH1[],7,FALSE),"")</f>
        <v/>
      </c>
      <c r="AL390" s="209" t="str">
        <f>IFERROR(VLOOKUP(TableHandbook[[#This Row],[UDC]],TableMJRUSCPS1[],7,FALSE),"")</f>
        <v/>
      </c>
      <c r="AM390" s="211" t="str">
        <f>IFERROR(VLOOKUP(TableHandbook[[#This Row],[UDC]],TableSTRUBIOLB[],7,FALSE),"")</f>
        <v/>
      </c>
      <c r="AN390" s="209" t="str">
        <f>IFERROR(VLOOKUP(TableHandbook[[#This Row],[UDC]],TableSTRUBSCIM[],7,FALSE),"")</f>
        <v/>
      </c>
      <c r="AO390" s="209" t="str">
        <f>IFERROR(VLOOKUP(TableHandbook[[#This Row],[UDC]],TableSTRUCHEMB[],7,FALSE),"")</f>
        <v/>
      </c>
      <c r="AP390" s="209" t="str">
        <f>IFERROR(VLOOKUP(TableHandbook[[#This Row],[UDC]],TableSTRUECOB1[],7,FALSE),"")</f>
        <v/>
      </c>
      <c r="AQ390" s="209" t="str">
        <f>IFERROR(VLOOKUP(TableHandbook[[#This Row],[UDC]],TableSTRUENGLB[],7,FALSE),"")</f>
        <v/>
      </c>
      <c r="AR390" s="209" t="str">
        <f>IFERROR(VLOOKUP(TableHandbook[[#This Row],[UDC]],TableSTRUENGLM[],7,FALSE),"")</f>
        <v/>
      </c>
      <c r="AS390" s="209" t="str">
        <f>IFERROR(VLOOKUP(TableHandbook[[#This Row],[UDC]],TableSTRUGEOB1[],7,FALSE),"")</f>
        <v/>
      </c>
      <c r="AT390" s="209" t="str">
        <f>IFERROR(VLOOKUP(TableHandbook[[#This Row],[UDC]],TableSTRUGEOGM[],7,FALSE),"")</f>
        <v/>
      </c>
      <c r="AU390" s="209" t="str">
        <f>IFERROR(VLOOKUP(TableHandbook[[#This Row],[UDC]],TableSTRUHISB1[],7,FALSE),"")</f>
        <v/>
      </c>
      <c r="AV390" s="209" t="str">
        <f>IFERROR(VLOOKUP(TableHandbook[[#This Row],[UDC]],TableSTRUHISTM[],7,FALSE),"")</f>
        <v/>
      </c>
      <c r="AW390" s="209" t="str">
        <f>IFERROR(VLOOKUP(TableHandbook[[#This Row],[UDC]],TableSTRUHPEB1[],7,FALSE),"")</f>
        <v/>
      </c>
      <c r="AX390" s="209" t="str">
        <f>IFERROR(VLOOKUP(TableHandbook[[#This Row],[UDC]],TableSTRUHUMBB[],7,FALSE),"")</f>
        <v/>
      </c>
      <c r="AY390" s="209" t="str">
        <f>IFERROR(VLOOKUP(TableHandbook[[#This Row],[UDC]],TableSTRUMARTM[],7,FALSE),"")</f>
        <v/>
      </c>
      <c r="AZ390" s="209" t="str">
        <f>IFERROR(VLOOKUP(TableHandbook[[#This Row],[UDC]],TableSTRUMATHB[],7,FALSE),"")</f>
        <v/>
      </c>
      <c r="BA390" s="209" t="str">
        <f>IFERROR(VLOOKUP(TableHandbook[[#This Row],[UDC]],TableSTRUMATHM[],7,FALSE),"")</f>
        <v/>
      </c>
      <c r="BB390" s="209" t="str">
        <f>IFERROR(VLOOKUP(TableHandbook[[#This Row],[UDC]],TableSTRUPARTB[],7,FALSE),"")</f>
        <v/>
      </c>
      <c r="BC390" s="209" t="str">
        <f>IFERROR(VLOOKUP(TableHandbook[[#This Row],[UDC]],TableSTRUPARTM[],7,FALSE),"")</f>
        <v/>
      </c>
      <c r="BD390" s="209" t="str">
        <f>IFERROR(VLOOKUP(TableHandbook[[#This Row],[UDC]],TableSTRUPOLB1[],7,FALSE),"")</f>
        <v/>
      </c>
      <c r="BE390" s="209" t="str">
        <f>IFERROR(VLOOKUP(TableHandbook[[#This Row],[UDC]],TableSTRUPSYCB[],7,FALSE),"")</f>
        <v/>
      </c>
      <c r="BF390" s="209" t="str">
        <f>IFERROR(VLOOKUP(TableHandbook[[#This Row],[UDC]],TableSTRUPSYCM[],7,FALSE),"")</f>
        <v/>
      </c>
      <c r="BG390" s="209" t="str">
        <f>IFERROR(VLOOKUP(TableHandbook[[#This Row],[UDC]],TableSTRUVARTB[],7,FALSE),"")</f>
        <v/>
      </c>
      <c r="BH390" s="209" t="str">
        <f>IFERROR(VLOOKUP(TableHandbook[[#This Row],[UDC]],TableSTRUVARTM[],7,FALSE),"")</f>
        <v/>
      </c>
    </row>
    <row r="391" spans="1:60" x14ac:dyDescent="0.25">
      <c r="A391" s="6" t="s">
        <v>552</v>
      </c>
      <c r="B391" s="7">
        <v>2</v>
      </c>
      <c r="C391" s="7"/>
      <c r="D391" s="207" t="s">
        <v>1191</v>
      </c>
      <c r="E391" s="7">
        <v>25</v>
      </c>
      <c r="F391" s="311" t="s">
        <v>495</v>
      </c>
      <c r="G391" s="75" t="str">
        <f>IFERROR(IF(VLOOKUP(TableHandbook[[#This Row],[UDC]],TableAvailabilities[],2,FALSE)&gt;0,"Y",""),"")</f>
        <v>Y</v>
      </c>
      <c r="H391" s="75" t="str">
        <f>IFERROR(IF(VLOOKUP(TableHandbook[[#This Row],[UDC]],TableAvailabilities[],3,FALSE)&gt;0,"Y",""),"")</f>
        <v/>
      </c>
      <c r="I391" s="75" t="str">
        <f>IFERROR(IF(VLOOKUP(TableHandbook[[#This Row],[UDC]],TableAvailabilities[],4,FALSE)&gt;0,"Y",""),"")</f>
        <v/>
      </c>
      <c r="J391" s="75" t="str">
        <f>IFERROR(IF(VLOOKUP(TableHandbook[[#This Row],[UDC]],TableAvailabilities[],5,FALSE)&gt;0,"Y",""),"")</f>
        <v/>
      </c>
      <c r="K391" s="75" t="str">
        <f>IFERROR(IF(VLOOKUP(TableHandbook[[#This Row],[UDC]],TableAvailabilities[],6,FALSE)&gt;0,"Y",""),"")</f>
        <v/>
      </c>
      <c r="L391" s="75" t="str">
        <f>IFERROR(IF(VLOOKUP(TableHandbook[[#This Row],[UDC]],TableAvailabilities[],7,FALSE)&gt;0,"Y",""),"")</f>
        <v/>
      </c>
      <c r="M391" s="207"/>
      <c r="N391" s="209" t="str">
        <f>IFERROR(VLOOKUP(TableHandbook[[#This Row],[UDC]],TableBEDUC[],7,FALSE),"")</f>
        <v/>
      </c>
      <c r="O391" s="209" t="str">
        <f>IFERROR(VLOOKUP(TableHandbook[[#This Row],[UDC]],TableBEDEC[],7,FALSE),"")</f>
        <v/>
      </c>
      <c r="P391" s="211" t="str">
        <f>IFERROR(VLOOKUP(TableHandbook[[#This Row],[UDC]],TableBEDPR[],7,FALSE),"")</f>
        <v/>
      </c>
      <c r="Q391" s="209" t="str">
        <f>IFERROR(VLOOKUP(TableHandbook[[#This Row],[UDC]],TableSTRUCATHL[],7,FALSE),"")</f>
        <v/>
      </c>
      <c r="R391" s="209" t="str">
        <f>IFERROR(VLOOKUP(TableHandbook[[#This Row],[UDC]],TableSTRUENGLL[],7,FALSE),"")</f>
        <v/>
      </c>
      <c r="S391" s="209" t="str">
        <f>IFERROR(VLOOKUP(TableHandbook[[#This Row],[UDC]],TableSTRUHLTPE[],7,FALSE),"")</f>
        <v/>
      </c>
      <c r="T391" s="209" t="str">
        <f>IFERROR(VLOOKUP(TableHandbook[[#This Row],[UDC]],TableSTRUISTEM[],7,FALSE),"")</f>
        <v/>
      </c>
      <c r="U391" s="209" t="str">
        <f>IFERROR(VLOOKUP(TableHandbook[[#This Row],[UDC]],TableSTRULITNU[],7,FALSE),"")</f>
        <v/>
      </c>
      <c r="V391" s="209" t="str">
        <f>IFERROR(VLOOKUP(TableHandbook[[#This Row],[UDC]],TableSTRUTECHS[],7,FALSE),"")</f>
        <v/>
      </c>
      <c r="W391" s="211" t="str">
        <f>IFERROR(VLOOKUP(TableHandbook[[#This Row],[UDC]],TableBEDSC[],7,FALSE),"")</f>
        <v/>
      </c>
      <c r="X391" s="211" t="str">
        <f>IFERROR(VLOOKUP(TableHandbook[[#This Row],[UDC]],TableMJRUARDR1[],7,FALSE),"")</f>
        <v/>
      </c>
      <c r="Y391" s="209" t="str">
        <f>IFERROR(VLOOKUP(TableHandbook[[#This Row],[UDC]],TableMJRUARME1[],7,FALSE),"")</f>
        <v/>
      </c>
      <c r="Z391" s="209" t="str">
        <f>IFERROR(VLOOKUP(TableHandbook[[#This Row],[UDC]],TableMJRUARVA1[],7,FALSE),"")</f>
        <v>Core</v>
      </c>
      <c r="AA391" s="209" t="str">
        <f>IFERROR(VLOOKUP(TableHandbook[[#This Row],[UDC]],TableMJRUENGL1[],7,FALSE),"")</f>
        <v/>
      </c>
      <c r="AB391" s="209" t="str">
        <f>IFERROR(VLOOKUP(TableHandbook[[#This Row],[UDC]],TableMJRUHSEC1[],7,FALSE),"")</f>
        <v/>
      </c>
      <c r="AC391" s="209" t="str">
        <f>IFERROR(VLOOKUP(TableHandbook[[#This Row],[UDC]],TableMJRUHSGE1[],7,FALSE),"")</f>
        <v/>
      </c>
      <c r="AD391" s="209" t="str">
        <f>IFERROR(VLOOKUP(TableHandbook[[#This Row],[UDC]],TableMJRUHSHI1[],7,FALSE),"")</f>
        <v/>
      </c>
      <c r="AE391" s="209" t="str">
        <f>IFERROR(VLOOKUP(TableHandbook[[#This Row],[UDC]],TableMJRUHSPL1[],7,FALSE),"")</f>
        <v/>
      </c>
      <c r="AF391" s="209" t="str">
        <f>IFERROR(VLOOKUP(TableHandbook[[#This Row],[UDC]],TableMJRUMATH1[],7,FALSE),"")</f>
        <v/>
      </c>
      <c r="AG391" s="209" t="str">
        <f>IFERROR(VLOOKUP(TableHandbook[[#This Row],[UDC]],TableMJRUPHYSE[],7,FALSE),"")</f>
        <v/>
      </c>
      <c r="AH391" s="209" t="str">
        <f>IFERROR(VLOOKUP(TableHandbook[[#This Row],[UDC]],TableMJRUSCBI1[],7,FALSE),"")</f>
        <v/>
      </c>
      <c r="AI391" s="209" t="str">
        <f>IFERROR(VLOOKUP(TableHandbook[[#This Row],[UDC]],TableMJRUSCCH1[],7,FALSE),"")</f>
        <v/>
      </c>
      <c r="AJ391" s="209" t="str">
        <f>IFERROR(VLOOKUP(TableHandbook[[#This Row],[UDC]],TableMJRUSCHB1[],7,FALSE),"")</f>
        <v/>
      </c>
      <c r="AK391" s="209" t="str">
        <f>IFERROR(VLOOKUP(TableHandbook[[#This Row],[UDC]],TableMJRUSCPH1[],7,FALSE),"")</f>
        <v/>
      </c>
      <c r="AL391" s="209" t="str">
        <f>IFERROR(VLOOKUP(TableHandbook[[#This Row],[UDC]],TableMJRUSCPS1[],7,FALSE),"")</f>
        <v/>
      </c>
      <c r="AM391" s="211" t="str">
        <f>IFERROR(VLOOKUP(TableHandbook[[#This Row],[UDC]],TableSTRUBIOLB[],7,FALSE),"")</f>
        <v/>
      </c>
      <c r="AN391" s="209" t="str">
        <f>IFERROR(VLOOKUP(TableHandbook[[#This Row],[UDC]],TableSTRUBSCIM[],7,FALSE),"")</f>
        <v/>
      </c>
      <c r="AO391" s="209" t="str">
        <f>IFERROR(VLOOKUP(TableHandbook[[#This Row],[UDC]],TableSTRUCHEMB[],7,FALSE),"")</f>
        <v/>
      </c>
      <c r="AP391" s="209" t="str">
        <f>IFERROR(VLOOKUP(TableHandbook[[#This Row],[UDC]],TableSTRUECOB1[],7,FALSE),"")</f>
        <v/>
      </c>
      <c r="AQ391" s="209" t="str">
        <f>IFERROR(VLOOKUP(TableHandbook[[#This Row],[UDC]],TableSTRUENGLB[],7,FALSE),"")</f>
        <v/>
      </c>
      <c r="AR391" s="209" t="str">
        <f>IFERROR(VLOOKUP(TableHandbook[[#This Row],[UDC]],TableSTRUENGLM[],7,FALSE),"")</f>
        <v/>
      </c>
      <c r="AS391" s="209" t="str">
        <f>IFERROR(VLOOKUP(TableHandbook[[#This Row],[UDC]],TableSTRUGEOB1[],7,FALSE),"")</f>
        <v/>
      </c>
      <c r="AT391" s="209" t="str">
        <f>IFERROR(VLOOKUP(TableHandbook[[#This Row],[UDC]],TableSTRUGEOGM[],7,FALSE),"")</f>
        <v/>
      </c>
      <c r="AU391" s="209" t="str">
        <f>IFERROR(VLOOKUP(TableHandbook[[#This Row],[UDC]],TableSTRUHISB1[],7,FALSE),"")</f>
        <v/>
      </c>
      <c r="AV391" s="209" t="str">
        <f>IFERROR(VLOOKUP(TableHandbook[[#This Row],[UDC]],TableSTRUHISTM[],7,FALSE),"")</f>
        <v/>
      </c>
      <c r="AW391" s="209" t="str">
        <f>IFERROR(VLOOKUP(TableHandbook[[#This Row],[UDC]],TableSTRUHPEB1[],7,FALSE),"")</f>
        <v/>
      </c>
      <c r="AX391" s="209" t="str">
        <f>IFERROR(VLOOKUP(TableHandbook[[#This Row],[UDC]],TableSTRUHUMBB[],7,FALSE),"")</f>
        <v/>
      </c>
      <c r="AY391" s="209" t="str">
        <f>IFERROR(VLOOKUP(TableHandbook[[#This Row],[UDC]],TableSTRUMARTM[],7,FALSE),"")</f>
        <v/>
      </c>
      <c r="AZ391" s="209" t="str">
        <f>IFERROR(VLOOKUP(TableHandbook[[#This Row],[UDC]],TableSTRUMATHB[],7,FALSE),"")</f>
        <v/>
      </c>
      <c r="BA391" s="209" t="str">
        <f>IFERROR(VLOOKUP(TableHandbook[[#This Row],[UDC]],TableSTRUMATHM[],7,FALSE),"")</f>
        <v/>
      </c>
      <c r="BB391" s="209" t="str">
        <f>IFERROR(VLOOKUP(TableHandbook[[#This Row],[UDC]],TableSTRUPARTB[],7,FALSE),"")</f>
        <v/>
      </c>
      <c r="BC391" s="209" t="str">
        <f>IFERROR(VLOOKUP(TableHandbook[[#This Row],[UDC]],TableSTRUPARTM[],7,FALSE),"")</f>
        <v/>
      </c>
      <c r="BD391" s="209" t="str">
        <f>IFERROR(VLOOKUP(TableHandbook[[#This Row],[UDC]],TableSTRUPOLB1[],7,FALSE),"")</f>
        <v/>
      </c>
      <c r="BE391" s="209" t="str">
        <f>IFERROR(VLOOKUP(TableHandbook[[#This Row],[UDC]],TableSTRUPSYCB[],7,FALSE),"")</f>
        <v/>
      </c>
      <c r="BF391" s="209" t="str">
        <f>IFERROR(VLOOKUP(TableHandbook[[#This Row],[UDC]],TableSTRUPSYCM[],7,FALSE),"")</f>
        <v/>
      </c>
      <c r="BG391" s="209" t="str">
        <f>IFERROR(VLOOKUP(TableHandbook[[#This Row],[UDC]],TableSTRUVARTB[],7,FALSE),"")</f>
        <v/>
      </c>
      <c r="BH391" s="209" t="str">
        <f>IFERROR(VLOOKUP(TableHandbook[[#This Row],[UDC]],TableSTRUVARTM[],7,FALSE),"")</f>
        <v/>
      </c>
    </row>
    <row r="392" spans="1:60" x14ac:dyDescent="0.25">
      <c r="A392" s="6" t="s">
        <v>516</v>
      </c>
      <c r="B392" s="7">
        <v>2</v>
      </c>
      <c r="C392" s="7"/>
      <c r="D392" s="207" t="s">
        <v>1192</v>
      </c>
      <c r="E392" s="7">
        <v>25</v>
      </c>
      <c r="F392" s="311" t="s">
        <v>478</v>
      </c>
      <c r="G392" s="75" t="str">
        <f>IFERROR(IF(VLOOKUP(TableHandbook[[#This Row],[UDC]],TableAvailabilities[],2,FALSE)&gt;0,"Y",""),"")</f>
        <v>Y</v>
      </c>
      <c r="H392" s="75" t="str">
        <f>IFERROR(IF(VLOOKUP(TableHandbook[[#This Row],[UDC]],TableAvailabilities[],3,FALSE)&gt;0,"Y",""),"")</f>
        <v/>
      </c>
      <c r="I392" s="75" t="str">
        <f>IFERROR(IF(VLOOKUP(TableHandbook[[#This Row],[UDC]],TableAvailabilities[],4,FALSE)&gt;0,"Y",""),"")</f>
        <v/>
      </c>
      <c r="J392" s="75" t="str">
        <f>IFERROR(IF(VLOOKUP(TableHandbook[[#This Row],[UDC]],TableAvailabilities[],5,FALSE)&gt;0,"Y",""),"")</f>
        <v/>
      </c>
      <c r="K392" s="75" t="str">
        <f>IFERROR(IF(VLOOKUP(TableHandbook[[#This Row],[UDC]],TableAvailabilities[],6,FALSE)&gt;0,"Y",""),"")</f>
        <v/>
      </c>
      <c r="L392" s="75" t="str">
        <f>IFERROR(IF(VLOOKUP(TableHandbook[[#This Row],[UDC]],TableAvailabilities[],7,FALSE)&gt;0,"Y",""),"")</f>
        <v/>
      </c>
      <c r="M392" s="207"/>
      <c r="N392" s="209" t="str">
        <f>IFERROR(VLOOKUP(TableHandbook[[#This Row],[UDC]],TableBEDUC[],7,FALSE),"")</f>
        <v/>
      </c>
      <c r="O392" s="209" t="str">
        <f>IFERROR(VLOOKUP(TableHandbook[[#This Row],[UDC]],TableBEDEC[],7,FALSE),"")</f>
        <v/>
      </c>
      <c r="P392" s="211" t="str">
        <f>IFERROR(VLOOKUP(TableHandbook[[#This Row],[UDC]],TableBEDPR[],7,FALSE),"")</f>
        <v/>
      </c>
      <c r="Q392" s="209" t="str">
        <f>IFERROR(VLOOKUP(TableHandbook[[#This Row],[UDC]],TableSTRUCATHL[],7,FALSE),"")</f>
        <v/>
      </c>
      <c r="R392" s="209" t="str">
        <f>IFERROR(VLOOKUP(TableHandbook[[#This Row],[UDC]],TableSTRUENGLL[],7,FALSE),"")</f>
        <v/>
      </c>
      <c r="S392" s="209" t="str">
        <f>IFERROR(VLOOKUP(TableHandbook[[#This Row],[UDC]],TableSTRUHLTPE[],7,FALSE),"")</f>
        <v/>
      </c>
      <c r="T392" s="209" t="str">
        <f>IFERROR(VLOOKUP(TableHandbook[[#This Row],[UDC]],TableSTRUISTEM[],7,FALSE),"")</f>
        <v/>
      </c>
      <c r="U392" s="209" t="str">
        <f>IFERROR(VLOOKUP(TableHandbook[[#This Row],[UDC]],TableSTRULITNU[],7,FALSE),"")</f>
        <v/>
      </c>
      <c r="V392" s="209" t="str">
        <f>IFERROR(VLOOKUP(TableHandbook[[#This Row],[UDC]],TableSTRUTECHS[],7,FALSE),"")</f>
        <v/>
      </c>
      <c r="W392" s="211" t="str">
        <f>IFERROR(VLOOKUP(TableHandbook[[#This Row],[UDC]],TableBEDSC[],7,FALSE),"")</f>
        <v/>
      </c>
      <c r="X392" s="211" t="str">
        <f>IFERROR(VLOOKUP(TableHandbook[[#This Row],[UDC]],TableMJRUARDR1[],7,FALSE),"")</f>
        <v/>
      </c>
      <c r="Y392" s="209" t="str">
        <f>IFERROR(VLOOKUP(TableHandbook[[#This Row],[UDC]],TableMJRUARME1[],7,FALSE),"")</f>
        <v/>
      </c>
      <c r="Z392" s="209" t="str">
        <f>IFERROR(VLOOKUP(TableHandbook[[#This Row],[UDC]],TableMJRUARVA1[],7,FALSE),"")</f>
        <v/>
      </c>
      <c r="AA392" s="209" t="str">
        <f>IFERROR(VLOOKUP(TableHandbook[[#This Row],[UDC]],TableMJRUENGL1[],7,FALSE),"")</f>
        <v/>
      </c>
      <c r="AB392" s="209" t="str">
        <f>IFERROR(VLOOKUP(TableHandbook[[#This Row],[UDC]],TableMJRUHSEC1[],7,FALSE),"")</f>
        <v/>
      </c>
      <c r="AC392" s="209" t="str">
        <f>IFERROR(VLOOKUP(TableHandbook[[#This Row],[UDC]],TableMJRUHSGE1[],7,FALSE),"")</f>
        <v/>
      </c>
      <c r="AD392" s="209" t="str">
        <f>IFERROR(VLOOKUP(TableHandbook[[#This Row],[UDC]],TableMJRUHSHI1[],7,FALSE),"")</f>
        <v/>
      </c>
      <c r="AE392" s="209" t="str">
        <f>IFERROR(VLOOKUP(TableHandbook[[#This Row],[UDC]],TableMJRUHSPL1[],7,FALSE),"")</f>
        <v/>
      </c>
      <c r="AF392" s="209" t="str">
        <f>IFERROR(VLOOKUP(TableHandbook[[#This Row],[UDC]],TableMJRUMATH1[],7,FALSE),"")</f>
        <v/>
      </c>
      <c r="AG392" s="209" t="str">
        <f>IFERROR(VLOOKUP(TableHandbook[[#This Row],[UDC]],TableMJRUPHYSE[],7,FALSE),"")</f>
        <v/>
      </c>
      <c r="AH392" s="209" t="str">
        <f>IFERROR(VLOOKUP(TableHandbook[[#This Row],[UDC]],TableMJRUSCBI1[],7,FALSE),"")</f>
        <v>Core</v>
      </c>
      <c r="AI392" s="209" t="str">
        <f>IFERROR(VLOOKUP(TableHandbook[[#This Row],[UDC]],TableMJRUSCCH1[],7,FALSE),"")</f>
        <v/>
      </c>
      <c r="AJ392" s="209" t="str">
        <f>IFERROR(VLOOKUP(TableHandbook[[#This Row],[UDC]],TableMJRUSCHB1[],7,FALSE),"")</f>
        <v/>
      </c>
      <c r="AK392" s="209" t="str">
        <f>IFERROR(VLOOKUP(TableHandbook[[#This Row],[UDC]],TableMJRUSCPH1[],7,FALSE),"")</f>
        <v/>
      </c>
      <c r="AL392" s="209" t="str">
        <f>IFERROR(VLOOKUP(TableHandbook[[#This Row],[UDC]],TableMJRUSCPS1[],7,FALSE),"")</f>
        <v/>
      </c>
      <c r="AM392" s="211" t="str">
        <f>IFERROR(VLOOKUP(TableHandbook[[#This Row],[UDC]],TableSTRUBIOLB[],7,FALSE),"")</f>
        <v/>
      </c>
      <c r="AN392" s="209" t="str">
        <f>IFERROR(VLOOKUP(TableHandbook[[#This Row],[UDC]],TableSTRUBSCIM[],7,FALSE),"")</f>
        <v>AltCore</v>
      </c>
      <c r="AO392" s="209" t="str">
        <f>IFERROR(VLOOKUP(TableHandbook[[#This Row],[UDC]],TableSTRUCHEMB[],7,FALSE),"")</f>
        <v/>
      </c>
      <c r="AP392" s="209" t="str">
        <f>IFERROR(VLOOKUP(TableHandbook[[#This Row],[UDC]],TableSTRUECOB1[],7,FALSE),"")</f>
        <v/>
      </c>
      <c r="AQ392" s="209" t="str">
        <f>IFERROR(VLOOKUP(TableHandbook[[#This Row],[UDC]],TableSTRUENGLB[],7,FALSE),"")</f>
        <v/>
      </c>
      <c r="AR392" s="209" t="str">
        <f>IFERROR(VLOOKUP(TableHandbook[[#This Row],[UDC]],TableSTRUENGLM[],7,FALSE),"")</f>
        <v/>
      </c>
      <c r="AS392" s="209" t="str">
        <f>IFERROR(VLOOKUP(TableHandbook[[#This Row],[UDC]],TableSTRUGEOB1[],7,FALSE),"")</f>
        <v/>
      </c>
      <c r="AT392" s="209" t="str">
        <f>IFERROR(VLOOKUP(TableHandbook[[#This Row],[UDC]],TableSTRUGEOGM[],7,FALSE),"")</f>
        <v/>
      </c>
      <c r="AU392" s="209" t="str">
        <f>IFERROR(VLOOKUP(TableHandbook[[#This Row],[UDC]],TableSTRUHISB1[],7,FALSE),"")</f>
        <v/>
      </c>
      <c r="AV392" s="209" t="str">
        <f>IFERROR(VLOOKUP(TableHandbook[[#This Row],[UDC]],TableSTRUHISTM[],7,FALSE),"")</f>
        <v/>
      </c>
      <c r="AW392" s="209" t="str">
        <f>IFERROR(VLOOKUP(TableHandbook[[#This Row],[UDC]],TableSTRUHPEB1[],7,FALSE),"")</f>
        <v/>
      </c>
      <c r="AX392" s="209" t="str">
        <f>IFERROR(VLOOKUP(TableHandbook[[#This Row],[UDC]],TableSTRUHUMBB[],7,FALSE),"")</f>
        <v/>
      </c>
      <c r="AY392" s="209" t="str">
        <f>IFERROR(VLOOKUP(TableHandbook[[#This Row],[UDC]],TableSTRUMARTM[],7,FALSE),"")</f>
        <v/>
      </c>
      <c r="AZ392" s="209" t="str">
        <f>IFERROR(VLOOKUP(TableHandbook[[#This Row],[UDC]],TableSTRUMATHB[],7,FALSE),"")</f>
        <v/>
      </c>
      <c r="BA392" s="209" t="str">
        <f>IFERROR(VLOOKUP(TableHandbook[[#This Row],[UDC]],TableSTRUMATHM[],7,FALSE),"")</f>
        <v/>
      </c>
      <c r="BB392" s="209" t="str">
        <f>IFERROR(VLOOKUP(TableHandbook[[#This Row],[UDC]],TableSTRUPARTB[],7,FALSE),"")</f>
        <v/>
      </c>
      <c r="BC392" s="209" t="str">
        <f>IFERROR(VLOOKUP(TableHandbook[[#This Row],[UDC]],TableSTRUPARTM[],7,FALSE),"")</f>
        <v/>
      </c>
      <c r="BD392" s="209" t="str">
        <f>IFERROR(VLOOKUP(TableHandbook[[#This Row],[UDC]],TableSTRUPOLB1[],7,FALSE),"")</f>
        <v/>
      </c>
      <c r="BE392" s="209" t="str">
        <f>IFERROR(VLOOKUP(TableHandbook[[#This Row],[UDC]],TableSTRUPSYCB[],7,FALSE),"")</f>
        <v/>
      </c>
      <c r="BF392" s="209" t="str">
        <f>IFERROR(VLOOKUP(TableHandbook[[#This Row],[UDC]],TableSTRUPSYCM[],7,FALSE),"")</f>
        <v/>
      </c>
      <c r="BG392" s="209" t="str">
        <f>IFERROR(VLOOKUP(TableHandbook[[#This Row],[UDC]],TableSTRUVARTB[],7,FALSE),"")</f>
        <v/>
      </c>
      <c r="BH392" s="209" t="str">
        <f>IFERROR(VLOOKUP(TableHandbook[[#This Row],[UDC]],TableSTRUVARTM[],7,FALSE),"")</f>
        <v/>
      </c>
    </row>
    <row r="393" spans="1:60" x14ac:dyDescent="0.25">
      <c r="A393" s="296" t="s">
        <v>624</v>
      </c>
      <c r="B393" s="7">
        <v>1</v>
      </c>
      <c r="C393" s="7"/>
      <c r="D393" s="207" t="s">
        <v>1193</v>
      </c>
      <c r="E393" s="7">
        <v>25</v>
      </c>
      <c r="F393" s="311" t="s">
        <v>478</v>
      </c>
      <c r="G393" s="75" t="str">
        <f>IFERROR(IF(VLOOKUP(TableHandbook[[#This Row],[UDC]],TableAvailabilities[],2,FALSE)&gt;0,"Y",""),"")</f>
        <v>Y</v>
      </c>
      <c r="H393" s="75" t="str">
        <f>IFERROR(IF(VLOOKUP(TableHandbook[[#This Row],[UDC]],TableAvailabilities[],3,FALSE)&gt;0,"Y",""),"")</f>
        <v/>
      </c>
      <c r="I393" s="75" t="str">
        <f>IFERROR(IF(VLOOKUP(TableHandbook[[#This Row],[UDC]],TableAvailabilities[],4,FALSE)&gt;0,"Y",""),"")</f>
        <v/>
      </c>
      <c r="J393" s="75" t="str">
        <f>IFERROR(IF(VLOOKUP(TableHandbook[[#This Row],[UDC]],TableAvailabilities[],5,FALSE)&gt;0,"Y",""),"")</f>
        <v/>
      </c>
      <c r="K393" s="75" t="str">
        <f>IFERROR(IF(VLOOKUP(TableHandbook[[#This Row],[UDC]],TableAvailabilities[],6,FALSE)&gt;0,"Y",""),"")</f>
        <v/>
      </c>
      <c r="L393" s="75" t="str">
        <f>IFERROR(IF(VLOOKUP(TableHandbook[[#This Row],[UDC]],TableAvailabilities[],7,FALSE)&gt;0,"Y",""),"")</f>
        <v/>
      </c>
      <c r="M393" s="207"/>
      <c r="N393" s="209" t="str">
        <f>IFERROR(VLOOKUP(TableHandbook[[#This Row],[UDC]],TableBEDUC[],7,FALSE),"")</f>
        <v/>
      </c>
      <c r="O393" s="209" t="str">
        <f>IFERROR(VLOOKUP(TableHandbook[[#This Row],[UDC]],TableBEDEC[],7,FALSE),"")</f>
        <v/>
      </c>
      <c r="P393" s="211" t="str">
        <f>IFERROR(VLOOKUP(TableHandbook[[#This Row],[UDC]],TableBEDPR[],7,FALSE),"")</f>
        <v/>
      </c>
      <c r="Q393" s="209" t="str">
        <f>IFERROR(VLOOKUP(TableHandbook[[#This Row],[UDC]],TableSTRUCATHL[],7,FALSE),"")</f>
        <v/>
      </c>
      <c r="R393" s="209" t="str">
        <f>IFERROR(VLOOKUP(TableHandbook[[#This Row],[UDC]],TableSTRUENGLL[],7,FALSE),"")</f>
        <v/>
      </c>
      <c r="S393" s="209" t="str">
        <f>IFERROR(VLOOKUP(TableHandbook[[#This Row],[UDC]],TableSTRUHLTPE[],7,FALSE),"")</f>
        <v/>
      </c>
      <c r="T393" s="209" t="str">
        <f>IFERROR(VLOOKUP(TableHandbook[[#This Row],[UDC]],TableSTRUISTEM[],7,FALSE),"")</f>
        <v/>
      </c>
      <c r="U393" s="209" t="str">
        <f>IFERROR(VLOOKUP(TableHandbook[[#This Row],[UDC]],TableSTRULITNU[],7,FALSE),"")</f>
        <v/>
      </c>
      <c r="V393" s="209" t="str">
        <f>IFERROR(VLOOKUP(TableHandbook[[#This Row],[UDC]],TableSTRUTECHS[],7,FALSE),"")</f>
        <v/>
      </c>
      <c r="W393" s="211" t="str">
        <f>IFERROR(VLOOKUP(TableHandbook[[#This Row],[UDC]],TableBEDSC[],7,FALSE),"")</f>
        <v/>
      </c>
      <c r="X393" s="211" t="str">
        <f>IFERROR(VLOOKUP(TableHandbook[[#This Row],[UDC]],TableMJRUARDR1[],7,FALSE),"")</f>
        <v/>
      </c>
      <c r="Y393" s="209" t="str">
        <f>IFERROR(VLOOKUP(TableHandbook[[#This Row],[UDC]],TableMJRUARME1[],7,FALSE),"")</f>
        <v/>
      </c>
      <c r="Z393" s="209" t="str">
        <f>IFERROR(VLOOKUP(TableHandbook[[#This Row],[UDC]],TableMJRUARVA1[],7,FALSE),"")</f>
        <v/>
      </c>
      <c r="AA393" s="209" t="str">
        <f>IFERROR(VLOOKUP(TableHandbook[[#This Row],[UDC]],TableMJRUENGL1[],7,FALSE),"")</f>
        <v/>
      </c>
      <c r="AB393" s="209" t="str">
        <f>IFERROR(VLOOKUP(TableHandbook[[#This Row],[UDC]],TableMJRUHSEC1[],7,FALSE),"")</f>
        <v/>
      </c>
      <c r="AC393" s="209" t="str">
        <f>IFERROR(VLOOKUP(TableHandbook[[#This Row],[UDC]],TableMJRUHSGE1[],7,FALSE),"")</f>
        <v/>
      </c>
      <c r="AD393" s="209" t="str">
        <f>IFERROR(VLOOKUP(TableHandbook[[#This Row],[UDC]],TableMJRUHSHI1[],7,FALSE),"")</f>
        <v/>
      </c>
      <c r="AE393" s="209" t="str">
        <f>IFERROR(VLOOKUP(TableHandbook[[#This Row],[UDC]],TableMJRUHSPL1[],7,FALSE),"")</f>
        <v/>
      </c>
      <c r="AF393" s="209" t="str">
        <f>IFERROR(VLOOKUP(TableHandbook[[#This Row],[UDC]],TableMJRUMATH1[],7,FALSE),"")</f>
        <v/>
      </c>
      <c r="AG393" s="209" t="str">
        <f>IFERROR(VLOOKUP(TableHandbook[[#This Row],[UDC]],TableMJRUPHYSE[],7,FALSE),"")</f>
        <v/>
      </c>
      <c r="AH393" s="209" t="str">
        <f>IFERROR(VLOOKUP(TableHandbook[[#This Row],[UDC]],TableMJRUSCBI1[],7,FALSE),"")</f>
        <v>Option</v>
      </c>
      <c r="AI393" s="209" t="str">
        <f>IFERROR(VLOOKUP(TableHandbook[[#This Row],[UDC]],TableMJRUSCCH1[],7,FALSE),"")</f>
        <v/>
      </c>
      <c r="AJ393" s="209" t="str">
        <f>IFERROR(VLOOKUP(TableHandbook[[#This Row],[UDC]],TableMJRUSCHB1[],7,FALSE),"")</f>
        <v/>
      </c>
      <c r="AK393" s="209" t="str">
        <f>IFERROR(VLOOKUP(TableHandbook[[#This Row],[UDC]],TableMJRUSCPH1[],7,FALSE),"")</f>
        <v/>
      </c>
      <c r="AL393" s="209" t="str">
        <f>IFERROR(VLOOKUP(TableHandbook[[#This Row],[UDC]],TableMJRUSCPS1[],7,FALSE),"")</f>
        <v/>
      </c>
      <c r="AM393" s="211" t="str">
        <f>IFERROR(VLOOKUP(TableHandbook[[#This Row],[UDC]],TableSTRUBIOLB[],7,FALSE),"")</f>
        <v/>
      </c>
      <c r="AN393" s="209" t="str">
        <f>IFERROR(VLOOKUP(TableHandbook[[#This Row],[UDC]],TableSTRUBSCIM[],7,FALSE),"")</f>
        <v/>
      </c>
      <c r="AO393" s="209" t="str">
        <f>IFERROR(VLOOKUP(TableHandbook[[#This Row],[UDC]],TableSTRUCHEMB[],7,FALSE),"")</f>
        <v/>
      </c>
      <c r="AP393" s="209" t="str">
        <f>IFERROR(VLOOKUP(TableHandbook[[#This Row],[UDC]],TableSTRUECOB1[],7,FALSE),"")</f>
        <v/>
      </c>
      <c r="AQ393" s="209" t="str">
        <f>IFERROR(VLOOKUP(TableHandbook[[#This Row],[UDC]],TableSTRUENGLB[],7,FALSE),"")</f>
        <v/>
      </c>
      <c r="AR393" s="209" t="str">
        <f>IFERROR(VLOOKUP(TableHandbook[[#This Row],[UDC]],TableSTRUENGLM[],7,FALSE),"")</f>
        <v/>
      </c>
      <c r="AS393" s="209" t="str">
        <f>IFERROR(VLOOKUP(TableHandbook[[#This Row],[UDC]],TableSTRUGEOB1[],7,FALSE),"")</f>
        <v/>
      </c>
      <c r="AT393" s="209" t="str">
        <f>IFERROR(VLOOKUP(TableHandbook[[#This Row],[UDC]],TableSTRUGEOGM[],7,FALSE),"")</f>
        <v/>
      </c>
      <c r="AU393" s="209" t="str">
        <f>IFERROR(VLOOKUP(TableHandbook[[#This Row],[UDC]],TableSTRUHISB1[],7,FALSE),"")</f>
        <v/>
      </c>
      <c r="AV393" s="209" t="str">
        <f>IFERROR(VLOOKUP(TableHandbook[[#This Row],[UDC]],TableSTRUHISTM[],7,FALSE),"")</f>
        <v/>
      </c>
      <c r="AW393" s="209" t="str">
        <f>IFERROR(VLOOKUP(TableHandbook[[#This Row],[UDC]],TableSTRUHPEB1[],7,FALSE),"")</f>
        <v/>
      </c>
      <c r="AX393" s="209" t="str">
        <f>IFERROR(VLOOKUP(TableHandbook[[#This Row],[UDC]],TableSTRUHUMBB[],7,FALSE),"")</f>
        <v/>
      </c>
      <c r="AY393" s="209" t="str">
        <f>IFERROR(VLOOKUP(TableHandbook[[#This Row],[UDC]],TableSTRUMARTM[],7,FALSE),"")</f>
        <v/>
      </c>
      <c r="AZ393" s="209" t="str">
        <f>IFERROR(VLOOKUP(TableHandbook[[#This Row],[UDC]],TableSTRUMATHB[],7,FALSE),"")</f>
        <v/>
      </c>
      <c r="BA393" s="209" t="str">
        <f>IFERROR(VLOOKUP(TableHandbook[[#This Row],[UDC]],TableSTRUMATHM[],7,FALSE),"")</f>
        <v/>
      </c>
      <c r="BB393" s="209" t="str">
        <f>IFERROR(VLOOKUP(TableHandbook[[#This Row],[UDC]],TableSTRUPARTB[],7,FALSE),"")</f>
        <v/>
      </c>
      <c r="BC393" s="209" t="str">
        <f>IFERROR(VLOOKUP(TableHandbook[[#This Row],[UDC]],TableSTRUPARTM[],7,FALSE),"")</f>
        <v/>
      </c>
      <c r="BD393" s="209" t="str">
        <f>IFERROR(VLOOKUP(TableHandbook[[#This Row],[UDC]],TableSTRUPOLB1[],7,FALSE),"")</f>
        <v/>
      </c>
      <c r="BE393" s="209" t="str">
        <f>IFERROR(VLOOKUP(TableHandbook[[#This Row],[UDC]],TableSTRUPSYCB[],7,FALSE),"")</f>
        <v/>
      </c>
      <c r="BF393" s="209" t="str">
        <f>IFERROR(VLOOKUP(TableHandbook[[#This Row],[UDC]],TableSTRUPSYCM[],7,FALSE),"")</f>
        <v/>
      </c>
      <c r="BG393" s="209" t="str">
        <f>IFERROR(VLOOKUP(TableHandbook[[#This Row],[UDC]],TableSTRUVARTB[],7,FALSE),"")</f>
        <v/>
      </c>
      <c r="BH393" s="209" t="str">
        <f>IFERROR(VLOOKUP(TableHandbook[[#This Row],[UDC]],TableSTRUVARTM[],7,FALSE),"")</f>
        <v/>
      </c>
    </row>
  </sheetData>
  <sortState xmlns:xlrd2="http://schemas.microsoft.com/office/spreadsheetml/2017/richdata2" ref="A24:D37">
    <sortCondition ref="A24"/>
  </sortState>
  <conditionalFormatting sqref="A3:A393">
    <cfRule type="duplicateValues" dxfId="145" priority="1097"/>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S1083"/>
  <sheetViews>
    <sheetView topLeftCell="A619" zoomScale="70" zoomScaleNormal="70" workbookViewId="0">
      <selection activeCell="AF118" sqref="AF118"/>
    </sheetView>
  </sheetViews>
  <sheetFormatPr defaultRowHeight="15.75" x14ac:dyDescent="0.25"/>
  <cols>
    <col min="1" max="1" width="14.25" bestFit="1" customWidth="1"/>
    <col min="2" max="2" width="9.75" style="5" customWidth="1"/>
    <col min="3" max="3" width="12" bestFit="1" customWidth="1"/>
    <col min="4" max="4" width="57"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67.75" customWidth="1"/>
    <col min="13" max="13" width="8.75" bestFit="1" customWidth="1"/>
    <col min="14" max="14" width="13.375" bestFit="1" customWidth="1"/>
    <col min="15" max="15" width="10.875" bestFit="1" customWidth="1"/>
    <col min="16" max="16" width="11.25" bestFit="1" customWidth="1"/>
    <col min="18" max="18" width="12.625" bestFit="1" customWidth="1"/>
    <col min="19" max="19" width="10.375" customWidth="1"/>
  </cols>
  <sheetData>
    <row r="1" spans="1:19" x14ac:dyDescent="0.25">
      <c r="A1" s="78"/>
      <c r="B1" s="80"/>
      <c r="C1" s="78"/>
      <c r="G1" s="79" t="s">
        <v>1194</v>
      </c>
      <c r="H1" s="272">
        <v>45658</v>
      </c>
      <c r="J1" s="78" t="s">
        <v>71</v>
      </c>
      <c r="K1" s="273" t="s">
        <v>72</v>
      </c>
      <c r="L1" s="78" t="s">
        <v>11</v>
      </c>
      <c r="M1" s="78"/>
      <c r="N1" s="198" t="s">
        <v>1195</v>
      </c>
      <c r="O1" s="125">
        <v>45538</v>
      </c>
      <c r="P1" s="212">
        <v>45292</v>
      </c>
    </row>
    <row r="2" spans="1:19" ht="31.5" x14ac:dyDescent="0.25">
      <c r="A2" s="97" t="s">
        <v>0</v>
      </c>
      <c r="B2" s="98" t="s">
        <v>1196</v>
      </c>
      <c r="C2" s="97" t="s">
        <v>1197</v>
      </c>
      <c r="D2" s="97" t="s">
        <v>3</v>
      </c>
      <c r="E2" s="99" t="s">
        <v>1198</v>
      </c>
      <c r="F2" s="97" t="s">
        <v>1199</v>
      </c>
      <c r="G2" s="97" t="s">
        <v>1200</v>
      </c>
      <c r="H2" s="97" t="s">
        <v>1201</v>
      </c>
      <c r="I2" s="97" t="s">
        <v>18</v>
      </c>
      <c r="J2" s="97" t="s">
        <v>1202</v>
      </c>
      <c r="K2" s="97" t="s">
        <v>1</v>
      </c>
      <c r="L2" s="97" t="s">
        <v>1203</v>
      </c>
      <c r="M2" s="97" t="s">
        <v>69</v>
      </c>
      <c r="N2" s="97" t="s">
        <v>1204</v>
      </c>
      <c r="O2" s="97" t="s">
        <v>1205</v>
      </c>
      <c r="R2" t="s">
        <v>1206</v>
      </c>
      <c r="S2" t="s">
        <v>1207</v>
      </c>
    </row>
    <row r="3" spans="1:19" x14ac:dyDescent="0.25">
      <c r="A3" t="str">
        <f>TableBEDUC[[#This Row],[Study Package Code]]</f>
        <v>EDUC1021</v>
      </c>
      <c r="B3" s="5">
        <f>TableBEDUC[[#This Row],[Ver]]</f>
        <v>1</v>
      </c>
      <c r="D3" t="str">
        <f>TableBEDUC[[#This Row],[Structure Line]]</f>
        <v>Child Development for Educators</v>
      </c>
      <c r="E3" s="81">
        <f>TableBEDUC[[#This Row],[Credit Points]]</f>
        <v>25</v>
      </c>
      <c r="F3">
        <v>1</v>
      </c>
      <c r="G3" t="s">
        <v>1208</v>
      </c>
      <c r="H3">
        <v>1</v>
      </c>
      <c r="I3" t="s">
        <v>1209</v>
      </c>
      <c r="J3" t="s">
        <v>55</v>
      </c>
      <c r="K3">
        <v>1</v>
      </c>
      <c r="L3" t="s">
        <v>960</v>
      </c>
      <c r="M3">
        <v>25</v>
      </c>
      <c r="N3" s="125">
        <v>43466</v>
      </c>
      <c r="O3" s="125"/>
      <c r="R3" t="s">
        <v>55</v>
      </c>
      <c r="S3">
        <v>1</v>
      </c>
    </row>
    <row r="4" spans="1:19" x14ac:dyDescent="0.25">
      <c r="A4" t="str">
        <f>TableBEDUC[[#This Row],[Study Package Code]]</f>
        <v>EDUC1019</v>
      </c>
      <c r="B4" s="5">
        <f>TableBEDUC[[#This Row],[Ver]]</f>
        <v>1</v>
      </c>
      <c r="D4" t="str">
        <f>TableBEDUC[[#This Row],[Structure Line]]</f>
        <v>Teaching and Learning in the Digital World</v>
      </c>
      <c r="E4" s="81">
        <f>TableBEDUC[[#This Row],[Credit Points]]</f>
        <v>25</v>
      </c>
      <c r="F4">
        <v>2</v>
      </c>
      <c r="G4" t="s">
        <v>1208</v>
      </c>
      <c r="H4">
        <v>1</v>
      </c>
      <c r="I4" t="s">
        <v>1209</v>
      </c>
      <c r="J4" t="s">
        <v>60</v>
      </c>
      <c r="K4">
        <v>1</v>
      </c>
      <c r="L4" t="s">
        <v>959</v>
      </c>
      <c r="M4">
        <v>25</v>
      </c>
      <c r="N4" s="125">
        <v>43466</v>
      </c>
      <c r="O4" s="125"/>
      <c r="R4" t="s">
        <v>60</v>
      </c>
      <c r="S4">
        <v>1</v>
      </c>
    </row>
    <row r="5" spans="1:19" x14ac:dyDescent="0.25">
      <c r="A5" t="str">
        <f>TableBEDUC[[#This Row],[Study Package Code]]</f>
        <v>EDUC1023</v>
      </c>
      <c r="B5" s="5">
        <f>TableBEDUC[[#This Row],[Ver]]</f>
        <v>1</v>
      </c>
      <c r="D5" t="str">
        <f>TableBEDUC[[#This Row],[Structure Line]]</f>
        <v>Introducing Language, Literacy and Literature for Educators</v>
      </c>
      <c r="E5" s="81">
        <f>TableBEDUC[[#This Row],[Credit Points]]</f>
        <v>25</v>
      </c>
      <c r="F5">
        <v>3</v>
      </c>
      <c r="G5" t="s">
        <v>1208</v>
      </c>
      <c r="H5">
        <v>1</v>
      </c>
      <c r="I5" t="s">
        <v>1209</v>
      </c>
      <c r="J5" t="s">
        <v>62</v>
      </c>
      <c r="K5">
        <v>1</v>
      </c>
      <c r="L5" t="s">
        <v>961</v>
      </c>
      <c r="M5">
        <v>25</v>
      </c>
      <c r="N5" s="125">
        <v>43466</v>
      </c>
      <c r="O5" s="125"/>
      <c r="R5" t="s">
        <v>1210</v>
      </c>
      <c r="S5">
        <v>1</v>
      </c>
    </row>
    <row r="6" spans="1:19" x14ac:dyDescent="0.25">
      <c r="A6" t="str">
        <f>TableBEDUC[[#This Row],[Study Package Code]]</f>
        <v>EDUC1033</v>
      </c>
      <c r="B6" s="5">
        <f>TableBEDUC[[#This Row],[Ver]]</f>
        <v>1</v>
      </c>
      <c r="D6" t="str">
        <f>TableBEDUC[[#This Row],[Structure Line]]</f>
        <v>Communication Skills for Educators</v>
      </c>
      <c r="E6" s="81">
        <f>TableBEDUC[[#This Row],[Credit Points]]</f>
        <v>25</v>
      </c>
      <c r="F6">
        <v>4</v>
      </c>
      <c r="G6" t="s">
        <v>1208</v>
      </c>
      <c r="H6">
        <v>1</v>
      </c>
      <c r="I6" t="s">
        <v>1209</v>
      </c>
      <c r="J6" t="s">
        <v>75</v>
      </c>
      <c r="K6">
        <v>1</v>
      </c>
      <c r="L6" t="s">
        <v>966</v>
      </c>
      <c r="M6">
        <v>25</v>
      </c>
      <c r="N6" s="125">
        <v>45658</v>
      </c>
      <c r="O6" s="125"/>
      <c r="R6" t="s">
        <v>1211</v>
      </c>
      <c r="S6">
        <v>0</v>
      </c>
    </row>
    <row r="7" spans="1:19" x14ac:dyDescent="0.25">
      <c r="A7" t="str">
        <f>TableBEDUC[[#This Row],[Study Package Code]]</f>
        <v>EDUC1027</v>
      </c>
      <c r="B7" s="5">
        <f>TableBEDUC[[#This Row],[Ver]]</f>
        <v>1</v>
      </c>
      <c r="D7" t="str">
        <f>TableBEDUC[[#This Row],[Structure Line]]</f>
        <v>Educators Inquiring About the World</v>
      </c>
      <c r="E7" s="81">
        <f>TableBEDUC[[#This Row],[Credit Points]]</f>
        <v>25</v>
      </c>
      <c r="F7">
        <v>5</v>
      </c>
      <c r="G7" t="s">
        <v>1208</v>
      </c>
      <c r="H7">
        <v>1</v>
      </c>
      <c r="I7" t="s">
        <v>1212</v>
      </c>
      <c r="J7" t="s">
        <v>57</v>
      </c>
      <c r="K7">
        <v>1</v>
      </c>
      <c r="L7" t="s">
        <v>963</v>
      </c>
      <c r="M7">
        <v>25</v>
      </c>
      <c r="N7" s="125">
        <v>43466</v>
      </c>
      <c r="O7" s="125"/>
      <c r="R7" t="s">
        <v>57</v>
      </c>
      <c r="S7">
        <v>1</v>
      </c>
    </row>
    <row r="8" spans="1:19" x14ac:dyDescent="0.25">
      <c r="A8" t="str">
        <f>TableBEDUC[[#This Row],[Study Package Code]]</f>
        <v>EDUC1025</v>
      </c>
      <c r="B8" s="5">
        <f>TableBEDUC[[#This Row],[Ver]]</f>
        <v>1</v>
      </c>
      <c r="D8" t="str">
        <f>TableBEDUC[[#This Row],[Structure Line]]</f>
        <v>Exploring and Contesting Curriculum</v>
      </c>
      <c r="E8" s="81">
        <f>TableBEDUC[[#This Row],[Credit Points]]</f>
        <v>25</v>
      </c>
      <c r="F8">
        <v>6</v>
      </c>
      <c r="G8" t="s">
        <v>1208</v>
      </c>
      <c r="H8">
        <v>1</v>
      </c>
      <c r="I8" t="s">
        <v>1212</v>
      </c>
      <c r="J8" t="s">
        <v>61</v>
      </c>
      <c r="K8">
        <v>1</v>
      </c>
      <c r="L8" t="s">
        <v>962</v>
      </c>
      <c r="M8">
        <v>25</v>
      </c>
      <c r="N8" s="125">
        <v>43466</v>
      </c>
      <c r="O8" s="125"/>
      <c r="R8" t="s">
        <v>61</v>
      </c>
      <c r="S8">
        <v>1</v>
      </c>
    </row>
    <row r="9" spans="1:19" x14ac:dyDescent="0.25">
      <c r="A9" t="str">
        <f>TableBEDUC[[#This Row],[Study Package Code]]</f>
        <v>EDUC1029</v>
      </c>
      <c r="B9" s="5">
        <f>TableBEDUC[[#This Row],[Ver]]</f>
        <v>1</v>
      </c>
      <c r="D9" t="str">
        <f>TableBEDUC[[#This Row],[Structure Line]]</f>
        <v>Performing Arts for Educators</v>
      </c>
      <c r="E9" s="81">
        <f>TableBEDUC[[#This Row],[Credit Points]]</f>
        <v>25</v>
      </c>
      <c r="F9">
        <v>7</v>
      </c>
      <c r="G9" t="s">
        <v>1208</v>
      </c>
      <c r="H9">
        <v>1</v>
      </c>
      <c r="I9" t="s">
        <v>1212</v>
      </c>
      <c r="J9" t="s">
        <v>58</v>
      </c>
      <c r="K9">
        <v>1</v>
      </c>
      <c r="L9" t="s">
        <v>964</v>
      </c>
      <c r="M9">
        <v>25</v>
      </c>
      <c r="N9" s="125">
        <v>43466</v>
      </c>
      <c r="O9" s="125"/>
      <c r="R9" t="s">
        <v>58</v>
      </c>
      <c r="S9">
        <v>1</v>
      </c>
    </row>
    <row r="10" spans="1:19" x14ac:dyDescent="0.25">
      <c r="A10" t="str">
        <f>TableBEDUC[[#This Row],[Study Package Code]]</f>
        <v>EDUC1031</v>
      </c>
      <c r="B10" s="5">
        <f>TableBEDUC[[#This Row],[Ver]]</f>
        <v>1</v>
      </c>
      <c r="D10" t="str">
        <f>TableBEDUC[[#This Row],[Structure Line]]</f>
        <v>The Numerate Educator</v>
      </c>
      <c r="E10" s="81">
        <f>TableBEDUC[[#This Row],[Credit Points]]</f>
        <v>25</v>
      </c>
      <c r="F10">
        <v>8</v>
      </c>
      <c r="G10" t="s">
        <v>1208</v>
      </c>
      <c r="H10">
        <v>1</v>
      </c>
      <c r="I10" t="s">
        <v>1212</v>
      </c>
      <c r="J10" t="s">
        <v>63</v>
      </c>
      <c r="K10">
        <v>1</v>
      </c>
      <c r="L10" t="s">
        <v>965</v>
      </c>
      <c r="M10">
        <v>25</v>
      </c>
      <c r="N10" s="125">
        <v>43466</v>
      </c>
      <c r="O10" s="125"/>
      <c r="R10" t="s">
        <v>63</v>
      </c>
      <c r="S10">
        <v>1</v>
      </c>
    </row>
    <row r="11" spans="1:19" x14ac:dyDescent="0.25">
      <c r="A11" t="str">
        <f>TableBEDUC[[#This Row],[Study Package Code]]</f>
        <v>EDPR2016</v>
      </c>
      <c r="B11" s="5">
        <f>TableBEDUC[[#This Row],[Ver]]</f>
        <v>1</v>
      </c>
      <c r="D11" t="str">
        <f>TableBEDUC[[#This Row],[Structure Line]]</f>
        <v>Health and Physical Education</v>
      </c>
      <c r="E11" s="81">
        <f>TableBEDUC[[#This Row],[Credit Points]]</f>
        <v>25</v>
      </c>
      <c r="F11">
        <v>9</v>
      </c>
      <c r="G11" t="s">
        <v>1208</v>
      </c>
      <c r="H11">
        <v>2</v>
      </c>
      <c r="I11" t="s">
        <v>1209</v>
      </c>
      <c r="J11" t="s">
        <v>95</v>
      </c>
      <c r="K11">
        <v>1</v>
      </c>
      <c r="L11" t="s">
        <v>907</v>
      </c>
      <c r="M11">
        <v>25</v>
      </c>
      <c r="N11" s="125">
        <v>43466</v>
      </c>
      <c r="O11" s="125"/>
      <c r="R11" t="s">
        <v>95</v>
      </c>
      <c r="S11">
        <v>1</v>
      </c>
    </row>
    <row r="12" spans="1:19" x14ac:dyDescent="0.25">
      <c r="A12" t="str">
        <f>TableBEDUC[[#This Row],[Study Package Code]]</f>
        <v>EDUC2007</v>
      </c>
      <c r="B12" s="5">
        <f>TableBEDUC[[#This Row],[Ver]]</f>
        <v>1</v>
      </c>
      <c r="D12" t="str">
        <f>TableBEDUC[[#This Row],[Structure Line]]</f>
        <v>Teaching Language, Literacy and Literature in Junior Primary</v>
      </c>
      <c r="E12" s="81">
        <f>TableBEDUC[[#This Row],[Credit Points]]</f>
        <v>25</v>
      </c>
      <c r="F12">
        <v>10</v>
      </c>
      <c r="G12" t="s">
        <v>1208</v>
      </c>
      <c r="H12">
        <v>2</v>
      </c>
      <c r="I12" t="s">
        <v>1209</v>
      </c>
      <c r="J12" t="s">
        <v>91</v>
      </c>
      <c r="K12">
        <v>1</v>
      </c>
      <c r="L12" t="s">
        <v>971</v>
      </c>
      <c r="M12">
        <v>25</v>
      </c>
      <c r="N12" s="125">
        <v>43466</v>
      </c>
      <c r="O12" s="125"/>
      <c r="R12" t="s">
        <v>91</v>
      </c>
      <c r="S12">
        <v>1</v>
      </c>
    </row>
    <row r="13" spans="1:19" x14ac:dyDescent="0.25">
      <c r="A13" t="str">
        <f>TableBEDUC[[#This Row],[Study Package Code]]</f>
        <v>EDUC2005</v>
      </c>
      <c r="B13" s="5">
        <f>TableBEDUC[[#This Row],[Ver]]</f>
        <v>1</v>
      </c>
      <c r="D13" t="str">
        <f>TableBEDUC[[#This Row],[Structure Line]]</f>
        <v>Learning Theories, Diversity and Differentiation</v>
      </c>
      <c r="E13" s="81">
        <f>TableBEDUC[[#This Row],[Credit Points]]</f>
        <v>25</v>
      </c>
      <c r="F13">
        <v>11</v>
      </c>
      <c r="G13" t="s">
        <v>1208</v>
      </c>
      <c r="H13">
        <v>2</v>
      </c>
      <c r="I13" t="s">
        <v>1209</v>
      </c>
      <c r="J13" t="s">
        <v>93</v>
      </c>
      <c r="K13">
        <v>1</v>
      </c>
      <c r="L13" t="s">
        <v>969</v>
      </c>
      <c r="M13">
        <v>25</v>
      </c>
      <c r="N13" s="125">
        <v>43466</v>
      </c>
      <c r="O13" s="125"/>
      <c r="R13" t="s">
        <v>93</v>
      </c>
      <c r="S13">
        <v>1</v>
      </c>
    </row>
    <row r="14" spans="1:19" x14ac:dyDescent="0.25">
      <c r="A14" t="str">
        <f>TableBEDUC[[#This Row],[Study Package Code]]</f>
        <v>Elective</v>
      </c>
      <c r="B14" s="5">
        <f>TableBEDUC[[#This Row],[Ver]]</f>
        <v>0</v>
      </c>
      <c r="D14" t="str">
        <f>TableBEDUC[[#This Row],[Structure Line]]</f>
        <v>Choose an Elective</v>
      </c>
      <c r="E14" s="81">
        <f>TableBEDUC[[#This Row],[Credit Points]]</f>
        <v>25</v>
      </c>
      <c r="F14">
        <v>12</v>
      </c>
      <c r="G14" t="s">
        <v>102</v>
      </c>
      <c r="H14">
        <v>2</v>
      </c>
      <c r="I14" t="s">
        <v>1212</v>
      </c>
      <c r="J14" t="s">
        <v>102</v>
      </c>
      <c r="K14">
        <v>0</v>
      </c>
      <c r="L14" t="s">
        <v>1213</v>
      </c>
      <c r="M14">
        <v>25</v>
      </c>
      <c r="N14" s="125"/>
      <c r="O14" s="125"/>
      <c r="R14" t="s">
        <v>102</v>
      </c>
      <c r="S14">
        <v>0</v>
      </c>
    </row>
    <row r="15" spans="1:19" x14ac:dyDescent="0.25">
      <c r="A15" t="str">
        <f>TableBEDUC[[#This Row],[Study Package Code]]</f>
        <v>EDPR2004</v>
      </c>
      <c r="B15" s="5">
        <f>TableBEDUC[[#This Row],[Ver]]</f>
        <v>1</v>
      </c>
      <c r="D15" t="str">
        <f>TableBEDUC[[#This Row],[Structure Line]]</f>
        <v>Children as Mathematical Learners</v>
      </c>
      <c r="E15" s="81">
        <f>TableBEDUC[[#This Row],[Credit Points]]</f>
        <v>25</v>
      </c>
      <c r="F15">
        <v>13</v>
      </c>
      <c r="G15" t="s">
        <v>1208</v>
      </c>
      <c r="H15">
        <v>2</v>
      </c>
      <c r="I15" t="s">
        <v>1212</v>
      </c>
      <c r="J15" t="s">
        <v>90</v>
      </c>
      <c r="K15">
        <v>1</v>
      </c>
      <c r="L15" t="s">
        <v>902</v>
      </c>
      <c r="M15">
        <v>25</v>
      </c>
      <c r="N15" s="125">
        <v>42005</v>
      </c>
      <c r="O15" s="125"/>
      <c r="R15" t="s">
        <v>90</v>
      </c>
      <c r="S15">
        <v>1</v>
      </c>
    </row>
    <row r="16" spans="1:19" x14ac:dyDescent="0.25">
      <c r="A16" t="str">
        <f>TableBEDUC[[#This Row],[Study Package Code]]</f>
        <v>EDPR2000</v>
      </c>
      <c r="B16" s="5">
        <f>TableBEDUC[[#This Row],[Ver]]</f>
        <v>1</v>
      </c>
      <c r="D16" t="str">
        <f>TableBEDUC[[#This Row],[Structure Line]]</f>
        <v>Inquiry in the Science Classroom</v>
      </c>
      <c r="E16" s="81">
        <f>TableBEDUC[[#This Row],[Credit Points]]</f>
        <v>25</v>
      </c>
      <c r="F16">
        <v>14</v>
      </c>
      <c r="G16" t="s">
        <v>1208</v>
      </c>
      <c r="H16">
        <v>2</v>
      </c>
      <c r="I16" t="s">
        <v>1212</v>
      </c>
      <c r="J16" t="s">
        <v>96</v>
      </c>
      <c r="K16">
        <v>1</v>
      </c>
      <c r="L16" t="s">
        <v>901</v>
      </c>
      <c r="M16">
        <v>25</v>
      </c>
      <c r="N16" s="125">
        <v>42005</v>
      </c>
      <c r="O16" s="125"/>
      <c r="R16" t="s">
        <v>96</v>
      </c>
      <c r="S16">
        <v>1</v>
      </c>
    </row>
    <row r="17" spans="1:19" x14ac:dyDescent="0.25">
      <c r="A17" t="str">
        <f>TableBEDUC[[#This Row],[Study Package Code]]</f>
        <v>EDUC1035</v>
      </c>
      <c r="B17" s="5">
        <f>TableBEDUC[[#This Row],[Ver]]</f>
        <v>1</v>
      </c>
      <c r="D17" t="str">
        <f>TableBEDUC[[#This Row],[Structure Line]]</f>
        <v>Professional Teaching Practice 1</v>
      </c>
      <c r="E17" s="81">
        <f>TableBEDUC[[#This Row],[Credit Points]]</f>
        <v>25</v>
      </c>
      <c r="F17">
        <v>15</v>
      </c>
      <c r="G17" t="s">
        <v>1208</v>
      </c>
      <c r="H17">
        <v>2</v>
      </c>
      <c r="I17" t="s">
        <v>1209</v>
      </c>
      <c r="J17" t="s">
        <v>88</v>
      </c>
      <c r="K17">
        <v>1</v>
      </c>
      <c r="L17" t="s">
        <v>968</v>
      </c>
      <c r="M17">
        <v>25</v>
      </c>
      <c r="N17" s="125">
        <v>45658</v>
      </c>
      <c r="O17" s="125"/>
      <c r="R17" t="s">
        <v>1214</v>
      </c>
      <c r="S17">
        <v>1</v>
      </c>
    </row>
    <row r="18" spans="1:19" x14ac:dyDescent="0.25">
      <c r="A18" t="str">
        <f>TableBEDUC[[#This Row],[Study Package Code]]</f>
        <v>Elective</v>
      </c>
      <c r="B18" s="5">
        <f>TableBEDUC[[#This Row],[Ver]]</f>
        <v>0</v>
      </c>
      <c r="D18" t="str">
        <f>TableBEDUC[[#This Row],[Structure Line]]</f>
        <v>Choose an Elective</v>
      </c>
      <c r="E18" s="81">
        <f>TableBEDUC[[#This Row],[Credit Points]]</f>
        <v>25</v>
      </c>
      <c r="F18">
        <v>16</v>
      </c>
      <c r="G18" t="s">
        <v>102</v>
      </c>
      <c r="H18">
        <v>2</v>
      </c>
      <c r="I18" t="s">
        <v>1212</v>
      </c>
      <c r="J18" t="s">
        <v>102</v>
      </c>
      <c r="K18">
        <v>0</v>
      </c>
      <c r="L18" t="s">
        <v>1213</v>
      </c>
      <c r="M18">
        <v>25</v>
      </c>
      <c r="N18" s="125"/>
      <c r="O18" s="125"/>
      <c r="R18" t="s">
        <v>102</v>
      </c>
      <c r="S18">
        <v>0</v>
      </c>
    </row>
    <row r="19" spans="1:19" x14ac:dyDescent="0.25">
      <c r="A19" t="str">
        <f>TableBEDUC[[#This Row],[Study Package Code]]</f>
        <v>INED3001</v>
      </c>
      <c r="B19" s="5">
        <f>TableBEDUC[[#This Row],[Ver]]</f>
        <v>1</v>
      </c>
      <c r="D19" t="str">
        <f>TableBEDUC[[#This Row],[Structure Line]]</f>
        <v>Indigenous Australian Education</v>
      </c>
      <c r="E19" s="81">
        <f>TableBEDUC[[#This Row],[Credit Points]]</f>
        <v>25</v>
      </c>
      <c r="F19">
        <v>17</v>
      </c>
      <c r="G19" t="s">
        <v>1208</v>
      </c>
      <c r="H19">
        <v>3</v>
      </c>
      <c r="I19" t="s">
        <v>1209</v>
      </c>
      <c r="J19" t="s">
        <v>122</v>
      </c>
      <c r="K19">
        <v>1</v>
      </c>
      <c r="L19" t="s">
        <v>1042</v>
      </c>
      <c r="M19">
        <v>25</v>
      </c>
      <c r="N19" s="125">
        <v>42005</v>
      </c>
      <c r="O19" s="125"/>
      <c r="R19" t="s">
        <v>122</v>
      </c>
      <c r="S19">
        <v>1</v>
      </c>
    </row>
    <row r="20" spans="1:19" x14ac:dyDescent="0.25">
      <c r="A20" t="str">
        <f>TableBEDUC[[#This Row],[Study Package Code]]</f>
        <v>AC-BEDUC</v>
      </c>
      <c r="B20" s="5">
        <f>TableBEDUC[[#This Row],[Ver]]</f>
        <v>0</v>
      </c>
      <c r="D20" t="str">
        <f>TableBEDUC[[#This Row],[Structure Line]]</f>
        <v>Choose EDPR3004 or EDSC3007</v>
      </c>
      <c r="E20" s="81">
        <f>TableBEDUC[[#This Row],[Credit Points]]</f>
        <v>25</v>
      </c>
      <c r="F20">
        <v>18</v>
      </c>
      <c r="G20" t="s">
        <v>1215</v>
      </c>
      <c r="H20">
        <v>3</v>
      </c>
      <c r="I20" t="s">
        <v>1209</v>
      </c>
      <c r="J20" t="s">
        <v>128</v>
      </c>
      <c r="K20">
        <v>0</v>
      </c>
      <c r="L20" t="s">
        <v>1216</v>
      </c>
      <c r="M20">
        <v>25</v>
      </c>
      <c r="N20" s="125"/>
      <c r="O20" s="125"/>
      <c r="R20" t="s">
        <v>1217</v>
      </c>
      <c r="S20">
        <v>0</v>
      </c>
    </row>
    <row r="21" spans="1:19" x14ac:dyDescent="0.25">
      <c r="A21" t="str">
        <f>TableBEDUC[[#This Row],[Study Package Code]]</f>
        <v>Elective</v>
      </c>
      <c r="B21" s="5">
        <f>TableBEDUC[[#This Row],[Ver]]</f>
        <v>0</v>
      </c>
      <c r="D21" t="str">
        <f>TableBEDUC[[#This Row],[Structure Line]]</f>
        <v>Choose an Elective</v>
      </c>
      <c r="E21" s="81">
        <f>TableBEDUC[[#This Row],[Credit Points]]</f>
        <v>50</v>
      </c>
      <c r="F21">
        <v>19</v>
      </c>
      <c r="G21" t="s">
        <v>102</v>
      </c>
      <c r="H21">
        <v>3</v>
      </c>
      <c r="I21" t="s">
        <v>1209</v>
      </c>
      <c r="J21" t="s">
        <v>102</v>
      </c>
      <c r="K21">
        <v>0</v>
      </c>
      <c r="L21" t="s">
        <v>1213</v>
      </c>
      <c r="M21">
        <v>50</v>
      </c>
      <c r="N21" s="125"/>
      <c r="O21" s="125"/>
      <c r="R21" t="s">
        <v>102</v>
      </c>
      <c r="S21">
        <v>0</v>
      </c>
    </row>
    <row r="22" spans="1:19" x14ac:dyDescent="0.25">
      <c r="A22" t="str">
        <f>TableBEDUC[[#This Row],[Study Package Code]]</f>
        <v>EDPR3003</v>
      </c>
      <c r="B22" s="5">
        <f>TableBEDUC[[#This Row],[Ver]]</f>
        <v>2</v>
      </c>
      <c r="D22" t="str">
        <f>TableBEDUC[[#This Row],[Structure Line]]</f>
        <v>Inquiry in the Humanities and Social Sciences Classroom</v>
      </c>
      <c r="E22" s="81">
        <f>TableBEDUC[[#This Row],[Credit Points]]</f>
        <v>25</v>
      </c>
      <c r="F22">
        <v>20</v>
      </c>
      <c r="G22" t="s">
        <v>1208</v>
      </c>
      <c r="H22">
        <v>3</v>
      </c>
      <c r="I22" t="s">
        <v>1212</v>
      </c>
      <c r="J22" t="s">
        <v>124</v>
      </c>
      <c r="K22">
        <v>2</v>
      </c>
      <c r="L22" t="s">
        <v>910</v>
      </c>
      <c r="M22">
        <v>25</v>
      </c>
      <c r="N22" s="125">
        <v>43466</v>
      </c>
      <c r="O22" s="125"/>
      <c r="R22" t="s">
        <v>124</v>
      </c>
      <c r="S22">
        <v>2</v>
      </c>
    </row>
    <row r="23" spans="1:19" x14ac:dyDescent="0.25">
      <c r="A23" t="str">
        <f>TableBEDUC[[#This Row],[Study Package Code]]</f>
        <v>EDUC4048</v>
      </c>
      <c r="B23" s="5">
        <f>TableBEDUC[[#This Row],[Ver]]</f>
        <v>1</v>
      </c>
      <c r="D23" t="str">
        <f>TableBEDUC[[#This Row],[Structure Line]]</f>
        <v>Mentoring, Coaching and Tutoring</v>
      </c>
      <c r="E23" s="81">
        <f>TableBEDUC[[#This Row],[Credit Points]]</f>
        <v>25</v>
      </c>
      <c r="F23">
        <v>21</v>
      </c>
      <c r="G23" t="s">
        <v>1208</v>
      </c>
      <c r="H23">
        <v>3</v>
      </c>
      <c r="I23" t="s">
        <v>1212</v>
      </c>
      <c r="J23" t="s">
        <v>129</v>
      </c>
      <c r="K23">
        <v>1</v>
      </c>
      <c r="L23" t="s">
        <v>991</v>
      </c>
      <c r="M23">
        <v>25</v>
      </c>
      <c r="N23" s="125">
        <v>43466</v>
      </c>
      <c r="O23" s="125"/>
      <c r="R23" t="s">
        <v>129</v>
      </c>
      <c r="S23">
        <v>1</v>
      </c>
    </row>
    <row r="24" spans="1:19" x14ac:dyDescent="0.25">
      <c r="A24" t="str">
        <f>TableBEDUC[[#This Row],[Study Package Code]]</f>
        <v>EDUC3002</v>
      </c>
      <c r="B24" s="5">
        <f>TableBEDUC[[#This Row],[Ver]]</f>
        <v>1</v>
      </c>
      <c r="D24" t="str">
        <f>TableBEDUC[[#This Row],[Structure Line]]</f>
        <v>Reflection and Research in Education</v>
      </c>
      <c r="E24" s="81">
        <f>TableBEDUC[[#This Row],[Credit Points]]</f>
        <v>25</v>
      </c>
      <c r="F24">
        <v>22</v>
      </c>
      <c r="G24" t="s">
        <v>1208</v>
      </c>
      <c r="H24">
        <v>3</v>
      </c>
      <c r="I24" t="s">
        <v>1212</v>
      </c>
      <c r="J24" t="s">
        <v>144</v>
      </c>
      <c r="K24">
        <v>1</v>
      </c>
      <c r="L24" t="s">
        <v>973</v>
      </c>
      <c r="M24">
        <v>25</v>
      </c>
      <c r="N24" s="125">
        <v>43466</v>
      </c>
      <c r="O24" s="125"/>
      <c r="R24" t="s">
        <v>144</v>
      </c>
      <c r="S24">
        <v>1</v>
      </c>
    </row>
    <row r="25" spans="1:19" x14ac:dyDescent="0.25">
      <c r="A25" t="str">
        <f>TableBEDUC[[#This Row],[Study Package Code]]</f>
        <v>Elective</v>
      </c>
      <c r="B25" s="5">
        <f>TableBEDUC[[#This Row],[Ver]]</f>
        <v>0</v>
      </c>
      <c r="D25" t="str">
        <f>TableBEDUC[[#This Row],[Structure Line]]</f>
        <v>Choose an Elective</v>
      </c>
      <c r="E25" s="81">
        <f>TableBEDUC[[#This Row],[Credit Points]]</f>
        <v>25</v>
      </c>
      <c r="F25">
        <v>23</v>
      </c>
      <c r="G25" t="s">
        <v>102</v>
      </c>
      <c r="H25">
        <v>3</v>
      </c>
      <c r="I25" t="s">
        <v>1212</v>
      </c>
      <c r="J25" t="s">
        <v>102</v>
      </c>
      <c r="K25">
        <v>0</v>
      </c>
      <c r="L25" t="s">
        <v>1213</v>
      </c>
      <c r="M25">
        <v>25</v>
      </c>
      <c r="N25" s="125"/>
      <c r="O25" s="125"/>
      <c r="R25" t="s">
        <v>102</v>
      </c>
      <c r="S25">
        <v>0</v>
      </c>
    </row>
    <row r="26" spans="1:19" x14ac:dyDescent="0.25">
      <c r="A26">
        <f>TableBEDUC[[#This Row],[Study Package Code]]</f>
        <v>0</v>
      </c>
      <c r="B26" s="5">
        <f>TableBEDUC[[#This Row],[Ver]]</f>
        <v>0</v>
      </c>
      <c r="D26">
        <f>TableBEDUC[[#This Row],[Structure Line]]</f>
        <v>0</v>
      </c>
      <c r="E26" s="81">
        <f>TableBEDUC[[#This Row],[Credit Points]]</f>
        <v>0</v>
      </c>
      <c r="N26" s="125"/>
      <c r="O26" s="125"/>
      <c r="R26" t="s">
        <v>1218</v>
      </c>
      <c r="S26">
        <v>1</v>
      </c>
    </row>
    <row r="27" spans="1:19" x14ac:dyDescent="0.25">
      <c r="A27">
        <f>TableBEDUC[[#This Row],[Study Package Code]]</f>
        <v>0</v>
      </c>
      <c r="B27" s="5">
        <f>TableBEDUC[[#This Row],[Ver]]</f>
        <v>0</v>
      </c>
      <c r="D27">
        <f>TableBEDUC[[#This Row],[Structure Line]]</f>
        <v>0</v>
      </c>
      <c r="E27" s="81">
        <f>TableBEDUC[[#This Row],[Credit Points]]</f>
        <v>0</v>
      </c>
      <c r="N27" s="125"/>
      <c r="O27" s="125"/>
      <c r="R27" t="s">
        <v>62</v>
      </c>
      <c r="S27">
        <v>1</v>
      </c>
    </row>
    <row r="28" spans="1:19" x14ac:dyDescent="0.25">
      <c r="A28" t="str">
        <f>TableBEDUC[[#This Row],[Study Package Code]]</f>
        <v>EDPR3004</v>
      </c>
      <c r="B28" s="5">
        <f>TableBEDUC[[#This Row],[Ver]]</f>
        <v>1</v>
      </c>
      <c r="D28" t="str">
        <f>TableBEDUC[[#This Row],[Structure Line]]</f>
        <v>Cultural Contexts in Primary Education</v>
      </c>
      <c r="E28" s="81">
        <f>TableBEDUC[[#This Row],[Credit Points]]</f>
        <v>25</v>
      </c>
      <c r="F28">
        <v>18</v>
      </c>
      <c r="G28" t="s">
        <v>1215</v>
      </c>
      <c r="H28">
        <v>3</v>
      </c>
      <c r="I28" t="s">
        <v>1209</v>
      </c>
      <c r="J28" t="s">
        <v>127</v>
      </c>
      <c r="K28">
        <v>1</v>
      </c>
      <c r="L28" t="s">
        <v>912</v>
      </c>
      <c r="M28">
        <v>25</v>
      </c>
      <c r="N28" s="125">
        <v>42005</v>
      </c>
      <c r="O28" s="125"/>
      <c r="R28" t="s">
        <v>127</v>
      </c>
      <c r="S28">
        <v>1</v>
      </c>
    </row>
    <row r="29" spans="1:19" x14ac:dyDescent="0.25">
      <c r="A29" t="str">
        <f>TableBEDUC[[#This Row],[Study Package Code]]</f>
        <v>EDSC3007</v>
      </c>
      <c r="B29" s="5">
        <f>TableBEDUC[[#This Row],[Ver]]</f>
        <v>1</v>
      </c>
      <c r="D29" t="str">
        <f>TableBEDUC[[#This Row],[Structure Line]]</f>
        <v>Curriculum and Culture in Secondary Schools</v>
      </c>
      <c r="E29" s="81">
        <f>TableBEDUC[[#This Row],[Credit Points]]</f>
        <v>25</v>
      </c>
      <c r="F29">
        <v>18</v>
      </c>
      <c r="G29" t="s">
        <v>1215</v>
      </c>
      <c r="H29">
        <v>3</v>
      </c>
      <c r="I29" t="s">
        <v>1209</v>
      </c>
      <c r="J29" t="s">
        <v>188</v>
      </c>
      <c r="K29">
        <v>1</v>
      </c>
      <c r="L29" t="s">
        <v>934</v>
      </c>
      <c r="M29">
        <v>25</v>
      </c>
      <c r="N29" s="125">
        <v>43466</v>
      </c>
      <c r="O29" s="125"/>
      <c r="R29" t="s">
        <v>188</v>
      </c>
      <c r="S29">
        <v>1</v>
      </c>
    </row>
    <row r="30" spans="1:19" x14ac:dyDescent="0.25">
      <c r="N30" s="125"/>
      <c r="O30" s="125"/>
    </row>
    <row r="31" spans="1:19" x14ac:dyDescent="0.25">
      <c r="A31" s="78"/>
      <c r="B31" s="80"/>
      <c r="C31" s="78"/>
      <c r="G31" s="79" t="s">
        <v>1194</v>
      </c>
      <c r="H31" s="272">
        <v>45658</v>
      </c>
      <c r="J31" s="78" t="s">
        <v>76</v>
      </c>
      <c r="K31" s="273" t="s">
        <v>77</v>
      </c>
      <c r="L31" s="78" t="s">
        <v>35</v>
      </c>
      <c r="M31" s="78"/>
      <c r="N31" s="198" t="s">
        <v>1195</v>
      </c>
      <c r="O31" s="125">
        <v>45538</v>
      </c>
    </row>
    <row r="32" spans="1:19" ht="31.5" x14ac:dyDescent="0.25">
      <c r="A32" s="97" t="s">
        <v>0</v>
      </c>
      <c r="B32" s="98" t="s">
        <v>1196</v>
      </c>
      <c r="C32" s="97" t="s">
        <v>1197</v>
      </c>
      <c r="D32" s="97" t="s">
        <v>3</v>
      </c>
      <c r="E32" s="99" t="s">
        <v>1198</v>
      </c>
      <c r="F32" s="97" t="s">
        <v>1199</v>
      </c>
      <c r="G32" s="97" t="s">
        <v>1200</v>
      </c>
      <c r="H32" s="97" t="s">
        <v>1201</v>
      </c>
      <c r="I32" s="97" t="s">
        <v>18</v>
      </c>
      <c r="J32" s="97" t="s">
        <v>1202</v>
      </c>
      <c r="K32" s="97" t="s">
        <v>1</v>
      </c>
      <c r="L32" s="97" t="s">
        <v>1203</v>
      </c>
      <c r="M32" s="97" t="s">
        <v>69</v>
      </c>
      <c r="N32" s="97" t="s">
        <v>1204</v>
      </c>
      <c r="O32" s="97" t="s">
        <v>1205</v>
      </c>
      <c r="R32" t="s">
        <v>1206</v>
      </c>
      <c r="S32" t="s">
        <v>1207</v>
      </c>
    </row>
    <row r="33" spans="1:19" x14ac:dyDescent="0.25">
      <c r="A33" t="str">
        <f>TableBEDEC[[#This Row],[Study Package Code]]</f>
        <v>EDUC1021</v>
      </c>
      <c r="B33" s="5">
        <f>TableBEDEC[[#This Row],[Ver]]</f>
        <v>1</v>
      </c>
      <c r="D33" t="str">
        <f>TableBEDEC[[#This Row],[Structure Line]]</f>
        <v>Child Development for Educators</v>
      </c>
      <c r="E33" s="81">
        <f>TableBEDEC[[#This Row],[Credit Points]]</f>
        <v>25</v>
      </c>
      <c r="F33">
        <v>1</v>
      </c>
      <c r="G33" t="s">
        <v>1208</v>
      </c>
      <c r="H33">
        <v>1</v>
      </c>
      <c r="I33" t="s">
        <v>1209</v>
      </c>
      <c r="J33" t="s">
        <v>55</v>
      </c>
      <c r="K33">
        <v>1</v>
      </c>
      <c r="L33" t="s">
        <v>960</v>
      </c>
      <c r="M33">
        <v>25</v>
      </c>
      <c r="N33" s="125">
        <v>43466</v>
      </c>
      <c r="O33" s="125"/>
      <c r="R33" t="s">
        <v>55</v>
      </c>
      <c r="S33">
        <v>1</v>
      </c>
    </row>
    <row r="34" spans="1:19" x14ac:dyDescent="0.25">
      <c r="A34" t="str">
        <f>TableBEDEC[[#This Row],[Study Package Code]]</f>
        <v>EDUC1023</v>
      </c>
      <c r="B34" s="5">
        <f>TableBEDEC[[#This Row],[Ver]]</f>
        <v>1</v>
      </c>
      <c r="D34" t="str">
        <f>TableBEDEC[[#This Row],[Structure Line]]</f>
        <v>Introducing Language, Literacy and Literature for Educators</v>
      </c>
      <c r="E34" s="81">
        <f>TableBEDEC[[#This Row],[Credit Points]]</f>
        <v>25</v>
      </c>
      <c r="F34">
        <v>2</v>
      </c>
      <c r="G34" t="s">
        <v>1208</v>
      </c>
      <c r="H34">
        <v>1</v>
      </c>
      <c r="I34" t="s">
        <v>1209</v>
      </c>
      <c r="J34" t="s">
        <v>62</v>
      </c>
      <c r="K34">
        <v>1</v>
      </c>
      <c r="L34" t="s">
        <v>961</v>
      </c>
      <c r="M34">
        <v>25</v>
      </c>
      <c r="N34" s="125">
        <v>43466</v>
      </c>
      <c r="O34" s="125"/>
      <c r="R34" t="s">
        <v>62</v>
      </c>
      <c r="S34">
        <v>1</v>
      </c>
    </row>
    <row r="35" spans="1:19" x14ac:dyDescent="0.25">
      <c r="A35" t="str">
        <f>TableBEDEC[[#This Row],[Study Package Code]]</f>
        <v>EDUC1019</v>
      </c>
      <c r="B35" s="5">
        <f>TableBEDEC[[#This Row],[Ver]]</f>
        <v>1</v>
      </c>
      <c r="D35" t="str">
        <f>TableBEDEC[[#This Row],[Structure Line]]</f>
        <v>Teaching and Learning in the Digital World</v>
      </c>
      <c r="E35" s="81">
        <f>TableBEDEC[[#This Row],[Credit Points]]</f>
        <v>25</v>
      </c>
      <c r="F35">
        <v>3</v>
      </c>
      <c r="G35" t="s">
        <v>1208</v>
      </c>
      <c r="H35">
        <v>1</v>
      </c>
      <c r="I35" t="s">
        <v>1209</v>
      </c>
      <c r="J35" t="s">
        <v>60</v>
      </c>
      <c r="K35">
        <v>1</v>
      </c>
      <c r="L35" t="s">
        <v>959</v>
      </c>
      <c r="M35">
        <v>25</v>
      </c>
      <c r="N35" s="125">
        <v>43466</v>
      </c>
      <c r="O35" s="125"/>
      <c r="R35" t="s">
        <v>60</v>
      </c>
      <c r="S35">
        <v>1</v>
      </c>
    </row>
    <row r="36" spans="1:19" x14ac:dyDescent="0.25">
      <c r="A36" t="str">
        <f>TableBEDEC[[#This Row],[Study Package Code]]</f>
        <v>EDUC1033</v>
      </c>
      <c r="B36" s="5">
        <f>TableBEDEC[[#This Row],[Ver]]</f>
        <v>1</v>
      </c>
      <c r="D36" t="str">
        <f>TableBEDEC[[#This Row],[Structure Line]]</f>
        <v>Communication Skills for Educators</v>
      </c>
      <c r="E36" s="81">
        <f>TableBEDEC[[#This Row],[Credit Points]]</f>
        <v>25</v>
      </c>
      <c r="F36">
        <v>4</v>
      </c>
      <c r="G36" t="s">
        <v>1208</v>
      </c>
      <c r="H36">
        <v>1</v>
      </c>
      <c r="I36" t="s">
        <v>1209</v>
      </c>
      <c r="J36" t="s">
        <v>75</v>
      </c>
      <c r="K36">
        <v>1</v>
      </c>
      <c r="L36" t="s">
        <v>966</v>
      </c>
      <c r="M36">
        <v>25</v>
      </c>
      <c r="N36" s="125">
        <v>45658</v>
      </c>
      <c r="O36" s="125"/>
      <c r="R36" t="s">
        <v>1210</v>
      </c>
      <c r="S36">
        <v>1</v>
      </c>
    </row>
    <row r="37" spans="1:19" x14ac:dyDescent="0.25">
      <c r="A37" t="str">
        <f>TableBEDEC[[#This Row],[Study Package Code]]</f>
        <v>EDUC1027</v>
      </c>
      <c r="B37" s="5">
        <f>TableBEDEC[[#This Row],[Ver]]</f>
        <v>1</v>
      </c>
      <c r="D37" t="str">
        <f>TableBEDEC[[#This Row],[Structure Line]]</f>
        <v>Educators Inquiring About the World</v>
      </c>
      <c r="E37" s="81">
        <f>TableBEDEC[[#This Row],[Credit Points]]</f>
        <v>25</v>
      </c>
      <c r="F37">
        <v>5</v>
      </c>
      <c r="G37" t="s">
        <v>1208</v>
      </c>
      <c r="H37">
        <v>1</v>
      </c>
      <c r="I37" t="s">
        <v>1212</v>
      </c>
      <c r="J37" t="s">
        <v>57</v>
      </c>
      <c r="K37">
        <v>1</v>
      </c>
      <c r="L37" t="s">
        <v>963</v>
      </c>
      <c r="M37">
        <v>25</v>
      </c>
      <c r="N37" s="125">
        <v>43466</v>
      </c>
      <c r="O37" s="125"/>
      <c r="R37" t="s">
        <v>57</v>
      </c>
      <c r="S37">
        <v>1</v>
      </c>
    </row>
    <row r="38" spans="1:19" x14ac:dyDescent="0.25">
      <c r="A38" t="str">
        <f>TableBEDEC[[#This Row],[Study Package Code]]</f>
        <v>EDUC1025</v>
      </c>
      <c r="B38" s="5">
        <f>TableBEDEC[[#This Row],[Ver]]</f>
        <v>1</v>
      </c>
      <c r="D38" t="str">
        <f>TableBEDEC[[#This Row],[Structure Line]]</f>
        <v>Exploring and Contesting Curriculum</v>
      </c>
      <c r="E38" s="81">
        <f>TableBEDEC[[#This Row],[Credit Points]]</f>
        <v>25</v>
      </c>
      <c r="F38">
        <v>6</v>
      </c>
      <c r="G38" t="s">
        <v>1208</v>
      </c>
      <c r="H38">
        <v>1</v>
      </c>
      <c r="I38" t="s">
        <v>1212</v>
      </c>
      <c r="J38" t="s">
        <v>61</v>
      </c>
      <c r="K38">
        <v>1</v>
      </c>
      <c r="L38" t="s">
        <v>962</v>
      </c>
      <c r="M38">
        <v>25</v>
      </c>
      <c r="N38" s="125">
        <v>43466</v>
      </c>
      <c r="O38" s="125"/>
      <c r="R38" t="s">
        <v>61</v>
      </c>
      <c r="S38">
        <v>1</v>
      </c>
    </row>
    <row r="39" spans="1:19" x14ac:dyDescent="0.25">
      <c r="A39" t="str">
        <f>TableBEDEC[[#This Row],[Study Package Code]]</f>
        <v>EDUC1029</v>
      </c>
      <c r="B39" s="5">
        <f>TableBEDEC[[#This Row],[Ver]]</f>
        <v>1</v>
      </c>
      <c r="D39" t="str">
        <f>TableBEDEC[[#This Row],[Structure Line]]</f>
        <v>Performing Arts for Educators</v>
      </c>
      <c r="E39" s="81">
        <f>TableBEDEC[[#This Row],[Credit Points]]</f>
        <v>25</v>
      </c>
      <c r="F39">
        <v>7</v>
      </c>
      <c r="G39" t="s">
        <v>1208</v>
      </c>
      <c r="H39">
        <v>1</v>
      </c>
      <c r="I39" t="s">
        <v>1212</v>
      </c>
      <c r="J39" t="s">
        <v>58</v>
      </c>
      <c r="K39">
        <v>1</v>
      </c>
      <c r="L39" t="s">
        <v>964</v>
      </c>
      <c r="M39">
        <v>25</v>
      </c>
      <c r="N39" s="125">
        <v>43466</v>
      </c>
      <c r="O39" s="125"/>
      <c r="R39" t="s">
        <v>58</v>
      </c>
      <c r="S39">
        <v>1</v>
      </c>
    </row>
    <row r="40" spans="1:19" x14ac:dyDescent="0.25">
      <c r="A40" t="str">
        <f>TableBEDEC[[#This Row],[Study Package Code]]</f>
        <v>EDUC1031</v>
      </c>
      <c r="B40" s="5">
        <f>TableBEDEC[[#This Row],[Ver]]</f>
        <v>1</v>
      </c>
      <c r="D40" t="str">
        <f>TableBEDEC[[#This Row],[Structure Line]]</f>
        <v>The Numerate Educator</v>
      </c>
      <c r="E40" s="81">
        <f>TableBEDEC[[#This Row],[Credit Points]]</f>
        <v>25</v>
      </c>
      <c r="F40">
        <v>8</v>
      </c>
      <c r="G40" t="s">
        <v>1208</v>
      </c>
      <c r="H40">
        <v>1</v>
      </c>
      <c r="I40" t="s">
        <v>1212</v>
      </c>
      <c r="J40" t="s">
        <v>63</v>
      </c>
      <c r="K40">
        <v>1</v>
      </c>
      <c r="L40" t="s">
        <v>965</v>
      </c>
      <c r="M40">
        <v>25</v>
      </c>
      <c r="N40" s="125">
        <v>43466</v>
      </c>
      <c r="O40" s="125"/>
      <c r="R40" t="s">
        <v>63</v>
      </c>
      <c r="S40">
        <v>1</v>
      </c>
    </row>
    <row r="41" spans="1:19" x14ac:dyDescent="0.25">
      <c r="A41" t="str">
        <f>TableBEDEC[[#This Row],[Study Package Code]]</f>
        <v>EDEC2019</v>
      </c>
      <c r="B41" s="5">
        <f>TableBEDEC[[#This Row],[Ver]]</f>
        <v>1</v>
      </c>
      <c r="D41" t="str">
        <f>TableBEDEC[[#This Row],[Structure Line]]</f>
        <v>Early Childhood Professional Experience 1: Learning and Teaching in Junior Primary</v>
      </c>
      <c r="E41" s="81">
        <f>TableBEDEC[[#This Row],[Credit Points]]</f>
        <v>25</v>
      </c>
      <c r="F41">
        <v>9</v>
      </c>
      <c r="G41" t="s">
        <v>1208</v>
      </c>
      <c r="H41">
        <v>2</v>
      </c>
      <c r="I41" t="s">
        <v>1209</v>
      </c>
      <c r="J41" t="s">
        <v>107</v>
      </c>
      <c r="K41">
        <v>1</v>
      </c>
      <c r="L41" t="s">
        <v>878</v>
      </c>
      <c r="M41">
        <v>25</v>
      </c>
      <c r="N41" s="125">
        <v>43466</v>
      </c>
      <c r="O41" s="125"/>
      <c r="R41" t="s">
        <v>107</v>
      </c>
      <c r="S41">
        <v>1</v>
      </c>
    </row>
    <row r="42" spans="1:19" x14ac:dyDescent="0.25">
      <c r="A42" t="str">
        <f>TableBEDEC[[#This Row],[Study Package Code]]</f>
        <v>EDUC2005</v>
      </c>
      <c r="B42" s="5">
        <f>TableBEDEC[[#This Row],[Ver]]</f>
        <v>1</v>
      </c>
      <c r="D42" t="str">
        <f>TableBEDEC[[#This Row],[Structure Line]]</f>
        <v>Learning Theories, Diversity and Differentiation</v>
      </c>
      <c r="E42" s="81">
        <f>TableBEDEC[[#This Row],[Credit Points]]</f>
        <v>25</v>
      </c>
      <c r="F42">
        <v>10</v>
      </c>
      <c r="G42" t="s">
        <v>1208</v>
      </c>
      <c r="H42">
        <v>2</v>
      </c>
      <c r="I42" t="s">
        <v>1209</v>
      </c>
      <c r="J42" t="s">
        <v>93</v>
      </c>
      <c r="K42">
        <v>1</v>
      </c>
      <c r="L42" t="s">
        <v>969</v>
      </c>
      <c r="M42">
        <v>25</v>
      </c>
      <c r="N42" s="125">
        <v>43466</v>
      </c>
      <c r="O42" s="125"/>
      <c r="R42" t="s">
        <v>93</v>
      </c>
      <c r="S42">
        <v>1</v>
      </c>
    </row>
    <row r="43" spans="1:19" x14ac:dyDescent="0.25">
      <c r="A43" t="str">
        <f>TableBEDEC[[#This Row],[Study Package Code]]</f>
        <v>EDEC2025</v>
      </c>
      <c r="B43" s="5">
        <f>TableBEDEC[[#This Row],[Ver]]</f>
        <v>1</v>
      </c>
      <c r="D43" t="str">
        <f>TableBEDEC[[#This Row],[Structure Line]]</f>
        <v>Mathematics for the Early Years</v>
      </c>
      <c r="E43" s="81">
        <f>TableBEDEC[[#This Row],[Credit Points]]</f>
        <v>25</v>
      </c>
      <c r="F43">
        <v>11</v>
      </c>
      <c r="G43" t="s">
        <v>1208</v>
      </c>
      <c r="H43">
        <v>2</v>
      </c>
      <c r="I43" t="s">
        <v>1209</v>
      </c>
      <c r="J43" t="s">
        <v>103</v>
      </c>
      <c r="K43">
        <v>1</v>
      </c>
      <c r="L43" t="s">
        <v>884</v>
      </c>
      <c r="M43">
        <v>25</v>
      </c>
      <c r="N43" s="125">
        <v>43466</v>
      </c>
      <c r="O43" s="125"/>
      <c r="R43" t="s">
        <v>103</v>
      </c>
      <c r="S43">
        <v>1</v>
      </c>
    </row>
    <row r="44" spans="1:19" x14ac:dyDescent="0.25">
      <c r="A44" t="str">
        <f>TableBEDEC[[#This Row],[Study Package Code]]</f>
        <v>EDUC2007</v>
      </c>
      <c r="B44" s="5">
        <f>TableBEDEC[[#This Row],[Ver]]</f>
        <v>1</v>
      </c>
      <c r="D44" t="str">
        <f>TableBEDEC[[#This Row],[Structure Line]]</f>
        <v>Teaching Language, Literacy and Literature in Junior Primary</v>
      </c>
      <c r="E44" s="81">
        <f>TableBEDEC[[#This Row],[Credit Points]]</f>
        <v>25</v>
      </c>
      <c r="F44">
        <v>12</v>
      </c>
      <c r="G44" t="s">
        <v>1208</v>
      </c>
      <c r="H44">
        <v>2</v>
      </c>
      <c r="I44" t="s">
        <v>1209</v>
      </c>
      <c r="J44" t="s">
        <v>91</v>
      </c>
      <c r="K44">
        <v>1</v>
      </c>
      <c r="L44" t="s">
        <v>971</v>
      </c>
      <c r="M44">
        <v>25</v>
      </c>
      <c r="N44" s="125">
        <v>43466</v>
      </c>
      <c r="O44" s="125"/>
      <c r="R44" t="s">
        <v>91</v>
      </c>
      <c r="S44">
        <v>1</v>
      </c>
    </row>
    <row r="45" spans="1:19" x14ac:dyDescent="0.25">
      <c r="A45" t="str">
        <f>TableBEDEC[[#This Row],[Study Package Code]]</f>
        <v>EDEC2000</v>
      </c>
      <c r="B45" s="5">
        <f>TableBEDEC[[#This Row],[Ver]]</f>
        <v>2</v>
      </c>
      <c r="D45" t="str">
        <f>TableBEDEC[[#This Row],[Structure Line]]</f>
        <v>Early Learning Through the Humanities and Social Sciences</v>
      </c>
      <c r="E45" s="81">
        <f>TableBEDEC[[#This Row],[Credit Points]]</f>
        <v>25</v>
      </c>
      <c r="F45">
        <v>13</v>
      </c>
      <c r="G45" t="s">
        <v>1208</v>
      </c>
      <c r="H45">
        <v>2</v>
      </c>
      <c r="I45" t="s">
        <v>1212</v>
      </c>
      <c r="J45" t="s">
        <v>92</v>
      </c>
      <c r="K45">
        <v>2</v>
      </c>
      <c r="L45" t="s">
        <v>876</v>
      </c>
      <c r="M45">
        <v>25</v>
      </c>
      <c r="N45" s="125">
        <v>43466</v>
      </c>
      <c r="O45" s="125"/>
      <c r="R45" t="s">
        <v>92</v>
      </c>
      <c r="S45">
        <v>2</v>
      </c>
    </row>
    <row r="46" spans="1:19" x14ac:dyDescent="0.25">
      <c r="A46" t="str">
        <f>TableBEDEC[[#This Row],[Study Package Code]]</f>
        <v>EDEC2021</v>
      </c>
      <c r="B46" s="5">
        <f>TableBEDEC[[#This Row],[Ver]]</f>
        <v>1</v>
      </c>
      <c r="D46" t="str">
        <f>TableBEDEC[[#This Row],[Structure Line]]</f>
        <v>Engaging Children in Science</v>
      </c>
      <c r="E46" s="81">
        <f>TableBEDEC[[#This Row],[Credit Points]]</f>
        <v>25</v>
      </c>
      <c r="F46">
        <v>14</v>
      </c>
      <c r="G46" t="s">
        <v>1208</v>
      </c>
      <c r="H46">
        <v>2</v>
      </c>
      <c r="I46" t="s">
        <v>1212</v>
      </c>
      <c r="J46" t="s">
        <v>97</v>
      </c>
      <c r="K46">
        <v>1</v>
      </c>
      <c r="L46" t="s">
        <v>881</v>
      </c>
      <c r="M46">
        <v>25</v>
      </c>
      <c r="N46" s="125">
        <v>43466</v>
      </c>
      <c r="O46" s="125"/>
      <c r="R46" t="s">
        <v>97</v>
      </c>
      <c r="S46">
        <v>1</v>
      </c>
    </row>
    <row r="47" spans="1:19" x14ac:dyDescent="0.25">
      <c r="A47" t="str">
        <f>TableBEDEC[[#This Row],[Study Package Code]]</f>
        <v>EDEC2027</v>
      </c>
      <c r="B47" s="5">
        <f>TableBEDEC[[#This Row],[Ver]]</f>
        <v>1</v>
      </c>
      <c r="D47" t="str">
        <f>TableBEDEC[[#This Row],[Structure Line]]</f>
        <v>Health and Physical Education in Early Childhood</v>
      </c>
      <c r="E47" s="81">
        <f>TableBEDEC[[#This Row],[Credit Points]]</f>
        <v>25</v>
      </c>
      <c r="F47">
        <v>15</v>
      </c>
      <c r="G47" t="s">
        <v>1208</v>
      </c>
      <c r="H47">
        <v>2</v>
      </c>
      <c r="I47" t="s">
        <v>1212</v>
      </c>
      <c r="J47" t="s">
        <v>108</v>
      </c>
      <c r="K47">
        <v>1</v>
      </c>
      <c r="L47" t="s">
        <v>886</v>
      </c>
      <c r="M47">
        <v>25</v>
      </c>
      <c r="N47" s="125">
        <v>43466</v>
      </c>
      <c r="O47" s="125"/>
      <c r="R47" t="s">
        <v>108</v>
      </c>
      <c r="S47">
        <v>1</v>
      </c>
    </row>
    <row r="48" spans="1:19" x14ac:dyDescent="0.25">
      <c r="A48" t="str">
        <f>TableBEDEC[[#This Row],[Study Package Code]]</f>
        <v>EDEC2023</v>
      </c>
      <c r="B48" s="5">
        <f>TableBEDEC[[#This Row],[Ver]]</f>
        <v>1</v>
      </c>
      <c r="D48" t="str">
        <f>TableBEDEC[[#This Row],[Structure Line]]</f>
        <v>Visual and Media Arts for Early Childhood</v>
      </c>
      <c r="E48" s="81">
        <f>TableBEDEC[[#This Row],[Credit Points]]</f>
        <v>25</v>
      </c>
      <c r="F48">
        <v>16</v>
      </c>
      <c r="G48" t="s">
        <v>1208</v>
      </c>
      <c r="H48">
        <v>2</v>
      </c>
      <c r="I48" t="s">
        <v>1212</v>
      </c>
      <c r="J48" t="s">
        <v>104</v>
      </c>
      <c r="K48">
        <v>1</v>
      </c>
      <c r="L48" t="s">
        <v>882</v>
      </c>
      <c r="M48">
        <v>25</v>
      </c>
      <c r="N48" s="125">
        <v>43466</v>
      </c>
      <c r="O48" s="125"/>
      <c r="R48" t="s">
        <v>104</v>
      </c>
      <c r="S48">
        <v>1</v>
      </c>
    </row>
    <row r="49" spans="1:19" x14ac:dyDescent="0.25">
      <c r="A49" t="str">
        <f>TableBEDEC[[#This Row],[Study Package Code]]</f>
        <v>EDEC3016</v>
      </c>
      <c r="B49" s="5">
        <f>TableBEDEC[[#This Row],[Ver]]</f>
        <v>1</v>
      </c>
      <c r="D49" t="str">
        <f>TableBEDEC[[#This Row],[Structure Line]]</f>
        <v>Early Childhood Professional Experience 2: Quality Frameworks in Early Learning Centres</v>
      </c>
      <c r="E49" s="81">
        <f>TableBEDEC[[#This Row],[Credit Points]]</f>
        <v>25</v>
      </c>
      <c r="F49">
        <v>17</v>
      </c>
      <c r="G49" t="s">
        <v>1208</v>
      </c>
      <c r="H49">
        <v>3</v>
      </c>
      <c r="I49" t="s">
        <v>1209</v>
      </c>
      <c r="J49" t="s">
        <v>125</v>
      </c>
      <c r="K49">
        <v>1</v>
      </c>
      <c r="L49" t="s">
        <v>888</v>
      </c>
      <c r="M49">
        <v>25</v>
      </c>
      <c r="N49" s="125">
        <v>43466</v>
      </c>
      <c r="O49" s="125"/>
      <c r="R49" t="s">
        <v>125</v>
      </c>
      <c r="S49">
        <v>1</v>
      </c>
    </row>
    <row r="50" spans="1:19" x14ac:dyDescent="0.25">
      <c r="A50" t="str">
        <f>TableBEDEC[[#This Row],[Study Package Code]]</f>
        <v>INED3001</v>
      </c>
      <c r="B50" s="5">
        <f>TableBEDEC[[#This Row],[Ver]]</f>
        <v>1</v>
      </c>
      <c r="D50" t="str">
        <f>TableBEDEC[[#This Row],[Structure Line]]</f>
        <v>Indigenous Australian Education</v>
      </c>
      <c r="E50" s="81">
        <f>TableBEDEC[[#This Row],[Credit Points]]</f>
        <v>25</v>
      </c>
      <c r="F50">
        <v>18</v>
      </c>
      <c r="G50" t="s">
        <v>1208</v>
      </c>
      <c r="H50">
        <v>3</v>
      </c>
      <c r="I50" t="s">
        <v>1209</v>
      </c>
      <c r="J50" t="s">
        <v>122</v>
      </c>
      <c r="K50">
        <v>1</v>
      </c>
      <c r="L50" t="s">
        <v>1042</v>
      </c>
      <c r="M50">
        <v>25</v>
      </c>
      <c r="N50" s="125">
        <v>42005</v>
      </c>
      <c r="O50" s="125"/>
      <c r="R50" t="s">
        <v>122</v>
      </c>
      <c r="S50">
        <v>1</v>
      </c>
    </row>
    <row r="51" spans="1:19" x14ac:dyDescent="0.25">
      <c r="A51" t="str">
        <f>TableBEDEC[[#This Row],[Study Package Code]]</f>
        <v>EDEC3020</v>
      </c>
      <c r="B51" s="5">
        <f>TableBEDEC[[#This Row],[Ver]]</f>
        <v>1</v>
      </c>
      <c r="D51" t="str">
        <f>TableBEDEC[[#This Row],[Structure Line]]</f>
        <v>Leadership in Early Childhood Education</v>
      </c>
      <c r="E51" s="81">
        <f>TableBEDEC[[#This Row],[Credit Points]]</f>
        <v>25</v>
      </c>
      <c r="F51">
        <v>19</v>
      </c>
      <c r="G51" t="s">
        <v>1208</v>
      </c>
      <c r="H51">
        <v>3</v>
      </c>
      <c r="I51" t="s">
        <v>1209</v>
      </c>
      <c r="J51" t="s">
        <v>139</v>
      </c>
      <c r="K51">
        <v>1</v>
      </c>
      <c r="L51" t="s">
        <v>891</v>
      </c>
      <c r="M51">
        <v>25</v>
      </c>
      <c r="N51" s="125">
        <v>43466</v>
      </c>
      <c r="O51" s="125"/>
      <c r="R51" t="s">
        <v>139</v>
      </c>
      <c r="S51">
        <v>1</v>
      </c>
    </row>
    <row r="52" spans="1:19" x14ac:dyDescent="0.25">
      <c r="A52" t="str">
        <f>TableBEDEC[[#This Row],[Study Package Code]]</f>
        <v>EDEC3022</v>
      </c>
      <c r="B52" s="5">
        <f>TableBEDEC[[#This Row],[Ver]]</f>
        <v>1</v>
      </c>
      <c r="D52" t="str">
        <f>TableBEDEC[[#This Row],[Structure Line]]</f>
        <v>Mathematics during the First Five Years of Life</v>
      </c>
      <c r="E52" s="81">
        <f>TableBEDEC[[#This Row],[Credit Points]]</f>
        <v>25</v>
      </c>
      <c r="F52">
        <v>20</v>
      </c>
      <c r="G52" t="s">
        <v>1208</v>
      </c>
      <c r="H52">
        <v>3</v>
      </c>
      <c r="I52" t="s">
        <v>1209</v>
      </c>
      <c r="J52" t="s">
        <v>130</v>
      </c>
      <c r="K52">
        <v>1</v>
      </c>
      <c r="L52" t="s">
        <v>893</v>
      </c>
      <c r="M52">
        <v>25</v>
      </c>
      <c r="N52" s="125">
        <v>43466</v>
      </c>
      <c r="O52" s="125"/>
      <c r="R52" t="s">
        <v>130</v>
      </c>
      <c r="S52">
        <v>1</v>
      </c>
    </row>
    <row r="53" spans="1:19" x14ac:dyDescent="0.25">
      <c r="A53" t="str">
        <f>TableBEDEC[[#This Row],[Study Package Code]]</f>
        <v>EDEC3024</v>
      </c>
      <c r="B53" s="5">
        <f>TableBEDEC[[#This Row],[Ver]]</f>
        <v>1</v>
      </c>
      <c r="D53" t="str">
        <f>TableBEDEC[[#This Row],[Structure Line]]</f>
        <v>Early Childhood Literacies</v>
      </c>
      <c r="E53" s="81">
        <f>TableBEDEC[[#This Row],[Credit Points]]</f>
        <v>25</v>
      </c>
      <c r="F53">
        <v>21</v>
      </c>
      <c r="G53" t="s">
        <v>1208</v>
      </c>
      <c r="H53">
        <v>3</v>
      </c>
      <c r="I53" t="s">
        <v>1212</v>
      </c>
      <c r="J53" t="s">
        <v>126</v>
      </c>
      <c r="K53">
        <v>1</v>
      </c>
      <c r="L53" t="s">
        <v>895</v>
      </c>
      <c r="M53">
        <v>25</v>
      </c>
      <c r="N53" s="125">
        <v>43466</v>
      </c>
      <c r="O53" s="125"/>
      <c r="R53" t="s">
        <v>126</v>
      </c>
      <c r="S53">
        <v>1</v>
      </c>
    </row>
    <row r="54" spans="1:19" x14ac:dyDescent="0.25">
      <c r="A54" t="str">
        <f>TableBEDEC[[#This Row],[Study Package Code]]</f>
        <v>EDEC3018</v>
      </c>
      <c r="B54" s="5">
        <f>TableBEDEC[[#This Row],[Ver]]</f>
        <v>1</v>
      </c>
      <c r="D54" t="str">
        <f>TableBEDEC[[#This Row],[Structure Line]]</f>
        <v>Early Childhood Professional Experience 3: Kindergarten to Pre-primary Learning Environments</v>
      </c>
      <c r="E54" s="81">
        <f>TableBEDEC[[#This Row],[Credit Points]]</f>
        <v>25</v>
      </c>
      <c r="F54">
        <v>22</v>
      </c>
      <c r="G54" t="s">
        <v>1208</v>
      </c>
      <c r="H54">
        <v>3</v>
      </c>
      <c r="I54" t="s">
        <v>1212</v>
      </c>
      <c r="J54" t="s">
        <v>145</v>
      </c>
      <c r="K54">
        <v>1</v>
      </c>
      <c r="L54" t="s">
        <v>889</v>
      </c>
      <c r="M54">
        <v>25</v>
      </c>
      <c r="N54" s="125">
        <v>43466</v>
      </c>
      <c r="O54" s="125"/>
      <c r="R54" t="s">
        <v>145</v>
      </c>
      <c r="S54">
        <v>1</v>
      </c>
    </row>
    <row r="55" spans="1:19" x14ac:dyDescent="0.25">
      <c r="A55" t="str">
        <f>TableBEDEC[[#This Row],[Study Package Code]]</f>
        <v>EDEC3026</v>
      </c>
      <c r="B55" s="5">
        <f>TableBEDEC[[#This Row],[Ver]]</f>
        <v>1</v>
      </c>
      <c r="D55" t="str">
        <f>TableBEDEC[[#This Row],[Structure Line]]</f>
        <v>Pedagogical Contexts for Play</v>
      </c>
      <c r="E55" s="81">
        <f>TableBEDEC[[#This Row],[Credit Points]]</f>
        <v>25</v>
      </c>
      <c r="F55">
        <v>23</v>
      </c>
      <c r="G55" t="s">
        <v>1208</v>
      </c>
      <c r="H55">
        <v>3</v>
      </c>
      <c r="I55" t="s">
        <v>1212</v>
      </c>
      <c r="J55" t="s">
        <v>134</v>
      </c>
      <c r="K55">
        <v>1</v>
      </c>
      <c r="L55" t="s">
        <v>896</v>
      </c>
      <c r="M55">
        <v>25</v>
      </c>
      <c r="N55" s="125">
        <v>43466</v>
      </c>
      <c r="O55" s="125"/>
      <c r="R55" t="s">
        <v>134</v>
      </c>
      <c r="S55">
        <v>1</v>
      </c>
    </row>
    <row r="56" spans="1:19" x14ac:dyDescent="0.25">
      <c r="A56" t="str">
        <f>TableBEDEC[[#This Row],[Study Package Code]]</f>
        <v>Option</v>
      </c>
      <c r="B56" s="5">
        <f>TableBEDEC[[#This Row],[Ver]]</f>
        <v>0</v>
      </c>
      <c r="D56" t="str">
        <f>TableBEDEC[[#This Row],[Structure Line]]</f>
        <v>Choose an Option</v>
      </c>
      <c r="E56" s="81">
        <f>TableBEDEC[[#This Row],[Credit Points]]</f>
        <v>0</v>
      </c>
      <c r="F56">
        <v>24</v>
      </c>
      <c r="G56" t="s">
        <v>140</v>
      </c>
      <c r="H56">
        <v>3</v>
      </c>
      <c r="I56" t="s">
        <v>1212</v>
      </c>
      <c r="J56" t="s">
        <v>140</v>
      </c>
      <c r="K56">
        <v>0</v>
      </c>
      <c r="L56" t="s">
        <v>1219</v>
      </c>
      <c r="N56" s="125"/>
      <c r="O56" s="125"/>
      <c r="R56" t="s">
        <v>140</v>
      </c>
      <c r="S56">
        <v>0</v>
      </c>
    </row>
    <row r="57" spans="1:19" x14ac:dyDescent="0.25">
      <c r="A57" t="str">
        <f>TableBEDEC[[#This Row],[Study Package Code]]</f>
        <v>EDEC4004</v>
      </c>
      <c r="B57" s="5">
        <f>TableBEDEC[[#This Row],[Ver]]</f>
        <v>1</v>
      </c>
      <c r="D57" t="str">
        <f>TableBEDEC[[#This Row],[Structure Line]]</f>
        <v>Curriculum Integration and Differentiation</v>
      </c>
      <c r="E57" s="81">
        <f>TableBEDEC[[#This Row],[Credit Points]]</f>
        <v>25</v>
      </c>
      <c r="F57">
        <v>25</v>
      </c>
      <c r="G57" t="s">
        <v>1208</v>
      </c>
      <c r="H57">
        <v>4</v>
      </c>
      <c r="I57" t="s">
        <v>1209</v>
      </c>
      <c r="J57" t="s">
        <v>150</v>
      </c>
      <c r="K57">
        <v>1</v>
      </c>
      <c r="L57" t="s">
        <v>898</v>
      </c>
      <c r="M57">
        <v>25</v>
      </c>
      <c r="N57" s="125">
        <v>43466</v>
      </c>
      <c r="O57" s="125"/>
      <c r="R57" t="s">
        <v>150</v>
      </c>
      <c r="S57">
        <v>1</v>
      </c>
    </row>
    <row r="58" spans="1:19" x14ac:dyDescent="0.25">
      <c r="A58" t="str">
        <f>TableBEDEC[[#This Row],[Study Package Code]]</f>
        <v>EDEC4006</v>
      </c>
      <c r="B58" s="5">
        <f>TableBEDEC[[#This Row],[Ver]]</f>
        <v>1</v>
      </c>
      <c r="D58" t="str">
        <f>TableBEDEC[[#This Row],[Structure Line]]</f>
        <v>Social Justice and Diversity in Early Childhood</v>
      </c>
      <c r="E58" s="81">
        <f>TableBEDEC[[#This Row],[Credit Points]]</f>
        <v>25</v>
      </c>
      <c r="F58">
        <v>26</v>
      </c>
      <c r="G58" t="s">
        <v>1208</v>
      </c>
      <c r="H58">
        <v>4</v>
      </c>
      <c r="I58" t="s">
        <v>1209</v>
      </c>
      <c r="J58" t="s">
        <v>146</v>
      </c>
      <c r="K58">
        <v>1</v>
      </c>
      <c r="L58" t="s">
        <v>900</v>
      </c>
      <c r="M58">
        <v>25</v>
      </c>
      <c r="N58" s="125">
        <v>43466</v>
      </c>
      <c r="O58" s="125"/>
      <c r="R58" t="s">
        <v>146</v>
      </c>
      <c r="S58">
        <v>1</v>
      </c>
    </row>
    <row r="59" spans="1:19" x14ac:dyDescent="0.25">
      <c r="A59" t="str">
        <f>TableBEDEC[[#This Row],[Study Package Code]]</f>
        <v>EDUC4049</v>
      </c>
      <c r="B59" s="5">
        <f>TableBEDEC[[#This Row],[Ver]]</f>
        <v>1</v>
      </c>
      <c r="D59" t="str">
        <f>TableBEDEC[[#This Row],[Structure Line]]</f>
        <v>The Professional Educator: Transition to the Profession</v>
      </c>
      <c r="E59" s="81">
        <f>TableBEDEC[[#This Row],[Credit Points]]</f>
        <v>25</v>
      </c>
      <c r="F59">
        <v>27</v>
      </c>
      <c r="G59" t="s">
        <v>1208</v>
      </c>
      <c r="H59">
        <v>4</v>
      </c>
      <c r="I59" t="s">
        <v>1209</v>
      </c>
      <c r="J59" t="s">
        <v>153</v>
      </c>
      <c r="K59">
        <v>1</v>
      </c>
      <c r="L59" t="s">
        <v>992</v>
      </c>
      <c r="M59">
        <v>25</v>
      </c>
      <c r="N59" s="125">
        <v>43466</v>
      </c>
      <c r="O59" s="125"/>
      <c r="R59" t="s">
        <v>153</v>
      </c>
      <c r="S59">
        <v>1</v>
      </c>
    </row>
    <row r="60" spans="1:19" x14ac:dyDescent="0.25">
      <c r="A60" t="str">
        <f>TableBEDEC[[#This Row],[Study Package Code]]</f>
        <v>Option</v>
      </c>
      <c r="B60" s="5">
        <f>TableBEDEC[[#This Row],[Ver]]</f>
        <v>0</v>
      </c>
      <c r="D60" t="str">
        <f>TableBEDEC[[#This Row],[Structure Line]]</f>
        <v>Choose an Option</v>
      </c>
      <c r="E60" s="81">
        <f>TableBEDEC[[#This Row],[Credit Points]]</f>
        <v>0</v>
      </c>
      <c r="F60">
        <v>28</v>
      </c>
      <c r="G60" t="s">
        <v>140</v>
      </c>
      <c r="H60">
        <v>4</v>
      </c>
      <c r="I60" t="s">
        <v>1209</v>
      </c>
      <c r="J60" t="s">
        <v>140</v>
      </c>
      <c r="K60">
        <v>0</v>
      </c>
      <c r="L60" t="s">
        <v>1219</v>
      </c>
      <c r="N60" s="125"/>
      <c r="O60" s="125"/>
      <c r="R60" t="s">
        <v>140</v>
      </c>
      <c r="S60">
        <v>0</v>
      </c>
    </row>
    <row r="61" spans="1:19" x14ac:dyDescent="0.25">
      <c r="A61" t="str">
        <f>TableBEDEC[[#This Row],[Study Package Code]]</f>
        <v>EDUC4040</v>
      </c>
      <c r="B61" s="5">
        <f>TableBEDEC[[#This Row],[Ver]]</f>
        <v>1</v>
      </c>
      <c r="D61" t="str">
        <f>TableBEDEC[[#This Row],[Structure Line]]</f>
        <v>Professional Experience 4: The Internship</v>
      </c>
      <c r="E61" s="81">
        <f>TableBEDEC[[#This Row],[Credit Points]]</f>
        <v>100</v>
      </c>
      <c r="F61">
        <v>29</v>
      </c>
      <c r="G61" t="s">
        <v>1208</v>
      </c>
      <c r="H61">
        <v>4</v>
      </c>
      <c r="I61" t="s">
        <v>1220</v>
      </c>
      <c r="J61" t="s">
        <v>155</v>
      </c>
      <c r="K61">
        <v>1</v>
      </c>
      <c r="L61" t="s">
        <v>986</v>
      </c>
      <c r="M61">
        <v>100</v>
      </c>
      <c r="N61" s="125">
        <v>43466</v>
      </c>
      <c r="O61" s="125"/>
      <c r="R61" t="s">
        <v>155</v>
      </c>
      <c r="S61">
        <v>1</v>
      </c>
    </row>
    <row r="62" spans="1:19" x14ac:dyDescent="0.25">
      <c r="A62" t="str">
        <f>TableBEDEC[[#This Row],[Study Package Code]]</f>
        <v>CTED4001</v>
      </c>
      <c r="B62" s="5">
        <f>TableBEDEC[[#This Row],[Ver]]</f>
        <v>2</v>
      </c>
      <c r="D62" t="str">
        <f>TableBEDEC[[#This Row],[Structure Line]]</f>
        <v>Teaching About Sacraments in Catholic Schools</v>
      </c>
      <c r="E62" s="81">
        <f>TableBEDEC[[#This Row],[Credit Points]]</f>
        <v>25</v>
      </c>
      <c r="F62">
        <v>24</v>
      </c>
      <c r="G62" t="s">
        <v>140</v>
      </c>
      <c r="J62" t="s">
        <v>174</v>
      </c>
      <c r="K62">
        <v>2</v>
      </c>
      <c r="L62" t="s">
        <v>858</v>
      </c>
      <c r="M62">
        <v>25</v>
      </c>
      <c r="N62" s="125">
        <v>45292</v>
      </c>
      <c r="O62" s="125"/>
      <c r="R62" t="s">
        <v>200</v>
      </c>
      <c r="S62">
        <v>1</v>
      </c>
    </row>
    <row r="63" spans="1:19" x14ac:dyDescent="0.25">
      <c r="A63" t="str">
        <f>TableBEDEC[[#This Row],[Study Package Code]]</f>
        <v>CTED4006</v>
      </c>
      <c r="B63" s="5">
        <f>TableBEDEC[[#This Row],[Ver]]</f>
        <v>1</v>
      </c>
      <c r="D63" t="str">
        <f>TableBEDEC[[#This Row],[Structure Line]]</f>
        <v>Teaching About Jesus in Catholic Schools</v>
      </c>
      <c r="E63" s="81">
        <f>TableBEDEC[[#This Row],[Credit Points]]</f>
        <v>25</v>
      </c>
      <c r="F63">
        <v>24</v>
      </c>
      <c r="G63" t="s">
        <v>140</v>
      </c>
      <c r="J63" t="s">
        <v>167</v>
      </c>
      <c r="K63">
        <v>1</v>
      </c>
      <c r="L63" t="s">
        <v>859</v>
      </c>
      <c r="M63">
        <v>25</v>
      </c>
      <c r="N63" s="125">
        <v>45292</v>
      </c>
      <c r="O63" s="125"/>
      <c r="R63" t="s">
        <v>174</v>
      </c>
      <c r="S63">
        <v>2</v>
      </c>
    </row>
    <row r="64" spans="1:19" x14ac:dyDescent="0.25">
      <c r="A64" t="str">
        <f>TableBEDEC[[#This Row],[Study Package Code]]</f>
        <v>CTED4008</v>
      </c>
      <c r="B64" s="5">
        <f>TableBEDEC[[#This Row],[Ver]]</f>
        <v>1</v>
      </c>
      <c r="D64" t="str">
        <f>TableBEDEC[[#This Row],[Structure Line]]</f>
        <v>Teaching About the Gospels in Catholic Schools</v>
      </c>
      <c r="E64" s="81">
        <f>TableBEDEC[[#This Row],[Credit Points]]</f>
        <v>25</v>
      </c>
      <c r="F64">
        <v>24</v>
      </c>
      <c r="G64" t="s">
        <v>140</v>
      </c>
      <c r="J64" t="s">
        <v>180</v>
      </c>
      <c r="K64">
        <v>1</v>
      </c>
      <c r="L64" t="s">
        <v>860</v>
      </c>
      <c r="M64">
        <v>25</v>
      </c>
      <c r="N64" s="125">
        <v>45292</v>
      </c>
      <c r="O64" s="125"/>
      <c r="R64" t="s">
        <v>201</v>
      </c>
      <c r="S64">
        <v>2</v>
      </c>
    </row>
    <row r="65" spans="1:19" x14ac:dyDescent="0.25">
      <c r="A65">
        <f>TableBEDEC[[#This Row],[Study Package Code]]</f>
        <v>0</v>
      </c>
      <c r="B65" s="5">
        <f>TableBEDEC[[#This Row],[Ver]]</f>
        <v>0</v>
      </c>
      <c r="D65">
        <f>TableBEDEC[[#This Row],[Structure Line]]</f>
        <v>0</v>
      </c>
      <c r="E65" s="81">
        <f>TableBEDEC[[#This Row],[Credit Points]]</f>
        <v>0</v>
      </c>
      <c r="F65">
        <v>24</v>
      </c>
      <c r="G65" t="s">
        <v>140</v>
      </c>
      <c r="N65" s="125"/>
      <c r="O65" s="125"/>
      <c r="R65" t="s">
        <v>196</v>
      </c>
      <c r="S65">
        <v>1</v>
      </c>
    </row>
    <row r="66" spans="1:19" x14ac:dyDescent="0.25">
      <c r="A66">
        <f>TableBEDEC[[#This Row],[Study Package Code]]</f>
        <v>0</v>
      </c>
      <c r="B66" s="5">
        <f>TableBEDEC[[#This Row],[Ver]]</f>
        <v>0</v>
      </c>
      <c r="D66">
        <f>TableBEDEC[[#This Row],[Structure Line]]</f>
        <v>0</v>
      </c>
      <c r="E66" s="81">
        <f>TableBEDEC[[#This Row],[Credit Points]]</f>
        <v>0</v>
      </c>
      <c r="F66">
        <v>24</v>
      </c>
      <c r="G66" t="s">
        <v>140</v>
      </c>
      <c r="N66" s="125"/>
      <c r="O66" s="125"/>
      <c r="R66" t="s">
        <v>197</v>
      </c>
      <c r="S66">
        <v>1</v>
      </c>
    </row>
    <row r="67" spans="1:19" x14ac:dyDescent="0.25">
      <c r="A67">
        <f>TableBEDEC[[#This Row],[Study Package Code]]</f>
        <v>0</v>
      </c>
      <c r="B67" s="5">
        <f>TableBEDEC[[#This Row],[Ver]]</f>
        <v>0</v>
      </c>
      <c r="D67">
        <f>TableBEDEC[[#This Row],[Structure Line]]</f>
        <v>0</v>
      </c>
      <c r="E67" s="81">
        <f>TableBEDEC[[#This Row],[Credit Points]]</f>
        <v>0</v>
      </c>
      <c r="F67">
        <v>24</v>
      </c>
      <c r="G67" t="s">
        <v>140</v>
      </c>
      <c r="N67" s="125"/>
      <c r="O67" s="125"/>
      <c r="R67" t="s">
        <v>198</v>
      </c>
      <c r="S67">
        <v>1</v>
      </c>
    </row>
    <row r="68" spans="1:19" x14ac:dyDescent="0.25">
      <c r="A68" t="str">
        <f>TableBEDEC[[#This Row],[Study Package Code]]</f>
        <v>EDPR2000</v>
      </c>
      <c r="B68" s="5">
        <f>TableBEDEC[[#This Row],[Ver]]</f>
        <v>1</v>
      </c>
      <c r="D68" t="str">
        <f>TableBEDEC[[#This Row],[Structure Line]]</f>
        <v>Inquiry in the Science Classroom</v>
      </c>
      <c r="E68" s="81">
        <f>TableBEDEC[[#This Row],[Credit Points]]</f>
        <v>25</v>
      </c>
      <c r="F68">
        <v>24</v>
      </c>
      <c r="G68" t="s">
        <v>140</v>
      </c>
      <c r="J68" t="s">
        <v>96</v>
      </c>
      <c r="K68">
        <v>1</v>
      </c>
      <c r="L68" t="s">
        <v>901</v>
      </c>
      <c r="M68">
        <v>25</v>
      </c>
      <c r="N68" s="125">
        <v>42005</v>
      </c>
      <c r="O68" s="125"/>
      <c r="R68" t="s">
        <v>96</v>
      </c>
      <c r="S68">
        <v>1</v>
      </c>
    </row>
    <row r="69" spans="1:19" x14ac:dyDescent="0.25">
      <c r="A69" t="str">
        <f>TableBEDEC[[#This Row],[Study Package Code]]</f>
        <v>EDPR2004</v>
      </c>
      <c r="B69" s="5">
        <f>TableBEDEC[[#This Row],[Ver]]</f>
        <v>1</v>
      </c>
      <c r="D69" t="str">
        <f>TableBEDEC[[#This Row],[Structure Line]]</f>
        <v>Children as Mathematical Learners</v>
      </c>
      <c r="E69" s="81">
        <f>TableBEDEC[[#This Row],[Credit Points]]</f>
        <v>25</v>
      </c>
      <c r="F69">
        <v>24</v>
      </c>
      <c r="G69" t="s">
        <v>140</v>
      </c>
      <c r="J69" t="s">
        <v>90</v>
      </c>
      <c r="K69">
        <v>1</v>
      </c>
      <c r="L69" t="s">
        <v>902</v>
      </c>
      <c r="M69">
        <v>25</v>
      </c>
      <c r="N69" s="125">
        <v>42005</v>
      </c>
      <c r="O69" s="125"/>
      <c r="R69" t="s">
        <v>90</v>
      </c>
      <c r="S69">
        <v>1</v>
      </c>
    </row>
    <row r="70" spans="1:19" x14ac:dyDescent="0.25">
      <c r="A70" t="str">
        <f>TableBEDEC[[#This Row],[Study Package Code]]</f>
        <v>EDPR2016</v>
      </c>
      <c r="B70" s="5">
        <f>TableBEDEC[[#This Row],[Ver]]</f>
        <v>1</v>
      </c>
      <c r="D70" t="str">
        <f>TableBEDEC[[#This Row],[Structure Line]]</f>
        <v>Health and Physical Education</v>
      </c>
      <c r="E70" s="81">
        <f>TableBEDEC[[#This Row],[Credit Points]]</f>
        <v>25</v>
      </c>
      <c r="F70">
        <v>24</v>
      </c>
      <c r="G70" t="s">
        <v>140</v>
      </c>
      <c r="J70" t="s">
        <v>95</v>
      </c>
      <c r="K70">
        <v>1</v>
      </c>
      <c r="L70" t="s">
        <v>907</v>
      </c>
      <c r="M70">
        <v>25</v>
      </c>
      <c r="N70" s="125">
        <v>43466</v>
      </c>
      <c r="O70" s="125"/>
      <c r="R70" t="s">
        <v>95</v>
      </c>
      <c r="S70">
        <v>1</v>
      </c>
    </row>
    <row r="71" spans="1:19" x14ac:dyDescent="0.25">
      <c r="A71" t="str">
        <f>TableBEDEC[[#This Row],[Study Package Code]]</f>
        <v>EDPR3000</v>
      </c>
      <c r="B71" s="5">
        <f>TableBEDEC[[#This Row],[Ver]]</f>
        <v>1</v>
      </c>
      <c r="D71" t="str">
        <f>TableBEDEC[[#This Row],[Structure Line]]</f>
        <v>Inquiry in the Mathematics Classroom</v>
      </c>
      <c r="E71" s="81">
        <f>TableBEDEC[[#This Row],[Credit Points]]</f>
        <v>25</v>
      </c>
      <c r="F71">
        <v>24</v>
      </c>
      <c r="G71" t="s">
        <v>140</v>
      </c>
      <c r="J71" t="s">
        <v>135</v>
      </c>
      <c r="K71">
        <v>1</v>
      </c>
      <c r="L71" t="s">
        <v>908</v>
      </c>
      <c r="M71">
        <v>25</v>
      </c>
      <c r="N71" s="125">
        <v>42005</v>
      </c>
      <c r="O71" s="125"/>
      <c r="R71" t="s">
        <v>135</v>
      </c>
      <c r="S71">
        <v>1</v>
      </c>
    </row>
    <row r="72" spans="1:19" x14ac:dyDescent="0.25">
      <c r="A72" t="str">
        <f>TableBEDEC[[#This Row],[Study Package Code]]</f>
        <v>EDPR3001</v>
      </c>
      <c r="B72" s="5">
        <f>TableBEDEC[[#This Row],[Ver]]</f>
        <v>2</v>
      </c>
      <c r="D72" t="str">
        <f>TableBEDEC[[#This Row],[Structure Line]]</f>
        <v>English Pedagogies and the Integrated Curriculum</v>
      </c>
      <c r="E72" s="81">
        <f>TableBEDEC[[#This Row],[Credit Points]]</f>
        <v>25</v>
      </c>
      <c r="F72">
        <v>24</v>
      </c>
      <c r="G72" t="s">
        <v>140</v>
      </c>
      <c r="J72" t="s">
        <v>132</v>
      </c>
      <c r="K72">
        <v>2</v>
      </c>
      <c r="L72" t="s">
        <v>909</v>
      </c>
      <c r="M72">
        <v>25</v>
      </c>
      <c r="N72" s="125">
        <v>43466</v>
      </c>
      <c r="O72" s="125"/>
      <c r="R72" t="s">
        <v>132</v>
      </c>
      <c r="S72">
        <v>2</v>
      </c>
    </row>
    <row r="73" spans="1:19" x14ac:dyDescent="0.25">
      <c r="A73" t="str">
        <f>TableBEDEC[[#This Row],[Study Package Code]]</f>
        <v>EDUC4012</v>
      </c>
      <c r="B73" s="5">
        <f>TableBEDEC[[#This Row],[Ver]]</f>
        <v>2</v>
      </c>
      <c r="D73" t="str">
        <f>TableBEDEC[[#This Row],[Structure Line]]</f>
        <v>Relationships and Sexuality Education</v>
      </c>
      <c r="E73" s="81">
        <f>TableBEDEC[[#This Row],[Credit Points]]</f>
        <v>25</v>
      </c>
      <c r="F73">
        <v>24</v>
      </c>
      <c r="G73" t="s">
        <v>140</v>
      </c>
      <c r="J73" t="s">
        <v>194</v>
      </c>
      <c r="K73">
        <v>2</v>
      </c>
      <c r="L73" t="s">
        <v>975</v>
      </c>
      <c r="M73">
        <v>25</v>
      </c>
      <c r="N73" s="125">
        <v>44927</v>
      </c>
      <c r="O73" s="125"/>
      <c r="R73" t="s">
        <v>194</v>
      </c>
      <c r="S73">
        <v>2</v>
      </c>
    </row>
    <row r="74" spans="1:19" x14ac:dyDescent="0.25">
      <c r="A74" t="str">
        <f>TableBEDEC[[#This Row],[Study Package Code]]</f>
        <v>EDUC4014</v>
      </c>
      <c r="B74" s="5">
        <f>TableBEDEC[[#This Row],[Ver]]</f>
        <v>1</v>
      </c>
      <c r="D74" t="str">
        <f>TableBEDEC[[#This Row],[Structure Line]]</f>
        <v>Diverse Abilities and Curriculum Differentiation</v>
      </c>
      <c r="E74" s="81">
        <f>TableBEDEC[[#This Row],[Credit Points]]</f>
        <v>25</v>
      </c>
      <c r="F74">
        <v>24</v>
      </c>
      <c r="G74" t="s">
        <v>140</v>
      </c>
      <c r="J74" t="s">
        <v>195</v>
      </c>
      <c r="K74">
        <v>1</v>
      </c>
      <c r="L74" t="s">
        <v>976</v>
      </c>
      <c r="M74">
        <v>25</v>
      </c>
      <c r="N74" s="125">
        <v>42005</v>
      </c>
      <c r="O74" s="125"/>
      <c r="R74" t="s">
        <v>195</v>
      </c>
      <c r="S74">
        <v>1</v>
      </c>
    </row>
    <row r="75" spans="1:19" x14ac:dyDescent="0.25">
      <c r="A75" t="str">
        <f>TableBEDEC[[#This Row],[Study Package Code]]</f>
        <v>EDUC4020</v>
      </c>
      <c r="B75" s="5">
        <f>TableBEDEC[[#This Row],[Ver]]</f>
        <v>1</v>
      </c>
      <c r="D75" t="str">
        <f>TableBEDEC[[#This Row],[Structure Line]]</f>
        <v>Supporting Literacy and Numeracy Development for Diverse Learners</v>
      </c>
      <c r="E75" s="81">
        <f>TableBEDEC[[#This Row],[Credit Points]]</f>
        <v>25</v>
      </c>
      <c r="F75">
        <v>24</v>
      </c>
      <c r="G75" t="s">
        <v>140</v>
      </c>
      <c r="J75" t="s">
        <v>184</v>
      </c>
      <c r="K75">
        <v>1</v>
      </c>
      <c r="L75" t="s">
        <v>977</v>
      </c>
      <c r="M75">
        <v>25</v>
      </c>
      <c r="N75" s="125">
        <v>43282</v>
      </c>
      <c r="O75" s="125"/>
      <c r="R75" t="s">
        <v>184</v>
      </c>
      <c r="S75">
        <v>1</v>
      </c>
    </row>
    <row r="76" spans="1:19" x14ac:dyDescent="0.25">
      <c r="A76" t="str">
        <f>TableBEDEC[[#This Row],[Study Package Code]]</f>
        <v>EDUC4021</v>
      </c>
      <c r="B76" s="5">
        <f>TableBEDEC[[#This Row],[Ver]]</f>
        <v>1</v>
      </c>
      <c r="D76" t="str">
        <f>TableBEDEC[[#This Row],[Structure Line]]</f>
        <v>Project-based iSTEM Education</v>
      </c>
      <c r="E76" s="81">
        <f>TableBEDEC[[#This Row],[Credit Points]]</f>
        <v>25</v>
      </c>
      <c r="F76">
        <v>24</v>
      </c>
      <c r="G76" t="s">
        <v>140</v>
      </c>
      <c r="J76" t="s">
        <v>170</v>
      </c>
      <c r="K76">
        <v>1</v>
      </c>
      <c r="L76" t="s">
        <v>978</v>
      </c>
      <c r="M76">
        <v>25</v>
      </c>
      <c r="N76" s="125">
        <v>43282</v>
      </c>
      <c r="O76" s="125"/>
      <c r="R76" t="s">
        <v>170</v>
      </c>
      <c r="S76">
        <v>1</v>
      </c>
    </row>
    <row r="77" spans="1:19" x14ac:dyDescent="0.25">
      <c r="A77" t="str">
        <f>TableBEDEC[[#This Row],[Study Package Code]]</f>
        <v>EDUC4022</v>
      </c>
      <c r="B77" s="5">
        <f>TableBEDEC[[#This Row],[Ver]]</f>
        <v>1</v>
      </c>
      <c r="D77" t="str">
        <f>TableBEDEC[[#This Row],[Structure Line]]</f>
        <v>Creative Literacies</v>
      </c>
      <c r="E77" s="81">
        <f>TableBEDEC[[#This Row],[Credit Points]]</f>
        <v>25</v>
      </c>
      <c r="F77">
        <v>24</v>
      </c>
      <c r="G77" t="s">
        <v>140</v>
      </c>
      <c r="J77" t="s">
        <v>175</v>
      </c>
      <c r="K77">
        <v>1</v>
      </c>
      <c r="L77" t="s">
        <v>979</v>
      </c>
      <c r="M77">
        <v>25</v>
      </c>
      <c r="N77" s="125">
        <v>43282</v>
      </c>
      <c r="O77" s="125"/>
      <c r="R77" t="s">
        <v>175</v>
      </c>
      <c r="S77">
        <v>1</v>
      </c>
    </row>
    <row r="78" spans="1:19" x14ac:dyDescent="0.25">
      <c r="A78" t="str">
        <f>TableBEDEC[[#This Row],[Study Package Code]]</f>
        <v>EDUC4023</v>
      </c>
      <c r="B78" s="5">
        <f>TableBEDEC[[#This Row],[Ver]]</f>
        <v>1</v>
      </c>
      <c r="D78" t="str">
        <f>TableBEDEC[[#This Row],[Structure Line]]</f>
        <v>Creating and Responding to Literature</v>
      </c>
      <c r="E78" s="81">
        <f>TableBEDEC[[#This Row],[Credit Points]]</f>
        <v>25</v>
      </c>
      <c r="F78">
        <v>24</v>
      </c>
      <c r="G78" t="s">
        <v>140</v>
      </c>
      <c r="J78" t="s">
        <v>168</v>
      </c>
      <c r="K78">
        <v>1</v>
      </c>
      <c r="L78" t="s">
        <v>980</v>
      </c>
      <c r="M78">
        <v>25</v>
      </c>
      <c r="N78" s="125">
        <v>43282</v>
      </c>
      <c r="O78" s="125"/>
      <c r="R78" t="s">
        <v>168</v>
      </c>
      <c r="S78">
        <v>1</v>
      </c>
    </row>
    <row r="79" spans="1:19" x14ac:dyDescent="0.25">
      <c r="A79" t="str">
        <f>TableBEDEC[[#This Row],[Study Package Code]]</f>
        <v>EDUC4029</v>
      </c>
      <c r="B79" s="5">
        <f>TableBEDEC[[#This Row],[Ver]]</f>
        <v>1</v>
      </c>
      <c r="D79" t="str">
        <f>TableBEDEC[[#This Row],[Structure Line]]</f>
        <v>Technologies: Coding for Teachers</v>
      </c>
      <c r="E79" s="81">
        <f>TableBEDEC[[#This Row],[Credit Points]]</f>
        <v>25</v>
      </c>
      <c r="F79">
        <v>24</v>
      </c>
      <c r="G79" t="s">
        <v>140</v>
      </c>
      <c r="J79" t="s">
        <v>172</v>
      </c>
      <c r="K79">
        <v>1</v>
      </c>
      <c r="L79" t="s">
        <v>981</v>
      </c>
      <c r="M79">
        <v>25</v>
      </c>
      <c r="N79" s="125">
        <v>43282</v>
      </c>
      <c r="O79" s="125"/>
      <c r="R79" t="s">
        <v>172</v>
      </c>
      <c r="S79">
        <v>1</v>
      </c>
    </row>
    <row r="80" spans="1:19" x14ac:dyDescent="0.25">
      <c r="A80">
        <f>TableBEDEC[[#This Row],[Study Package Code]]</f>
        <v>0</v>
      </c>
      <c r="B80" s="5">
        <f>TableBEDEC[[#This Row],[Ver]]</f>
        <v>0</v>
      </c>
      <c r="D80">
        <f>TableBEDEC[[#This Row],[Structure Line]]</f>
        <v>0</v>
      </c>
      <c r="E80" s="81">
        <f>TableBEDEC[[#This Row],[Credit Points]]</f>
        <v>0</v>
      </c>
      <c r="F80">
        <v>24</v>
      </c>
      <c r="G80" t="s">
        <v>140</v>
      </c>
      <c r="N80" s="125"/>
      <c r="O80" s="125"/>
      <c r="R80" t="s">
        <v>199</v>
      </c>
      <c r="S80">
        <v>1</v>
      </c>
    </row>
    <row r="81" spans="1:19" x14ac:dyDescent="0.25">
      <c r="A81" t="str">
        <f>TableBEDEC[[#This Row],[Study Package Code]]</f>
        <v>EDUC4032</v>
      </c>
      <c r="B81" s="5">
        <f>TableBEDEC[[#This Row],[Ver]]</f>
        <v>1</v>
      </c>
      <c r="D81" t="str">
        <f>TableBEDEC[[#This Row],[Structure Line]]</f>
        <v>iSTEM Education through Digital Stories</v>
      </c>
      <c r="E81" s="81">
        <f>TableBEDEC[[#This Row],[Credit Points]]</f>
        <v>25</v>
      </c>
      <c r="F81">
        <v>24</v>
      </c>
      <c r="G81" t="s">
        <v>140</v>
      </c>
      <c r="J81" t="s">
        <v>177</v>
      </c>
      <c r="K81">
        <v>1</v>
      </c>
      <c r="L81" t="s">
        <v>982</v>
      </c>
      <c r="M81">
        <v>25</v>
      </c>
      <c r="N81" s="125">
        <v>43466</v>
      </c>
      <c r="O81" s="125"/>
      <c r="R81" t="s">
        <v>177</v>
      </c>
      <c r="S81">
        <v>1</v>
      </c>
    </row>
    <row r="82" spans="1:19" x14ac:dyDescent="0.25">
      <c r="A82" t="str">
        <f>TableBEDEC[[#This Row],[Study Package Code]]</f>
        <v>EDUC4034</v>
      </c>
      <c r="B82" s="5">
        <f>TableBEDEC[[#This Row],[Ver]]</f>
        <v>1</v>
      </c>
      <c r="D82" t="str">
        <f>TableBEDEC[[#This Row],[Structure Line]]</f>
        <v>iSTEM: Social Issues</v>
      </c>
      <c r="E82" s="81">
        <f>TableBEDEC[[#This Row],[Credit Points]]</f>
        <v>25</v>
      </c>
      <c r="F82">
        <v>24</v>
      </c>
      <c r="G82" t="s">
        <v>140</v>
      </c>
      <c r="J82" t="s">
        <v>183</v>
      </c>
      <c r="K82">
        <v>1</v>
      </c>
      <c r="L82" t="s">
        <v>983</v>
      </c>
      <c r="M82">
        <v>25</v>
      </c>
      <c r="N82" s="125">
        <v>43466</v>
      </c>
      <c r="O82" s="125"/>
      <c r="R82" t="s">
        <v>183</v>
      </c>
      <c r="S82">
        <v>1</v>
      </c>
    </row>
    <row r="83" spans="1:19" x14ac:dyDescent="0.25">
      <c r="A83" t="str">
        <f>TableBEDEC[[#This Row],[Study Package Code]]</f>
        <v>EDUC4036</v>
      </c>
      <c r="B83" s="5">
        <f>TableBEDEC[[#This Row],[Ver]]</f>
        <v>1</v>
      </c>
      <c r="D83" t="str">
        <f>TableBEDEC[[#This Row],[Structure Line]]</f>
        <v>Language and Diversity</v>
      </c>
      <c r="E83" s="81">
        <f>TableBEDEC[[#This Row],[Credit Points]]</f>
        <v>25</v>
      </c>
      <c r="F83">
        <v>24</v>
      </c>
      <c r="G83" t="s">
        <v>140</v>
      </c>
      <c r="J83" t="s">
        <v>181</v>
      </c>
      <c r="K83">
        <v>1</v>
      </c>
      <c r="L83" t="s">
        <v>984</v>
      </c>
      <c r="M83">
        <v>25</v>
      </c>
      <c r="N83" s="125">
        <v>43466</v>
      </c>
      <c r="O83" s="125"/>
      <c r="R83" t="s">
        <v>181</v>
      </c>
      <c r="S83">
        <v>1</v>
      </c>
    </row>
    <row r="84" spans="1:19" x14ac:dyDescent="0.25">
      <c r="A84" t="str">
        <f>TableBEDEC[[#This Row],[Study Package Code]]</f>
        <v>EDUC4038</v>
      </c>
      <c r="B84" s="5">
        <f>TableBEDEC[[#This Row],[Ver]]</f>
        <v>1</v>
      </c>
      <c r="D84" t="str">
        <f>TableBEDEC[[#This Row],[Structure Line]]</f>
        <v>Technologies: Design Solutions</v>
      </c>
      <c r="E84" s="81">
        <f>TableBEDEC[[#This Row],[Credit Points]]</f>
        <v>25</v>
      </c>
      <c r="F84">
        <v>24</v>
      </c>
      <c r="G84" t="s">
        <v>140</v>
      </c>
      <c r="J84" t="s">
        <v>179</v>
      </c>
      <c r="K84">
        <v>1</v>
      </c>
      <c r="L84" t="s">
        <v>985</v>
      </c>
      <c r="M84">
        <v>25</v>
      </c>
      <c r="N84" s="125">
        <v>43466</v>
      </c>
      <c r="O84" s="125"/>
      <c r="R84" t="s">
        <v>179</v>
      </c>
      <c r="S84">
        <v>1</v>
      </c>
    </row>
    <row r="85" spans="1:19" x14ac:dyDescent="0.25">
      <c r="A85" t="str">
        <f>TableBEDEC[[#This Row],[Study Package Code]]</f>
        <v>EDUC4042</v>
      </c>
      <c r="B85" s="5">
        <f>TableBEDEC[[#This Row],[Ver]]</f>
        <v>1</v>
      </c>
      <c r="D85" t="str">
        <f>TableBEDEC[[#This Row],[Structure Line]]</f>
        <v>Alternative Approaches to Teaching Literacy and Numeracy</v>
      </c>
      <c r="E85" s="81">
        <f>TableBEDEC[[#This Row],[Credit Points]]</f>
        <v>25</v>
      </c>
      <c r="F85">
        <v>24</v>
      </c>
      <c r="G85" t="s">
        <v>140</v>
      </c>
      <c r="J85" t="s">
        <v>171</v>
      </c>
      <c r="K85">
        <v>1</v>
      </c>
      <c r="L85" t="s">
        <v>988</v>
      </c>
      <c r="M85">
        <v>25</v>
      </c>
      <c r="N85" s="125">
        <v>43466</v>
      </c>
      <c r="O85" s="125"/>
      <c r="R85" t="s">
        <v>171</v>
      </c>
      <c r="S85">
        <v>1</v>
      </c>
    </row>
    <row r="86" spans="1:19" x14ac:dyDescent="0.25">
      <c r="A86" t="str">
        <f>TableBEDEC[[#This Row],[Study Package Code]]</f>
        <v>EDUC4044</v>
      </c>
      <c r="B86" s="5">
        <f>TableBEDEC[[#This Row],[Ver]]</f>
        <v>2</v>
      </c>
      <c r="D86" t="str">
        <f>TableBEDEC[[#This Row],[Structure Line]]</f>
        <v>Literacy and Numeracy for First Nations Peoples of Australia</v>
      </c>
      <c r="E86" s="81">
        <f>TableBEDEC[[#This Row],[Credit Points]]</f>
        <v>25</v>
      </c>
      <c r="F86">
        <v>24</v>
      </c>
      <c r="G86" t="s">
        <v>140</v>
      </c>
      <c r="J86" t="s">
        <v>178</v>
      </c>
      <c r="K86">
        <v>2</v>
      </c>
      <c r="L86" t="s">
        <v>989</v>
      </c>
      <c r="M86">
        <v>25</v>
      </c>
      <c r="N86" s="125">
        <v>44927</v>
      </c>
      <c r="O86" s="125"/>
      <c r="R86" t="s">
        <v>178</v>
      </c>
      <c r="S86">
        <v>2</v>
      </c>
    </row>
    <row r="87" spans="1:19" x14ac:dyDescent="0.25">
      <c r="A87">
        <f>TableBEDEC[[#This Row],[Study Package Code]]</f>
        <v>0</v>
      </c>
      <c r="B87" s="5">
        <f>TableBEDEC[[#This Row],[Ver]]</f>
        <v>0</v>
      </c>
      <c r="D87">
        <f>TableBEDEC[[#This Row],[Structure Line]]</f>
        <v>0</v>
      </c>
      <c r="E87" s="81">
        <f>TableBEDEC[[#This Row],[Credit Points]]</f>
        <v>0</v>
      </c>
      <c r="F87">
        <v>24</v>
      </c>
      <c r="G87" t="s">
        <v>140</v>
      </c>
      <c r="N87" s="125"/>
      <c r="O87" s="125"/>
      <c r="R87" t="s">
        <v>178</v>
      </c>
      <c r="S87">
        <v>2</v>
      </c>
    </row>
    <row r="88" spans="1:19" x14ac:dyDescent="0.25">
      <c r="A88" t="str">
        <f>TableBEDEC[[#This Row],[Study Package Code]]</f>
        <v>EDUC4046</v>
      </c>
      <c r="B88" s="5">
        <f>TableBEDEC[[#This Row],[Ver]]</f>
        <v>1</v>
      </c>
      <c r="D88" t="str">
        <f>TableBEDEC[[#This Row],[Structure Line]]</f>
        <v>Technologies: Digital Solutions</v>
      </c>
      <c r="E88" s="81">
        <f>TableBEDEC[[#This Row],[Credit Points]]</f>
        <v>25</v>
      </c>
      <c r="F88">
        <v>24</v>
      </c>
      <c r="G88" t="s">
        <v>140</v>
      </c>
      <c r="J88" t="s">
        <v>185</v>
      </c>
      <c r="K88">
        <v>1</v>
      </c>
      <c r="L88" t="s">
        <v>990</v>
      </c>
      <c r="M88">
        <v>25</v>
      </c>
      <c r="N88" s="125">
        <v>43466</v>
      </c>
      <c r="O88" s="125"/>
      <c r="R88" t="s">
        <v>185</v>
      </c>
      <c r="S88">
        <v>1</v>
      </c>
    </row>
    <row r="89" spans="1:19" x14ac:dyDescent="0.25">
      <c r="A89" t="str">
        <f>TableBEDEC[[#This Row],[Study Package Code]]</f>
        <v>EDUC4048</v>
      </c>
      <c r="B89" s="5">
        <f>TableBEDEC[[#This Row],[Ver]]</f>
        <v>1</v>
      </c>
      <c r="D89" t="str">
        <f>TableBEDEC[[#This Row],[Structure Line]]</f>
        <v>Mentoring, Coaching and Tutoring</v>
      </c>
      <c r="E89" s="81">
        <f>TableBEDEC[[#This Row],[Credit Points]]</f>
        <v>25</v>
      </c>
      <c r="F89">
        <v>24</v>
      </c>
      <c r="G89" t="s">
        <v>140</v>
      </c>
      <c r="J89" t="s">
        <v>129</v>
      </c>
      <c r="K89">
        <v>1</v>
      </c>
      <c r="L89" t="s">
        <v>991</v>
      </c>
      <c r="M89">
        <v>25</v>
      </c>
      <c r="N89" s="125">
        <v>43466</v>
      </c>
      <c r="O89" s="125"/>
      <c r="R89" t="s">
        <v>129</v>
      </c>
      <c r="S89">
        <v>1</v>
      </c>
    </row>
    <row r="90" spans="1:19" x14ac:dyDescent="0.25">
      <c r="N90" s="125"/>
      <c r="O90" s="125"/>
    </row>
    <row r="91" spans="1:19" x14ac:dyDescent="0.25">
      <c r="A91" s="78"/>
      <c r="B91" s="80"/>
      <c r="C91" s="78"/>
      <c r="G91" s="79" t="s">
        <v>1194</v>
      </c>
      <c r="H91" s="272">
        <v>45658</v>
      </c>
      <c r="J91" s="78" t="s">
        <v>80</v>
      </c>
      <c r="K91" s="273" t="s">
        <v>72</v>
      </c>
      <c r="L91" s="78" t="s">
        <v>39</v>
      </c>
      <c r="M91" s="78"/>
      <c r="N91" s="198" t="s">
        <v>1195</v>
      </c>
      <c r="O91" s="125">
        <v>45538</v>
      </c>
    </row>
    <row r="92" spans="1:19" ht="31.5" x14ac:dyDescent="0.25">
      <c r="A92" s="97" t="s">
        <v>0</v>
      </c>
      <c r="B92" s="98" t="s">
        <v>1196</v>
      </c>
      <c r="C92" s="97" t="s">
        <v>1197</v>
      </c>
      <c r="D92" s="97" t="s">
        <v>3</v>
      </c>
      <c r="E92" s="99" t="s">
        <v>1198</v>
      </c>
      <c r="F92" s="97" t="s">
        <v>1199</v>
      </c>
      <c r="G92" s="97" t="s">
        <v>1200</v>
      </c>
      <c r="H92" s="97" t="s">
        <v>1201</v>
      </c>
      <c r="I92" s="97" t="s">
        <v>18</v>
      </c>
      <c r="J92" s="97" t="s">
        <v>1202</v>
      </c>
      <c r="K92" s="97" t="s">
        <v>1</v>
      </c>
      <c r="L92" s="97" t="s">
        <v>1203</v>
      </c>
      <c r="M92" s="97" t="s">
        <v>69</v>
      </c>
      <c r="N92" s="97" t="s">
        <v>1204</v>
      </c>
      <c r="O92" s="97" t="s">
        <v>1205</v>
      </c>
      <c r="R92" t="s">
        <v>1206</v>
      </c>
      <c r="S92" t="s">
        <v>1207</v>
      </c>
    </row>
    <row r="93" spans="1:19" x14ac:dyDescent="0.25">
      <c r="A93" t="str">
        <f>TableBEDPR[[#This Row],[Study Package Code]]</f>
        <v>EDUC1021</v>
      </c>
      <c r="B93" s="5">
        <f>TableBEDPR[[#This Row],[Ver]]</f>
        <v>1</v>
      </c>
      <c r="D93" t="str">
        <f>TableBEDPR[[#This Row],[Structure Line]]</f>
        <v>Child Development for Educators</v>
      </c>
      <c r="E93" s="81">
        <f>TableBEDPR[[#This Row],[Credit Points]]</f>
        <v>25</v>
      </c>
      <c r="F93">
        <v>1</v>
      </c>
      <c r="G93" t="s">
        <v>1208</v>
      </c>
      <c r="H93">
        <v>1</v>
      </c>
      <c r="I93" t="s">
        <v>1209</v>
      </c>
      <c r="J93" t="s">
        <v>55</v>
      </c>
      <c r="K93">
        <v>1</v>
      </c>
      <c r="L93" t="s">
        <v>960</v>
      </c>
      <c r="M93">
        <v>25</v>
      </c>
      <c r="N93" s="125">
        <v>43466</v>
      </c>
      <c r="O93" s="125"/>
      <c r="R93" t="s">
        <v>55</v>
      </c>
      <c r="S93">
        <v>1</v>
      </c>
    </row>
    <row r="94" spans="1:19" x14ac:dyDescent="0.25">
      <c r="A94" t="str">
        <f>TableBEDPR[[#This Row],[Study Package Code]]</f>
        <v>EDUC1023</v>
      </c>
      <c r="B94" s="5">
        <f>TableBEDPR[[#This Row],[Ver]]</f>
        <v>1</v>
      </c>
      <c r="D94" t="str">
        <f>TableBEDPR[[#This Row],[Structure Line]]</f>
        <v>Introducing Language, Literacy and Literature for Educators</v>
      </c>
      <c r="E94" s="81">
        <f>TableBEDPR[[#This Row],[Credit Points]]</f>
        <v>25</v>
      </c>
      <c r="F94">
        <v>2</v>
      </c>
      <c r="G94" t="s">
        <v>1208</v>
      </c>
      <c r="H94">
        <v>1</v>
      </c>
      <c r="I94" t="s">
        <v>1209</v>
      </c>
      <c r="J94" t="s">
        <v>62</v>
      </c>
      <c r="K94">
        <v>1</v>
      </c>
      <c r="L94" t="s">
        <v>961</v>
      </c>
      <c r="M94">
        <v>25</v>
      </c>
      <c r="N94" s="125">
        <v>43466</v>
      </c>
      <c r="O94" s="125"/>
      <c r="R94" t="s">
        <v>62</v>
      </c>
      <c r="S94">
        <v>1</v>
      </c>
    </row>
    <row r="95" spans="1:19" x14ac:dyDescent="0.25">
      <c r="A95" t="str">
        <f>TableBEDPR[[#This Row],[Study Package Code]]</f>
        <v>EDUC1019</v>
      </c>
      <c r="B95" s="5">
        <f>TableBEDPR[[#This Row],[Ver]]</f>
        <v>1</v>
      </c>
      <c r="D95" t="str">
        <f>TableBEDPR[[#This Row],[Structure Line]]</f>
        <v>Teaching and Learning in the Digital World</v>
      </c>
      <c r="E95" s="81">
        <f>TableBEDPR[[#This Row],[Credit Points]]</f>
        <v>25</v>
      </c>
      <c r="F95">
        <v>3</v>
      </c>
      <c r="G95" t="s">
        <v>1208</v>
      </c>
      <c r="H95">
        <v>1</v>
      </c>
      <c r="I95" t="s">
        <v>1209</v>
      </c>
      <c r="J95" t="s">
        <v>60</v>
      </c>
      <c r="K95">
        <v>1</v>
      </c>
      <c r="L95" t="s">
        <v>959</v>
      </c>
      <c r="M95">
        <v>25</v>
      </c>
      <c r="N95" s="125">
        <v>43466</v>
      </c>
      <c r="O95" s="125"/>
      <c r="R95" t="s">
        <v>60</v>
      </c>
      <c r="S95">
        <v>1</v>
      </c>
    </row>
    <row r="96" spans="1:19" x14ac:dyDescent="0.25">
      <c r="A96" t="str">
        <f>TableBEDPR[[#This Row],[Study Package Code]]</f>
        <v>EDUC1033</v>
      </c>
      <c r="B96" s="5">
        <f>TableBEDPR[[#This Row],[Ver]]</f>
        <v>1</v>
      </c>
      <c r="D96" t="str">
        <f>TableBEDPR[[#This Row],[Structure Line]]</f>
        <v>Communication Skills for Educators</v>
      </c>
      <c r="E96" s="81">
        <f>TableBEDPR[[#This Row],[Credit Points]]</f>
        <v>25</v>
      </c>
      <c r="F96">
        <v>4</v>
      </c>
      <c r="G96" t="s">
        <v>1208</v>
      </c>
      <c r="H96">
        <v>1</v>
      </c>
      <c r="I96" t="s">
        <v>1209</v>
      </c>
      <c r="J96" t="s">
        <v>75</v>
      </c>
      <c r="K96">
        <v>1</v>
      </c>
      <c r="L96" t="s">
        <v>966</v>
      </c>
      <c r="M96">
        <v>25</v>
      </c>
      <c r="N96" s="125">
        <v>45658</v>
      </c>
      <c r="O96" s="125"/>
      <c r="R96" t="s">
        <v>1210</v>
      </c>
      <c r="S96">
        <v>1</v>
      </c>
    </row>
    <row r="97" spans="1:19" x14ac:dyDescent="0.25">
      <c r="A97" t="str">
        <f>TableBEDPR[[#This Row],[Study Package Code]]</f>
        <v>EDUC1027</v>
      </c>
      <c r="B97" s="5">
        <f>TableBEDPR[[#This Row],[Ver]]</f>
        <v>1</v>
      </c>
      <c r="D97" t="str">
        <f>TableBEDPR[[#This Row],[Structure Line]]</f>
        <v>Educators Inquiring About the World</v>
      </c>
      <c r="E97" s="81">
        <f>TableBEDPR[[#This Row],[Credit Points]]</f>
        <v>25</v>
      </c>
      <c r="F97">
        <v>5</v>
      </c>
      <c r="G97" t="s">
        <v>1208</v>
      </c>
      <c r="H97">
        <v>1</v>
      </c>
      <c r="I97" t="s">
        <v>1212</v>
      </c>
      <c r="J97" t="s">
        <v>57</v>
      </c>
      <c r="K97">
        <v>1</v>
      </c>
      <c r="L97" t="s">
        <v>963</v>
      </c>
      <c r="M97">
        <v>25</v>
      </c>
      <c r="N97" s="125">
        <v>43466</v>
      </c>
      <c r="O97" s="125"/>
      <c r="R97" t="s">
        <v>57</v>
      </c>
      <c r="S97">
        <v>1</v>
      </c>
    </row>
    <row r="98" spans="1:19" x14ac:dyDescent="0.25">
      <c r="A98" t="str">
        <f>TableBEDPR[[#This Row],[Study Package Code]]</f>
        <v>EDUC1025</v>
      </c>
      <c r="B98" s="5">
        <f>TableBEDPR[[#This Row],[Ver]]</f>
        <v>1</v>
      </c>
      <c r="D98" t="str">
        <f>TableBEDPR[[#This Row],[Structure Line]]</f>
        <v>Exploring and Contesting Curriculum</v>
      </c>
      <c r="E98" s="81">
        <f>TableBEDPR[[#This Row],[Credit Points]]</f>
        <v>25</v>
      </c>
      <c r="F98">
        <v>6</v>
      </c>
      <c r="G98" t="s">
        <v>1208</v>
      </c>
      <c r="H98">
        <v>1</v>
      </c>
      <c r="I98" t="s">
        <v>1212</v>
      </c>
      <c r="J98" t="s">
        <v>61</v>
      </c>
      <c r="K98">
        <v>1</v>
      </c>
      <c r="L98" t="s">
        <v>962</v>
      </c>
      <c r="M98">
        <v>25</v>
      </c>
      <c r="N98" s="125">
        <v>43466</v>
      </c>
      <c r="O98" s="125"/>
      <c r="R98" t="s">
        <v>61</v>
      </c>
      <c r="S98">
        <v>1</v>
      </c>
    </row>
    <row r="99" spans="1:19" x14ac:dyDescent="0.25">
      <c r="A99" t="str">
        <f>TableBEDPR[[#This Row],[Study Package Code]]</f>
        <v>EDUC1029</v>
      </c>
      <c r="B99" s="5">
        <f>TableBEDPR[[#This Row],[Ver]]</f>
        <v>1</v>
      </c>
      <c r="D99" t="str">
        <f>TableBEDPR[[#This Row],[Structure Line]]</f>
        <v>Performing Arts for Educators</v>
      </c>
      <c r="E99" s="81">
        <f>TableBEDPR[[#This Row],[Credit Points]]</f>
        <v>25</v>
      </c>
      <c r="F99">
        <v>7</v>
      </c>
      <c r="G99" t="s">
        <v>1208</v>
      </c>
      <c r="H99">
        <v>1</v>
      </c>
      <c r="I99" t="s">
        <v>1212</v>
      </c>
      <c r="J99" t="s">
        <v>58</v>
      </c>
      <c r="K99">
        <v>1</v>
      </c>
      <c r="L99" t="s">
        <v>964</v>
      </c>
      <c r="M99">
        <v>25</v>
      </c>
      <c r="N99" s="125">
        <v>43466</v>
      </c>
      <c r="O99" s="125"/>
      <c r="R99" t="s">
        <v>58</v>
      </c>
      <c r="S99">
        <v>1</v>
      </c>
    </row>
    <row r="100" spans="1:19" x14ac:dyDescent="0.25">
      <c r="A100" t="str">
        <f>TableBEDPR[[#This Row],[Study Package Code]]</f>
        <v>EDUC1031</v>
      </c>
      <c r="B100" s="5">
        <f>TableBEDPR[[#This Row],[Ver]]</f>
        <v>1</v>
      </c>
      <c r="D100" t="str">
        <f>TableBEDPR[[#This Row],[Structure Line]]</f>
        <v>The Numerate Educator</v>
      </c>
      <c r="E100" s="81">
        <f>TableBEDPR[[#This Row],[Credit Points]]</f>
        <v>25</v>
      </c>
      <c r="F100">
        <v>8</v>
      </c>
      <c r="G100" t="s">
        <v>1208</v>
      </c>
      <c r="H100">
        <v>1</v>
      </c>
      <c r="I100" t="s">
        <v>1212</v>
      </c>
      <c r="J100" t="s">
        <v>63</v>
      </c>
      <c r="K100">
        <v>1</v>
      </c>
      <c r="L100" t="s">
        <v>965</v>
      </c>
      <c r="M100">
        <v>25</v>
      </c>
      <c r="N100" s="125">
        <v>43466</v>
      </c>
      <c r="O100" s="125"/>
      <c r="R100" t="s">
        <v>63</v>
      </c>
      <c r="S100">
        <v>1</v>
      </c>
    </row>
    <row r="101" spans="1:19" x14ac:dyDescent="0.25">
      <c r="A101" t="str">
        <f>TableBEDPR[[#This Row],[Study Package Code]]</f>
        <v>EDPR2016</v>
      </c>
      <c r="B101" s="5">
        <f>TableBEDPR[[#This Row],[Ver]]</f>
        <v>1</v>
      </c>
      <c r="D101" t="str">
        <f>TableBEDPR[[#This Row],[Structure Line]]</f>
        <v>Health and Physical Education</v>
      </c>
      <c r="E101" s="81">
        <f>TableBEDPR[[#This Row],[Credit Points]]</f>
        <v>25</v>
      </c>
      <c r="F101">
        <v>9</v>
      </c>
      <c r="G101" t="s">
        <v>1208</v>
      </c>
      <c r="H101">
        <v>2</v>
      </c>
      <c r="I101" t="s">
        <v>1209</v>
      </c>
      <c r="J101" t="s">
        <v>95</v>
      </c>
      <c r="K101">
        <v>1</v>
      </c>
      <c r="L101" t="s">
        <v>907</v>
      </c>
      <c r="M101">
        <v>25</v>
      </c>
      <c r="N101" s="125">
        <v>43466</v>
      </c>
      <c r="O101" s="125"/>
      <c r="R101" t="s">
        <v>95</v>
      </c>
      <c r="S101">
        <v>1</v>
      </c>
    </row>
    <row r="102" spans="1:19" x14ac:dyDescent="0.25">
      <c r="A102" t="str">
        <f>TableBEDPR[[#This Row],[Study Package Code]]</f>
        <v>EDUC2005</v>
      </c>
      <c r="B102" s="5">
        <f>TableBEDPR[[#This Row],[Ver]]</f>
        <v>1</v>
      </c>
      <c r="D102" t="str">
        <f>TableBEDPR[[#This Row],[Structure Line]]</f>
        <v>Learning Theories, Diversity and Differentiation</v>
      </c>
      <c r="E102" s="81">
        <f>TableBEDPR[[#This Row],[Credit Points]]</f>
        <v>25</v>
      </c>
      <c r="F102">
        <v>10</v>
      </c>
      <c r="G102" t="s">
        <v>1208</v>
      </c>
      <c r="H102">
        <v>2</v>
      </c>
      <c r="I102" t="s">
        <v>1209</v>
      </c>
      <c r="J102" t="s">
        <v>93</v>
      </c>
      <c r="K102">
        <v>1</v>
      </c>
      <c r="L102" t="s">
        <v>969</v>
      </c>
      <c r="M102">
        <v>25</v>
      </c>
      <c r="N102" s="125">
        <v>43466</v>
      </c>
      <c r="O102" s="125"/>
      <c r="R102" t="s">
        <v>93</v>
      </c>
      <c r="S102">
        <v>1</v>
      </c>
    </row>
    <row r="103" spans="1:19" x14ac:dyDescent="0.25">
      <c r="A103" t="str">
        <f>TableBEDPR[[#This Row],[Study Package Code]]</f>
        <v>EDPR2012</v>
      </c>
      <c r="B103" s="5">
        <f>TableBEDPR[[#This Row],[Ver]]</f>
        <v>1</v>
      </c>
      <c r="D103" t="str">
        <f>TableBEDPR[[#This Row],[Structure Line]]</f>
        <v>Primary Professional Experience 1: Planning for Teaching</v>
      </c>
      <c r="E103" s="81">
        <f>TableBEDPR[[#This Row],[Credit Points]]</f>
        <v>25</v>
      </c>
      <c r="F103">
        <v>11</v>
      </c>
      <c r="G103" t="s">
        <v>1208</v>
      </c>
      <c r="H103">
        <v>2</v>
      </c>
      <c r="I103" t="s">
        <v>1209</v>
      </c>
      <c r="J103" t="s">
        <v>109</v>
      </c>
      <c r="K103">
        <v>1</v>
      </c>
      <c r="L103" t="s">
        <v>905</v>
      </c>
      <c r="M103">
        <v>25</v>
      </c>
      <c r="N103" s="125">
        <v>43466</v>
      </c>
      <c r="O103" s="125"/>
      <c r="R103" t="s">
        <v>109</v>
      </c>
      <c r="S103">
        <v>1</v>
      </c>
    </row>
    <row r="104" spans="1:19" x14ac:dyDescent="0.25">
      <c r="A104" t="str">
        <f>TableBEDPR[[#This Row],[Study Package Code]]</f>
        <v>EDUC2007</v>
      </c>
      <c r="B104" s="5">
        <f>TableBEDPR[[#This Row],[Ver]]</f>
        <v>1</v>
      </c>
      <c r="D104" t="str">
        <f>TableBEDPR[[#This Row],[Structure Line]]</f>
        <v>Teaching Language, Literacy and Literature in Junior Primary</v>
      </c>
      <c r="E104" s="81">
        <f>TableBEDPR[[#This Row],[Credit Points]]</f>
        <v>25</v>
      </c>
      <c r="F104">
        <v>12</v>
      </c>
      <c r="G104" t="s">
        <v>1208</v>
      </c>
      <c r="H104">
        <v>2</v>
      </c>
      <c r="I104" t="s">
        <v>1209</v>
      </c>
      <c r="J104" t="s">
        <v>91</v>
      </c>
      <c r="K104">
        <v>1</v>
      </c>
      <c r="L104" t="s">
        <v>971</v>
      </c>
      <c r="M104">
        <v>25</v>
      </c>
      <c r="N104" s="125">
        <v>43466</v>
      </c>
      <c r="O104" s="125"/>
      <c r="R104" t="s">
        <v>91</v>
      </c>
      <c r="S104">
        <v>1</v>
      </c>
    </row>
    <row r="105" spans="1:19" x14ac:dyDescent="0.25">
      <c r="A105" t="str">
        <f>TableBEDPR[[#This Row],[Study Package Code]]</f>
        <v>EDPR2004</v>
      </c>
      <c r="B105" s="5">
        <f>TableBEDPR[[#This Row],[Ver]]</f>
        <v>1</v>
      </c>
      <c r="D105" t="str">
        <f>TableBEDPR[[#This Row],[Structure Line]]</f>
        <v>Children as Mathematical Learners</v>
      </c>
      <c r="E105" s="81">
        <f>TableBEDPR[[#This Row],[Credit Points]]</f>
        <v>25</v>
      </c>
      <c r="F105">
        <v>13</v>
      </c>
      <c r="G105" t="s">
        <v>1208</v>
      </c>
      <c r="H105">
        <v>2</v>
      </c>
      <c r="I105" t="s">
        <v>1212</v>
      </c>
      <c r="J105" t="s">
        <v>90</v>
      </c>
      <c r="K105">
        <v>1</v>
      </c>
      <c r="L105" t="s">
        <v>902</v>
      </c>
      <c r="M105">
        <v>25</v>
      </c>
      <c r="N105" s="125">
        <v>42005</v>
      </c>
      <c r="O105" s="125"/>
      <c r="R105" t="s">
        <v>90</v>
      </c>
      <c r="S105">
        <v>1</v>
      </c>
    </row>
    <row r="106" spans="1:19" x14ac:dyDescent="0.25">
      <c r="A106" t="str">
        <f>TableBEDPR[[#This Row],[Study Package Code]]</f>
        <v>EDPR2000</v>
      </c>
      <c r="B106" s="5">
        <f>TableBEDPR[[#This Row],[Ver]]</f>
        <v>1</v>
      </c>
      <c r="D106" t="str">
        <f>TableBEDPR[[#This Row],[Structure Line]]</f>
        <v>Inquiry in the Science Classroom</v>
      </c>
      <c r="E106" s="81">
        <f>TableBEDPR[[#This Row],[Credit Points]]</f>
        <v>25</v>
      </c>
      <c r="F106">
        <v>14</v>
      </c>
      <c r="G106" t="s">
        <v>1208</v>
      </c>
      <c r="H106">
        <v>2</v>
      </c>
      <c r="I106" t="s">
        <v>1212</v>
      </c>
      <c r="J106" t="s">
        <v>96</v>
      </c>
      <c r="K106">
        <v>1</v>
      </c>
      <c r="L106" t="s">
        <v>901</v>
      </c>
      <c r="M106">
        <v>25</v>
      </c>
      <c r="N106" s="125">
        <v>42005</v>
      </c>
      <c r="O106" s="125"/>
      <c r="R106" t="s">
        <v>96</v>
      </c>
      <c r="S106">
        <v>1</v>
      </c>
    </row>
    <row r="107" spans="1:19" x14ac:dyDescent="0.25">
      <c r="A107" t="str">
        <f>TableBEDPR[[#This Row],[Study Package Code]]</f>
        <v>EDPR2014</v>
      </c>
      <c r="B107" s="5">
        <f>TableBEDPR[[#This Row],[Ver]]</f>
        <v>1</v>
      </c>
      <c r="D107" t="str">
        <f>TableBEDPR[[#This Row],[Structure Line]]</f>
        <v>Primary Professional Experience 2: Leadership and Stewardship for Diverse Learners</v>
      </c>
      <c r="E107" s="81">
        <f>TableBEDPR[[#This Row],[Credit Points]]</f>
        <v>25</v>
      </c>
      <c r="F107">
        <v>15</v>
      </c>
      <c r="G107" t="s">
        <v>1208</v>
      </c>
      <c r="H107">
        <v>2</v>
      </c>
      <c r="I107" t="s">
        <v>1212</v>
      </c>
      <c r="J107" t="s">
        <v>116</v>
      </c>
      <c r="K107">
        <v>1</v>
      </c>
      <c r="L107" t="s">
        <v>906</v>
      </c>
      <c r="M107">
        <v>25</v>
      </c>
      <c r="N107" s="125">
        <v>43466</v>
      </c>
      <c r="O107" s="125"/>
      <c r="R107" t="s">
        <v>116</v>
      </c>
      <c r="S107">
        <v>1</v>
      </c>
    </row>
    <row r="108" spans="1:19" x14ac:dyDescent="0.25">
      <c r="A108" t="str">
        <f>TableBEDPR[[#This Row],[Study Package Code]]</f>
        <v>TAS Unit</v>
      </c>
      <c r="B108" s="5">
        <f>TableBEDPR[[#This Row],[Ver]]</f>
        <v>0</v>
      </c>
      <c r="D108" t="str">
        <f>TableBEDPR[[#This Row],[Structure Line]]</f>
        <v>Choose a Teaching Area Stream</v>
      </c>
      <c r="E108" s="81">
        <f>TableBEDPR[[#This Row],[Credit Points]]</f>
        <v>0</v>
      </c>
      <c r="F108">
        <v>16</v>
      </c>
      <c r="G108" t="s">
        <v>140</v>
      </c>
      <c r="H108">
        <v>0</v>
      </c>
      <c r="I108" t="s">
        <v>1221</v>
      </c>
      <c r="J108" t="s">
        <v>110</v>
      </c>
      <c r="K108">
        <v>0</v>
      </c>
      <c r="L108" t="s">
        <v>1222</v>
      </c>
      <c r="N108" s="125"/>
      <c r="O108" s="125"/>
      <c r="R108" t="s">
        <v>1223</v>
      </c>
      <c r="S108">
        <v>0</v>
      </c>
    </row>
    <row r="109" spans="1:19" x14ac:dyDescent="0.25">
      <c r="A109" t="str">
        <f>TableBEDPR[[#This Row],[Study Package Code]]</f>
        <v>EDPR3004</v>
      </c>
      <c r="B109" s="5">
        <f>TableBEDPR[[#This Row],[Ver]]</f>
        <v>1</v>
      </c>
      <c r="D109" t="str">
        <f>TableBEDPR[[#This Row],[Structure Line]]</f>
        <v>Cultural Contexts in Primary Education</v>
      </c>
      <c r="E109" s="81">
        <f>TableBEDPR[[#This Row],[Credit Points]]</f>
        <v>25</v>
      </c>
      <c r="F109">
        <v>17</v>
      </c>
      <c r="G109" t="s">
        <v>1208</v>
      </c>
      <c r="H109">
        <v>3</v>
      </c>
      <c r="I109" t="s">
        <v>1209</v>
      </c>
      <c r="J109" t="s">
        <v>127</v>
      </c>
      <c r="K109">
        <v>1</v>
      </c>
      <c r="L109" t="s">
        <v>912</v>
      </c>
      <c r="M109">
        <v>25</v>
      </c>
      <c r="N109" s="125">
        <v>42005</v>
      </c>
      <c r="O109" s="125"/>
      <c r="R109" t="s">
        <v>127</v>
      </c>
      <c r="S109">
        <v>1</v>
      </c>
    </row>
    <row r="110" spans="1:19" x14ac:dyDescent="0.25">
      <c r="A110" t="str">
        <f>TableBEDPR[[#This Row],[Study Package Code]]</f>
        <v>EDPR3000</v>
      </c>
      <c r="B110" s="5">
        <f>TableBEDPR[[#This Row],[Ver]]</f>
        <v>1</v>
      </c>
      <c r="D110" t="str">
        <f>TableBEDPR[[#This Row],[Structure Line]]</f>
        <v>Inquiry in the Mathematics Classroom</v>
      </c>
      <c r="E110" s="81">
        <f>TableBEDPR[[#This Row],[Credit Points]]</f>
        <v>25</v>
      </c>
      <c r="F110">
        <v>18</v>
      </c>
      <c r="G110" t="s">
        <v>1208</v>
      </c>
      <c r="H110">
        <v>3</v>
      </c>
      <c r="I110" t="s">
        <v>1209</v>
      </c>
      <c r="J110" t="s">
        <v>135</v>
      </c>
      <c r="K110">
        <v>1</v>
      </c>
      <c r="L110" t="s">
        <v>908</v>
      </c>
      <c r="M110">
        <v>25</v>
      </c>
      <c r="N110" s="125">
        <v>42005</v>
      </c>
      <c r="O110" s="125"/>
      <c r="R110" t="s">
        <v>135</v>
      </c>
      <c r="S110">
        <v>1</v>
      </c>
    </row>
    <row r="111" spans="1:19" x14ac:dyDescent="0.25">
      <c r="A111" t="str">
        <f>TableBEDPR[[#This Row],[Study Package Code]]</f>
        <v>EDPR3014</v>
      </c>
      <c r="B111" s="5">
        <f>TableBEDPR[[#This Row],[Ver]]</f>
        <v>1</v>
      </c>
      <c r="D111" t="str">
        <f>TableBEDPR[[#This Row],[Structure Line]]</f>
        <v>Visual and Media Arts Education</v>
      </c>
      <c r="E111" s="81">
        <f>TableBEDPR[[#This Row],[Credit Points]]</f>
        <v>25</v>
      </c>
      <c r="F111">
        <v>19</v>
      </c>
      <c r="G111" t="s">
        <v>1208</v>
      </c>
      <c r="H111">
        <v>3</v>
      </c>
      <c r="I111" t="s">
        <v>1209</v>
      </c>
      <c r="J111" t="s">
        <v>131</v>
      </c>
      <c r="K111">
        <v>1</v>
      </c>
      <c r="L111" t="s">
        <v>916</v>
      </c>
      <c r="M111">
        <v>25</v>
      </c>
      <c r="N111" s="125">
        <v>43466</v>
      </c>
      <c r="O111" s="125"/>
      <c r="R111" t="s">
        <v>131</v>
      </c>
      <c r="S111">
        <v>1</v>
      </c>
    </row>
    <row r="112" spans="1:19" x14ac:dyDescent="0.25">
      <c r="A112" t="str">
        <f>TableBEDPR[[#This Row],[Study Package Code]]</f>
        <v>EDPR3001</v>
      </c>
      <c r="B112" s="5">
        <f>TableBEDPR[[#This Row],[Ver]]</f>
        <v>2</v>
      </c>
      <c r="D112" t="str">
        <f>TableBEDPR[[#This Row],[Structure Line]]</f>
        <v>English Pedagogies and the Integrated Curriculum</v>
      </c>
      <c r="E112" s="81">
        <f>TableBEDPR[[#This Row],[Credit Points]]</f>
        <v>25</v>
      </c>
      <c r="F112">
        <v>20</v>
      </c>
      <c r="G112" t="s">
        <v>1208</v>
      </c>
      <c r="H112">
        <v>3</v>
      </c>
      <c r="I112" t="s">
        <v>1212</v>
      </c>
      <c r="J112" t="s">
        <v>132</v>
      </c>
      <c r="K112">
        <v>2</v>
      </c>
      <c r="L112" t="s">
        <v>909</v>
      </c>
      <c r="M112">
        <v>25</v>
      </c>
      <c r="N112" s="125">
        <v>43466</v>
      </c>
      <c r="O112" s="125"/>
      <c r="R112" t="s">
        <v>132</v>
      </c>
      <c r="S112">
        <v>2</v>
      </c>
    </row>
    <row r="113" spans="1:19" x14ac:dyDescent="0.25">
      <c r="A113" t="str">
        <f>TableBEDPR[[#This Row],[Study Package Code]]</f>
        <v>INED3001</v>
      </c>
      <c r="B113" s="5">
        <f>TableBEDPR[[#This Row],[Ver]]</f>
        <v>1</v>
      </c>
      <c r="D113" t="str">
        <f>TableBEDPR[[#This Row],[Structure Line]]</f>
        <v>Indigenous Australian Education</v>
      </c>
      <c r="E113" s="81">
        <f>TableBEDPR[[#This Row],[Credit Points]]</f>
        <v>25</v>
      </c>
      <c r="F113">
        <v>21</v>
      </c>
      <c r="G113" t="s">
        <v>1208</v>
      </c>
      <c r="H113">
        <v>3</v>
      </c>
      <c r="I113" t="s">
        <v>1212</v>
      </c>
      <c r="J113" t="s">
        <v>122</v>
      </c>
      <c r="K113">
        <v>1</v>
      </c>
      <c r="L113" t="s">
        <v>1042</v>
      </c>
      <c r="M113">
        <v>25</v>
      </c>
      <c r="N113" s="125">
        <v>42005</v>
      </c>
      <c r="O113" s="125"/>
      <c r="R113" t="s">
        <v>122</v>
      </c>
      <c r="S113">
        <v>1</v>
      </c>
    </row>
    <row r="114" spans="1:19" x14ac:dyDescent="0.25">
      <c r="A114" t="str">
        <f>TableBEDPR[[#This Row],[Study Package Code]]</f>
        <v>EDPR3003</v>
      </c>
      <c r="B114" s="5">
        <f>TableBEDPR[[#This Row],[Ver]]</f>
        <v>2</v>
      </c>
      <c r="D114" t="str">
        <f>TableBEDPR[[#This Row],[Structure Line]]</f>
        <v>Inquiry in the Humanities and Social Sciences Classroom</v>
      </c>
      <c r="E114" s="81">
        <f>TableBEDPR[[#This Row],[Credit Points]]</f>
        <v>25</v>
      </c>
      <c r="F114">
        <v>22</v>
      </c>
      <c r="G114" t="s">
        <v>1208</v>
      </c>
      <c r="H114">
        <v>3</v>
      </c>
      <c r="I114" t="s">
        <v>1212</v>
      </c>
      <c r="J114" t="s">
        <v>124</v>
      </c>
      <c r="K114">
        <v>2</v>
      </c>
      <c r="L114" t="s">
        <v>910</v>
      </c>
      <c r="M114">
        <v>25</v>
      </c>
      <c r="N114" s="125">
        <v>43466</v>
      </c>
      <c r="O114" s="125"/>
      <c r="R114" t="s">
        <v>124</v>
      </c>
      <c r="S114">
        <v>2</v>
      </c>
    </row>
    <row r="115" spans="1:19" x14ac:dyDescent="0.25">
      <c r="A115" t="str">
        <f>TableBEDPR[[#This Row],[Study Package Code]]</f>
        <v>EDPR3012</v>
      </c>
      <c r="B115" s="5">
        <f>TableBEDPR[[#This Row],[Ver]]</f>
        <v>1</v>
      </c>
      <c r="D115" t="str">
        <f>TableBEDPR[[#This Row],[Structure Line]]</f>
        <v>Primary Professional Experience 3: Evaluating Learning</v>
      </c>
      <c r="E115" s="81">
        <f>TableBEDPR[[#This Row],[Credit Points]]</f>
        <v>25</v>
      </c>
      <c r="F115">
        <v>23</v>
      </c>
      <c r="G115" t="s">
        <v>1208</v>
      </c>
      <c r="H115">
        <v>3</v>
      </c>
      <c r="I115" t="s">
        <v>1212</v>
      </c>
      <c r="J115" t="s">
        <v>147</v>
      </c>
      <c r="K115">
        <v>1</v>
      </c>
      <c r="L115" t="s">
        <v>914</v>
      </c>
      <c r="M115">
        <v>25</v>
      </c>
      <c r="N115" s="125">
        <v>43466</v>
      </c>
      <c r="O115" s="125"/>
      <c r="R115" t="s">
        <v>147</v>
      </c>
      <c r="S115">
        <v>1</v>
      </c>
    </row>
    <row r="116" spans="1:19" x14ac:dyDescent="0.25">
      <c r="A116" t="str">
        <f>TableBEDPR[[#This Row],[Study Package Code]]</f>
        <v>EDPR4000</v>
      </c>
      <c r="B116" s="5">
        <f>TableBEDPR[[#This Row],[Ver]]</f>
        <v>3</v>
      </c>
      <c r="D116" t="str">
        <f>TableBEDPR[[#This Row],[Structure Line]]</f>
        <v>Mathematics Pedagogies and Integrated Curriculum</v>
      </c>
      <c r="E116" s="81">
        <f>TableBEDPR[[#This Row],[Credit Points]]</f>
        <v>25</v>
      </c>
      <c r="F116">
        <v>24</v>
      </c>
      <c r="G116" t="s">
        <v>1208</v>
      </c>
      <c r="H116">
        <v>4</v>
      </c>
      <c r="I116" t="s">
        <v>1209</v>
      </c>
      <c r="J116" t="s">
        <v>152</v>
      </c>
      <c r="K116">
        <v>3</v>
      </c>
      <c r="L116" t="s">
        <v>918</v>
      </c>
      <c r="M116">
        <v>25</v>
      </c>
      <c r="N116" s="125">
        <v>43466</v>
      </c>
      <c r="O116" s="125"/>
      <c r="R116" t="s">
        <v>152</v>
      </c>
      <c r="S116">
        <v>3</v>
      </c>
    </row>
    <row r="117" spans="1:19" x14ac:dyDescent="0.25">
      <c r="A117" t="str">
        <f>TableBEDPR[[#This Row],[Study Package Code]]</f>
        <v>EDPR4003</v>
      </c>
      <c r="B117" s="5">
        <f>TableBEDPR[[#This Row],[Ver]]</f>
        <v>1</v>
      </c>
      <c r="D117" t="str">
        <f>TableBEDPR[[#This Row],[Structure Line]]</f>
        <v>The Literacy Researcher</v>
      </c>
      <c r="E117" s="81">
        <f>TableBEDPR[[#This Row],[Credit Points]]</f>
        <v>25</v>
      </c>
      <c r="F117">
        <v>25</v>
      </c>
      <c r="G117" t="s">
        <v>1208</v>
      </c>
      <c r="H117">
        <v>4</v>
      </c>
      <c r="I117" t="s">
        <v>1209</v>
      </c>
      <c r="J117" t="s">
        <v>151</v>
      </c>
      <c r="K117">
        <v>1</v>
      </c>
      <c r="L117" t="s">
        <v>919</v>
      </c>
      <c r="M117">
        <v>25</v>
      </c>
      <c r="N117" s="125">
        <v>43466</v>
      </c>
      <c r="O117" s="125"/>
      <c r="R117" t="s">
        <v>151</v>
      </c>
      <c r="S117">
        <v>1</v>
      </c>
    </row>
    <row r="118" spans="1:19" x14ac:dyDescent="0.25">
      <c r="A118" t="str">
        <f>TableBEDPR[[#This Row],[Study Package Code]]</f>
        <v>EDUC4049</v>
      </c>
      <c r="B118" s="5">
        <f>TableBEDPR[[#This Row],[Ver]]</f>
        <v>1</v>
      </c>
      <c r="D118" t="str">
        <f>TableBEDPR[[#This Row],[Structure Line]]</f>
        <v>The Professional Educator: Transition to the Profession</v>
      </c>
      <c r="E118" s="81">
        <f>TableBEDPR[[#This Row],[Credit Points]]</f>
        <v>25</v>
      </c>
      <c r="F118">
        <v>26</v>
      </c>
      <c r="G118" t="s">
        <v>1208</v>
      </c>
      <c r="H118">
        <v>4</v>
      </c>
      <c r="I118" t="s">
        <v>1209</v>
      </c>
      <c r="J118" t="s">
        <v>153</v>
      </c>
      <c r="K118">
        <v>1</v>
      </c>
      <c r="L118" t="s">
        <v>992</v>
      </c>
      <c r="M118">
        <v>25</v>
      </c>
      <c r="N118" s="125">
        <v>43466</v>
      </c>
      <c r="O118" s="125"/>
      <c r="R118" t="s">
        <v>153</v>
      </c>
      <c r="S118">
        <v>1</v>
      </c>
    </row>
    <row r="119" spans="1:19" x14ac:dyDescent="0.25">
      <c r="A119" t="str">
        <f>TableBEDPR[[#This Row],[Study Package Code]]</f>
        <v>EDUC4040</v>
      </c>
      <c r="B119" s="5">
        <f>TableBEDPR[[#This Row],[Ver]]</f>
        <v>1</v>
      </c>
      <c r="D119" t="str">
        <f>TableBEDPR[[#This Row],[Structure Line]]</f>
        <v>Professional Experience 4: The Internship</v>
      </c>
      <c r="E119" s="81">
        <f>TableBEDPR[[#This Row],[Credit Points]]</f>
        <v>100</v>
      </c>
      <c r="F119">
        <v>27</v>
      </c>
      <c r="G119" t="s">
        <v>1208</v>
      </c>
      <c r="H119">
        <v>4</v>
      </c>
      <c r="I119" t="s">
        <v>1220</v>
      </c>
      <c r="J119" t="s">
        <v>155</v>
      </c>
      <c r="K119">
        <v>1</v>
      </c>
      <c r="L119" t="s">
        <v>986</v>
      </c>
      <c r="M119">
        <v>100</v>
      </c>
      <c r="N119" s="125">
        <v>43466</v>
      </c>
      <c r="O119" s="125"/>
      <c r="R119" t="s">
        <v>155</v>
      </c>
      <c r="S119">
        <v>1</v>
      </c>
    </row>
    <row r="120" spans="1:19" x14ac:dyDescent="0.25">
      <c r="A120" t="str">
        <f>TableBEDPR[[#This Row],[Study Package Code]]</f>
        <v>STRU-CATHL</v>
      </c>
      <c r="B120" s="5">
        <f>TableBEDPR[[#This Row],[Ver]]</f>
        <v>1</v>
      </c>
      <c r="D120" t="str">
        <f>TableBEDPR[[#This Row],[Structure Line]]</f>
        <v>Catholic Education Stream (BPriEd)</v>
      </c>
      <c r="E120" s="81">
        <f>TableBEDPR[[#This Row],[Credit Points]]</f>
        <v>75</v>
      </c>
      <c r="F120">
        <v>16</v>
      </c>
      <c r="G120" t="s">
        <v>140</v>
      </c>
      <c r="H120">
        <v>0</v>
      </c>
      <c r="I120" t="s">
        <v>1221</v>
      </c>
      <c r="J120" t="s">
        <v>99</v>
      </c>
      <c r="K120">
        <v>1</v>
      </c>
      <c r="L120" t="s">
        <v>98</v>
      </c>
      <c r="M120">
        <v>75</v>
      </c>
      <c r="N120" s="125">
        <v>45292</v>
      </c>
      <c r="O120" s="125"/>
      <c r="R120" t="s">
        <v>99</v>
      </c>
      <c r="S120">
        <v>1</v>
      </c>
    </row>
    <row r="121" spans="1:19" x14ac:dyDescent="0.25">
      <c r="A121" t="str">
        <f>TableBEDPR[[#This Row],[Study Package Code]]</f>
        <v>STRU-ENGLL</v>
      </c>
      <c r="B121" s="5">
        <f>TableBEDPR[[#This Row],[Ver]]</f>
        <v>1</v>
      </c>
      <c r="D121" t="str">
        <f>TableBEDPR[[#This Row],[Structure Line]]</f>
        <v>English Language and Literacy Stream (BPriEd)</v>
      </c>
      <c r="E121" s="81">
        <f>TableBEDPR[[#This Row],[Credit Points]]</f>
        <v>75</v>
      </c>
      <c r="F121">
        <v>16</v>
      </c>
      <c r="G121" t="s">
        <v>140</v>
      </c>
      <c r="H121">
        <v>0</v>
      </c>
      <c r="I121" t="s">
        <v>1221</v>
      </c>
      <c r="J121" t="s">
        <v>106</v>
      </c>
      <c r="K121">
        <v>1</v>
      </c>
      <c r="L121" t="s">
        <v>105</v>
      </c>
      <c r="M121">
        <v>75</v>
      </c>
      <c r="N121" s="125">
        <v>45292</v>
      </c>
      <c r="O121" s="125"/>
      <c r="R121" t="s">
        <v>106</v>
      </c>
      <c r="S121">
        <v>1</v>
      </c>
    </row>
    <row r="122" spans="1:19" x14ac:dyDescent="0.25">
      <c r="A122" t="str">
        <f>TableBEDPR[[#This Row],[Study Package Code]]</f>
        <v>STRU-HLTPE</v>
      </c>
      <c r="B122" s="5">
        <f>TableBEDPR[[#This Row],[Ver]]</f>
        <v>0</v>
      </c>
      <c r="D122" t="str">
        <f>TableBEDPR[[#This Row],[Structure Line]]</f>
        <v>Health and Physical Education Stream (BPriEd)</v>
      </c>
      <c r="E122" s="81">
        <f>TableBEDPR[[#This Row],[Credit Points]]</f>
        <v>75</v>
      </c>
      <c r="F122">
        <v>16</v>
      </c>
      <c r="G122" t="s">
        <v>140</v>
      </c>
      <c r="H122">
        <v>0</v>
      </c>
      <c r="I122" t="s">
        <v>1221</v>
      </c>
      <c r="J122" t="s">
        <v>111</v>
      </c>
      <c r="K122">
        <v>0</v>
      </c>
      <c r="L122" t="s">
        <v>41</v>
      </c>
      <c r="M122">
        <v>75</v>
      </c>
      <c r="N122" s="125">
        <v>45658</v>
      </c>
      <c r="O122" s="125"/>
      <c r="R122" t="s">
        <v>120</v>
      </c>
      <c r="S122">
        <v>1</v>
      </c>
    </row>
    <row r="123" spans="1:19" x14ac:dyDescent="0.25">
      <c r="A123" t="str">
        <f>TableBEDPR[[#This Row],[Study Package Code]]</f>
        <v>STRU-ISTEM</v>
      </c>
      <c r="B123" s="5">
        <f>TableBEDPR[[#This Row],[Ver]]</f>
        <v>1</v>
      </c>
      <c r="D123" t="str">
        <f>TableBEDPR[[#This Row],[Structure Line]]</f>
        <v>iSTEM Stream (BPriEd)</v>
      </c>
      <c r="E123" s="81">
        <f>TableBEDPR[[#This Row],[Credit Points]]</f>
        <v>75</v>
      </c>
      <c r="F123">
        <v>16</v>
      </c>
      <c r="G123" t="s">
        <v>140</v>
      </c>
      <c r="H123">
        <v>0</v>
      </c>
      <c r="I123" t="s">
        <v>1221</v>
      </c>
      <c r="J123" t="s">
        <v>113</v>
      </c>
      <c r="K123">
        <v>1</v>
      </c>
      <c r="L123" t="s">
        <v>112</v>
      </c>
      <c r="M123">
        <v>75</v>
      </c>
      <c r="N123" s="125">
        <v>45292</v>
      </c>
      <c r="O123" s="125"/>
      <c r="R123" t="s">
        <v>113</v>
      </c>
      <c r="S123">
        <v>1</v>
      </c>
    </row>
    <row r="124" spans="1:19" x14ac:dyDescent="0.25">
      <c r="A124" t="str">
        <f>TableBEDPR[[#This Row],[Study Package Code]]</f>
        <v>STRU-LITNU</v>
      </c>
      <c r="B124" s="5">
        <f>TableBEDPR[[#This Row],[Ver]]</f>
        <v>1</v>
      </c>
      <c r="D124" t="str">
        <f>TableBEDPR[[#This Row],[Structure Line]]</f>
        <v>Literacy and Numeracy in Diverse Populations Stream (BPriEd)</v>
      </c>
      <c r="E124" s="81">
        <f>TableBEDPR[[#This Row],[Credit Points]]</f>
        <v>75</v>
      </c>
      <c r="F124">
        <v>16</v>
      </c>
      <c r="G124" t="s">
        <v>140</v>
      </c>
      <c r="H124">
        <v>0</v>
      </c>
      <c r="I124" t="s">
        <v>1221</v>
      </c>
      <c r="J124" t="s">
        <v>115</v>
      </c>
      <c r="K124">
        <v>1</v>
      </c>
      <c r="L124" t="s">
        <v>114</v>
      </c>
      <c r="M124">
        <v>75</v>
      </c>
      <c r="N124" s="125">
        <v>45292</v>
      </c>
      <c r="O124" s="125"/>
      <c r="R124" t="s">
        <v>115</v>
      </c>
      <c r="S124">
        <v>1</v>
      </c>
    </row>
    <row r="125" spans="1:19" x14ac:dyDescent="0.25">
      <c r="A125" t="str">
        <f>TableBEDPR[[#This Row],[Study Package Code]]</f>
        <v>STRU-TECHS</v>
      </c>
      <c r="B125" s="5">
        <f>TableBEDPR[[#This Row],[Ver]]</f>
        <v>1</v>
      </c>
      <c r="D125" t="str">
        <f>TableBEDPR[[#This Row],[Structure Line]]</f>
        <v>Technologies Stream (BPriEd)</v>
      </c>
      <c r="E125" s="81">
        <f>TableBEDPR[[#This Row],[Credit Points]]</f>
        <v>75</v>
      </c>
      <c r="F125">
        <v>16</v>
      </c>
      <c r="G125" t="s">
        <v>140</v>
      </c>
      <c r="H125">
        <v>0</v>
      </c>
      <c r="I125" t="s">
        <v>1221</v>
      </c>
      <c r="J125" t="s">
        <v>118</v>
      </c>
      <c r="K125">
        <v>1</v>
      </c>
      <c r="L125" t="s">
        <v>117</v>
      </c>
      <c r="M125">
        <v>75</v>
      </c>
      <c r="N125" s="125">
        <v>45292</v>
      </c>
      <c r="O125" s="125"/>
      <c r="R125" t="s">
        <v>118</v>
      </c>
      <c r="S125">
        <v>1</v>
      </c>
    </row>
    <row r="126" spans="1:19" x14ac:dyDescent="0.25">
      <c r="A126" s="78"/>
      <c r="B126" s="80"/>
      <c r="C126" s="78"/>
      <c r="D126" s="78"/>
      <c r="G126" s="79" t="s">
        <v>1194</v>
      </c>
      <c r="H126" s="278">
        <v>45292</v>
      </c>
      <c r="J126" s="279" t="s">
        <v>99</v>
      </c>
      <c r="K126" s="280" t="s">
        <v>100</v>
      </c>
      <c r="L126" s="78" t="s">
        <v>98</v>
      </c>
      <c r="M126" s="78"/>
      <c r="N126" s="198" t="s">
        <v>1195</v>
      </c>
      <c r="O126" s="125">
        <v>45538</v>
      </c>
    </row>
    <row r="127" spans="1:19" ht="31.5" x14ac:dyDescent="0.25">
      <c r="A127" s="97" t="s">
        <v>0</v>
      </c>
      <c r="B127" s="98" t="s">
        <v>1196</v>
      </c>
      <c r="C127" s="97" t="s">
        <v>1197</v>
      </c>
      <c r="D127" s="97" t="s">
        <v>3</v>
      </c>
      <c r="E127" s="99" t="s">
        <v>1198</v>
      </c>
      <c r="F127" s="97" t="s">
        <v>1199</v>
      </c>
      <c r="G127" s="97" t="s">
        <v>1200</v>
      </c>
      <c r="H127" s="97" t="s">
        <v>1201</v>
      </c>
      <c r="I127" s="97" t="s">
        <v>18</v>
      </c>
      <c r="J127" s="97" t="s">
        <v>1202</v>
      </c>
      <c r="K127" s="97" t="s">
        <v>1</v>
      </c>
      <c r="L127" s="97" t="s">
        <v>1203</v>
      </c>
      <c r="M127" s="97" t="s">
        <v>69</v>
      </c>
      <c r="N127" s="97" t="s">
        <v>1204</v>
      </c>
      <c r="O127" s="97" t="s">
        <v>1205</v>
      </c>
      <c r="R127" t="s">
        <v>1206</v>
      </c>
      <c r="S127" t="s">
        <v>1207</v>
      </c>
    </row>
    <row r="128" spans="1:19" x14ac:dyDescent="0.25">
      <c r="A128" t="str">
        <f>TableSTRUCATHL[[#This Row],[Study Package Code]]</f>
        <v>CTED4006</v>
      </c>
      <c r="B128" s="5">
        <f>TableSTRUCATHL[[#This Row],[Ver]]</f>
        <v>1</v>
      </c>
      <c r="D128" t="str">
        <f>TableSTRUCATHL[[#This Row],[Structure Line]]</f>
        <v>Teaching About Jesus in Catholic Schools</v>
      </c>
      <c r="E128" s="81">
        <f>TableSTRUCATHL[[#This Row],[Credit Points]]</f>
        <v>25</v>
      </c>
      <c r="F128">
        <v>1</v>
      </c>
      <c r="G128" t="s">
        <v>1208</v>
      </c>
      <c r="H128">
        <v>0</v>
      </c>
      <c r="I128" t="s">
        <v>1221</v>
      </c>
      <c r="J128" t="s">
        <v>167</v>
      </c>
      <c r="K128">
        <v>1</v>
      </c>
      <c r="L128" t="s">
        <v>859</v>
      </c>
      <c r="M128">
        <v>25</v>
      </c>
      <c r="N128" s="125">
        <v>45292</v>
      </c>
      <c r="O128" s="125"/>
      <c r="R128" t="s">
        <v>167</v>
      </c>
      <c r="S128">
        <v>1</v>
      </c>
    </row>
    <row r="129" spans="1:19" x14ac:dyDescent="0.25">
      <c r="A129" t="str">
        <f>TableSTRUCATHL[[#This Row],[Study Package Code]]</f>
        <v>CTED4001</v>
      </c>
      <c r="B129" s="5">
        <f>TableSTRUCATHL[[#This Row],[Ver]]</f>
        <v>2</v>
      </c>
      <c r="D129" t="str">
        <f>TableSTRUCATHL[[#This Row],[Structure Line]]</f>
        <v>Teaching About Sacraments in Catholic Schools</v>
      </c>
      <c r="E129" s="81">
        <f>TableSTRUCATHL[[#This Row],[Credit Points]]</f>
        <v>25</v>
      </c>
      <c r="F129">
        <v>2</v>
      </c>
      <c r="G129" t="s">
        <v>1208</v>
      </c>
      <c r="H129">
        <v>0</v>
      </c>
      <c r="I129" t="s">
        <v>1221</v>
      </c>
      <c r="J129" t="s">
        <v>174</v>
      </c>
      <c r="K129">
        <v>2</v>
      </c>
      <c r="L129" t="s">
        <v>858</v>
      </c>
      <c r="M129">
        <v>25</v>
      </c>
      <c r="N129" s="125">
        <v>45292</v>
      </c>
      <c r="O129" s="125"/>
      <c r="R129" t="s">
        <v>174</v>
      </c>
      <c r="S129">
        <v>2</v>
      </c>
    </row>
    <row r="130" spans="1:19" x14ac:dyDescent="0.25">
      <c r="A130" t="str">
        <f>TableSTRUCATHL[[#This Row],[Study Package Code]]</f>
        <v>CTED4008</v>
      </c>
      <c r="B130" s="5">
        <f>TableSTRUCATHL[[#This Row],[Ver]]</f>
        <v>1</v>
      </c>
      <c r="D130" t="str">
        <f>TableSTRUCATHL[[#This Row],[Structure Line]]</f>
        <v>Teaching About the Gospels in Catholic Schools</v>
      </c>
      <c r="E130" s="81">
        <f>TableSTRUCATHL[[#This Row],[Credit Points]]</f>
        <v>25</v>
      </c>
      <c r="F130">
        <v>3</v>
      </c>
      <c r="G130" t="s">
        <v>1208</v>
      </c>
      <c r="H130">
        <v>0</v>
      </c>
      <c r="I130" t="s">
        <v>1221</v>
      </c>
      <c r="J130" t="s">
        <v>180</v>
      </c>
      <c r="K130">
        <v>1</v>
      </c>
      <c r="L130" t="s">
        <v>860</v>
      </c>
      <c r="M130">
        <v>25</v>
      </c>
      <c r="N130" s="125">
        <v>45292</v>
      </c>
      <c r="O130" s="125"/>
      <c r="R130" t="s">
        <v>180</v>
      </c>
      <c r="S130">
        <v>1</v>
      </c>
    </row>
    <row r="131" spans="1:19" x14ac:dyDescent="0.25">
      <c r="A131" s="78"/>
      <c r="B131" s="80"/>
      <c r="C131" s="78"/>
      <c r="D131" s="78"/>
      <c r="G131" s="79" t="s">
        <v>1194</v>
      </c>
      <c r="H131" s="278">
        <v>45292</v>
      </c>
      <c r="J131" s="279" t="s">
        <v>106</v>
      </c>
      <c r="K131" s="280" t="s">
        <v>100</v>
      </c>
      <c r="L131" s="78" t="s">
        <v>105</v>
      </c>
      <c r="M131" s="78"/>
      <c r="N131" s="198" t="s">
        <v>1195</v>
      </c>
      <c r="O131" s="125">
        <v>45538</v>
      </c>
    </row>
    <row r="132" spans="1:19" ht="31.5" x14ac:dyDescent="0.25">
      <c r="A132" s="97" t="s">
        <v>0</v>
      </c>
      <c r="B132" s="98" t="s">
        <v>1196</v>
      </c>
      <c r="C132" s="97" t="s">
        <v>1197</v>
      </c>
      <c r="D132" s="97" t="s">
        <v>3</v>
      </c>
      <c r="E132" s="99" t="s">
        <v>1198</v>
      </c>
      <c r="F132" s="97" t="s">
        <v>1199</v>
      </c>
      <c r="G132" s="97" t="s">
        <v>1200</v>
      </c>
      <c r="H132" s="97" t="s">
        <v>1201</v>
      </c>
      <c r="I132" s="97" t="s">
        <v>18</v>
      </c>
      <c r="J132" s="97" t="s">
        <v>1202</v>
      </c>
      <c r="K132" s="97" t="s">
        <v>1</v>
      </c>
      <c r="L132" s="97" t="s">
        <v>1203</v>
      </c>
      <c r="M132" s="97" t="s">
        <v>69</v>
      </c>
      <c r="N132" s="97" t="s">
        <v>1204</v>
      </c>
      <c r="O132" s="97" t="s">
        <v>1205</v>
      </c>
      <c r="R132" t="s">
        <v>1206</v>
      </c>
      <c r="S132" t="s">
        <v>1207</v>
      </c>
    </row>
    <row r="133" spans="1:19" x14ac:dyDescent="0.25">
      <c r="A133" t="str">
        <f>TableSTRUENGLL[[#This Row],[Study Package Code]]</f>
        <v>EDUC4023</v>
      </c>
      <c r="B133" s="5">
        <f>TableSTRUENGLL[[#This Row],[Ver]]</f>
        <v>1</v>
      </c>
      <c r="D133" t="str">
        <f>TableSTRUENGLL[[#This Row],[Structure Line]]</f>
        <v>Creating and Responding to Literature</v>
      </c>
      <c r="E133" s="81">
        <f>TableSTRUENGLL[[#This Row],[Credit Points]]</f>
        <v>25</v>
      </c>
      <c r="F133">
        <v>1</v>
      </c>
      <c r="G133" t="s">
        <v>1208</v>
      </c>
      <c r="H133">
        <v>0</v>
      </c>
      <c r="I133" t="s">
        <v>1221</v>
      </c>
      <c r="J133" t="s">
        <v>168</v>
      </c>
      <c r="K133">
        <v>1</v>
      </c>
      <c r="L133" t="s">
        <v>980</v>
      </c>
      <c r="M133">
        <v>25</v>
      </c>
      <c r="N133" s="125">
        <v>43282</v>
      </c>
      <c r="O133" s="125"/>
      <c r="R133" t="s">
        <v>168</v>
      </c>
      <c r="S133">
        <v>1</v>
      </c>
    </row>
    <row r="134" spans="1:19" x14ac:dyDescent="0.25">
      <c r="A134" t="str">
        <f>TableSTRUENGLL[[#This Row],[Study Package Code]]</f>
        <v>EDUC4022</v>
      </c>
      <c r="B134" s="5">
        <f>TableSTRUENGLL[[#This Row],[Ver]]</f>
        <v>1</v>
      </c>
      <c r="D134" t="str">
        <f>TableSTRUENGLL[[#This Row],[Structure Line]]</f>
        <v>Creative Literacies</v>
      </c>
      <c r="E134" s="81">
        <f>TableSTRUENGLL[[#This Row],[Credit Points]]</f>
        <v>25</v>
      </c>
      <c r="F134">
        <v>2</v>
      </c>
      <c r="G134" t="s">
        <v>1208</v>
      </c>
      <c r="H134">
        <v>0</v>
      </c>
      <c r="I134" t="s">
        <v>1221</v>
      </c>
      <c r="J134" t="s">
        <v>175</v>
      </c>
      <c r="K134">
        <v>1</v>
      </c>
      <c r="L134" t="s">
        <v>979</v>
      </c>
      <c r="M134">
        <v>25</v>
      </c>
      <c r="N134" s="125">
        <v>43282</v>
      </c>
      <c r="O134" s="125"/>
      <c r="R134" t="s">
        <v>175</v>
      </c>
      <c r="S134">
        <v>1</v>
      </c>
    </row>
    <row r="135" spans="1:19" x14ac:dyDescent="0.25">
      <c r="A135" t="str">
        <f>TableSTRUENGLL[[#This Row],[Study Package Code]]</f>
        <v>EDUC4036</v>
      </c>
      <c r="B135" s="5">
        <f>TableSTRUENGLL[[#This Row],[Ver]]</f>
        <v>1</v>
      </c>
      <c r="D135" t="str">
        <f>TableSTRUENGLL[[#This Row],[Structure Line]]</f>
        <v>Language and Diversity</v>
      </c>
      <c r="E135" s="81">
        <f>TableSTRUENGLL[[#This Row],[Credit Points]]</f>
        <v>25</v>
      </c>
      <c r="F135">
        <v>3</v>
      </c>
      <c r="G135" t="s">
        <v>1208</v>
      </c>
      <c r="H135">
        <v>0</v>
      </c>
      <c r="I135" t="s">
        <v>1221</v>
      </c>
      <c r="J135" t="s">
        <v>181</v>
      </c>
      <c r="K135">
        <v>1</v>
      </c>
      <c r="L135" t="s">
        <v>984</v>
      </c>
      <c r="M135">
        <v>25</v>
      </c>
      <c r="N135" s="125">
        <v>43466</v>
      </c>
      <c r="O135" s="125"/>
      <c r="R135" t="s">
        <v>181</v>
      </c>
      <c r="S135">
        <v>1</v>
      </c>
    </row>
    <row r="136" spans="1:19" x14ac:dyDescent="0.25">
      <c r="A136" s="78"/>
      <c r="B136" s="80"/>
      <c r="C136" s="78"/>
      <c r="D136" s="78"/>
      <c r="G136" s="79" t="s">
        <v>1194</v>
      </c>
      <c r="H136" s="272">
        <v>45658</v>
      </c>
      <c r="J136" s="78" t="s">
        <v>111</v>
      </c>
      <c r="K136" s="273" t="s">
        <v>100</v>
      </c>
      <c r="L136" s="274" t="s">
        <v>41</v>
      </c>
      <c r="M136" s="78"/>
      <c r="N136" s="198" t="s">
        <v>1195</v>
      </c>
      <c r="O136" s="125">
        <v>45538</v>
      </c>
    </row>
    <row r="137" spans="1:19" ht="31.5" x14ac:dyDescent="0.25">
      <c r="A137" s="97" t="s">
        <v>0</v>
      </c>
      <c r="B137" s="98" t="s">
        <v>1196</v>
      </c>
      <c r="C137" s="97" t="s">
        <v>1197</v>
      </c>
      <c r="D137" s="97" t="s">
        <v>3</v>
      </c>
      <c r="E137" s="99" t="s">
        <v>1198</v>
      </c>
      <c r="F137" s="97" t="s">
        <v>1199</v>
      </c>
      <c r="G137" s="97" t="s">
        <v>1200</v>
      </c>
      <c r="H137" s="97" t="s">
        <v>1201</v>
      </c>
      <c r="I137" s="97" t="s">
        <v>18</v>
      </c>
      <c r="J137" s="97" t="s">
        <v>1202</v>
      </c>
      <c r="K137" s="97" t="s">
        <v>1</v>
      </c>
      <c r="L137" s="97" t="s">
        <v>1203</v>
      </c>
      <c r="M137" s="97" t="s">
        <v>69</v>
      </c>
      <c r="N137" s="97" t="s">
        <v>1204</v>
      </c>
      <c r="O137" s="97" t="s">
        <v>1205</v>
      </c>
      <c r="R137" t="s">
        <v>1206</v>
      </c>
      <c r="S137" t="s">
        <v>1207</v>
      </c>
    </row>
    <row r="138" spans="1:19" x14ac:dyDescent="0.25">
      <c r="A138" t="str">
        <f>TableSTRUHLTPE[[#This Row],[Study Package Code]]</f>
        <v>EDUC4051</v>
      </c>
      <c r="B138" s="5">
        <f>TableSTRUHLTPE[[#This Row],[Ver]]</f>
        <v>1</v>
      </c>
      <c r="D138" t="str">
        <f>TableSTRUHLTPE[[#This Row],[Structure Line]]</f>
        <v>Physical Education Pedagogy</v>
      </c>
      <c r="E138" s="81">
        <f>TableSTRUHLTPE[[#This Row],[Credit Points]]</f>
        <v>25</v>
      </c>
      <c r="F138">
        <v>1</v>
      </c>
      <c r="G138" t="s">
        <v>1208</v>
      </c>
      <c r="H138">
        <v>0</v>
      </c>
      <c r="I138" t="s">
        <v>1221</v>
      </c>
      <c r="J138" t="s">
        <v>169</v>
      </c>
      <c r="K138">
        <v>1</v>
      </c>
      <c r="L138" t="s">
        <v>995</v>
      </c>
      <c r="M138">
        <v>25</v>
      </c>
      <c r="N138" s="125">
        <v>45658</v>
      </c>
      <c r="O138" s="125"/>
      <c r="R138" t="s">
        <v>197</v>
      </c>
      <c r="S138">
        <v>1</v>
      </c>
    </row>
    <row r="139" spans="1:19" x14ac:dyDescent="0.25">
      <c r="A139" t="str">
        <f>TableSTRUHLTPE[[#This Row],[Study Package Code]]</f>
        <v>EDUC4052</v>
      </c>
      <c r="B139" s="5">
        <f>TableSTRUHLTPE[[#This Row],[Ver]]</f>
        <v>1</v>
      </c>
      <c r="D139" t="str">
        <f>TableSTRUHLTPE[[#This Row],[Structure Line]]</f>
        <v>Primary Physical Education: Curriculum &amp; Assessment</v>
      </c>
      <c r="E139" s="81">
        <f>TableSTRUHLTPE[[#This Row],[Credit Points]]</f>
        <v>25</v>
      </c>
      <c r="F139">
        <v>2</v>
      </c>
      <c r="G139" t="s">
        <v>1208</v>
      </c>
      <c r="H139">
        <v>0</v>
      </c>
      <c r="I139" t="s">
        <v>1221</v>
      </c>
      <c r="J139" t="s">
        <v>176</v>
      </c>
      <c r="K139">
        <v>1</v>
      </c>
      <c r="L139" t="s">
        <v>996</v>
      </c>
      <c r="M139">
        <v>25</v>
      </c>
      <c r="N139" s="125">
        <v>45658</v>
      </c>
      <c r="O139" s="125"/>
      <c r="R139" t="s">
        <v>196</v>
      </c>
      <c r="S139">
        <v>1</v>
      </c>
    </row>
    <row r="140" spans="1:19" x14ac:dyDescent="0.25">
      <c r="A140" t="str">
        <f>TableSTRUHLTPE[[#This Row],[Study Package Code]]</f>
        <v>EDUC4053</v>
      </c>
      <c r="B140" s="5">
        <f>TableSTRUHLTPE[[#This Row],[Ver]]</f>
        <v>1</v>
      </c>
      <c r="D140" t="str">
        <f>TableSTRUHLTPE[[#This Row],[Structure Line]]</f>
        <v>Teaching Health Education in Primary Schools</v>
      </c>
      <c r="E140" s="81">
        <f>TableSTRUHLTPE[[#This Row],[Credit Points]]</f>
        <v>25</v>
      </c>
      <c r="F140">
        <v>3</v>
      </c>
      <c r="G140" t="s">
        <v>1208</v>
      </c>
      <c r="H140">
        <v>0</v>
      </c>
      <c r="I140" t="s">
        <v>1221</v>
      </c>
      <c r="J140" t="s">
        <v>182</v>
      </c>
      <c r="K140">
        <v>1</v>
      </c>
      <c r="L140" t="s">
        <v>997</v>
      </c>
      <c r="M140">
        <v>25</v>
      </c>
      <c r="N140" s="125">
        <v>45658</v>
      </c>
      <c r="O140" s="125"/>
      <c r="R140" t="s">
        <v>1224</v>
      </c>
      <c r="S140">
        <v>1</v>
      </c>
    </row>
    <row r="141" spans="1:19" x14ac:dyDescent="0.25">
      <c r="A141" s="78"/>
      <c r="B141" s="80"/>
      <c r="C141" s="78"/>
      <c r="D141" s="78"/>
      <c r="G141" s="79" t="s">
        <v>1194</v>
      </c>
      <c r="H141" s="278">
        <v>45292</v>
      </c>
      <c r="J141" s="279" t="s">
        <v>113</v>
      </c>
      <c r="K141" s="280" t="s">
        <v>100</v>
      </c>
      <c r="L141" s="78" t="s">
        <v>112</v>
      </c>
      <c r="M141" s="78"/>
      <c r="N141" s="198" t="s">
        <v>1195</v>
      </c>
      <c r="O141" s="125">
        <v>45538</v>
      </c>
    </row>
    <row r="142" spans="1:19" ht="31.5" x14ac:dyDescent="0.25">
      <c r="A142" s="97" t="s">
        <v>0</v>
      </c>
      <c r="B142" s="98" t="s">
        <v>1196</v>
      </c>
      <c r="C142" s="97" t="s">
        <v>1197</v>
      </c>
      <c r="D142" s="97" t="s">
        <v>3</v>
      </c>
      <c r="E142" s="99" t="s">
        <v>1198</v>
      </c>
      <c r="F142" s="97" t="s">
        <v>1199</v>
      </c>
      <c r="G142" s="97" t="s">
        <v>1200</v>
      </c>
      <c r="H142" s="97" t="s">
        <v>1201</v>
      </c>
      <c r="I142" s="97" t="s">
        <v>18</v>
      </c>
      <c r="J142" s="97" t="s">
        <v>1202</v>
      </c>
      <c r="K142" s="97" t="s">
        <v>1</v>
      </c>
      <c r="L142" s="97" t="s">
        <v>1203</v>
      </c>
      <c r="M142" s="97" t="s">
        <v>69</v>
      </c>
      <c r="N142" s="97" t="s">
        <v>1204</v>
      </c>
      <c r="O142" s="97" t="s">
        <v>1205</v>
      </c>
      <c r="R142" t="s">
        <v>1206</v>
      </c>
      <c r="S142" t="s">
        <v>1207</v>
      </c>
    </row>
    <row r="143" spans="1:19" x14ac:dyDescent="0.25">
      <c r="A143" t="str">
        <f>TableSTRUISTEM[[#This Row],[Study Package Code]]</f>
        <v>EDUC4021</v>
      </c>
      <c r="B143" s="5">
        <f>TableSTRUISTEM[[#This Row],[Ver]]</f>
        <v>1</v>
      </c>
      <c r="D143" t="str">
        <f>TableSTRUISTEM[[#This Row],[Structure Line]]</f>
        <v>Project-based iSTEM Education</v>
      </c>
      <c r="E143" s="81">
        <f>TableSTRUISTEM[[#This Row],[Credit Points]]</f>
        <v>25</v>
      </c>
      <c r="F143">
        <v>1</v>
      </c>
      <c r="G143" t="s">
        <v>1208</v>
      </c>
      <c r="H143">
        <v>0</v>
      </c>
      <c r="I143" t="s">
        <v>1221</v>
      </c>
      <c r="J143" t="s">
        <v>170</v>
      </c>
      <c r="K143">
        <v>1</v>
      </c>
      <c r="L143" t="s">
        <v>978</v>
      </c>
      <c r="M143">
        <v>25</v>
      </c>
      <c r="N143" s="125">
        <v>43282</v>
      </c>
      <c r="O143" s="125"/>
      <c r="R143" t="s">
        <v>170</v>
      </c>
      <c r="S143">
        <v>1</v>
      </c>
    </row>
    <row r="144" spans="1:19" x14ac:dyDescent="0.25">
      <c r="A144" t="str">
        <f>TableSTRUISTEM[[#This Row],[Study Package Code]]</f>
        <v>EDUC4032</v>
      </c>
      <c r="B144" s="5">
        <f>TableSTRUISTEM[[#This Row],[Ver]]</f>
        <v>1</v>
      </c>
      <c r="D144" t="str">
        <f>TableSTRUISTEM[[#This Row],[Structure Line]]</f>
        <v>iSTEM Education through Digital Stories</v>
      </c>
      <c r="E144" s="81">
        <f>TableSTRUISTEM[[#This Row],[Credit Points]]</f>
        <v>25</v>
      </c>
      <c r="F144">
        <v>2</v>
      </c>
      <c r="G144" t="s">
        <v>1208</v>
      </c>
      <c r="H144">
        <v>0</v>
      </c>
      <c r="I144" t="s">
        <v>1221</v>
      </c>
      <c r="J144" t="s">
        <v>177</v>
      </c>
      <c r="K144">
        <v>1</v>
      </c>
      <c r="L144" t="s">
        <v>982</v>
      </c>
      <c r="M144">
        <v>25</v>
      </c>
      <c r="N144" s="125">
        <v>43466</v>
      </c>
      <c r="O144" s="125"/>
      <c r="R144" t="s">
        <v>177</v>
      </c>
      <c r="S144">
        <v>1</v>
      </c>
    </row>
    <row r="145" spans="1:19" x14ac:dyDescent="0.25">
      <c r="A145" t="str">
        <f>TableSTRUISTEM[[#This Row],[Study Package Code]]</f>
        <v>EDUC4034</v>
      </c>
      <c r="B145" s="5">
        <f>TableSTRUISTEM[[#This Row],[Ver]]</f>
        <v>1</v>
      </c>
      <c r="D145" t="str">
        <f>TableSTRUISTEM[[#This Row],[Structure Line]]</f>
        <v>iSTEM: Social Issues</v>
      </c>
      <c r="E145" s="81">
        <f>TableSTRUISTEM[[#This Row],[Credit Points]]</f>
        <v>25</v>
      </c>
      <c r="F145">
        <v>3</v>
      </c>
      <c r="G145" t="s">
        <v>1208</v>
      </c>
      <c r="H145">
        <v>0</v>
      </c>
      <c r="I145" t="s">
        <v>1221</v>
      </c>
      <c r="J145" t="s">
        <v>183</v>
      </c>
      <c r="K145">
        <v>1</v>
      </c>
      <c r="L145" t="s">
        <v>983</v>
      </c>
      <c r="M145">
        <v>25</v>
      </c>
      <c r="N145" s="125">
        <v>43466</v>
      </c>
      <c r="O145" s="125"/>
      <c r="R145" t="s">
        <v>183</v>
      </c>
      <c r="S145">
        <v>1</v>
      </c>
    </row>
    <row r="146" spans="1:19" x14ac:dyDescent="0.25">
      <c r="A146" s="78"/>
      <c r="B146" s="80"/>
      <c r="C146" s="78"/>
      <c r="D146" s="78"/>
      <c r="G146" s="79" t="s">
        <v>1194</v>
      </c>
      <c r="H146" s="278">
        <v>45292</v>
      </c>
      <c r="J146" s="279" t="s">
        <v>115</v>
      </c>
      <c r="K146" s="280" t="s">
        <v>100</v>
      </c>
      <c r="L146" s="78" t="s">
        <v>114</v>
      </c>
      <c r="M146" s="78"/>
      <c r="N146" s="198" t="s">
        <v>1195</v>
      </c>
      <c r="O146" s="125">
        <v>45538</v>
      </c>
    </row>
    <row r="147" spans="1:19" ht="31.5" x14ac:dyDescent="0.25">
      <c r="A147" s="97" t="s">
        <v>0</v>
      </c>
      <c r="B147" s="98" t="s">
        <v>1196</v>
      </c>
      <c r="C147" s="97" t="s">
        <v>1197</v>
      </c>
      <c r="D147" s="97" t="s">
        <v>3</v>
      </c>
      <c r="E147" s="99" t="s">
        <v>1198</v>
      </c>
      <c r="F147" s="97" t="s">
        <v>1199</v>
      </c>
      <c r="G147" s="97" t="s">
        <v>1200</v>
      </c>
      <c r="H147" s="97" t="s">
        <v>1201</v>
      </c>
      <c r="I147" s="97" t="s">
        <v>18</v>
      </c>
      <c r="J147" s="97" t="s">
        <v>1202</v>
      </c>
      <c r="K147" s="97" t="s">
        <v>1</v>
      </c>
      <c r="L147" s="97" t="s">
        <v>1203</v>
      </c>
      <c r="M147" s="97" t="s">
        <v>69</v>
      </c>
      <c r="N147" s="97" t="s">
        <v>1204</v>
      </c>
      <c r="O147" s="97" t="s">
        <v>1205</v>
      </c>
      <c r="R147" t="s">
        <v>1206</v>
      </c>
      <c r="S147" t="s">
        <v>1207</v>
      </c>
    </row>
    <row r="148" spans="1:19" x14ac:dyDescent="0.25">
      <c r="A148" t="str">
        <f>TableSTRULITNU[[#This Row],[Study Package Code]]</f>
        <v>EDUC4042</v>
      </c>
      <c r="B148" s="5">
        <f>TableSTRULITNU[[#This Row],[Ver]]</f>
        <v>1</v>
      </c>
      <c r="D148" t="str">
        <f>TableSTRULITNU[[#This Row],[Structure Line]]</f>
        <v>Alternative Approaches to Teaching Literacy and Numeracy</v>
      </c>
      <c r="E148" s="81">
        <f>TableSTRULITNU[[#This Row],[Credit Points]]</f>
        <v>25</v>
      </c>
      <c r="F148">
        <v>1</v>
      </c>
      <c r="G148" t="s">
        <v>1208</v>
      </c>
      <c r="H148">
        <v>0</v>
      </c>
      <c r="I148" t="s">
        <v>1221</v>
      </c>
      <c r="J148" t="s">
        <v>171</v>
      </c>
      <c r="K148">
        <v>1</v>
      </c>
      <c r="L148" t="s">
        <v>988</v>
      </c>
      <c r="M148">
        <v>25</v>
      </c>
      <c r="N148" s="125">
        <v>43466</v>
      </c>
      <c r="O148" s="125"/>
      <c r="R148" t="s">
        <v>171</v>
      </c>
      <c r="S148">
        <v>1</v>
      </c>
    </row>
    <row r="149" spans="1:19" x14ac:dyDescent="0.25">
      <c r="A149" t="str">
        <f>TableSTRULITNU[[#This Row],[Study Package Code]]</f>
        <v>EDUC4044</v>
      </c>
      <c r="B149" s="5">
        <f>TableSTRULITNU[[#This Row],[Ver]]</f>
        <v>2</v>
      </c>
      <c r="D149" t="str">
        <f>TableSTRULITNU[[#This Row],[Structure Line]]</f>
        <v>Literacy and Numeracy for First Nations Peoples of Australia</v>
      </c>
      <c r="E149" s="81">
        <f>TableSTRULITNU[[#This Row],[Credit Points]]</f>
        <v>25</v>
      </c>
      <c r="F149">
        <v>2</v>
      </c>
      <c r="G149" t="s">
        <v>1208</v>
      </c>
      <c r="H149">
        <v>0</v>
      </c>
      <c r="I149" t="s">
        <v>1221</v>
      </c>
      <c r="J149" t="s">
        <v>178</v>
      </c>
      <c r="K149">
        <v>2</v>
      </c>
      <c r="L149" t="s">
        <v>989</v>
      </c>
      <c r="M149">
        <v>25</v>
      </c>
      <c r="N149" s="125">
        <v>44927</v>
      </c>
      <c r="O149" s="125"/>
      <c r="R149" t="s">
        <v>178</v>
      </c>
      <c r="S149">
        <v>2</v>
      </c>
    </row>
    <row r="150" spans="1:19" x14ac:dyDescent="0.25">
      <c r="A150" t="str">
        <f>TableSTRULITNU[[#This Row],[Study Package Code]]</f>
        <v>EDUC4020</v>
      </c>
      <c r="B150" s="5">
        <f>TableSTRULITNU[[#This Row],[Ver]]</f>
        <v>1</v>
      </c>
      <c r="D150" t="str">
        <f>TableSTRULITNU[[#This Row],[Structure Line]]</f>
        <v>Supporting Literacy and Numeracy Development for Diverse Learners</v>
      </c>
      <c r="E150" s="81">
        <f>TableSTRULITNU[[#This Row],[Credit Points]]</f>
        <v>25</v>
      </c>
      <c r="F150">
        <v>3</v>
      </c>
      <c r="G150" t="s">
        <v>1208</v>
      </c>
      <c r="H150">
        <v>0</v>
      </c>
      <c r="I150" t="s">
        <v>1221</v>
      </c>
      <c r="J150" t="s">
        <v>184</v>
      </c>
      <c r="K150">
        <v>1</v>
      </c>
      <c r="L150" t="s">
        <v>977</v>
      </c>
      <c r="M150">
        <v>25</v>
      </c>
      <c r="N150" s="125">
        <v>43282</v>
      </c>
      <c r="O150" s="125"/>
      <c r="R150" t="s">
        <v>184</v>
      </c>
      <c r="S150">
        <v>1</v>
      </c>
    </row>
    <row r="151" spans="1:19" x14ac:dyDescent="0.25">
      <c r="A151" s="78"/>
      <c r="B151" s="80"/>
      <c r="C151" s="78"/>
      <c r="D151" s="78"/>
      <c r="G151" s="79" t="s">
        <v>1194</v>
      </c>
      <c r="H151" s="278">
        <v>45292</v>
      </c>
      <c r="J151" s="279" t="s">
        <v>118</v>
      </c>
      <c r="K151" s="280">
        <v>1</v>
      </c>
      <c r="L151" s="78" t="s">
        <v>117</v>
      </c>
      <c r="M151" s="78"/>
      <c r="N151" s="198" t="s">
        <v>1195</v>
      </c>
      <c r="O151" s="125">
        <v>45538</v>
      </c>
    </row>
    <row r="152" spans="1:19" ht="31.5" x14ac:dyDescent="0.25">
      <c r="A152" s="97" t="s">
        <v>0</v>
      </c>
      <c r="B152" s="98" t="s">
        <v>1196</v>
      </c>
      <c r="C152" s="97" t="s">
        <v>1197</v>
      </c>
      <c r="D152" s="97" t="s">
        <v>3</v>
      </c>
      <c r="E152" s="99" t="s">
        <v>1198</v>
      </c>
      <c r="F152" s="97" t="s">
        <v>1199</v>
      </c>
      <c r="G152" s="97" t="s">
        <v>1200</v>
      </c>
      <c r="H152" s="97" t="s">
        <v>1201</v>
      </c>
      <c r="I152" s="97" t="s">
        <v>18</v>
      </c>
      <c r="J152" s="97" t="s">
        <v>1202</v>
      </c>
      <c r="K152" s="97" t="s">
        <v>1</v>
      </c>
      <c r="L152" s="97" t="s">
        <v>1203</v>
      </c>
      <c r="M152" s="97" t="s">
        <v>69</v>
      </c>
      <c r="N152" s="97" t="s">
        <v>1204</v>
      </c>
      <c r="O152" s="97" t="s">
        <v>1205</v>
      </c>
      <c r="R152" t="s">
        <v>1206</v>
      </c>
      <c r="S152" t="s">
        <v>1207</v>
      </c>
    </row>
    <row r="153" spans="1:19" x14ac:dyDescent="0.25">
      <c r="A153" t="str">
        <f>TableSTRUTECHS[[#This Row],[Study Package Code]]</f>
        <v>EDUC4029</v>
      </c>
      <c r="B153" s="5">
        <f>TableSTRUTECHS[[#This Row],[Ver]]</f>
        <v>1</v>
      </c>
      <c r="D153" t="str">
        <f>TableSTRUTECHS[[#This Row],[Structure Line]]</f>
        <v>Technologies: Coding for Teachers</v>
      </c>
      <c r="E153" s="81">
        <f>TableSTRUTECHS[[#This Row],[Credit Points]]</f>
        <v>25</v>
      </c>
      <c r="F153">
        <v>1</v>
      </c>
      <c r="G153" t="s">
        <v>1208</v>
      </c>
      <c r="H153">
        <v>0</v>
      </c>
      <c r="I153" t="s">
        <v>1221</v>
      </c>
      <c r="J153" t="s">
        <v>172</v>
      </c>
      <c r="K153">
        <v>1</v>
      </c>
      <c r="L153" t="s">
        <v>981</v>
      </c>
      <c r="M153">
        <v>25</v>
      </c>
      <c r="N153" s="125">
        <v>43282</v>
      </c>
      <c r="O153" s="125"/>
      <c r="R153" t="s">
        <v>172</v>
      </c>
      <c r="S153">
        <v>1</v>
      </c>
    </row>
    <row r="154" spans="1:19" x14ac:dyDescent="0.25">
      <c r="A154" t="str">
        <f>TableSTRUTECHS[[#This Row],[Study Package Code]]</f>
        <v>EDUC4038</v>
      </c>
      <c r="B154" s="5">
        <f>TableSTRUTECHS[[#This Row],[Ver]]</f>
        <v>1</v>
      </c>
      <c r="D154" t="str">
        <f>TableSTRUTECHS[[#This Row],[Structure Line]]</f>
        <v>Technologies: Design Solutions</v>
      </c>
      <c r="E154" s="81">
        <f>TableSTRUTECHS[[#This Row],[Credit Points]]</f>
        <v>25</v>
      </c>
      <c r="F154">
        <v>2</v>
      </c>
      <c r="G154" t="s">
        <v>1208</v>
      </c>
      <c r="H154">
        <v>0</v>
      </c>
      <c r="I154" t="s">
        <v>1221</v>
      </c>
      <c r="J154" t="s">
        <v>179</v>
      </c>
      <c r="K154">
        <v>1</v>
      </c>
      <c r="L154" t="s">
        <v>985</v>
      </c>
      <c r="M154">
        <v>25</v>
      </c>
      <c r="N154" s="125">
        <v>43466</v>
      </c>
      <c r="O154" s="125"/>
      <c r="R154" t="s">
        <v>179</v>
      </c>
      <c r="S154">
        <v>1</v>
      </c>
    </row>
    <row r="155" spans="1:19" x14ac:dyDescent="0.25">
      <c r="A155" t="str">
        <f>TableSTRUTECHS[[#This Row],[Study Package Code]]</f>
        <v>EDUC4046</v>
      </c>
      <c r="B155" s="5">
        <f>TableSTRUTECHS[[#This Row],[Ver]]</f>
        <v>1</v>
      </c>
      <c r="D155" t="str">
        <f>TableSTRUTECHS[[#This Row],[Structure Line]]</f>
        <v>Technologies: Digital Solutions</v>
      </c>
      <c r="E155" s="81">
        <f>TableSTRUTECHS[[#This Row],[Credit Points]]</f>
        <v>25</v>
      </c>
      <c r="F155">
        <v>3</v>
      </c>
      <c r="G155" t="s">
        <v>1208</v>
      </c>
      <c r="H155">
        <v>0</v>
      </c>
      <c r="I155" t="s">
        <v>1221</v>
      </c>
      <c r="J155" t="s">
        <v>185</v>
      </c>
      <c r="K155">
        <v>1</v>
      </c>
      <c r="L155" t="s">
        <v>990</v>
      </c>
      <c r="M155">
        <v>25</v>
      </c>
      <c r="N155" s="125">
        <v>43466</v>
      </c>
      <c r="O155" s="125"/>
      <c r="R155" t="s">
        <v>185</v>
      </c>
      <c r="S155">
        <v>1</v>
      </c>
    </row>
    <row r="156" spans="1:19" x14ac:dyDescent="0.25">
      <c r="N156" s="125"/>
      <c r="O156" s="125"/>
    </row>
    <row r="157" spans="1:19" x14ac:dyDescent="0.25">
      <c r="A157" s="78"/>
      <c r="B157" s="80"/>
      <c r="C157" s="78"/>
      <c r="D157" s="78"/>
      <c r="G157" s="79" t="s">
        <v>1194</v>
      </c>
      <c r="H157" s="272">
        <v>45658</v>
      </c>
      <c r="J157" s="78" t="s">
        <v>83</v>
      </c>
      <c r="K157" s="273" t="s">
        <v>84</v>
      </c>
      <c r="L157" s="78" t="s">
        <v>82</v>
      </c>
      <c r="M157" s="78"/>
      <c r="N157" s="198" t="s">
        <v>1195</v>
      </c>
      <c r="O157" s="125">
        <v>45540</v>
      </c>
    </row>
    <row r="158" spans="1:19" ht="31.5" x14ac:dyDescent="0.25">
      <c r="A158" s="97" t="s">
        <v>0</v>
      </c>
      <c r="B158" s="98" t="s">
        <v>1196</v>
      </c>
      <c r="C158" s="97" t="s">
        <v>1197</v>
      </c>
      <c r="D158" s="97" t="s">
        <v>3</v>
      </c>
      <c r="E158" s="99" t="s">
        <v>1198</v>
      </c>
      <c r="F158" s="97" t="s">
        <v>1199</v>
      </c>
      <c r="G158" s="97" t="s">
        <v>1200</v>
      </c>
      <c r="H158" s="97" t="s">
        <v>1201</v>
      </c>
      <c r="I158" s="97" t="s">
        <v>18</v>
      </c>
      <c r="J158" s="97" t="s">
        <v>1202</v>
      </c>
      <c r="K158" s="97" t="s">
        <v>1</v>
      </c>
      <c r="L158" s="97" t="s">
        <v>1203</v>
      </c>
      <c r="M158" s="97" t="s">
        <v>69</v>
      </c>
      <c r="N158" s="97" t="s">
        <v>1204</v>
      </c>
      <c r="O158" s="97" t="s">
        <v>1205</v>
      </c>
      <c r="R158" t="s">
        <v>1206</v>
      </c>
      <c r="S158" t="s">
        <v>1207</v>
      </c>
    </row>
    <row r="159" spans="1:19" x14ac:dyDescent="0.25">
      <c r="A159" t="str">
        <f>TableBEDSC[[#This Row],[Study Package Code]]</f>
        <v>EDUC1021</v>
      </c>
      <c r="B159" s="5">
        <f>TableBEDSC[[#This Row],[Ver]]</f>
        <v>1</v>
      </c>
      <c r="D159" t="str">
        <f>TableBEDSC[[#This Row],[Structure Line]]</f>
        <v>Child Development for Educators</v>
      </c>
      <c r="E159" s="81">
        <f>TableBEDSC[[#This Row],[Credit Points]]</f>
        <v>25</v>
      </c>
      <c r="F159">
        <v>1</v>
      </c>
      <c r="G159" t="s">
        <v>1208</v>
      </c>
      <c r="H159">
        <v>1</v>
      </c>
      <c r="I159" t="s">
        <v>1209</v>
      </c>
      <c r="J159" t="s">
        <v>55</v>
      </c>
      <c r="K159">
        <v>1</v>
      </c>
      <c r="L159" t="s">
        <v>960</v>
      </c>
      <c r="M159">
        <v>25</v>
      </c>
      <c r="N159" s="125">
        <v>43466</v>
      </c>
      <c r="O159" s="125"/>
      <c r="R159" t="s">
        <v>55</v>
      </c>
      <c r="S159">
        <v>1</v>
      </c>
    </row>
    <row r="160" spans="1:19" x14ac:dyDescent="0.25">
      <c r="A160" t="str">
        <f>TableBEDSC[[#This Row],[Study Package Code]]</f>
        <v>EDUC1033</v>
      </c>
      <c r="B160" s="5">
        <f>TableBEDSC[[#This Row],[Ver]]</f>
        <v>1</v>
      </c>
      <c r="D160" t="str">
        <f>TableBEDSC[[#This Row],[Structure Line]]</f>
        <v>Communication Skills for Educators</v>
      </c>
      <c r="E160" s="81">
        <f>TableBEDSC[[#This Row],[Credit Points]]</f>
        <v>25</v>
      </c>
      <c r="F160">
        <v>2</v>
      </c>
      <c r="G160" t="s">
        <v>1208</v>
      </c>
      <c r="H160">
        <v>1</v>
      </c>
      <c r="I160" t="s">
        <v>1209</v>
      </c>
      <c r="J160" t="s">
        <v>75</v>
      </c>
      <c r="K160">
        <v>1</v>
      </c>
      <c r="L160" t="s">
        <v>966</v>
      </c>
      <c r="M160">
        <v>25</v>
      </c>
      <c r="N160" s="125">
        <v>45658</v>
      </c>
      <c r="O160" s="125"/>
      <c r="R160" t="s">
        <v>1218</v>
      </c>
      <c r="S160">
        <v>1</v>
      </c>
    </row>
    <row r="161" spans="1:19" x14ac:dyDescent="0.25">
      <c r="A161" t="str">
        <f>TableBEDSC[[#This Row],[Study Package Code]]</f>
        <v>EDUC1035</v>
      </c>
      <c r="B161" s="5">
        <f>TableBEDSC[[#This Row],[Ver]]</f>
        <v>1</v>
      </c>
      <c r="D161" t="str">
        <f>TableBEDSC[[#This Row],[Structure Line]]</f>
        <v>Professional Teaching Practice 1</v>
      </c>
      <c r="E161" s="81">
        <f>TableBEDSC[[#This Row],[Credit Points]]</f>
        <v>25</v>
      </c>
      <c r="F161">
        <v>3</v>
      </c>
      <c r="G161" t="s">
        <v>1208</v>
      </c>
      <c r="H161">
        <v>1</v>
      </c>
      <c r="I161" t="s">
        <v>1209</v>
      </c>
      <c r="J161" t="s">
        <v>88</v>
      </c>
      <c r="K161">
        <v>1</v>
      </c>
      <c r="L161" t="s">
        <v>968</v>
      </c>
      <c r="M161">
        <v>25</v>
      </c>
      <c r="N161" s="125">
        <v>45658</v>
      </c>
      <c r="O161" s="125"/>
      <c r="R161" t="s">
        <v>60</v>
      </c>
      <c r="S161">
        <v>1</v>
      </c>
    </row>
    <row r="162" spans="1:19" x14ac:dyDescent="0.25">
      <c r="A162" t="str">
        <f>TableBEDSC[[#This Row],[Study Package Code]]</f>
        <v>EDUC1019</v>
      </c>
      <c r="B162" s="5">
        <f>TableBEDSC[[#This Row],[Ver]]</f>
        <v>1</v>
      </c>
      <c r="D162" t="str">
        <f>TableBEDSC[[#This Row],[Structure Line]]</f>
        <v>Teaching and Learning in the Digital World</v>
      </c>
      <c r="E162" s="81">
        <f>TableBEDSC[[#This Row],[Credit Points]]</f>
        <v>25</v>
      </c>
      <c r="F162">
        <v>4</v>
      </c>
      <c r="G162" t="s">
        <v>1208</v>
      </c>
      <c r="H162">
        <v>1</v>
      </c>
      <c r="I162" t="s">
        <v>1209</v>
      </c>
      <c r="J162" t="s">
        <v>60</v>
      </c>
      <c r="K162">
        <v>1</v>
      </c>
      <c r="L162" t="s">
        <v>959</v>
      </c>
      <c r="M162">
        <v>25</v>
      </c>
      <c r="N162" s="125">
        <v>43466</v>
      </c>
      <c r="O162" s="125"/>
      <c r="R162" t="s">
        <v>1210</v>
      </c>
      <c r="S162">
        <v>1</v>
      </c>
    </row>
    <row r="163" spans="1:19" x14ac:dyDescent="0.25">
      <c r="A163" t="str">
        <f>TableBEDSC[[#This Row],[Study Package Code]]</f>
        <v>EDSC2011</v>
      </c>
      <c r="B163" s="5">
        <f>TableBEDSC[[#This Row],[Ver]]</f>
        <v>1</v>
      </c>
      <c r="D163" t="str">
        <f>TableBEDSC[[#This Row],[Structure Line]]</f>
        <v>Educating Adolescents: Diversity, Differentiation and Inclusion</v>
      </c>
      <c r="E163" s="81">
        <f>TableBEDSC[[#This Row],[Credit Points]]</f>
        <v>25</v>
      </c>
      <c r="F163">
        <v>5</v>
      </c>
      <c r="G163" t="s">
        <v>1208</v>
      </c>
      <c r="H163">
        <v>1</v>
      </c>
      <c r="I163" t="s">
        <v>1212</v>
      </c>
      <c r="J163" t="s">
        <v>381</v>
      </c>
      <c r="K163">
        <v>1</v>
      </c>
      <c r="L163" t="s">
        <v>929</v>
      </c>
      <c r="M163">
        <v>25</v>
      </c>
      <c r="N163" s="125">
        <v>45658</v>
      </c>
      <c r="O163" s="125"/>
      <c r="R163" t="s">
        <v>1225</v>
      </c>
      <c r="S163">
        <v>0</v>
      </c>
    </row>
    <row r="164" spans="1:19" x14ac:dyDescent="0.25">
      <c r="A164" t="str">
        <f>TableBEDSC[[#This Row],[Study Package Code]]</f>
        <v>EDUC1034</v>
      </c>
      <c r="B164" s="5">
        <f>TableBEDSC[[#This Row],[Ver]]</f>
        <v>1</v>
      </c>
      <c r="D164" t="str">
        <f>TableBEDSC[[#This Row],[Structure Line]]</f>
        <v>Professional Experience 1</v>
      </c>
      <c r="E164" s="81">
        <f>TableBEDSC[[#This Row],[Credit Points]]</f>
        <v>25</v>
      </c>
      <c r="F164">
        <v>6</v>
      </c>
      <c r="G164" t="s">
        <v>1208</v>
      </c>
      <c r="H164">
        <v>1</v>
      </c>
      <c r="I164" t="s">
        <v>1212</v>
      </c>
      <c r="J164" t="s">
        <v>379</v>
      </c>
      <c r="K164">
        <v>1</v>
      </c>
      <c r="L164" t="s">
        <v>967</v>
      </c>
      <c r="M164">
        <v>25</v>
      </c>
      <c r="N164" s="125">
        <v>45658</v>
      </c>
      <c r="O164" s="125"/>
      <c r="R164" t="s">
        <v>93</v>
      </c>
      <c r="S164">
        <v>1</v>
      </c>
    </row>
    <row r="165" spans="1:19" x14ac:dyDescent="0.25">
      <c r="A165" t="str">
        <f>TableBEDSC[[#This Row],[Study Package Code]]</f>
        <v>AC-BEDSC</v>
      </c>
      <c r="B165" s="5">
        <f>TableBEDSC[[#This Row],[Ver]]</f>
        <v>0</v>
      </c>
      <c r="D165" t="str">
        <f>TableBEDSC[[#This Row],[Structure Line]]</f>
        <v>Choose Your Major</v>
      </c>
      <c r="E165" s="81">
        <f>TableBEDSC[[#This Row],[Credit Points]]</f>
        <v>375</v>
      </c>
      <c r="F165">
        <v>7</v>
      </c>
      <c r="G165" t="s">
        <v>1215</v>
      </c>
      <c r="H165">
        <v>1</v>
      </c>
      <c r="I165" t="s">
        <v>1212</v>
      </c>
      <c r="J165" t="s">
        <v>771</v>
      </c>
      <c r="K165">
        <v>0</v>
      </c>
      <c r="L165" t="s">
        <v>772</v>
      </c>
      <c r="M165">
        <v>375</v>
      </c>
      <c r="N165" s="125"/>
      <c r="O165" s="125"/>
      <c r="R165" t="s">
        <v>1214</v>
      </c>
      <c r="S165">
        <v>1</v>
      </c>
    </row>
    <row r="166" spans="1:19" x14ac:dyDescent="0.25">
      <c r="A166" t="str">
        <f>TableBEDSC[[#This Row],[Study Package Code]]</f>
        <v>EDSC2012</v>
      </c>
      <c r="B166" s="5">
        <f>TableBEDSC[[#This Row],[Ver]]</f>
        <v>1</v>
      </c>
      <c r="D166" t="str">
        <f>TableBEDSC[[#This Row],[Structure Line]]</f>
        <v>Secondary Professional Teaching Practice 2</v>
      </c>
      <c r="E166" s="81">
        <f>TableBEDSC[[#This Row],[Credit Points]]</f>
        <v>25</v>
      </c>
      <c r="F166">
        <v>8</v>
      </c>
      <c r="G166" t="s">
        <v>1208</v>
      </c>
      <c r="H166">
        <v>2</v>
      </c>
      <c r="I166" t="s">
        <v>1209</v>
      </c>
      <c r="J166" t="s">
        <v>386</v>
      </c>
      <c r="K166">
        <v>1</v>
      </c>
      <c r="L166" t="s">
        <v>1226</v>
      </c>
      <c r="M166">
        <v>25</v>
      </c>
      <c r="N166" s="125">
        <v>45658</v>
      </c>
      <c r="O166" s="125"/>
      <c r="R166" t="s">
        <v>1227</v>
      </c>
      <c r="S166">
        <v>1</v>
      </c>
    </row>
    <row r="167" spans="1:19" x14ac:dyDescent="0.25">
      <c r="A167" t="str">
        <f>TableBEDSC[[#This Row],[Study Package Code]]</f>
        <v>EDSC2013</v>
      </c>
      <c r="B167" s="5">
        <f>TableBEDSC[[#This Row],[Ver]]</f>
        <v>1</v>
      </c>
      <c r="D167" t="str">
        <f>TableBEDSC[[#This Row],[Structure Line]]</f>
        <v>Secondary Professional Experience 2</v>
      </c>
      <c r="E167" s="81">
        <f>TableBEDSC[[#This Row],[Credit Points]]</f>
        <v>25</v>
      </c>
      <c r="F167">
        <v>9</v>
      </c>
      <c r="G167" t="s">
        <v>1208</v>
      </c>
      <c r="H167">
        <v>2</v>
      </c>
      <c r="I167" t="s">
        <v>1212</v>
      </c>
      <c r="J167" t="s">
        <v>391</v>
      </c>
      <c r="K167">
        <v>1</v>
      </c>
      <c r="L167" t="s">
        <v>931</v>
      </c>
      <c r="M167">
        <v>25</v>
      </c>
      <c r="N167" s="125">
        <v>45658</v>
      </c>
      <c r="O167" s="125"/>
      <c r="R167" t="s">
        <v>1228</v>
      </c>
      <c r="S167">
        <v>1</v>
      </c>
    </row>
    <row r="168" spans="1:19" x14ac:dyDescent="0.25">
      <c r="A168" t="str">
        <f>TableBEDSC[[#This Row],[Study Package Code]]</f>
        <v>EDSC3012</v>
      </c>
      <c r="B168" s="5">
        <f>TableBEDSC[[#This Row],[Ver]]</f>
        <v>1</v>
      </c>
      <c r="D168" t="str">
        <f>TableBEDSC[[#This Row],[Structure Line]]</f>
        <v>Secondary Professional Teaching Practice 3</v>
      </c>
      <c r="E168" s="81">
        <f>TableBEDSC[[#This Row],[Credit Points]]</f>
        <v>25</v>
      </c>
      <c r="F168">
        <v>10</v>
      </c>
      <c r="G168" t="s">
        <v>1208</v>
      </c>
      <c r="H168">
        <v>3</v>
      </c>
      <c r="I168" t="s">
        <v>1209</v>
      </c>
      <c r="J168" t="s">
        <v>395</v>
      </c>
      <c r="K168">
        <v>1</v>
      </c>
      <c r="L168" t="s">
        <v>1229</v>
      </c>
      <c r="M168">
        <v>25</v>
      </c>
      <c r="N168" s="125">
        <v>45658</v>
      </c>
      <c r="O168" s="125"/>
      <c r="R168" t="s">
        <v>1230</v>
      </c>
      <c r="S168">
        <v>1</v>
      </c>
    </row>
    <row r="169" spans="1:19" x14ac:dyDescent="0.25">
      <c r="A169" t="str">
        <f>TableBEDSC[[#This Row],[Study Package Code]]</f>
        <v>INED3001</v>
      </c>
      <c r="B169" s="5">
        <f>TableBEDSC[[#This Row],[Ver]]</f>
        <v>1</v>
      </c>
      <c r="D169" t="str">
        <f>TableBEDSC[[#This Row],[Structure Line]]</f>
        <v>Indigenous Australian Education</v>
      </c>
      <c r="E169" s="81">
        <f>TableBEDSC[[#This Row],[Credit Points]]</f>
        <v>25</v>
      </c>
      <c r="F169">
        <v>11</v>
      </c>
      <c r="G169" t="s">
        <v>1208</v>
      </c>
      <c r="H169">
        <v>3</v>
      </c>
      <c r="I169" t="s">
        <v>1212</v>
      </c>
      <c r="J169" t="s">
        <v>122</v>
      </c>
      <c r="K169">
        <v>1</v>
      </c>
      <c r="L169" t="s">
        <v>1042</v>
      </c>
      <c r="M169">
        <v>25</v>
      </c>
      <c r="N169" s="125">
        <v>42005</v>
      </c>
      <c r="O169" s="125"/>
      <c r="R169" t="s">
        <v>122</v>
      </c>
      <c r="S169">
        <v>1</v>
      </c>
    </row>
    <row r="170" spans="1:19" x14ac:dyDescent="0.25">
      <c r="A170" t="str">
        <f>TableBEDSC[[#This Row],[Study Package Code]]</f>
        <v>EDSC3013</v>
      </c>
      <c r="B170" s="5">
        <f>TableBEDSC[[#This Row],[Ver]]</f>
        <v>1</v>
      </c>
      <c r="D170" t="str">
        <f>TableBEDSC[[#This Row],[Structure Line]]</f>
        <v>Secondary Professional Experience 3</v>
      </c>
      <c r="E170" s="81">
        <f>TableBEDSC[[#This Row],[Credit Points]]</f>
        <v>25</v>
      </c>
      <c r="F170">
        <v>12</v>
      </c>
      <c r="G170" t="s">
        <v>1208</v>
      </c>
      <c r="H170">
        <v>3</v>
      </c>
      <c r="I170" t="s">
        <v>1212</v>
      </c>
      <c r="J170" t="s">
        <v>400</v>
      </c>
      <c r="K170">
        <v>1</v>
      </c>
      <c r="L170" t="s">
        <v>1231</v>
      </c>
      <c r="M170">
        <v>25</v>
      </c>
      <c r="N170" s="125">
        <v>45658</v>
      </c>
      <c r="O170" s="125"/>
      <c r="R170" t="s">
        <v>155</v>
      </c>
      <c r="S170">
        <v>1</v>
      </c>
    </row>
    <row r="171" spans="1:19" x14ac:dyDescent="0.25">
      <c r="A171" t="str">
        <f>TableBEDSC[[#This Row],[Study Package Code]]</f>
        <v>EDSC3007</v>
      </c>
      <c r="B171" s="5">
        <f>TableBEDSC[[#This Row],[Ver]]</f>
        <v>1</v>
      </c>
      <c r="D171" t="str">
        <f>TableBEDSC[[#This Row],[Structure Line]]</f>
        <v>Curriculum and Culture in Secondary Schools</v>
      </c>
      <c r="E171" s="81">
        <f>TableBEDSC[[#This Row],[Credit Points]]</f>
        <v>25</v>
      </c>
      <c r="F171">
        <v>13</v>
      </c>
      <c r="G171" t="s">
        <v>1208</v>
      </c>
      <c r="H171">
        <v>4</v>
      </c>
      <c r="I171" t="s">
        <v>1209</v>
      </c>
      <c r="J171" t="s">
        <v>188</v>
      </c>
      <c r="K171">
        <v>1</v>
      </c>
      <c r="L171" t="s">
        <v>934</v>
      </c>
      <c r="M171">
        <v>25</v>
      </c>
      <c r="N171" s="125">
        <v>43466</v>
      </c>
      <c r="O171" s="125"/>
      <c r="R171" t="s">
        <v>188</v>
      </c>
      <c r="S171">
        <v>1</v>
      </c>
    </row>
    <row r="172" spans="1:19" x14ac:dyDescent="0.25">
      <c r="A172" t="str">
        <f>TableBEDSC[[#This Row],[Study Package Code]]</f>
        <v>EDUC4049</v>
      </c>
      <c r="B172" s="5">
        <f>TableBEDSC[[#This Row],[Ver]]</f>
        <v>1</v>
      </c>
      <c r="D172" t="str">
        <f>TableBEDSC[[#This Row],[Structure Line]]</f>
        <v>The Professional Educator: Transition to the Profession</v>
      </c>
      <c r="E172" s="81">
        <f>TableBEDSC[[#This Row],[Credit Points]]</f>
        <v>25</v>
      </c>
      <c r="F172">
        <v>14</v>
      </c>
      <c r="G172" t="s">
        <v>1208</v>
      </c>
      <c r="H172">
        <v>4</v>
      </c>
      <c r="I172" t="s">
        <v>1209</v>
      </c>
      <c r="J172" t="s">
        <v>153</v>
      </c>
      <c r="K172">
        <v>1</v>
      </c>
      <c r="L172" t="s">
        <v>992</v>
      </c>
      <c r="M172">
        <v>25</v>
      </c>
      <c r="N172" s="125">
        <v>43466</v>
      </c>
      <c r="O172" s="125"/>
      <c r="R172" t="s">
        <v>153</v>
      </c>
      <c r="S172">
        <v>1</v>
      </c>
    </row>
    <row r="173" spans="1:19" x14ac:dyDescent="0.25">
      <c r="A173" t="str">
        <f>TableBEDSC[[#This Row],[Study Package Code]]</f>
        <v>EDUC4040</v>
      </c>
      <c r="B173" s="5">
        <f>TableBEDSC[[#This Row],[Ver]]</f>
        <v>1</v>
      </c>
      <c r="D173" t="str">
        <f>TableBEDSC[[#This Row],[Structure Line]]</f>
        <v>Professional Experience 4: The Internship</v>
      </c>
      <c r="E173" s="81">
        <f>TableBEDSC[[#This Row],[Credit Points]]</f>
        <v>100</v>
      </c>
      <c r="F173">
        <v>15</v>
      </c>
      <c r="G173" t="s">
        <v>1208</v>
      </c>
      <c r="H173">
        <v>4</v>
      </c>
      <c r="I173" t="s">
        <v>1220</v>
      </c>
      <c r="J173" t="s">
        <v>155</v>
      </c>
      <c r="K173">
        <v>1</v>
      </c>
      <c r="L173" t="s">
        <v>986</v>
      </c>
      <c r="M173">
        <v>100</v>
      </c>
      <c r="N173" s="125">
        <v>43466</v>
      </c>
      <c r="O173" s="125"/>
      <c r="R173" t="s">
        <v>1232</v>
      </c>
      <c r="S173">
        <v>1</v>
      </c>
    </row>
    <row r="174" spans="1:19" x14ac:dyDescent="0.25">
      <c r="A174" t="str">
        <f>TableBEDSC[[#This Row],[Study Package Code]]</f>
        <v>MJRU-ARDR1</v>
      </c>
      <c r="B174" s="5">
        <f>TableBEDSC[[#This Row],[Ver]]</f>
        <v>1</v>
      </c>
      <c r="D174" t="str">
        <f>TableBEDSC[[#This Row],[Structure Line]]</f>
        <v>The Arts Education Major (Drama) (BEd Secondary)</v>
      </c>
      <c r="E174" s="81">
        <f>TableBEDSC[[#This Row],[Credit Points]]</f>
        <v>375</v>
      </c>
      <c r="F174">
        <v>7</v>
      </c>
      <c r="G174" t="s">
        <v>1215</v>
      </c>
      <c r="H174">
        <v>1</v>
      </c>
      <c r="I174" t="s">
        <v>1212</v>
      </c>
      <c r="J174" s="295" t="s">
        <v>335</v>
      </c>
      <c r="K174">
        <v>1</v>
      </c>
      <c r="L174" t="s">
        <v>392</v>
      </c>
      <c r="M174">
        <v>375</v>
      </c>
      <c r="N174" s="125">
        <v>45658</v>
      </c>
      <c r="O174" s="125"/>
      <c r="R174" t="s">
        <v>1233</v>
      </c>
      <c r="S174">
        <v>1</v>
      </c>
    </row>
    <row r="175" spans="1:19" x14ac:dyDescent="0.25">
      <c r="A175" t="str">
        <f>TableBEDSC[[#This Row],[Study Package Code]]</f>
        <v>MJRU-ARME1</v>
      </c>
      <c r="B175" s="5">
        <f>TableBEDSC[[#This Row],[Ver]]</f>
        <v>1</v>
      </c>
      <c r="D175" t="str">
        <f>TableBEDSC[[#This Row],[Structure Line]]</f>
        <v>The Arts Education Major (Media Production and Analysis) (BEd Secondary)</v>
      </c>
      <c r="E175" s="81">
        <f>TableBEDSC[[#This Row],[Credit Points]]</f>
        <v>375</v>
      </c>
      <c r="F175">
        <v>7</v>
      </c>
      <c r="G175" t="s">
        <v>1215</v>
      </c>
      <c r="H175">
        <v>1</v>
      </c>
      <c r="I175" t="s">
        <v>1212</v>
      </c>
      <c r="J175" s="295" t="s">
        <v>337</v>
      </c>
      <c r="K175">
        <v>1</v>
      </c>
      <c r="L175" t="s">
        <v>393</v>
      </c>
      <c r="M175">
        <v>375</v>
      </c>
      <c r="N175" s="125">
        <v>45658</v>
      </c>
      <c r="O175" s="125"/>
      <c r="R175" t="s">
        <v>1234</v>
      </c>
      <c r="S175">
        <v>1</v>
      </c>
    </row>
    <row r="176" spans="1:19" x14ac:dyDescent="0.25">
      <c r="A176" t="str">
        <f>TableBEDSC[[#This Row],[Study Package Code]]</f>
        <v>MJRU-ARVA1</v>
      </c>
      <c r="B176" s="5">
        <f>TableBEDSC[[#This Row],[Ver]]</f>
        <v>1</v>
      </c>
      <c r="D176" t="str">
        <f>TableBEDSC[[#This Row],[Structure Line]]</f>
        <v>The Arts Education Major (Visual Arts) (BEd Secondary)</v>
      </c>
      <c r="E176" s="81">
        <f>TableBEDSC[[#This Row],[Credit Points]]</f>
        <v>375</v>
      </c>
      <c r="F176">
        <v>7</v>
      </c>
      <c r="G176" t="s">
        <v>1215</v>
      </c>
      <c r="H176">
        <v>1</v>
      </c>
      <c r="I176" t="s">
        <v>1212</v>
      </c>
      <c r="J176" s="295" t="s">
        <v>338</v>
      </c>
      <c r="K176">
        <v>1</v>
      </c>
      <c r="L176" t="s">
        <v>394</v>
      </c>
      <c r="M176">
        <v>375</v>
      </c>
      <c r="N176" s="125">
        <v>45658</v>
      </c>
      <c r="O176" s="125"/>
      <c r="R176" t="s">
        <v>1235</v>
      </c>
      <c r="S176">
        <v>3</v>
      </c>
    </row>
    <row r="177" spans="1:19" x14ac:dyDescent="0.25">
      <c r="A177" t="str">
        <f>TableBEDSC[[#This Row],[Study Package Code]]</f>
        <v>MJRU-ENGL1</v>
      </c>
      <c r="B177" s="5">
        <f>TableBEDSC[[#This Row],[Ver]]</f>
        <v>1</v>
      </c>
      <c r="D177" t="str">
        <f>TableBEDSC[[#This Row],[Structure Line]]</f>
        <v>English Education Major (BEd Secondary)</v>
      </c>
      <c r="E177" s="81">
        <f>TableBEDSC[[#This Row],[Credit Points]]</f>
        <v>375</v>
      </c>
      <c r="F177">
        <v>7</v>
      </c>
      <c r="G177" t="s">
        <v>1215</v>
      </c>
      <c r="H177">
        <v>1</v>
      </c>
      <c r="I177" t="s">
        <v>1212</v>
      </c>
      <c r="J177" s="295" t="s">
        <v>339</v>
      </c>
      <c r="K177">
        <v>1</v>
      </c>
      <c r="L177" t="s">
        <v>203</v>
      </c>
      <c r="M177">
        <v>375</v>
      </c>
      <c r="N177" s="125">
        <v>45658</v>
      </c>
      <c r="O177" s="125"/>
      <c r="R177" t="s">
        <v>1236</v>
      </c>
      <c r="S177">
        <v>2</v>
      </c>
    </row>
    <row r="178" spans="1:19" x14ac:dyDescent="0.25">
      <c r="A178" t="str">
        <f>TableBEDSC[[#This Row],[Study Package Code]]</f>
        <v>MJRU-HSEC1</v>
      </c>
      <c r="B178" s="5">
        <f>TableBEDSC[[#This Row],[Ver]]</f>
        <v>1</v>
      </c>
      <c r="D178" t="str">
        <f>TableBEDSC[[#This Row],[Structure Line]]</f>
        <v>Humanities and Social Sciences Education Major (Economics) (BEd Secondary)</v>
      </c>
      <c r="E178" s="81">
        <f>TableBEDSC[[#This Row],[Credit Points]]</f>
        <v>375</v>
      </c>
      <c r="F178">
        <v>7</v>
      </c>
      <c r="G178" t="s">
        <v>1215</v>
      </c>
      <c r="H178">
        <v>1</v>
      </c>
      <c r="I178" t="s">
        <v>1212</v>
      </c>
      <c r="J178" s="295" t="s">
        <v>340</v>
      </c>
      <c r="K178">
        <v>1</v>
      </c>
      <c r="L178" t="s">
        <v>377</v>
      </c>
      <c r="M178">
        <v>375</v>
      </c>
      <c r="N178" s="125">
        <v>45658</v>
      </c>
      <c r="O178" s="125"/>
      <c r="R178" t="s">
        <v>1237</v>
      </c>
      <c r="S178">
        <v>1</v>
      </c>
    </row>
    <row r="179" spans="1:19" x14ac:dyDescent="0.25">
      <c r="A179" t="str">
        <f>TableBEDSC[[#This Row],[Study Package Code]]</f>
        <v>MJRU-HSGE1</v>
      </c>
      <c r="B179" s="5">
        <f>TableBEDSC[[#This Row],[Ver]]</f>
        <v>1</v>
      </c>
      <c r="D179" t="str">
        <f>TableBEDSC[[#This Row],[Structure Line]]</f>
        <v>Humanities and Social Sciences Education Major (Geography) (BEd Secondary)</v>
      </c>
      <c r="E179" s="81">
        <f>TableBEDSC[[#This Row],[Credit Points]]</f>
        <v>375</v>
      </c>
      <c r="F179">
        <v>7</v>
      </c>
      <c r="G179" t="s">
        <v>1215</v>
      </c>
      <c r="H179">
        <v>1</v>
      </c>
      <c r="I179" t="s">
        <v>1212</v>
      </c>
      <c r="J179" s="295" t="s">
        <v>341</v>
      </c>
      <c r="K179">
        <v>1</v>
      </c>
      <c r="L179" t="s">
        <v>210</v>
      </c>
      <c r="M179">
        <v>375</v>
      </c>
      <c r="N179" s="125">
        <v>45658</v>
      </c>
      <c r="O179" s="125"/>
      <c r="R179" t="s">
        <v>1238</v>
      </c>
      <c r="S179">
        <v>1</v>
      </c>
    </row>
    <row r="180" spans="1:19" x14ac:dyDescent="0.25">
      <c r="A180" t="str">
        <f>TableBEDSC[[#This Row],[Study Package Code]]</f>
        <v>MJRU-HSHI1</v>
      </c>
      <c r="B180" s="5">
        <f>TableBEDSC[[#This Row],[Ver]]</f>
        <v>1</v>
      </c>
      <c r="D180" t="str">
        <f>TableBEDSC[[#This Row],[Structure Line]]</f>
        <v>Humanities and Social Sciences Education Major (History) (BEd Secondary)</v>
      </c>
      <c r="E180" s="81">
        <f>TableBEDSC[[#This Row],[Credit Points]]</f>
        <v>375</v>
      </c>
      <c r="F180">
        <v>7</v>
      </c>
      <c r="G180" t="s">
        <v>1215</v>
      </c>
      <c r="H180">
        <v>1</v>
      </c>
      <c r="I180" t="s">
        <v>1212</v>
      </c>
      <c r="J180" s="295" t="s">
        <v>342</v>
      </c>
      <c r="K180">
        <v>1</v>
      </c>
      <c r="L180" t="s">
        <v>378</v>
      </c>
      <c r="M180">
        <v>375</v>
      </c>
      <c r="N180" s="125">
        <v>45658</v>
      </c>
      <c r="O180" s="125"/>
      <c r="R180" t="s">
        <v>1239</v>
      </c>
      <c r="S180">
        <v>1</v>
      </c>
    </row>
    <row r="181" spans="1:19" x14ac:dyDescent="0.25">
      <c r="A181" t="str">
        <f>TableBEDSC[[#This Row],[Study Package Code]]</f>
        <v>MJRU-HSPL1</v>
      </c>
      <c r="B181" s="5">
        <f>TableBEDSC[[#This Row],[Ver]]</f>
        <v>1</v>
      </c>
      <c r="D181" t="str">
        <f>TableBEDSC[[#This Row],[Structure Line]]</f>
        <v>Humanities and Social Sciences Education Major (Politics and Law) (BEd Secondary)</v>
      </c>
      <c r="E181" s="81">
        <f>TableBEDSC[[#This Row],[Credit Points]]</f>
        <v>375</v>
      </c>
      <c r="F181">
        <v>7</v>
      </c>
      <c r="G181" t="s">
        <v>1215</v>
      </c>
      <c r="H181">
        <v>1</v>
      </c>
      <c r="I181" t="s">
        <v>1212</v>
      </c>
      <c r="J181" s="295" t="s">
        <v>343</v>
      </c>
      <c r="K181">
        <v>1</v>
      </c>
      <c r="L181" t="s">
        <v>380</v>
      </c>
      <c r="M181">
        <v>375</v>
      </c>
      <c r="N181" s="125">
        <v>45658</v>
      </c>
      <c r="O181" s="125"/>
      <c r="R181" t="s">
        <v>1240</v>
      </c>
      <c r="S181">
        <v>2</v>
      </c>
    </row>
    <row r="182" spans="1:19" x14ac:dyDescent="0.25">
      <c r="A182" t="str">
        <f>TableBEDSC[[#This Row],[Study Package Code]]</f>
        <v>MJRU-MATH1</v>
      </c>
      <c r="B182" s="5">
        <f>TableBEDSC[[#This Row],[Ver]]</f>
        <v>1</v>
      </c>
      <c r="D182" t="str">
        <f>TableBEDSC[[#This Row],[Structure Line]]</f>
        <v>Mathematics Education Major (BEd Secondary)</v>
      </c>
      <c r="E182" s="81">
        <f>TableBEDSC[[#This Row],[Credit Points]]</f>
        <v>375</v>
      </c>
      <c r="F182">
        <v>7</v>
      </c>
      <c r="G182" t="s">
        <v>1215</v>
      </c>
      <c r="H182">
        <v>1</v>
      </c>
      <c r="I182" t="s">
        <v>1212</v>
      </c>
      <c r="J182" s="295" t="s">
        <v>344</v>
      </c>
      <c r="K182">
        <v>1</v>
      </c>
      <c r="L182" t="s">
        <v>382</v>
      </c>
      <c r="M182">
        <v>375</v>
      </c>
      <c r="N182" s="125">
        <v>45658</v>
      </c>
      <c r="O182" s="125"/>
      <c r="R182" t="s">
        <v>1241</v>
      </c>
      <c r="S182">
        <v>2</v>
      </c>
    </row>
    <row r="183" spans="1:19" x14ac:dyDescent="0.25">
      <c r="A183" t="str">
        <f>TableBEDSC[[#This Row],[Study Package Code]]</f>
        <v>MJRU-PHYSE</v>
      </c>
      <c r="B183" s="5">
        <f>TableBEDSC[[#This Row],[Ver]]</f>
        <v>1</v>
      </c>
      <c r="D183" t="str">
        <f>TableBEDSC[[#This Row],[Structure Line]]</f>
        <v>Physical Education Major (BEd Secondary)</v>
      </c>
      <c r="E183" s="81">
        <f>TableBEDSC[[#This Row],[Credit Points]]</f>
        <v>375</v>
      </c>
      <c r="F183">
        <v>7</v>
      </c>
      <c r="G183" t="s">
        <v>1215</v>
      </c>
      <c r="H183">
        <v>1</v>
      </c>
      <c r="I183" t="s">
        <v>1212</v>
      </c>
      <c r="J183" s="295" t="s">
        <v>345</v>
      </c>
      <c r="K183">
        <v>1</v>
      </c>
      <c r="L183" t="s">
        <v>207</v>
      </c>
      <c r="M183">
        <v>375</v>
      </c>
      <c r="N183" s="125">
        <v>45658</v>
      </c>
      <c r="O183" s="125"/>
      <c r="R183" t="s">
        <v>1242</v>
      </c>
      <c r="S183">
        <v>1</v>
      </c>
    </row>
    <row r="184" spans="1:19" x14ac:dyDescent="0.25">
      <c r="A184" t="str">
        <f>TableBEDSC[[#This Row],[Study Package Code]]</f>
        <v>MJRU-SCBI1</v>
      </c>
      <c r="B184" s="5">
        <f>TableBEDSC[[#This Row],[Ver]]</f>
        <v>1</v>
      </c>
      <c r="D184" t="str">
        <f>TableBEDSC[[#This Row],[Structure Line]]</f>
        <v>Science Education Major (Biology) (BEd Secondary)</v>
      </c>
      <c r="E184" s="81">
        <f>TableBEDSC[[#This Row],[Credit Points]]</f>
        <v>375</v>
      </c>
      <c r="F184">
        <v>7</v>
      </c>
      <c r="G184" t="s">
        <v>1215</v>
      </c>
      <c r="H184">
        <v>1</v>
      </c>
      <c r="I184" t="s">
        <v>1212</v>
      </c>
      <c r="J184" s="295" t="s">
        <v>346</v>
      </c>
      <c r="K184">
        <v>1</v>
      </c>
      <c r="L184" t="s">
        <v>385</v>
      </c>
      <c r="M184">
        <v>375</v>
      </c>
      <c r="N184" s="125">
        <v>45658</v>
      </c>
      <c r="O184" s="125"/>
      <c r="R184" t="s">
        <v>1243</v>
      </c>
      <c r="S184">
        <v>1</v>
      </c>
    </row>
    <row r="185" spans="1:19" x14ac:dyDescent="0.25">
      <c r="A185" t="str">
        <f>TableBEDSC[[#This Row],[Study Package Code]]</f>
        <v>MJRU-SCCH1</v>
      </c>
      <c r="B185" s="5">
        <f>TableBEDSC[[#This Row],[Ver]]</f>
        <v>1</v>
      </c>
      <c r="D185" t="str">
        <f>TableBEDSC[[#This Row],[Structure Line]]</f>
        <v>Science Education Major (Chemistry) (BEd Secondary)</v>
      </c>
      <c r="E185" s="81">
        <f>TableBEDSC[[#This Row],[Credit Points]]</f>
        <v>375</v>
      </c>
      <c r="F185">
        <v>7</v>
      </c>
      <c r="G185" t="s">
        <v>1215</v>
      </c>
      <c r="H185">
        <v>1</v>
      </c>
      <c r="I185" t="s">
        <v>1212</v>
      </c>
      <c r="J185" s="295" t="s">
        <v>347</v>
      </c>
      <c r="K185">
        <v>1</v>
      </c>
      <c r="L185" t="s">
        <v>387</v>
      </c>
      <c r="M185">
        <v>375</v>
      </c>
      <c r="N185" s="125">
        <v>45658</v>
      </c>
      <c r="O185" s="125"/>
      <c r="R185" t="s">
        <v>1244</v>
      </c>
      <c r="S185">
        <v>2</v>
      </c>
    </row>
    <row r="186" spans="1:19" x14ac:dyDescent="0.25">
      <c r="A186" t="str">
        <f>TableBEDSC[[#This Row],[Study Package Code]]</f>
        <v>MJRU-SCHB1</v>
      </c>
      <c r="B186" s="5">
        <f>TableBEDSC[[#This Row],[Ver]]</f>
        <v>1</v>
      </c>
      <c r="D186" t="str">
        <f>TableBEDSC[[#This Row],[Structure Line]]</f>
        <v>Science Education Major (Human Biology) (BEd Secondary)</v>
      </c>
      <c r="E186" s="81">
        <f>TableBEDSC[[#This Row],[Credit Points]]</f>
        <v>375</v>
      </c>
      <c r="F186">
        <v>7</v>
      </c>
      <c r="G186" t="s">
        <v>1215</v>
      </c>
      <c r="H186">
        <v>1</v>
      </c>
      <c r="I186" t="s">
        <v>1212</v>
      </c>
      <c r="J186" s="295" t="s">
        <v>348</v>
      </c>
      <c r="K186">
        <v>1</v>
      </c>
      <c r="L186" t="s">
        <v>388</v>
      </c>
      <c r="M186">
        <v>375</v>
      </c>
      <c r="N186" s="125">
        <v>45658</v>
      </c>
      <c r="O186" s="125"/>
      <c r="R186" t="s">
        <v>1245</v>
      </c>
      <c r="S186">
        <v>1</v>
      </c>
    </row>
    <row r="187" spans="1:19" x14ac:dyDescent="0.25">
      <c r="A187" t="str">
        <f>TableBEDSC[[#This Row],[Study Package Code]]</f>
        <v>MJRU-SCPH1</v>
      </c>
      <c r="B187" s="5">
        <f>TableBEDSC[[#This Row],[Ver]]</f>
        <v>1</v>
      </c>
      <c r="D187" t="str">
        <f>TableBEDSC[[#This Row],[Structure Line]]</f>
        <v>Science Education Major (Physics) (BEd Secondary)</v>
      </c>
      <c r="E187" s="81">
        <f>TableBEDSC[[#This Row],[Credit Points]]</f>
        <v>375</v>
      </c>
      <c r="F187">
        <v>7</v>
      </c>
      <c r="G187" t="s">
        <v>1215</v>
      </c>
      <c r="H187">
        <v>1</v>
      </c>
      <c r="I187" t="s">
        <v>1212</v>
      </c>
      <c r="J187" s="295" t="s">
        <v>336</v>
      </c>
      <c r="K187">
        <v>1</v>
      </c>
      <c r="L187" t="s">
        <v>389</v>
      </c>
      <c r="M187">
        <v>375</v>
      </c>
      <c r="N187" s="125">
        <v>45658</v>
      </c>
      <c r="O187" s="125"/>
    </row>
    <row r="188" spans="1:19" x14ac:dyDescent="0.25">
      <c r="A188" t="str">
        <f>TableBEDSC[[#This Row],[Study Package Code]]</f>
        <v>MJRU-SCPS1</v>
      </c>
      <c r="B188" s="5">
        <f>TableBEDSC[[#This Row],[Ver]]</f>
        <v>1</v>
      </c>
      <c r="D188" t="str">
        <f>TableBEDSC[[#This Row],[Structure Line]]</f>
        <v>Science Education Major (Psychology) (BEd Secondary)</v>
      </c>
      <c r="E188" s="81">
        <f>TableBEDSC[[#This Row],[Credit Points]]</f>
        <v>375</v>
      </c>
      <c r="F188">
        <v>7</v>
      </c>
      <c r="G188" t="s">
        <v>1215</v>
      </c>
      <c r="H188">
        <v>1</v>
      </c>
      <c r="I188" t="s">
        <v>1212</v>
      </c>
      <c r="J188" s="295" t="s">
        <v>349</v>
      </c>
      <c r="K188">
        <v>1</v>
      </c>
      <c r="L188" t="s">
        <v>390</v>
      </c>
      <c r="M188">
        <v>375</v>
      </c>
      <c r="N188" s="125">
        <v>45658</v>
      </c>
      <c r="O188" s="125"/>
      <c r="R188" t="s">
        <v>1246</v>
      </c>
      <c r="S188">
        <v>1</v>
      </c>
    </row>
    <row r="189" spans="1:19" x14ac:dyDescent="0.25">
      <c r="A189" s="204"/>
      <c r="B189" s="205"/>
      <c r="C189" s="204"/>
      <c r="D189" s="204"/>
      <c r="E189" s="205"/>
      <c r="F189" s="204"/>
      <c r="G189" s="204"/>
      <c r="H189" s="204"/>
      <c r="I189" s="204"/>
      <c r="J189" s="204"/>
      <c r="K189" s="204"/>
      <c r="L189" s="204"/>
      <c r="M189" s="204"/>
      <c r="N189" s="199"/>
      <c r="O189" s="199"/>
    </row>
    <row r="190" spans="1:19" x14ac:dyDescent="0.25">
      <c r="A190" s="78"/>
      <c r="B190" s="80"/>
      <c r="C190" s="78"/>
      <c r="D190" s="78"/>
      <c r="G190" s="79" t="s">
        <v>1194</v>
      </c>
      <c r="H190" s="272">
        <v>45658</v>
      </c>
      <c r="J190" s="274" t="s">
        <v>335</v>
      </c>
      <c r="K190" s="273">
        <v>1</v>
      </c>
      <c r="L190" s="274" t="s">
        <v>392</v>
      </c>
      <c r="M190" s="78"/>
      <c r="N190" s="198" t="s">
        <v>1195</v>
      </c>
      <c r="O190" s="125">
        <v>45540</v>
      </c>
    </row>
    <row r="191" spans="1:19" ht="31.5" x14ac:dyDescent="0.25">
      <c r="A191" s="97" t="s">
        <v>0</v>
      </c>
      <c r="B191" s="98" t="s">
        <v>1196</v>
      </c>
      <c r="C191" s="97" t="s">
        <v>1197</v>
      </c>
      <c r="D191" s="97" t="s">
        <v>3</v>
      </c>
      <c r="E191" s="99" t="s">
        <v>1198</v>
      </c>
      <c r="F191" s="97" t="s">
        <v>1199</v>
      </c>
      <c r="G191" s="97" t="s">
        <v>1200</v>
      </c>
      <c r="H191" s="97" t="s">
        <v>1201</v>
      </c>
      <c r="I191" s="97" t="s">
        <v>18</v>
      </c>
      <c r="J191" s="97" t="s">
        <v>1202</v>
      </c>
      <c r="K191" s="97" t="s">
        <v>1</v>
      </c>
      <c r="L191" s="97" t="s">
        <v>1203</v>
      </c>
      <c r="M191" s="97" t="s">
        <v>69</v>
      </c>
      <c r="N191" s="97" t="s">
        <v>1204</v>
      </c>
      <c r="O191" s="97" t="s">
        <v>1205</v>
      </c>
      <c r="R191" t="s">
        <v>1206</v>
      </c>
      <c r="S191" t="s">
        <v>1207</v>
      </c>
    </row>
    <row r="192" spans="1:19" x14ac:dyDescent="0.25">
      <c r="A192" t="str">
        <f>TableMJRUARDR1[[#This Row],[Study Package Code]]</f>
        <v>Opt-ARDR1</v>
      </c>
      <c r="B192" s="5">
        <f>TableMJRUARDR1[[#This Row],[Ver]]</f>
        <v>0</v>
      </c>
      <c r="D192" t="str">
        <f>TableMJRUARDR1[[#This Row],[Structure Line]]</f>
        <v>Choose an Option</v>
      </c>
      <c r="E192" s="81">
        <f>TableMJRUARDR1[[#This Row],[Credit Points]]</f>
        <v>25</v>
      </c>
      <c r="F192">
        <v>1</v>
      </c>
      <c r="G192" t="s">
        <v>140</v>
      </c>
      <c r="H192">
        <v>0</v>
      </c>
      <c r="I192" t="s">
        <v>1221</v>
      </c>
      <c r="J192" t="s">
        <v>550</v>
      </c>
      <c r="K192">
        <v>0</v>
      </c>
      <c r="L192" t="s">
        <v>1219</v>
      </c>
      <c r="M192">
        <v>25</v>
      </c>
      <c r="N192" s="125"/>
      <c r="O192" s="125"/>
      <c r="R192" t="s">
        <v>448</v>
      </c>
      <c r="S192">
        <v>1</v>
      </c>
    </row>
    <row r="193" spans="1:19" x14ac:dyDescent="0.25">
      <c r="A193" t="str">
        <f>TableMJRUARDR1[[#This Row],[Study Package Code]]</f>
        <v>Stream</v>
      </c>
      <c r="B193" s="5">
        <f>TableMJRUARDR1[[#This Row],[Ver]]</f>
        <v>0</v>
      </c>
      <c r="D193" t="str">
        <f>TableMJRUARDR1[[#This Row],[Structure Line]]</f>
        <v>Choose Your Minor Teaching Area Stream</v>
      </c>
      <c r="E193" s="81">
        <f>TableMJRUARDR1[[#This Row],[Credit Points]]</f>
        <v>150</v>
      </c>
      <c r="F193">
        <v>2</v>
      </c>
      <c r="G193" t="s">
        <v>140</v>
      </c>
      <c r="H193">
        <v>1</v>
      </c>
      <c r="I193" t="s">
        <v>1212</v>
      </c>
      <c r="J193" t="s">
        <v>1157</v>
      </c>
      <c r="K193">
        <v>0</v>
      </c>
      <c r="L193" t="s">
        <v>1158</v>
      </c>
      <c r="M193">
        <v>150</v>
      </c>
      <c r="N193" s="125"/>
      <c r="O193" s="125"/>
      <c r="R193" t="s">
        <v>1157</v>
      </c>
      <c r="S193">
        <v>0</v>
      </c>
    </row>
    <row r="194" spans="1:19" x14ac:dyDescent="0.25">
      <c r="A194" t="str">
        <f>TableMJRUARDR1[[#This Row],[Study Package Code]]</f>
        <v>THTR1002</v>
      </c>
      <c r="B194" s="5">
        <f>TableMJRUARDR1[[#This Row],[Ver]]</f>
        <v>1</v>
      </c>
      <c r="D194" t="str">
        <f>TableMJRUARDR1[[#This Row],[Structure Line]]</f>
        <v>Devising Fundamentals</v>
      </c>
      <c r="E194" s="81">
        <f>TableMJRUARDR1[[#This Row],[Credit Points]]</f>
        <v>25</v>
      </c>
      <c r="F194">
        <v>3</v>
      </c>
      <c r="G194" t="s">
        <v>1208</v>
      </c>
      <c r="H194">
        <v>1</v>
      </c>
      <c r="I194" t="s">
        <v>1212</v>
      </c>
      <c r="J194" t="s">
        <v>448</v>
      </c>
      <c r="K194">
        <v>1</v>
      </c>
      <c r="L194" t="s">
        <v>1165</v>
      </c>
      <c r="M194">
        <v>25</v>
      </c>
      <c r="N194" s="125">
        <v>43647</v>
      </c>
      <c r="O194" s="125"/>
      <c r="R194" t="s">
        <v>462</v>
      </c>
      <c r="S194">
        <v>1</v>
      </c>
    </row>
    <row r="195" spans="1:19" x14ac:dyDescent="0.25">
      <c r="A195" t="str">
        <f>TableMJRUARDR1[[#This Row],[Study Package Code]]</f>
        <v>THTR1001</v>
      </c>
      <c r="B195" s="5">
        <f>TableMJRUARDR1[[#This Row],[Ver]]</f>
        <v>1</v>
      </c>
      <c r="D195" t="str">
        <f>TableMJRUARDR1[[#This Row],[Structure Line]]</f>
        <v>Acting Fundamentals</v>
      </c>
      <c r="E195" s="81">
        <f>TableMJRUARDR1[[#This Row],[Credit Points]]</f>
        <v>25</v>
      </c>
      <c r="F195">
        <v>4</v>
      </c>
      <c r="G195" t="s">
        <v>1208</v>
      </c>
      <c r="H195">
        <v>2</v>
      </c>
      <c r="I195" t="s">
        <v>1209</v>
      </c>
      <c r="J195" t="s">
        <v>462</v>
      </c>
      <c r="K195">
        <v>1</v>
      </c>
      <c r="L195" t="s">
        <v>1164</v>
      </c>
      <c r="M195">
        <v>25</v>
      </c>
      <c r="N195" s="125">
        <v>42005</v>
      </c>
      <c r="O195" s="125"/>
      <c r="R195" t="s">
        <v>463</v>
      </c>
      <c r="S195">
        <v>1</v>
      </c>
    </row>
    <row r="196" spans="1:19" x14ac:dyDescent="0.25">
      <c r="A196" t="str">
        <f>TableMJRUARDR1[[#This Row],[Study Package Code]]</f>
        <v>EDSC4032</v>
      </c>
      <c r="B196" s="5">
        <f>TableMJRUARDR1[[#This Row],[Ver]]</f>
        <v>1</v>
      </c>
      <c r="D196" t="str">
        <f>TableMJRUARDR1[[#This Row],[Structure Line]]</f>
        <v>Curriculum and Instruction Lower Secondary: The Arts</v>
      </c>
      <c r="E196" s="81">
        <f>TableMJRUARDR1[[#This Row],[Credit Points]]</f>
        <v>25</v>
      </c>
      <c r="F196">
        <v>5</v>
      </c>
      <c r="G196" t="s">
        <v>1208</v>
      </c>
      <c r="H196">
        <v>2</v>
      </c>
      <c r="I196" t="s">
        <v>1209</v>
      </c>
      <c r="J196" t="s">
        <v>463</v>
      </c>
      <c r="K196">
        <v>1</v>
      </c>
      <c r="L196" t="s">
        <v>953</v>
      </c>
      <c r="M196">
        <v>25</v>
      </c>
      <c r="N196" s="125">
        <v>43466</v>
      </c>
      <c r="O196" s="125"/>
      <c r="R196" t="s">
        <v>484</v>
      </c>
      <c r="S196">
        <v>2</v>
      </c>
    </row>
    <row r="197" spans="1:19" x14ac:dyDescent="0.25">
      <c r="A197" t="str">
        <f>TableMJRUARDR1[[#This Row],[Study Package Code]]</f>
        <v>EDSC4028</v>
      </c>
      <c r="B197" s="5">
        <f>TableMJRUARDR1[[#This Row],[Ver]]</f>
        <v>2</v>
      </c>
      <c r="D197" t="str">
        <f>TableMJRUARDR1[[#This Row],[Structure Line]]</f>
        <v>Curriculum and Instruction Senior Secondary: The Arts</v>
      </c>
      <c r="E197" s="81">
        <f>TableMJRUARDR1[[#This Row],[Credit Points]]</f>
        <v>25</v>
      </c>
      <c r="F197">
        <v>6</v>
      </c>
      <c r="G197" t="s">
        <v>1208</v>
      </c>
      <c r="H197">
        <v>2</v>
      </c>
      <c r="I197" t="s">
        <v>1212</v>
      </c>
      <c r="J197" t="s">
        <v>484</v>
      </c>
      <c r="K197">
        <v>2</v>
      </c>
      <c r="L197" t="s">
        <v>951</v>
      </c>
      <c r="M197">
        <v>25</v>
      </c>
      <c r="N197" s="125">
        <v>43831</v>
      </c>
      <c r="O197" s="125"/>
      <c r="R197" t="s">
        <v>1247</v>
      </c>
      <c r="S197">
        <v>1</v>
      </c>
    </row>
    <row r="198" spans="1:19" x14ac:dyDescent="0.25">
      <c r="A198" t="str">
        <f>TableMJRUARDR1[[#This Row],[Study Package Code]]</f>
        <v>THTR2003</v>
      </c>
      <c r="B198" s="5">
        <f>TableMJRUARDR1[[#This Row],[Ver]]</f>
        <v>1</v>
      </c>
      <c r="D198" t="str">
        <f>TableMJRUARDR1[[#This Row],[Structure Line]]</f>
        <v>Movement for the Actor</v>
      </c>
      <c r="E198" s="81">
        <f>TableMJRUARDR1[[#This Row],[Credit Points]]</f>
        <v>25</v>
      </c>
      <c r="F198">
        <v>7</v>
      </c>
      <c r="G198" t="s">
        <v>1208</v>
      </c>
      <c r="H198">
        <v>2</v>
      </c>
      <c r="I198" t="s">
        <v>1212</v>
      </c>
      <c r="J198" t="s">
        <v>493</v>
      </c>
      <c r="K198">
        <v>1</v>
      </c>
      <c r="L198" t="s">
        <v>1167</v>
      </c>
      <c r="M198">
        <v>25</v>
      </c>
      <c r="N198" s="125">
        <v>42005</v>
      </c>
      <c r="O198" s="125"/>
      <c r="R198" t="s">
        <v>1248</v>
      </c>
      <c r="S198">
        <v>1</v>
      </c>
    </row>
    <row r="199" spans="1:19" x14ac:dyDescent="0.25">
      <c r="A199" t="str">
        <f>TableMJRUARDR1[[#This Row],[Study Package Code]]</f>
        <v>THTR2002</v>
      </c>
      <c r="B199" s="5">
        <f>TableMJRUARDR1[[#This Row],[Ver]]</f>
        <v>1</v>
      </c>
      <c r="D199" t="str">
        <f>TableMJRUARDR1[[#This Row],[Structure Line]]</f>
        <v>Technical Theatre Fundamentals</v>
      </c>
      <c r="E199" s="81">
        <f>TableMJRUARDR1[[#This Row],[Credit Points]]</f>
        <v>25</v>
      </c>
      <c r="F199">
        <v>8</v>
      </c>
      <c r="G199" t="s">
        <v>1208</v>
      </c>
      <c r="H199">
        <v>3</v>
      </c>
      <c r="I199" t="s">
        <v>1209</v>
      </c>
      <c r="J199" t="s">
        <v>506</v>
      </c>
      <c r="K199">
        <v>1</v>
      </c>
      <c r="L199" t="s">
        <v>1166</v>
      </c>
      <c r="M199">
        <v>25</v>
      </c>
      <c r="N199" s="125">
        <v>42005</v>
      </c>
      <c r="O199" s="125"/>
      <c r="R199" t="s">
        <v>506</v>
      </c>
      <c r="S199">
        <v>1</v>
      </c>
    </row>
    <row r="200" spans="1:19" x14ac:dyDescent="0.25">
      <c r="A200" t="str">
        <f>TableMJRUARDR1[[#This Row],[Study Package Code]]</f>
        <v>THTR3004</v>
      </c>
      <c r="B200" s="5">
        <f>TableMJRUARDR1[[#This Row],[Ver]]</f>
        <v>1</v>
      </c>
      <c r="D200" t="str">
        <f>TableMJRUARDR1[[#This Row],[Structure Line]]</f>
        <v>Australian Theatre</v>
      </c>
      <c r="E200" s="81">
        <f>TableMJRUARDR1[[#This Row],[Credit Points]]</f>
        <v>25</v>
      </c>
      <c r="F200">
        <v>9</v>
      </c>
      <c r="G200" t="s">
        <v>1208</v>
      </c>
      <c r="H200">
        <v>3</v>
      </c>
      <c r="I200" t="s">
        <v>1212</v>
      </c>
      <c r="J200" t="s">
        <v>521</v>
      </c>
      <c r="K200">
        <v>1</v>
      </c>
      <c r="L200" t="s">
        <v>1171</v>
      </c>
      <c r="M200">
        <v>25</v>
      </c>
      <c r="N200" s="125">
        <v>42005</v>
      </c>
      <c r="O200" s="125"/>
      <c r="R200" t="s">
        <v>1249</v>
      </c>
      <c r="S200">
        <v>2</v>
      </c>
    </row>
    <row r="201" spans="1:19" x14ac:dyDescent="0.25">
      <c r="A201" t="str">
        <f>TableMJRUARDR1[[#This Row],[Study Package Code]]</f>
        <v>THTR3000</v>
      </c>
      <c r="B201" s="5">
        <f>TableMJRUARDR1[[#This Row],[Ver]]</f>
        <v>1</v>
      </c>
      <c r="D201" t="str">
        <f>TableMJRUARDR1[[#This Row],[Structure Line]]</f>
        <v>Directing Theatre</v>
      </c>
      <c r="E201" s="81">
        <f>TableMJRUARDR1[[#This Row],[Credit Points]]</f>
        <v>25</v>
      </c>
      <c r="F201">
        <v>10</v>
      </c>
      <c r="G201" t="s">
        <v>1208</v>
      </c>
      <c r="H201">
        <v>4</v>
      </c>
      <c r="I201" t="s">
        <v>1209</v>
      </c>
      <c r="J201" t="s">
        <v>536</v>
      </c>
      <c r="K201">
        <v>1</v>
      </c>
      <c r="L201" t="s">
        <v>1169</v>
      </c>
      <c r="M201">
        <v>25</v>
      </c>
      <c r="N201" s="125">
        <v>42005</v>
      </c>
      <c r="O201" s="125"/>
      <c r="R201" t="s">
        <v>536</v>
      </c>
      <c r="S201">
        <v>1</v>
      </c>
    </row>
    <row r="202" spans="1:19" x14ac:dyDescent="0.25">
      <c r="A202" t="str">
        <f>TableMJRUARDR1[[#This Row],[Study Package Code]]</f>
        <v>MATH1014</v>
      </c>
      <c r="B202" s="5">
        <f>TableMJRUARDR1[[#This Row],[Ver]]</f>
        <v>1</v>
      </c>
      <c r="D202" t="str">
        <f>TableMJRUARDR1[[#This Row],[Structure Line]]</f>
        <v>Foundations of Calculus</v>
      </c>
      <c r="E202" s="81">
        <f>TableMJRUARDR1[[#This Row],[Credit Points]]</f>
        <v>25</v>
      </c>
      <c r="F202">
        <v>1</v>
      </c>
      <c r="G202" t="s">
        <v>140</v>
      </c>
      <c r="H202">
        <v>0</v>
      </c>
      <c r="I202" t="s">
        <v>1221</v>
      </c>
      <c r="J202" t="s">
        <v>588</v>
      </c>
      <c r="K202">
        <v>1</v>
      </c>
      <c r="L202" t="s">
        <v>1051</v>
      </c>
      <c r="M202">
        <v>25</v>
      </c>
      <c r="N202" s="125">
        <v>42736</v>
      </c>
      <c r="O202" s="125"/>
      <c r="R202" t="s">
        <v>102</v>
      </c>
      <c r="S202">
        <v>0</v>
      </c>
    </row>
    <row r="203" spans="1:19" x14ac:dyDescent="0.25">
      <c r="A203" t="str">
        <f>TableMJRUARDR1[[#This Row],[Study Package Code]]</f>
        <v>SPRO2000</v>
      </c>
      <c r="B203" s="5">
        <f>TableMJRUARDR1[[#This Row],[Ver]]</f>
        <v>3</v>
      </c>
      <c r="D203" t="str">
        <f>TableMJRUARDR1[[#This Row],[Structure Line]]</f>
        <v>Studio Production</v>
      </c>
      <c r="E203" s="81">
        <f>TableMJRUARDR1[[#This Row],[Credit Points]]</f>
        <v>25</v>
      </c>
      <c r="F203">
        <v>1</v>
      </c>
      <c r="G203" t="s">
        <v>140</v>
      </c>
      <c r="H203">
        <v>0</v>
      </c>
      <c r="I203" t="s">
        <v>1221</v>
      </c>
      <c r="J203" t="s">
        <v>522</v>
      </c>
      <c r="K203">
        <v>3</v>
      </c>
      <c r="L203" t="s">
        <v>1142</v>
      </c>
      <c r="M203">
        <v>25</v>
      </c>
      <c r="N203" s="125">
        <v>44927</v>
      </c>
      <c r="O203" s="125"/>
      <c r="R203" t="s">
        <v>350</v>
      </c>
      <c r="S203">
        <v>2</v>
      </c>
    </row>
    <row r="204" spans="1:19" x14ac:dyDescent="0.25">
      <c r="A204" t="str">
        <f>TableMJRUARDR1[[#This Row],[Study Package Code]]</f>
        <v>SPRO2003</v>
      </c>
      <c r="B204" s="5">
        <f>TableMJRUARDR1[[#This Row],[Ver]]</f>
        <v>2</v>
      </c>
      <c r="D204" t="str">
        <f>TableMJRUARDR1[[#This Row],[Structure Line]]</f>
        <v>Drama Narratives</v>
      </c>
      <c r="E204" s="81">
        <f>TableMJRUARDR1[[#This Row],[Credit Points]]</f>
        <v>25</v>
      </c>
      <c r="F204">
        <v>1</v>
      </c>
      <c r="G204" t="s">
        <v>140</v>
      </c>
      <c r="H204">
        <v>0</v>
      </c>
      <c r="I204" t="s">
        <v>1221</v>
      </c>
      <c r="J204" t="s">
        <v>576</v>
      </c>
      <c r="K204">
        <v>2</v>
      </c>
      <c r="L204" t="s">
        <v>1143</v>
      </c>
      <c r="M204">
        <v>25</v>
      </c>
      <c r="N204" s="125">
        <v>43831</v>
      </c>
      <c r="O204" s="125"/>
      <c r="R204" t="s">
        <v>1250</v>
      </c>
      <c r="S204">
        <v>2</v>
      </c>
    </row>
    <row r="205" spans="1:19" x14ac:dyDescent="0.25">
      <c r="A205" t="str">
        <f>TableMJRUARDR1[[#This Row],[Study Package Code]]</f>
        <v>STRU-BSCIM</v>
      </c>
      <c r="B205" s="5">
        <f>TableMJRUARDR1[[#This Row],[Ver]]</f>
        <v>3</v>
      </c>
      <c r="D205" t="str">
        <f>TableMJRUARDR1[[#This Row],[Structure Line]]</f>
        <v>Biological Sciences Education Minor Teaching Area Stream (BEd Secondary)</v>
      </c>
      <c r="E205" s="81">
        <f>TableMJRUARDR1[[#This Row],[Credit Points]]</f>
        <v>150</v>
      </c>
      <c r="F205">
        <v>2</v>
      </c>
      <c r="G205" t="s">
        <v>140</v>
      </c>
      <c r="H205">
        <v>1</v>
      </c>
      <c r="I205" t="s">
        <v>1212</v>
      </c>
      <c r="J205" t="s">
        <v>350</v>
      </c>
      <c r="K205">
        <v>3</v>
      </c>
      <c r="L205" t="s">
        <v>205</v>
      </c>
      <c r="M205">
        <v>150</v>
      </c>
      <c r="N205" s="125">
        <v>45658</v>
      </c>
      <c r="O205" s="125"/>
      <c r="R205" t="s">
        <v>353</v>
      </c>
      <c r="S205">
        <v>3</v>
      </c>
    </row>
    <row r="206" spans="1:19" x14ac:dyDescent="0.25">
      <c r="A206" t="str">
        <f>TableMJRUARDR1[[#This Row],[Study Package Code]]</f>
        <v>STRU-ENGLM</v>
      </c>
      <c r="B206" s="5">
        <f>TableMJRUARDR1[[#This Row],[Ver]]</f>
        <v>3</v>
      </c>
      <c r="D206" t="str">
        <f>TableMJRUARDR1[[#This Row],[Structure Line]]</f>
        <v>English Education Minor Teaching Area Stream (BEd Secondary)</v>
      </c>
      <c r="E206" s="81">
        <f>TableMJRUARDR1[[#This Row],[Credit Points]]</f>
        <v>150</v>
      </c>
      <c r="F206">
        <v>2</v>
      </c>
      <c r="G206" t="s">
        <v>140</v>
      </c>
      <c r="H206">
        <v>1</v>
      </c>
      <c r="I206" t="s">
        <v>1212</v>
      </c>
      <c r="J206" t="s">
        <v>353</v>
      </c>
      <c r="K206">
        <v>3</v>
      </c>
      <c r="L206" t="s">
        <v>413</v>
      </c>
      <c r="M206">
        <v>150</v>
      </c>
      <c r="N206" s="125">
        <v>44562</v>
      </c>
      <c r="O206" s="125"/>
      <c r="R206" t="s">
        <v>1251</v>
      </c>
      <c r="S206">
        <v>2</v>
      </c>
    </row>
    <row r="207" spans="1:19" x14ac:dyDescent="0.25">
      <c r="A207" t="str">
        <f>TableMJRUARDR1[[#This Row],[Study Package Code]]</f>
        <v>STRU-GEOGM</v>
      </c>
      <c r="B207" s="5">
        <f>TableMJRUARDR1[[#This Row],[Ver]]</f>
        <v>1</v>
      </c>
      <c r="D207" t="str">
        <f>TableMJRUARDR1[[#This Row],[Structure Line]]</f>
        <v>Geography Education Minor Teaching Area Stream (BEd Secondary)</v>
      </c>
      <c r="E207" s="81">
        <f>TableMJRUARDR1[[#This Row],[Credit Points]]</f>
        <v>150</v>
      </c>
      <c r="F207">
        <v>2</v>
      </c>
      <c r="G207" t="s">
        <v>140</v>
      </c>
      <c r="H207">
        <v>1</v>
      </c>
      <c r="I207" t="s">
        <v>1212</v>
      </c>
      <c r="J207" t="s">
        <v>354</v>
      </c>
      <c r="K207">
        <v>1</v>
      </c>
      <c r="L207" t="s">
        <v>414</v>
      </c>
      <c r="M207">
        <v>150</v>
      </c>
      <c r="N207" s="125">
        <v>45658</v>
      </c>
      <c r="O207" s="125"/>
      <c r="R207" t="s">
        <v>356</v>
      </c>
      <c r="S207">
        <v>2</v>
      </c>
    </row>
    <row r="208" spans="1:19" x14ac:dyDescent="0.25">
      <c r="A208" t="str">
        <f>TableMJRUARDR1[[#This Row],[Study Package Code]]</f>
        <v>STRU-HISTM</v>
      </c>
      <c r="B208" s="5">
        <f>TableMJRUARDR1[[#This Row],[Ver]]</f>
        <v>1</v>
      </c>
      <c r="D208" t="str">
        <f>TableMJRUARDR1[[#This Row],[Structure Line]]</f>
        <v>History Education Minor Teaching Area Stream (BEd Secondary)</v>
      </c>
      <c r="E208" s="81">
        <f>TableMJRUARDR1[[#This Row],[Credit Points]]</f>
        <v>150</v>
      </c>
      <c r="F208">
        <v>2</v>
      </c>
      <c r="G208" t="s">
        <v>140</v>
      </c>
      <c r="H208">
        <v>1</v>
      </c>
      <c r="I208" t="s">
        <v>1212</v>
      </c>
      <c r="J208" t="s">
        <v>355</v>
      </c>
      <c r="K208">
        <v>1</v>
      </c>
      <c r="L208" t="s">
        <v>445</v>
      </c>
      <c r="M208">
        <v>150</v>
      </c>
      <c r="N208" s="125">
        <v>45658</v>
      </c>
      <c r="O208" s="125"/>
      <c r="R208" t="s">
        <v>352</v>
      </c>
      <c r="S208">
        <v>2</v>
      </c>
    </row>
    <row r="209" spans="1:19" x14ac:dyDescent="0.25">
      <c r="A209" t="str">
        <f>TableMJRUARDR1[[#This Row],[Study Package Code]]</f>
        <v>STRU-MATHM</v>
      </c>
      <c r="B209" s="5">
        <f>TableMJRUARDR1[[#This Row],[Ver]]</f>
        <v>3</v>
      </c>
      <c r="D209" t="str">
        <f>TableMJRUARDR1[[#This Row],[Structure Line]]</f>
        <v>Mathematics Education Minor Teaching Area Stream (BEd Secondary)</v>
      </c>
      <c r="E209" s="81">
        <f>TableMJRUARDR1[[#This Row],[Credit Points]]</f>
        <v>150</v>
      </c>
      <c r="F209">
        <v>2</v>
      </c>
      <c r="G209" t="s">
        <v>140</v>
      </c>
      <c r="H209">
        <v>1</v>
      </c>
      <c r="I209" t="s">
        <v>1212</v>
      </c>
      <c r="J209" t="s">
        <v>356</v>
      </c>
      <c r="K209">
        <v>3</v>
      </c>
      <c r="L209" t="s">
        <v>213</v>
      </c>
      <c r="M209">
        <v>150</v>
      </c>
      <c r="N209" s="125">
        <v>45658</v>
      </c>
      <c r="O209" s="125"/>
      <c r="R209" t="s">
        <v>1252</v>
      </c>
      <c r="S209">
        <v>2</v>
      </c>
    </row>
    <row r="210" spans="1:19" x14ac:dyDescent="0.25">
      <c r="A210" t="str">
        <f>TableMJRUARDR1[[#This Row],[Study Package Code]]</f>
        <v>STRU-PARTB</v>
      </c>
      <c r="B210" s="5">
        <f>TableMJRUARDR1[[#This Row],[Ver]]</f>
        <v>3</v>
      </c>
      <c r="D210" t="str">
        <f>TableMJRUARDR1[[#This Row],[Structure Line]]</f>
        <v>Broadening Performing Arts Teaching Area Stream (BEd Secondary)</v>
      </c>
      <c r="E210" s="81">
        <f>TableMJRUARDR1[[#This Row],[Credit Points]]</f>
        <v>150</v>
      </c>
      <c r="F210">
        <v>2</v>
      </c>
      <c r="G210" t="s">
        <v>140</v>
      </c>
      <c r="H210">
        <v>1</v>
      </c>
      <c r="I210" t="s">
        <v>1212</v>
      </c>
      <c r="J210" t="s">
        <v>352</v>
      </c>
      <c r="K210">
        <v>3</v>
      </c>
      <c r="L210" t="s">
        <v>410</v>
      </c>
      <c r="M210">
        <v>150</v>
      </c>
      <c r="N210" s="125">
        <v>45658</v>
      </c>
      <c r="O210" s="125"/>
      <c r="R210" t="s">
        <v>357</v>
      </c>
      <c r="S210">
        <v>2</v>
      </c>
    </row>
    <row r="211" spans="1:19" x14ac:dyDescent="0.25">
      <c r="A211" t="str">
        <f>TableMJRUARDR1[[#This Row],[Study Package Code]]</f>
        <v>STRU-PSYCM</v>
      </c>
      <c r="B211" s="5">
        <f>TableMJRUARDR1[[#This Row],[Ver]]</f>
        <v>3</v>
      </c>
      <c r="D211" t="str">
        <f>TableMJRUARDR1[[#This Row],[Structure Line]]</f>
        <v>Psychology Education Minor Teaching Area Stream (BEd Secondary)</v>
      </c>
      <c r="E211" s="81">
        <f>TableMJRUARDR1[[#This Row],[Credit Points]]</f>
        <v>150</v>
      </c>
      <c r="F211">
        <v>2</v>
      </c>
      <c r="G211" t="s">
        <v>140</v>
      </c>
      <c r="H211">
        <v>1</v>
      </c>
      <c r="I211" t="s">
        <v>1212</v>
      </c>
      <c r="J211" t="s">
        <v>357</v>
      </c>
      <c r="K211">
        <v>3</v>
      </c>
      <c r="L211" t="s">
        <v>482</v>
      </c>
      <c r="M211">
        <v>150</v>
      </c>
      <c r="N211" s="125">
        <v>45658</v>
      </c>
      <c r="O211" s="125"/>
      <c r="R211" t="s">
        <v>1253</v>
      </c>
      <c r="S211">
        <v>2</v>
      </c>
    </row>
    <row r="212" spans="1:19" x14ac:dyDescent="0.25">
      <c r="A212" s="78"/>
      <c r="B212" s="80"/>
      <c r="C212" s="78"/>
      <c r="D212" s="78"/>
      <c r="G212" s="79" t="s">
        <v>1194</v>
      </c>
      <c r="H212" s="272">
        <v>45658</v>
      </c>
      <c r="J212" s="274" t="s">
        <v>337</v>
      </c>
      <c r="K212" s="273">
        <v>1</v>
      </c>
      <c r="L212" s="274" t="s">
        <v>393</v>
      </c>
      <c r="M212" s="78"/>
      <c r="N212" s="198" t="s">
        <v>1195</v>
      </c>
      <c r="O212" s="125">
        <v>45540</v>
      </c>
    </row>
    <row r="213" spans="1:19" ht="31.5" x14ac:dyDescent="0.25">
      <c r="A213" s="97" t="s">
        <v>0</v>
      </c>
      <c r="B213" s="98" t="s">
        <v>1196</v>
      </c>
      <c r="C213" s="97" t="s">
        <v>1197</v>
      </c>
      <c r="D213" s="97" t="s">
        <v>3</v>
      </c>
      <c r="E213" s="99" t="s">
        <v>1198</v>
      </c>
      <c r="F213" s="97" t="s">
        <v>1199</v>
      </c>
      <c r="G213" s="97" t="s">
        <v>1200</v>
      </c>
      <c r="H213" s="97" t="s">
        <v>1201</v>
      </c>
      <c r="I213" s="97" t="s">
        <v>18</v>
      </c>
      <c r="J213" s="97" t="s">
        <v>1202</v>
      </c>
      <c r="K213" s="97" t="s">
        <v>1</v>
      </c>
      <c r="L213" s="97" t="s">
        <v>1203</v>
      </c>
      <c r="M213" s="97" t="s">
        <v>69</v>
      </c>
      <c r="N213" s="97" t="s">
        <v>1204</v>
      </c>
      <c r="O213" s="97" t="s">
        <v>1205</v>
      </c>
      <c r="R213" t="s">
        <v>1206</v>
      </c>
      <c r="S213" t="s">
        <v>1207</v>
      </c>
    </row>
    <row r="214" spans="1:19" x14ac:dyDescent="0.25">
      <c r="A214" t="str">
        <f>TableMJRUARME1[[#This Row],[Study Package Code]]</f>
        <v>Opt-ARME1</v>
      </c>
      <c r="B214" s="5">
        <f>TableMJRUARME1[[#This Row],[Ver]]</f>
        <v>0</v>
      </c>
      <c r="D214" t="str">
        <f>TableMJRUARME1[[#This Row],[Structure Line]]</f>
        <v>Choose an Option</v>
      </c>
      <c r="E214" s="81">
        <f>TableMJRUARME1[[#This Row],[Credit Points]]</f>
        <v>25</v>
      </c>
      <c r="F214">
        <v>1</v>
      </c>
      <c r="G214" t="s">
        <v>140</v>
      </c>
      <c r="H214">
        <v>0</v>
      </c>
      <c r="I214" t="s">
        <v>1221</v>
      </c>
      <c r="J214" t="s">
        <v>551</v>
      </c>
      <c r="K214">
        <v>0</v>
      </c>
      <c r="L214" t="s">
        <v>1219</v>
      </c>
      <c r="M214">
        <v>25</v>
      </c>
      <c r="N214" s="125"/>
      <c r="O214" s="125"/>
      <c r="R214" t="s">
        <v>577</v>
      </c>
      <c r="S214">
        <v>2</v>
      </c>
    </row>
    <row r="215" spans="1:19" x14ac:dyDescent="0.25">
      <c r="A215" t="str">
        <f>TableMJRUARME1[[#This Row],[Study Package Code]]</f>
        <v>AC-ARME1</v>
      </c>
      <c r="B215" s="5">
        <f>TableMJRUARME1[[#This Row],[Ver]]</f>
        <v>0</v>
      </c>
      <c r="D215" t="str">
        <f>TableMJRUARME1[[#This Row],[Structure Line]]</f>
        <v>Choose SCST1000 or NETS1001</v>
      </c>
      <c r="E215" s="81">
        <f>TableMJRUARME1[[#This Row],[Credit Points]]</f>
        <v>25</v>
      </c>
      <c r="F215">
        <v>2</v>
      </c>
      <c r="G215" t="s">
        <v>1215</v>
      </c>
      <c r="H215">
        <v>1</v>
      </c>
      <c r="I215" t="s">
        <v>1212</v>
      </c>
      <c r="J215" t="s">
        <v>449</v>
      </c>
      <c r="K215">
        <v>0</v>
      </c>
      <c r="L215" t="s">
        <v>1254</v>
      </c>
      <c r="M215">
        <v>25</v>
      </c>
      <c r="N215" s="125"/>
      <c r="O215" s="125"/>
      <c r="R215" t="s">
        <v>1157</v>
      </c>
      <c r="S215">
        <v>0</v>
      </c>
    </row>
    <row r="216" spans="1:19" x14ac:dyDescent="0.25">
      <c r="A216" t="str">
        <f>TableMJRUARME1[[#This Row],[Study Package Code]]</f>
        <v>Stream</v>
      </c>
      <c r="B216" s="5">
        <f>TableMJRUARME1[[#This Row],[Ver]]</f>
        <v>0</v>
      </c>
      <c r="D216" t="str">
        <f>TableMJRUARME1[[#This Row],[Structure Line]]</f>
        <v>Choose Your Minor Teaching Area Stream</v>
      </c>
      <c r="E216" s="81">
        <f>TableMJRUARME1[[#This Row],[Credit Points]]</f>
        <v>150</v>
      </c>
      <c r="F216">
        <v>3</v>
      </c>
      <c r="G216" t="s">
        <v>140</v>
      </c>
      <c r="H216">
        <v>1</v>
      </c>
      <c r="I216" t="s">
        <v>1212</v>
      </c>
      <c r="J216" t="s">
        <v>1157</v>
      </c>
      <c r="K216">
        <v>0</v>
      </c>
      <c r="L216" t="s">
        <v>1158</v>
      </c>
      <c r="M216">
        <v>150</v>
      </c>
      <c r="N216" s="125"/>
      <c r="O216" s="125"/>
      <c r="R216" t="s">
        <v>463</v>
      </c>
      <c r="S216">
        <v>1</v>
      </c>
    </row>
    <row r="217" spans="1:19" x14ac:dyDescent="0.25">
      <c r="A217" t="str">
        <f>TableMJRUARME1[[#This Row],[Study Package Code]]</f>
        <v>EDSC4032</v>
      </c>
      <c r="B217" s="5">
        <f>TableMJRUARME1[[#This Row],[Ver]]</f>
        <v>1</v>
      </c>
      <c r="D217" t="str">
        <f>TableMJRUARME1[[#This Row],[Structure Line]]</f>
        <v>Curriculum and Instruction Lower Secondary: The Arts</v>
      </c>
      <c r="E217" s="81">
        <f>TableMJRUARME1[[#This Row],[Credit Points]]</f>
        <v>25</v>
      </c>
      <c r="F217">
        <v>4</v>
      </c>
      <c r="G217" t="s">
        <v>1208</v>
      </c>
      <c r="H217">
        <v>2</v>
      </c>
      <c r="I217" t="s">
        <v>1209</v>
      </c>
      <c r="J217" t="s">
        <v>463</v>
      </c>
      <c r="K217">
        <v>1</v>
      </c>
      <c r="L217" t="s">
        <v>953</v>
      </c>
      <c r="M217">
        <v>25</v>
      </c>
      <c r="N217" s="125">
        <v>43466</v>
      </c>
      <c r="O217" s="125"/>
      <c r="R217" t="s">
        <v>700</v>
      </c>
      <c r="S217">
        <v>2</v>
      </c>
    </row>
    <row r="218" spans="1:19" x14ac:dyDescent="0.25">
      <c r="A218" t="str">
        <f>TableMJRUARME1[[#This Row],[Study Package Code]]</f>
        <v>NETS2000</v>
      </c>
      <c r="B218" s="5">
        <f>TableMJRUARME1[[#This Row],[Ver]]</f>
        <v>1</v>
      </c>
      <c r="D218" t="str">
        <f>TableMJRUARME1[[#This Row],[Structure Line]]</f>
        <v>Web Media</v>
      </c>
      <c r="E218" s="81">
        <f>TableMJRUARME1[[#This Row],[Credit Points]]</f>
        <v>25</v>
      </c>
      <c r="F218">
        <v>5</v>
      </c>
      <c r="G218" t="s">
        <v>1208</v>
      </c>
      <c r="H218">
        <v>2</v>
      </c>
      <c r="I218" t="s">
        <v>1209</v>
      </c>
      <c r="J218" t="s">
        <v>469</v>
      </c>
      <c r="K218">
        <v>1</v>
      </c>
      <c r="L218" t="s">
        <v>1071</v>
      </c>
      <c r="M218">
        <v>25</v>
      </c>
      <c r="N218" s="125">
        <v>42005</v>
      </c>
      <c r="O218" s="125"/>
      <c r="R218" t="s">
        <v>484</v>
      </c>
      <c r="S218">
        <v>2</v>
      </c>
    </row>
    <row r="219" spans="1:19" x14ac:dyDescent="0.25">
      <c r="A219" t="str">
        <f>TableMJRUARME1[[#This Row],[Study Package Code]]</f>
        <v>EDSC4028</v>
      </c>
      <c r="B219" s="5">
        <f>TableMJRUARME1[[#This Row],[Ver]]</f>
        <v>2</v>
      </c>
      <c r="D219" t="str">
        <f>TableMJRUARME1[[#This Row],[Structure Line]]</f>
        <v>Curriculum and Instruction Senior Secondary: The Arts</v>
      </c>
      <c r="E219" s="81">
        <f>TableMJRUARME1[[#This Row],[Credit Points]]</f>
        <v>25</v>
      </c>
      <c r="F219">
        <v>6</v>
      </c>
      <c r="G219" t="s">
        <v>1208</v>
      </c>
      <c r="H219">
        <v>2</v>
      </c>
      <c r="I219" t="s">
        <v>1212</v>
      </c>
      <c r="J219" t="s">
        <v>484</v>
      </c>
      <c r="K219">
        <v>2</v>
      </c>
      <c r="L219" t="s">
        <v>951</v>
      </c>
      <c r="M219">
        <v>25</v>
      </c>
      <c r="N219" s="125">
        <v>43831</v>
      </c>
      <c r="O219" s="125"/>
      <c r="R219" t="s">
        <v>522</v>
      </c>
      <c r="S219">
        <v>3</v>
      </c>
    </row>
    <row r="220" spans="1:19" x14ac:dyDescent="0.25">
      <c r="A220" t="str">
        <f>TableMJRUARME1[[#This Row],[Study Package Code]]</f>
        <v>COMS1001</v>
      </c>
      <c r="B220" s="5">
        <f>TableMJRUARME1[[#This Row],[Ver]]</f>
        <v>1</v>
      </c>
      <c r="D220" t="str">
        <f>TableMJRUARME1[[#This Row],[Structure Line]]</f>
        <v>Engaging Media</v>
      </c>
      <c r="E220" s="81">
        <f>TableMJRUARME1[[#This Row],[Credit Points]]</f>
        <v>25</v>
      </c>
      <c r="F220">
        <v>7</v>
      </c>
      <c r="G220" t="s">
        <v>1208</v>
      </c>
      <c r="H220">
        <v>2</v>
      </c>
      <c r="I220" t="s">
        <v>1212</v>
      </c>
      <c r="J220" t="s">
        <v>494</v>
      </c>
      <c r="K220">
        <v>1</v>
      </c>
      <c r="L220" t="s">
        <v>851</v>
      </c>
      <c r="M220">
        <v>25</v>
      </c>
      <c r="N220" s="125">
        <v>42005</v>
      </c>
      <c r="O220" s="125"/>
      <c r="R220" t="s">
        <v>576</v>
      </c>
      <c r="S220">
        <v>2</v>
      </c>
    </row>
    <row r="221" spans="1:19" x14ac:dyDescent="0.25">
      <c r="A221" t="str">
        <f>TableMJRUARME1[[#This Row],[Study Package Code]]</f>
        <v>SPRO2000</v>
      </c>
      <c r="B221" s="5">
        <f>TableMJRUARME1[[#This Row],[Ver]]</f>
        <v>3</v>
      </c>
      <c r="D221" t="str">
        <f>TableMJRUARME1[[#This Row],[Structure Line]]</f>
        <v>Studio Production</v>
      </c>
      <c r="E221" s="81">
        <f>TableMJRUARME1[[#This Row],[Credit Points]]</f>
        <v>25</v>
      </c>
      <c r="F221">
        <v>8</v>
      </c>
      <c r="G221" t="s">
        <v>1208</v>
      </c>
      <c r="H221">
        <v>3</v>
      </c>
      <c r="I221" t="s">
        <v>1209</v>
      </c>
      <c r="J221" t="s">
        <v>522</v>
      </c>
      <c r="K221">
        <v>3</v>
      </c>
      <c r="L221" t="s">
        <v>1142</v>
      </c>
      <c r="M221">
        <v>25</v>
      </c>
      <c r="N221" s="125">
        <v>44927</v>
      </c>
      <c r="O221" s="125"/>
      <c r="R221" t="s">
        <v>1248</v>
      </c>
      <c r="S221">
        <v>1</v>
      </c>
    </row>
    <row r="222" spans="1:19" x14ac:dyDescent="0.25">
      <c r="A222" t="str">
        <f>TableMJRUARME1[[#This Row],[Study Package Code]]</f>
        <v>NETS3010</v>
      </c>
      <c r="B222" s="5">
        <f>TableMJRUARME1[[#This Row],[Ver]]</f>
        <v>3</v>
      </c>
      <c r="D222" t="str">
        <f>TableMJRUARME1[[#This Row],[Structure Line]]</f>
        <v>Online Games and Play</v>
      </c>
      <c r="E222" s="81">
        <f>TableMJRUARME1[[#This Row],[Credit Points]]</f>
        <v>25</v>
      </c>
      <c r="F222">
        <v>9</v>
      </c>
      <c r="G222" t="s">
        <v>1208</v>
      </c>
      <c r="H222">
        <v>3</v>
      </c>
      <c r="I222" t="s">
        <v>1212</v>
      </c>
      <c r="J222" t="s">
        <v>507</v>
      </c>
      <c r="K222">
        <v>3</v>
      </c>
      <c r="L222" t="s">
        <v>1072</v>
      </c>
      <c r="M222">
        <v>25</v>
      </c>
      <c r="N222" s="125">
        <v>45292</v>
      </c>
      <c r="O222" s="125"/>
      <c r="R222" t="s">
        <v>598</v>
      </c>
      <c r="S222">
        <v>1</v>
      </c>
    </row>
    <row r="223" spans="1:19" x14ac:dyDescent="0.25">
      <c r="A223" t="str">
        <f>TableMJRUARME1[[#This Row],[Study Package Code]]</f>
        <v>SPRO3004</v>
      </c>
      <c r="B223" s="5">
        <f>TableMJRUARME1[[#This Row],[Ver]]</f>
        <v>5</v>
      </c>
      <c r="D223" t="str">
        <f>TableMJRUARME1[[#This Row],[Structure Line]]</f>
        <v>Community Media Production</v>
      </c>
      <c r="E223" s="81">
        <f>TableMJRUARME1[[#This Row],[Credit Points]]</f>
        <v>25</v>
      </c>
      <c r="F223">
        <v>10</v>
      </c>
      <c r="G223" t="s">
        <v>1208</v>
      </c>
      <c r="H223">
        <v>4</v>
      </c>
      <c r="I223" t="s">
        <v>1209</v>
      </c>
      <c r="J223" t="s">
        <v>537</v>
      </c>
      <c r="K223">
        <v>5</v>
      </c>
      <c r="L223" t="s">
        <v>1146</v>
      </c>
      <c r="M223">
        <v>25</v>
      </c>
      <c r="N223" s="125">
        <v>44197</v>
      </c>
      <c r="O223" s="125"/>
      <c r="R223" t="s">
        <v>537</v>
      </c>
      <c r="S223">
        <v>5</v>
      </c>
    </row>
    <row r="224" spans="1:19" x14ac:dyDescent="0.25">
      <c r="A224" t="str">
        <f>TableMJRUARME1[[#This Row],[Study Package Code]]</f>
        <v>MATH1014</v>
      </c>
      <c r="B224" s="5">
        <f>TableMJRUARME1[[#This Row],[Ver]]</f>
        <v>1</v>
      </c>
      <c r="D224" t="str">
        <f>TableMJRUARME1[[#This Row],[Structure Line]]</f>
        <v>Foundations of Calculus</v>
      </c>
      <c r="E224" s="81">
        <f>TableMJRUARME1[[#This Row],[Credit Points]]</f>
        <v>25</v>
      </c>
      <c r="F224">
        <v>1</v>
      </c>
      <c r="G224" t="s">
        <v>140</v>
      </c>
      <c r="H224">
        <v>0</v>
      </c>
      <c r="I224" t="s">
        <v>1221</v>
      </c>
      <c r="J224" t="s">
        <v>588</v>
      </c>
      <c r="K224">
        <v>1</v>
      </c>
      <c r="L224" t="s">
        <v>1051</v>
      </c>
      <c r="M224">
        <v>25</v>
      </c>
      <c r="N224" s="125">
        <v>42736</v>
      </c>
      <c r="O224" s="125"/>
      <c r="R224" t="s">
        <v>102</v>
      </c>
      <c r="S224">
        <v>0</v>
      </c>
    </row>
    <row r="225" spans="1:19" x14ac:dyDescent="0.25">
      <c r="A225" t="str">
        <f>TableMJRUARME1[[#This Row],[Study Package Code]]</f>
        <v>SCST3010</v>
      </c>
      <c r="B225" s="5">
        <f>TableMJRUARME1[[#This Row],[Ver]]</f>
        <v>1</v>
      </c>
      <c r="D225" t="str">
        <f>TableMJRUARME1[[#This Row],[Structure Line]]</f>
        <v>Reading Screens</v>
      </c>
      <c r="E225" s="81">
        <f>TableMJRUARME1[[#This Row],[Credit Points]]</f>
        <v>25</v>
      </c>
      <c r="F225">
        <v>1</v>
      </c>
      <c r="G225" t="s">
        <v>140</v>
      </c>
      <c r="H225">
        <v>0</v>
      </c>
      <c r="I225" t="s">
        <v>1221</v>
      </c>
      <c r="J225" t="s">
        <v>598</v>
      </c>
      <c r="K225">
        <v>1</v>
      </c>
      <c r="L225" t="s">
        <v>1139</v>
      </c>
      <c r="M225">
        <v>25</v>
      </c>
      <c r="N225" s="125">
        <v>43831</v>
      </c>
      <c r="O225" s="125"/>
      <c r="R225" t="s">
        <v>350</v>
      </c>
      <c r="S225">
        <v>2</v>
      </c>
    </row>
    <row r="226" spans="1:19" x14ac:dyDescent="0.25">
      <c r="A226" t="str">
        <f>TableMJRUARME1[[#This Row],[Study Package Code]]</f>
        <v>THTR2002</v>
      </c>
      <c r="B226" s="5">
        <f>TableMJRUARME1[[#This Row],[Ver]]</f>
        <v>1</v>
      </c>
      <c r="D226" t="str">
        <f>TableMJRUARME1[[#This Row],[Structure Line]]</f>
        <v>Technical Theatre Fundamentals</v>
      </c>
      <c r="E226" s="81">
        <f>TableMJRUARME1[[#This Row],[Credit Points]]</f>
        <v>25</v>
      </c>
      <c r="F226">
        <v>1</v>
      </c>
      <c r="G226" t="s">
        <v>140</v>
      </c>
      <c r="H226">
        <v>0</v>
      </c>
      <c r="I226" t="s">
        <v>1221</v>
      </c>
      <c r="J226" t="s">
        <v>506</v>
      </c>
      <c r="K226">
        <v>1</v>
      </c>
      <c r="L226" t="s">
        <v>1166</v>
      </c>
      <c r="M226">
        <v>25</v>
      </c>
      <c r="N226" s="125">
        <v>42005</v>
      </c>
      <c r="O226" s="125"/>
      <c r="R226" t="s">
        <v>1250</v>
      </c>
      <c r="S226">
        <v>2</v>
      </c>
    </row>
    <row r="227" spans="1:19" x14ac:dyDescent="0.25">
      <c r="A227" t="str">
        <f>TableMJRUARME1[[#This Row],[Study Package Code]]</f>
        <v>NETS1001</v>
      </c>
      <c r="B227" s="5">
        <f>TableMJRUARME1[[#This Row],[Ver]]</f>
        <v>1</v>
      </c>
      <c r="D227" t="str">
        <f>TableMJRUARME1[[#This Row],[Structure Line]]</f>
        <v>Web Communications</v>
      </c>
      <c r="E227" s="81">
        <f>TableMJRUARME1[[#This Row],[Credit Points]]</f>
        <v>25</v>
      </c>
      <c r="F227">
        <v>2</v>
      </c>
      <c r="G227" t="s">
        <v>1215</v>
      </c>
      <c r="H227">
        <v>1</v>
      </c>
      <c r="I227" t="s">
        <v>1212</v>
      </c>
      <c r="J227" t="s">
        <v>564</v>
      </c>
      <c r="K227">
        <v>1</v>
      </c>
      <c r="L227" t="s">
        <v>1070</v>
      </c>
      <c r="M227">
        <v>25</v>
      </c>
      <c r="N227" s="125">
        <v>42005</v>
      </c>
      <c r="O227" s="125"/>
      <c r="R227" t="s">
        <v>353</v>
      </c>
      <c r="S227">
        <v>3</v>
      </c>
    </row>
    <row r="228" spans="1:19" x14ac:dyDescent="0.25">
      <c r="A228" t="str">
        <f>TableMJRUARME1[[#This Row],[Study Package Code]]</f>
        <v>SCST1000</v>
      </c>
      <c r="B228" s="5">
        <f>TableMJRUARME1[[#This Row],[Ver]]</f>
        <v>2</v>
      </c>
      <c r="D228" t="str">
        <f>TableMJRUARME1[[#This Row],[Structure Line]]</f>
        <v>Introduction to Screen Creativity</v>
      </c>
      <c r="E228" s="81">
        <f>TableMJRUARME1[[#This Row],[Credit Points]]</f>
        <v>25</v>
      </c>
      <c r="F228">
        <v>2</v>
      </c>
      <c r="G228" t="s">
        <v>1215</v>
      </c>
      <c r="H228">
        <v>1</v>
      </c>
      <c r="I228" t="s">
        <v>1212</v>
      </c>
      <c r="J228" t="s">
        <v>577</v>
      </c>
      <c r="K228">
        <v>2</v>
      </c>
      <c r="L228" t="s">
        <v>1138</v>
      </c>
      <c r="M228">
        <v>25</v>
      </c>
      <c r="N228" s="125">
        <v>43831</v>
      </c>
      <c r="O228" s="125"/>
      <c r="R228" t="s">
        <v>1251</v>
      </c>
      <c r="S228">
        <v>2</v>
      </c>
    </row>
    <row r="229" spans="1:19" x14ac:dyDescent="0.25">
      <c r="A229" t="str">
        <f>TableMJRUARME1[[#This Row],[Study Package Code]]</f>
        <v>STRU-BSCIM</v>
      </c>
      <c r="B229" s="5">
        <f>TableMJRUARME1[[#This Row],[Ver]]</f>
        <v>3</v>
      </c>
      <c r="D229" t="str">
        <f>TableMJRUARME1[[#This Row],[Structure Line]]</f>
        <v>Biological Sciences Education Minor Teaching Area Stream (BEd Secondary)</v>
      </c>
      <c r="E229" s="81">
        <f>TableMJRUARME1[[#This Row],[Credit Points]]</f>
        <v>150</v>
      </c>
      <c r="F229">
        <v>3</v>
      </c>
      <c r="G229" t="s">
        <v>140</v>
      </c>
      <c r="H229">
        <v>1</v>
      </c>
      <c r="I229" t="s">
        <v>1212</v>
      </c>
      <c r="J229" t="s">
        <v>350</v>
      </c>
      <c r="K229">
        <v>3</v>
      </c>
      <c r="L229" t="s">
        <v>205</v>
      </c>
      <c r="M229">
        <v>150</v>
      </c>
      <c r="N229" s="125">
        <v>45658</v>
      </c>
      <c r="O229" s="125"/>
      <c r="R229" t="s">
        <v>356</v>
      </c>
      <c r="S229">
        <v>2</v>
      </c>
    </row>
    <row r="230" spans="1:19" x14ac:dyDescent="0.25">
      <c r="A230" t="str">
        <f>TableMJRUARME1[[#This Row],[Study Package Code]]</f>
        <v>STRU-ENGLM</v>
      </c>
      <c r="B230" s="5">
        <f>TableMJRUARME1[[#This Row],[Ver]]</f>
        <v>3</v>
      </c>
      <c r="D230" t="str">
        <f>TableMJRUARME1[[#This Row],[Structure Line]]</f>
        <v>English Education Minor Teaching Area Stream (BEd Secondary)</v>
      </c>
      <c r="E230" s="81">
        <f>TableMJRUARME1[[#This Row],[Credit Points]]</f>
        <v>150</v>
      </c>
      <c r="F230">
        <v>3</v>
      </c>
      <c r="G230" t="s">
        <v>140</v>
      </c>
      <c r="H230">
        <v>1</v>
      </c>
      <c r="I230" t="s">
        <v>1212</v>
      </c>
      <c r="J230" t="s">
        <v>353</v>
      </c>
      <c r="K230">
        <v>3</v>
      </c>
      <c r="L230" t="s">
        <v>413</v>
      </c>
      <c r="M230">
        <v>150</v>
      </c>
      <c r="N230" s="125">
        <v>44562</v>
      </c>
      <c r="O230" s="125"/>
      <c r="R230" t="s">
        <v>352</v>
      </c>
      <c r="S230">
        <v>2</v>
      </c>
    </row>
    <row r="231" spans="1:19" x14ac:dyDescent="0.25">
      <c r="A231" t="str">
        <f>TableMJRUARME1[[#This Row],[Study Package Code]]</f>
        <v>STRU-GEOGM</v>
      </c>
      <c r="B231" s="5">
        <f>TableMJRUARME1[[#This Row],[Ver]]</f>
        <v>1</v>
      </c>
      <c r="D231" t="str">
        <f>TableMJRUARME1[[#This Row],[Structure Line]]</f>
        <v>Geography Education Minor Teaching Area Stream (BEd Secondary)</v>
      </c>
      <c r="E231" s="81">
        <f>TableMJRUARME1[[#This Row],[Credit Points]]</f>
        <v>150</v>
      </c>
      <c r="F231">
        <v>3</v>
      </c>
      <c r="G231" t="s">
        <v>140</v>
      </c>
      <c r="H231">
        <v>1</v>
      </c>
      <c r="I231" t="s">
        <v>1212</v>
      </c>
      <c r="J231" t="s">
        <v>354</v>
      </c>
      <c r="K231">
        <v>1</v>
      </c>
      <c r="L231" t="s">
        <v>414</v>
      </c>
      <c r="M231">
        <v>150</v>
      </c>
      <c r="N231" s="125">
        <v>45658</v>
      </c>
      <c r="O231" s="125"/>
      <c r="R231" t="s">
        <v>1252</v>
      </c>
      <c r="S231">
        <v>2</v>
      </c>
    </row>
    <row r="232" spans="1:19" x14ac:dyDescent="0.25">
      <c r="A232" t="str">
        <f>TableMJRUARME1[[#This Row],[Study Package Code]]</f>
        <v>STRU-HISTM</v>
      </c>
      <c r="B232" s="5">
        <f>TableMJRUARME1[[#This Row],[Ver]]</f>
        <v>1</v>
      </c>
      <c r="D232" t="str">
        <f>TableMJRUARME1[[#This Row],[Structure Line]]</f>
        <v>History Education Minor Teaching Area Stream (BEd Secondary)</v>
      </c>
      <c r="E232" s="81">
        <f>TableMJRUARME1[[#This Row],[Credit Points]]</f>
        <v>150</v>
      </c>
      <c r="F232">
        <v>3</v>
      </c>
      <c r="G232" t="s">
        <v>140</v>
      </c>
      <c r="H232">
        <v>1</v>
      </c>
      <c r="I232" t="s">
        <v>1212</v>
      </c>
      <c r="J232" t="s">
        <v>355</v>
      </c>
      <c r="K232">
        <v>1</v>
      </c>
      <c r="L232" t="s">
        <v>445</v>
      </c>
      <c r="M232">
        <v>150</v>
      </c>
      <c r="N232" s="125">
        <v>45658</v>
      </c>
      <c r="O232" s="125"/>
    </row>
    <row r="233" spans="1:19" x14ac:dyDescent="0.25">
      <c r="A233" t="str">
        <f>TableMJRUARME1[[#This Row],[Study Package Code]]</f>
        <v>STRU-MATHM</v>
      </c>
      <c r="B233" s="5">
        <f>TableMJRUARME1[[#This Row],[Ver]]</f>
        <v>3</v>
      </c>
      <c r="D233" t="str">
        <f>TableMJRUARME1[[#This Row],[Structure Line]]</f>
        <v>Mathematics Education Minor Teaching Area Stream (BEd Secondary)</v>
      </c>
      <c r="E233" s="81">
        <f>TableMJRUARME1[[#This Row],[Credit Points]]</f>
        <v>150</v>
      </c>
      <c r="F233">
        <v>3</v>
      </c>
      <c r="G233" t="s">
        <v>140</v>
      </c>
      <c r="H233">
        <v>1</v>
      </c>
      <c r="I233" t="s">
        <v>1212</v>
      </c>
      <c r="J233" t="s">
        <v>356</v>
      </c>
      <c r="K233">
        <v>3</v>
      </c>
      <c r="L233" t="s">
        <v>213</v>
      </c>
      <c r="M233">
        <v>150</v>
      </c>
      <c r="N233" s="125">
        <v>45658</v>
      </c>
      <c r="O233" s="125"/>
      <c r="R233" t="s">
        <v>357</v>
      </c>
      <c r="S233">
        <v>2</v>
      </c>
    </row>
    <row r="234" spans="1:19" x14ac:dyDescent="0.25">
      <c r="A234" t="str">
        <f>TableMJRUARME1[[#This Row],[Study Package Code]]</f>
        <v>STRU-PSYCM</v>
      </c>
      <c r="B234" s="5">
        <f>TableMJRUARME1[[#This Row],[Ver]]</f>
        <v>3</v>
      </c>
      <c r="D234" t="str">
        <f>TableMJRUARME1[[#This Row],[Structure Line]]</f>
        <v>Psychology Education Minor Teaching Area Stream (BEd Secondary)</v>
      </c>
      <c r="E234" s="81">
        <f>TableMJRUARME1[[#This Row],[Credit Points]]</f>
        <v>150</v>
      </c>
      <c r="F234">
        <v>3</v>
      </c>
      <c r="G234" t="s">
        <v>140</v>
      </c>
      <c r="H234">
        <v>1</v>
      </c>
      <c r="I234" t="s">
        <v>1212</v>
      </c>
      <c r="J234" t="s">
        <v>357</v>
      </c>
      <c r="K234">
        <v>3</v>
      </c>
      <c r="L234" t="s">
        <v>482</v>
      </c>
      <c r="M234">
        <v>150</v>
      </c>
      <c r="N234" s="125">
        <v>45658</v>
      </c>
      <c r="O234" s="125"/>
      <c r="R234" t="s">
        <v>1253</v>
      </c>
      <c r="S234">
        <v>2</v>
      </c>
    </row>
    <row r="235" spans="1:19" x14ac:dyDescent="0.25">
      <c r="A235" s="78"/>
      <c r="B235" s="80"/>
      <c r="C235" s="78"/>
      <c r="D235" s="78"/>
      <c r="G235" s="79" t="s">
        <v>1194</v>
      </c>
      <c r="H235" s="272">
        <v>45658</v>
      </c>
      <c r="J235" s="274" t="s">
        <v>338</v>
      </c>
      <c r="K235" s="273">
        <v>1</v>
      </c>
      <c r="L235" s="274" t="s">
        <v>394</v>
      </c>
      <c r="M235" s="78"/>
      <c r="N235" s="198" t="s">
        <v>1195</v>
      </c>
      <c r="O235" s="125">
        <v>45540</v>
      </c>
    </row>
    <row r="236" spans="1:19" ht="31.5" x14ac:dyDescent="0.25">
      <c r="A236" s="97" t="s">
        <v>0</v>
      </c>
      <c r="B236" s="98" t="s">
        <v>1196</v>
      </c>
      <c r="C236" s="97" t="s">
        <v>1197</v>
      </c>
      <c r="D236" s="97" t="s">
        <v>3</v>
      </c>
      <c r="E236" s="99" t="s">
        <v>1198</v>
      </c>
      <c r="F236" s="97" t="s">
        <v>1199</v>
      </c>
      <c r="G236" s="97" t="s">
        <v>1200</v>
      </c>
      <c r="H236" s="97" t="s">
        <v>1201</v>
      </c>
      <c r="I236" s="97" t="s">
        <v>18</v>
      </c>
      <c r="J236" s="97" t="s">
        <v>1202</v>
      </c>
      <c r="K236" s="97" t="s">
        <v>1</v>
      </c>
      <c r="L236" s="97" t="s">
        <v>1203</v>
      </c>
      <c r="M236" s="97" t="s">
        <v>69</v>
      </c>
      <c r="N236" s="97" t="s">
        <v>1204</v>
      </c>
      <c r="O236" s="97" t="s">
        <v>1205</v>
      </c>
      <c r="R236" t="s">
        <v>1206</v>
      </c>
      <c r="S236" t="s">
        <v>1207</v>
      </c>
    </row>
    <row r="237" spans="1:19" x14ac:dyDescent="0.25">
      <c r="A237" t="str">
        <f>TableMJRUARVA1[[#This Row],[Study Package Code]]</f>
        <v>Opt-ARVA1</v>
      </c>
      <c r="B237" s="5">
        <f>TableMJRUARVA1[[#This Row],[Ver]]</f>
        <v>0</v>
      </c>
      <c r="D237" t="str">
        <f>TableMJRUARVA1[[#This Row],[Structure Line]]</f>
        <v>Choose an Option</v>
      </c>
      <c r="E237" s="81">
        <f>TableMJRUARVA1[[#This Row],[Credit Points]]</f>
        <v>25</v>
      </c>
      <c r="F237">
        <v>1</v>
      </c>
      <c r="G237" t="s">
        <v>140</v>
      </c>
      <c r="H237">
        <v>0</v>
      </c>
      <c r="I237" t="s">
        <v>1221</v>
      </c>
      <c r="J237" t="s">
        <v>523</v>
      </c>
      <c r="K237">
        <v>0</v>
      </c>
      <c r="L237" t="s">
        <v>1219</v>
      </c>
      <c r="M237">
        <v>25</v>
      </c>
      <c r="N237" s="125"/>
      <c r="O237" s="125"/>
      <c r="R237" t="s">
        <v>450</v>
      </c>
      <c r="S237">
        <v>2</v>
      </c>
    </row>
    <row r="238" spans="1:19" x14ac:dyDescent="0.25">
      <c r="A238" t="str">
        <f>TableMJRUARVA1[[#This Row],[Study Package Code]]</f>
        <v>VISA1004</v>
      </c>
      <c r="B238" s="5">
        <f>TableMJRUARVA1[[#This Row],[Ver]]</f>
        <v>2</v>
      </c>
      <c r="D238" t="str">
        <f>TableMJRUARVA1[[#This Row],[Structure Line]]</f>
        <v>Fine Art Studio Methods</v>
      </c>
      <c r="E238" s="81">
        <f>TableMJRUARVA1[[#This Row],[Credit Points]]</f>
        <v>25</v>
      </c>
      <c r="F238">
        <v>2</v>
      </c>
      <c r="G238" t="s">
        <v>1208</v>
      </c>
      <c r="H238">
        <v>1</v>
      </c>
      <c r="I238" t="s">
        <v>1212</v>
      </c>
      <c r="J238" t="s">
        <v>450</v>
      </c>
      <c r="K238">
        <v>2</v>
      </c>
      <c r="L238" t="s">
        <v>1177</v>
      </c>
      <c r="M238">
        <v>25</v>
      </c>
      <c r="N238" s="125">
        <v>42370</v>
      </c>
      <c r="O238" s="125"/>
      <c r="R238" t="s">
        <v>1157</v>
      </c>
      <c r="S238">
        <v>0</v>
      </c>
    </row>
    <row r="239" spans="1:19" x14ac:dyDescent="0.25">
      <c r="A239" t="str">
        <f>TableMJRUARVA1[[#This Row],[Study Package Code]]</f>
        <v>Stream</v>
      </c>
      <c r="B239" s="5">
        <f>TableMJRUARVA1[[#This Row],[Ver]]</f>
        <v>0</v>
      </c>
      <c r="D239" t="str">
        <f>TableMJRUARVA1[[#This Row],[Structure Line]]</f>
        <v>Choose Your Minor Teaching Area Stream</v>
      </c>
      <c r="E239" s="81">
        <f>TableMJRUARVA1[[#This Row],[Credit Points]]</f>
        <v>150</v>
      </c>
      <c r="F239">
        <v>3</v>
      </c>
      <c r="G239" t="s">
        <v>140</v>
      </c>
      <c r="H239">
        <v>1</v>
      </c>
      <c r="I239" t="s">
        <v>1212</v>
      </c>
      <c r="J239" t="s">
        <v>1157</v>
      </c>
      <c r="K239">
        <v>0</v>
      </c>
      <c r="L239" t="s">
        <v>1158</v>
      </c>
      <c r="M239">
        <v>150</v>
      </c>
      <c r="N239" s="125"/>
      <c r="O239" s="125"/>
      <c r="R239" t="s">
        <v>463</v>
      </c>
      <c r="S239">
        <v>1</v>
      </c>
    </row>
    <row r="240" spans="1:19" x14ac:dyDescent="0.25">
      <c r="A240" t="str">
        <f>TableMJRUARVA1[[#This Row],[Study Package Code]]</f>
        <v>EDSC4032</v>
      </c>
      <c r="B240" s="5">
        <f>TableMJRUARVA1[[#This Row],[Ver]]</f>
        <v>1</v>
      </c>
      <c r="D240" t="str">
        <f>TableMJRUARVA1[[#This Row],[Structure Line]]</f>
        <v>Curriculum and Instruction Lower Secondary: The Arts</v>
      </c>
      <c r="E240" s="81">
        <f>TableMJRUARVA1[[#This Row],[Credit Points]]</f>
        <v>25</v>
      </c>
      <c r="F240">
        <v>4</v>
      </c>
      <c r="G240" t="s">
        <v>1208</v>
      </c>
      <c r="H240">
        <v>2</v>
      </c>
      <c r="I240" t="s">
        <v>1209</v>
      </c>
      <c r="J240" t="s">
        <v>463</v>
      </c>
      <c r="K240">
        <v>1</v>
      </c>
      <c r="L240" t="s">
        <v>953</v>
      </c>
      <c r="M240">
        <v>25</v>
      </c>
      <c r="N240" s="125">
        <v>43466</v>
      </c>
      <c r="O240" s="125"/>
      <c r="R240" t="s">
        <v>565</v>
      </c>
      <c r="S240">
        <v>1</v>
      </c>
    </row>
    <row r="241" spans="1:19" x14ac:dyDescent="0.25">
      <c r="A241" t="str">
        <f>TableMJRUARVA1[[#This Row],[Study Package Code]]</f>
        <v>AC-ARVA1</v>
      </c>
      <c r="B241" s="5">
        <f>TableMJRUARVA1[[#This Row],[Ver]]</f>
        <v>0</v>
      </c>
      <c r="D241" t="str">
        <f>TableMJRUARVA1[[#This Row],[Structure Line]]</f>
        <v>Choose VISA1003 or VISA1015</v>
      </c>
      <c r="E241" s="81">
        <f>TableMJRUARVA1[[#This Row],[Credit Points]]</f>
        <v>25</v>
      </c>
      <c r="F241">
        <v>5</v>
      </c>
      <c r="G241" t="s">
        <v>1215</v>
      </c>
      <c r="H241">
        <v>2</v>
      </c>
      <c r="I241" t="s">
        <v>1209</v>
      </c>
      <c r="J241" t="s">
        <v>470</v>
      </c>
      <c r="K241">
        <v>0</v>
      </c>
      <c r="L241" t="s">
        <v>1255</v>
      </c>
      <c r="M241">
        <v>25</v>
      </c>
      <c r="N241" s="125"/>
      <c r="O241" s="125"/>
      <c r="R241" t="s">
        <v>484</v>
      </c>
      <c r="S241">
        <v>2</v>
      </c>
    </row>
    <row r="242" spans="1:19" x14ac:dyDescent="0.25">
      <c r="A242" t="str">
        <f>TableMJRUARVA1[[#This Row],[Study Package Code]]</f>
        <v>EDSC4028</v>
      </c>
      <c r="B242" s="5">
        <f>TableMJRUARVA1[[#This Row],[Ver]]</f>
        <v>2</v>
      </c>
      <c r="D242" t="str">
        <f>TableMJRUARVA1[[#This Row],[Structure Line]]</f>
        <v>Curriculum and Instruction Senior Secondary: The Arts</v>
      </c>
      <c r="E242" s="81">
        <f>TableMJRUARVA1[[#This Row],[Credit Points]]</f>
        <v>25</v>
      </c>
      <c r="F242">
        <v>6</v>
      </c>
      <c r="G242" t="s">
        <v>1208</v>
      </c>
      <c r="H242">
        <v>2</v>
      </c>
      <c r="I242" t="s">
        <v>1212</v>
      </c>
      <c r="J242" t="s">
        <v>484</v>
      </c>
      <c r="K242">
        <v>2</v>
      </c>
      <c r="L242" t="s">
        <v>951</v>
      </c>
      <c r="M242">
        <v>25</v>
      </c>
      <c r="N242" s="125">
        <v>43831</v>
      </c>
      <c r="O242" s="125"/>
      <c r="R242" t="s">
        <v>495</v>
      </c>
      <c r="S242">
        <v>2</v>
      </c>
    </row>
    <row r="243" spans="1:19" x14ac:dyDescent="0.25">
      <c r="A243" t="str">
        <f>TableMJRUARVA1[[#This Row],[Study Package Code]]</f>
        <v>VISA2006</v>
      </c>
      <c r="B243" s="5">
        <f>TableMJRUARVA1[[#This Row],[Ver]]</f>
        <v>2</v>
      </c>
      <c r="D243" t="str">
        <f>TableMJRUARVA1[[#This Row],[Structure Line]]</f>
        <v>Fine Art Studio Extension</v>
      </c>
      <c r="E243" s="81">
        <f>TableMJRUARVA1[[#This Row],[Credit Points]]</f>
        <v>25</v>
      </c>
      <c r="F243">
        <v>7</v>
      </c>
      <c r="G243" t="s">
        <v>1208</v>
      </c>
      <c r="H243">
        <v>2</v>
      </c>
      <c r="I243" t="s">
        <v>1212</v>
      </c>
      <c r="J243" t="s">
        <v>495</v>
      </c>
      <c r="K243">
        <v>2</v>
      </c>
      <c r="L243" t="s">
        <v>1182</v>
      </c>
      <c r="M243">
        <v>25</v>
      </c>
      <c r="N243" s="125">
        <v>42370</v>
      </c>
      <c r="O243" s="125"/>
      <c r="R243" t="s">
        <v>1248</v>
      </c>
      <c r="S243">
        <v>1</v>
      </c>
    </row>
    <row r="244" spans="1:19" x14ac:dyDescent="0.25">
      <c r="A244" t="str">
        <f>TableMJRUARVA1[[#This Row],[Study Package Code]]</f>
        <v>VISA2023</v>
      </c>
      <c r="B244" s="5">
        <f>TableMJRUARVA1[[#This Row],[Ver]]</f>
        <v>2</v>
      </c>
      <c r="D244" t="str">
        <f>TableMJRUARVA1[[#This Row],[Structure Line]]</f>
        <v>Fine Art Theory and Criticism</v>
      </c>
      <c r="E244" s="81">
        <f>TableMJRUARVA1[[#This Row],[Credit Points]]</f>
        <v>25</v>
      </c>
      <c r="F244">
        <v>8</v>
      </c>
      <c r="G244" t="s">
        <v>1208</v>
      </c>
      <c r="H244">
        <v>3</v>
      </c>
      <c r="I244" t="s">
        <v>1209</v>
      </c>
      <c r="J244" t="s">
        <v>508</v>
      </c>
      <c r="K244">
        <v>2</v>
      </c>
      <c r="L244" t="s">
        <v>1188</v>
      </c>
      <c r="M244">
        <v>25</v>
      </c>
      <c r="N244" s="125">
        <v>43831</v>
      </c>
      <c r="O244" s="125"/>
      <c r="R244" t="s">
        <v>508</v>
      </c>
      <c r="S244">
        <v>2</v>
      </c>
    </row>
    <row r="245" spans="1:19" x14ac:dyDescent="0.25">
      <c r="A245" t="str">
        <f>TableMJRUARVA1[[#This Row],[Study Package Code]]</f>
        <v>VISA3006</v>
      </c>
      <c r="B245" s="5">
        <f>TableMJRUARVA1[[#This Row],[Ver]]</f>
        <v>2</v>
      </c>
      <c r="D245" t="str">
        <f>TableMJRUARVA1[[#This Row],[Structure Line]]</f>
        <v>Fine Art Concepts and Contexts</v>
      </c>
      <c r="E245" s="81">
        <f>TableMJRUARVA1[[#This Row],[Credit Points]]</f>
        <v>25</v>
      </c>
      <c r="F245">
        <v>9</v>
      </c>
      <c r="G245" t="s">
        <v>1208</v>
      </c>
      <c r="H245">
        <v>4</v>
      </c>
      <c r="I245" t="s">
        <v>1209</v>
      </c>
      <c r="J245" t="s">
        <v>538</v>
      </c>
      <c r="K245">
        <v>2</v>
      </c>
      <c r="L245" t="s">
        <v>1189</v>
      </c>
      <c r="M245">
        <v>25</v>
      </c>
      <c r="N245" s="125">
        <v>43831</v>
      </c>
      <c r="O245" s="125"/>
      <c r="R245" t="s">
        <v>102</v>
      </c>
      <c r="S245">
        <v>0</v>
      </c>
    </row>
    <row r="246" spans="1:19" x14ac:dyDescent="0.25">
      <c r="A246" t="str">
        <f>TableMJRUARVA1[[#This Row],[Study Package Code]]</f>
        <v>VISA3010</v>
      </c>
      <c r="B246" s="5">
        <f>TableMJRUARVA1[[#This Row],[Ver]]</f>
        <v>2</v>
      </c>
      <c r="D246" t="str">
        <f>TableMJRUARVA1[[#This Row],[Structure Line]]</f>
        <v>Fine Art Studio Practice</v>
      </c>
      <c r="E246" s="81">
        <f>TableMJRUARVA1[[#This Row],[Credit Points]]</f>
        <v>25</v>
      </c>
      <c r="F246">
        <v>10</v>
      </c>
      <c r="G246" t="s">
        <v>1208</v>
      </c>
      <c r="H246">
        <v>4</v>
      </c>
      <c r="I246" t="s">
        <v>1209</v>
      </c>
      <c r="J246" t="s">
        <v>552</v>
      </c>
      <c r="K246">
        <v>2</v>
      </c>
      <c r="L246" t="s">
        <v>1191</v>
      </c>
      <c r="M246">
        <v>25</v>
      </c>
      <c r="N246" s="125">
        <v>42370</v>
      </c>
      <c r="O246" s="125"/>
      <c r="R246" t="s">
        <v>552</v>
      </c>
      <c r="S246">
        <v>2</v>
      </c>
    </row>
    <row r="247" spans="1:19" x14ac:dyDescent="0.25">
      <c r="A247" t="str">
        <f>TableMJRUARVA1[[#This Row],[Study Package Code]]</f>
        <v>INDS2002</v>
      </c>
      <c r="B247" s="5">
        <f>TableMJRUARVA1[[#This Row],[Ver]]</f>
        <v>1</v>
      </c>
      <c r="D247" t="str">
        <f>TableMJRUARVA1[[#This Row],[Structure Line]]</f>
        <v>Indigenous Australian Arts</v>
      </c>
      <c r="E247" s="81">
        <f>TableMJRUARVA1[[#This Row],[Credit Points]]</f>
        <v>25</v>
      </c>
      <c r="F247">
        <v>1</v>
      </c>
      <c r="G247" t="s">
        <v>140</v>
      </c>
      <c r="H247">
        <v>0</v>
      </c>
      <c r="I247" t="s">
        <v>1221</v>
      </c>
      <c r="J247" t="s">
        <v>599</v>
      </c>
      <c r="K247">
        <v>1</v>
      </c>
      <c r="L247" t="s">
        <v>1040</v>
      </c>
      <c r="M247">
        <v>25</v>
      </c>
      <c r="N247" s="125">
        <v>42005</v>
      </c>
      <c r="O247" s="125"/>
      <c r="R247" t="s">
        <v>538</v>
      </c>
      <c r="S247">
        <v>2</v>
      </c>
    </row>
    <row r="248" spans="1:19" x14ac:dyDescent="0.25">
      <c r="A248" t="str">
        <f>TableMJRUARVA1[[#This Row],[Study Package Code]]</f>
        <v>MATH1014</v>
      </c>
      <c r="B248" s="5">
        <f>TableMJRUARVA1[[#This Row],[Ver]]</f>
        <v>1</v>
      </c>
      <c r="D248" t="str">
        <f>TableMJRUARVA1[[#This Row],[Structure Line]]</f>
        <v>Foundations of Calculus</v>
      </c>
      <c r="E248" s="81">
        <f>TableMJRUARVA1[[#This Row],[Credit Points]]</f>
        <v>25</v>
      </c>
      <c r="F248">
        <v>1</v>
      </c>
      <c r="G248" t="s">
        <v>140</v>
      </c>
      <c r="H248">
        <v>0</v>
      </c>
      <c r="I248" t="s">
        <v>1221</v>
      </c>
      <c r="J248" t="s">
        <v>588</v>
      </c>
      <c r="K248">
        <v>1</v>
      </c>
      <c r="L248" t="s">
        <v>1051</v>
      </c>
      <c r="M248">
        <v>25</v>
      </c>
      <c r="N248" s="125">
        <v>42736</v>
      </c>
      <c r="O248" s="125"/>
      <c r="R248" t="s">
        <v>350</v>
      </c>
      <c r="S248">
        <v>2</v>
      </c>
    </row>
    <row r="249" spans="1:19" x14ac:dyDescent="0.25">
      <c r="A249" t="str">
        <f>TableMJRUARVA1[[#This Row],[Study Package Code]]</f>
        <v>VISA1005</v>
      </c>
      <c r="B249" s="5">
        <f>TableMJRUARVA1[[#This Row],[Ver]]</f>
        <v>2</v>
      </c>
      <c r="D249" t="str">
        <f>TableMJRUARVA1[[#This Row],[Structure Line]]</f>
        <v>Fine Art Studio Materials</v>
      </c>
      <c r="E249" s="81">
        <f>TableMJRUARVA1[[#This Row],[Credit Points]]</f>
        <v>25</v>
      </c>
      <c r="F249">
        <v>1</v>
      </c>
      <c r="G249" t="s">
        <v>140</v>
      </c>
      <c r="H249">
        <v>0</v>
      </c>
      <c r="I249" t="s">
        <v>1221</v>
      </c>
      <c r="J249" t="s">
        <v>606</v>
      </c>
      <c r="K249">
        <v>2</v>
      </c>
      <c r="L249" t="s">
        <v>1178</v>
      </c>
      <c r="M249">
        <v>25</v>
      </c>
      <c r="N249" s="125">
        <v>42370</v>
      </c>
      <c r="O249" s="125"/>
      <c r="R249" t="s">
        <v>1250</v>
      </c>
      <c r="S249">
        <v>2</v>
      </c>
    </row>
    <row r="250" spans="1:19" x14ac:dyDescent="0.25">
      <c r="A250" t="str">
        <f>TableMJRUARVA1[[#This Row],[Study Package Code]]</f>
        <v>VISA2004</v>
      </c>
      <c r="B250" s="5">
        <f>TableMJRUARVA1[[#This Row],[Ver]]</f>
        <v>2</v>
      </c>
      <c r="D250" t="str">
        <f>TableMJRUARVA1[[#This Row],[Structure Line]]</f>
        <v>Fine Art Studio Strategies</v>
      </c>
      <c r="E250" s="81">
        <f>TableMJRUARVA1[[#This Row],[Credit Points]]</f>
        <v>25</v>
      </c>
      <c r="F250">
        <v>1</v>
      </c>
      <c r="G250" t="s">
        <v>140</v>
      </c>
      <c r="H250">
        <v>0</v>
      </c>
      <c r="I250" t="s">
        <v>1221</v>
      </c>
      <c r="J250" t="s">
        <v>609</v>
      </c>
      <c r="K250">
        <v>2</v>
      </c>
      <c r="L250" t="s">
        <v>1180</v>
      </c>
      <c r="M250">
        <v>25</v>
      </c>
      <c r="N250" s="125">
        <v>42370</v>
      </c>
      <c r="O250" s="125"/>
      <c r="R250" t="s">
        <v>353</v>
      </c>
      <c r="S250">
        <v>3</v>
      </c>
    </row>
    <row r="251" spans="1:19" x14ac:dyDescent="0.25">
      <c r="A251" t="str">
        <f>TableMJRUARVA1[[#This Row],[Study Package Code]]</f>
        <v>VISA2005</v>
      </c>
      <c r="B251" s="5">
        <f>TableMJRUARVA1[[#This Row],[Ver]]</f>
        <v>2</v>
      </c>
      <c r="D251" t="str">
        <f>TableMJRUARVA1[[#This Row],[Structure Line]]</f>
        <v>Fine Art Studio Processes</v>
      </c>
      <c r="E251" s="81">
        <f>TableMJRUARVA1[[#This Row],[Credit Points]]</f>
        <v>25</v>
      </c>
      <c r="F251">
        <v>1</v>
      </c>
      <c r="G251" t="s">
        <v>140</v>
      </c>
      <c r="H251">
        <v>0</v>
      </c>
      <c r="I251" t="s">
        <v>1221</v>
      </c>
      <c r="J251" t="s">
        <v>616</v>
      </c>
      <c r="K251">
        <v>2</v>
      </c>
      <c r="L251" t="s">
        <v>1181</v>
      </c>
      <c r="M251">
        <v>25</v>
      </c>
      <c r="N251" s="125">
        <v>42370</v>
      </c>
      <c r="O251" s="125"/>
      <c r="R251" t="s">
        <v>1251</v>
      </c>
      <c r="S251">
        <v>2</v>
      </c>
    </row>
    <row r="252" spans="1:19" x14ac:dyDescent="0.25">
      <c r="A252" t="str">
        <f>TableMJRUARVA1[[#This Row],[Study Package Code]]</f>
        <v>STRU-BSCIM</v>
      </c>
      <c r="B252" s="5">
        <f>TableMJRUARVA1[[#This Row],[Ver]]</f>
        <v>3</v>
      </c>
      <c r="D252" t="str">
        <f>TableMJRUARVA1[[#This Row],[Structure Line]]</f>
        <v>Biological Sciences Education Minor Teaching Area Stream (BEd Secondary)</v>
      </c>
      <c r="E252" s="81">
        <f>TableMJRUARVA1[[#This Row],[Credit Points]]</f>
        <v>150</v>
      </c>
      <c r="F252">
        <v>3</v>
      </c>
      <c r="G252" t="s">
        <v>140</v>
      </c>
      <c r="H252">
        <v>1</v>
      </c>
      <c r="I252" t="s">
        <v>1212</v>
      </c>
      <c r="J252" t="s">
        <v>350</v>
      </c>
      <c r="K252">
        <v>3</v>
      </c>
      <c r="L252" t="s">
        <v>205</v>
      </c>
      <c r="M252">
        <v>150</v>
      </c>
      <c r="N252" s="125">
        <v>45658</v>
      </c>
      <c r="O252" s="125"/>
      <c r="R252" t="s">
        <v>356</v>
      </c>
      <c r="S252">
        <v>2</v>
      </c>
    </row>
    <row r="253" spans="1:19" x14ac:dyDescent="0.25">
      <c r="A253" t="str">
        <f>TableMJRUARVA1[[#This Row],[Study Package Code]]</f>
        <v>STRU-ENGLM</v>
      </c>
      <c r="B253" s="5">
        <f>TableMJRUARVA1[[#This Row],[Ver]]</f>
        <v>3</v>
      </c>
      <c r="D253" t="str">
        <f>TableMJRUARVA1[[#This Row],[Structure Line]]</f>
        <v>English Education Minor Teaching Area Stream (BEd Secondary)</v>
      </c>
      <c r="E253" s="81">
        <f>TableMJRUARVA1[[#This Row],[Credit Points]]</f>
        <v>150</v>
      </c>
      <c r="F253">
        <v>3</v>
      </c>
      <c r="G253" t="s">
        <v>140</v>
      </c>
      <c r="H253">
        <v>1</v>
      </c>
      <c r="I253" t="s">
        <v>1212</v>
      </c>
      <c r="J253" t="s">
        <v>353</v>
      </c>
      <c r="K253">
        <v>3</v>
      </c>
      <c r="L253" t="s">
        <v>413</v>
      </c>
      <c r="M253">
        <v>150</v>
      </c>
      <c r="N253" s="125">
        <v>44562</v>
      </c>
      <c r="O253" s="125"/>
    </row>
    <row r="254" spans="1:19" x14ac:dyDescent="0.25">
      <c r="A254" t="str">
        <f>TableMJRUARVA1[[#This Row],[Study Package Code]]</f>
        <v>STRU-GEOGM</v>
      </c>
      <c r="B254" s="5">
        <f>TableMJRUARVA1[[#This Row],[Ver]]</f>
        <v>1</v>
      </c>
      <c r="D254" t="str">
        <f>TableMJRUARVA1[[#This Row],[Structure Line]]</f>
        <v>Geography Education Minor Teaching Area Stream (BEd Secondary)</v>
      </c>
      <c r="E254" s="81">
        <f>TableMJRUARVA1[[#This Row],[Credit Points]]</f>
        <v>150</v>
      </c>
      <c r="F254">
        <v>3</v>
      </c>
      <c r="G254" t="s">
        <v>140</v>
      </c>
      <c r="H254">
        <v>1</v>
      </c>
      <c r="I254" t="s">
        <v>1212</v>
      </c>
      <c r="J254" t="s">
        <v>354</v>
      </c>
      <c r="K254">
        <v>1</v>
      </c>
      <c r="L254" t="s">
        <v>414</v>
      </c>
      <c r="M254">
        <v>150</v>
      </c>
      <c r="N254" s="125">
        <v>45658</v>
      </c>
      <c r="O254" s="125"/>
    </row>
    <row r="255" spans="1:19" x14ac:dyDescent="0.25">
      <c r="A255" t="str">
        <f>TableMJRUARVA1[[#This Row],[Study Package Code]]</f>
        <v>STRU-HISTM</v>
      </c>
      <c r="B255" s="5">
        <f>TableMJRUARVA1[[#This Row],[Ver]]</f>
        <v>1</v>
      </c>
      <c r="D255" t="str">
        <f>TableMJRUARVA1[[#This Row],[Structure Line]]</f>
        <v>History Education Minor Teaching Area Stream (BEd Secondary)</v>
      </c>
      <c r="E255" s="81">
        <f>TableMJRUARVA1[[#This Row],[Credit Points]]</f>
        <v>150</v>
      </c>
      <c r="F255">
        <v>3</v>
      </c>
      <c r="G255" t="s">
        <v>140</v>
      </c>
      <c r="H255">
        <v>1</v>
      </c>
      <c r="I255" t="s">
        <v>1212</v>
      </c>
      <c r="J255" t="s">
        <v>355</v>
      </c>
      <c r="K255">
        <v>1</v>
      </c>
      <c r="L255" t="s">
        <v>445</v>
      </c>
      <c r="M255">
        <v>150</v>
      </c>
      <c r="N255" s="125">
        <v>45658</v>
      </c>
      <c r="O255" s="125"/>
    </row>
    <row r="256" spans="1:19" x14ac:dyDescent="0.25">
      <c r="A256" t="str">
        <f>TableMJRUARVA1[[#This Row],[Study Package Code]]</f>
        <v>STRU-MATHM</v>
      </c>
      <c r="B256" s="5">
        <f>TableMJRUARVA1[[#This Row],[Ver]]</f>
        <v>3</v>
      </c>
      <c r="D256" t="str">
        <f>TableMJRUARVA1[[#This Row],[Structure Line]]</f>
        <v>Mathematics Education Minor Teaching Area Stream (BEd Secondary)</v>
      </c>
      <c r="E256" s="81">
        <f>TableMJRUARVA1[[#This Row],[Credit Points]]</f>
        <v>150</v>
      </c>
      <c r="F256">
        <v>3</v>
      </c>
      <c r="G256" t="s">
        <v>140</v>
      </c>
      <c r="H256">
        <v>1</v>
      </c>
      <c r="I256" t="s">
        <v>1212</v>
      </c>
      <c r="J256" t="s">
        <v>356</v>
      </c>
      <c r="K256">
        <v>3</v>
      </c>
      <c r="L256" t="s">
        <v>213</v>
      </c>
      <c r="M256">
        <v>150</v>
      </c>
      <c r="N256" s="125">
        <v>45658</v>
      </c>
      <c r="O256" s="125"/>
    </row>
    <row r="257" spans="1:19" x14ac:dyDescent="0.25">
      <c r="A257" t="str">
        <f>TableMJRUARVA1[[#This Row],[Study Package Code]]</f>
        <v>STRU-PSYCM</v>
      </c>
      <c r="B257" s="5">
        <f>TableMJRUARVA1[[#This Row],[Ver]]</f>
        <v>3</v>
      </c>
      <c r="D257" t="str">
        <f>TableMJRUARVA1[[#This Row],[Structure Line]]</f>
        <v>Psychology Education Minor Teaching Area Stream (BEd Secondary)</v>
      </c>
      <c r="E257" s="81">
        <f>TableMJRUARVA1[[#This Row],[Credit Points]]</f>
        <v>150</v>
      </c>
      <c r="F257">
        <v>3</v>
      </c>
      <c r="G257" t="s">
        <v>140</v>
      </c>
      <c r="H257">
        <v>1</v>
      </c>
      <c r="I257" t="s">
        <v>1212</v>
      </c>
      <c r="J257" t="s">
        <v>357</v>
      </c>
      <c r="K257">
        <v>3</v>
      </c>
      <c r="L257" t="s">
        <v>482</v>
      </c>
      <c r="M257">
        <v>150</v>
      </c>
      <c r="N257" s="125">
        <v>45658</v>
      </c>
      <c r="O257" s="125"/>
      <c r="R257" t="s">
        <v>1252</v>
      </c>
      <c r="S257">
        <v>2</v>
      </c>
    </row>
    <row r="258" spans="1:19" x14ac:dyDescent="0.25">
      <c r="A258" t="str">
        <f>TableMJRUARVA1[[#This Row],[Study Package Code]]</f>
        <v>STRU-VARTB</v>
      </c>
      <c r="B258" s="5">
        <f>TableMJRUARVA1[[#This Row],[Ver]]</f>
        <v>3</v>
      </c>
      <c r="D258" t="str">
        <f>TableMJRUARVA1[[#This Row],[Structure Line]]</f>
        <v>Broadening Visual Arts Teaching Area Stream (BEd Secondary)</v>
      </c>
      <c r="E258" s="81">
        <f>TableMJRUARVA1[[#This Row],[Credit Points]]</f>
        <v>150</v>
      </c>
      <c r="F258">
        <v>3</v>
      </c>
      <c r="G258" t="s">
        <v>140</v>
      </c>
      <c r="H258">
        <v>1</v>
      </c>
      <c r="I258" t="s">
        <v>1212</v>
      </c>
      <c r="J258" t="s">
        <v>358</v>
      </c>
      <c r="K258">
        <v>3</v>
      </c>
      <c r="L258" t="s">
        <v>412</v>
      </c>
      <c r="M258">
        <v>150</v>
      </c>
      <c r="N258" s="125">
        <v>45658</v>
      </c>
      <c r="O258" s="125"/>
      <c r="R258" t="s">
        <v>357</v>
      </c>
      <c r="S258">
        <v>2</v>
      </c>
    </row>
    <row r="259" spans="1:19" x14ac:dyDescent="0.25">
      <c r="A259" t="str">
        <f>TableMJRUARVA1[[#This Row],[Study Package Code]]</f>
        <v>VISA1003</v>
      </c>
      <c r="B259" s="5">
        <f>TableMJRUARVA1[[#This Row],[Ver]]</f>
        <v>1</v>
      </c>
      <c r="D259" t="str">
        <f>TableMJRUARVA1[[#This Row],[Structure Line]]</f>
        <v>Drawing</v>
      </c>
      <c r="E259" s="81">
        <f>TableMJRUARVA1[[#This Row],[Credit Points]]</f>
        <v>25</v>
      </c>
      <c r="F259">
        <v>5</v>
      </c>
      <c r="G259" t="s">
        <v>1215</v>
      </c>
      <c r="H259">
        <v>2</v>
      </c>
      <c r="I259" t="s">
        <v>1209</v>
      </c>
      <c r="J259" t="s">
        <v>565</v>
      </c>
      <c r="K259">
        <v>1</v>
      </c>
      <c r="L259" t="s">
        <v>1176</v>
      </c>
      <c r="M259">
        <v>25</v>
      </c>
      <c r="N259" s="125">
        <v>42005</v>
      </c>
      <c r="O259" s="125"/>
      <c r="R259" t="s">
        <v>1253</v>
      </c>
      <c r="S259">
        <v>2</v>
      </c>
    </row>
    <row r="260" spans="1:19" x14ac:dyDescent="0.25">
      <c r="A260" t="str">
        <f>TableMJRUARVA1[[#This Row],[Study Package Code]]</f>
        <v>VISA1015</v>
      </c>
      <c r="B260" s="5">
        <f>TableMJRUARVA1[[#This Row],[Ver]]</f>
        <v>1</v>
      </c>
      <c r="D260" t="str">
        <f>TableMJRUARVA1[[#This Row],[Structure Line]]</f>
        <v>Introduction to Creative Arts</v>
      </c>
      <c r="E260" s="81">
        <f>TableMJRUARVA1[[#This Row],[Credit Points]]</f>
        <v>25</v>
      </c>
      <c r="F260">
        <v>5</v>
      </c>
      <c r="G260" t="s">
        <v>1215</v>
      </c>
      <c r="H260">
        <v>2</v>
      </c>
      <c r="I260" t="s">
        <v>1209</v>
      </c>
      <c r="J260" t="s">
        <v>578</v>
      </c>
      <c r="K260">
        <v>1</v>
      </c>
      <c r="L260" t="s">
        <v>1179</v>
      </c>
      <c r="M260">
        <v>25</v>
      </c>
      <c r="N260" s="125">
        <v>43831</v>
      </c>
      <c r="O260" s="125"/>
      <c r="R260" t="s">
        <v>358</v>
      </c>
      <c r="S260">
        <v>2</v>
      </c>
    </row>
    <row r="261" spans="1:19" x14ac:dyDescent="0.25">
      <c r="A261" s="78"/>
      <c r="B261" s="80"/>
      <c r="C261" s="78"/>
      <c r="D261" s="78"/>
      <c r="G261" s="79" t="s">
        <v>1194</v>
      </c>
      <c r="H261" s="272">
        <v>45658</v>
      </c>
      <c r="J261" s="274" t="s">
        <v>339</v>
      </c>
      <c r="K261" s="273">
        <v>1</v>
      </c>
      <c r="L261" s="274" t="s">
        <v>203</v>
      </c>
      <c r="M261" s="78"/>
      <c r="N261" s="198" t="s">
        <v>1195</v>
      </c>
      <c r="O261" s="125">
        <v>45540</v>
      </c>
    </row>
    <row r="262" spans="1:19" ht="31.5" x14ac:dyDescent="0.25">
      <c r="A262" s="97" t="s">
        <v>0</v>
      </c>
      <c r="B262" s="98" t="s">
        <v>1196</v>
      </c>
      <c r="C262" s="97" t="s">
        <v>1197</v>
      </c>
      <c r="D262" s="97" t="s">
        <v>3</v>
      </c>
      <c r="E262" s="99" t="s">
        <v>1198</v>
      </c>
      <c r="F262" s="97" t="s">
        <v>1199</v>
      </c>
      <c r="G262" s="97" t="s">
        <v>1200</v>
      </c>
      <c r="H262" s="97" t="s">
        <v>1201</v>
      </c>
      <c r="I262" s="97" t="s">
        <v>18</v>
      </c>
      <c r="J262" s="97" t="s">
        <v>1202</v>
      </c>
      <c r="K262" s="97" t="s">
        <v>1</v>
      </c>
      <c r="L262" s="97" t="s">
        <v>1203</v>
      </c>
      <c r="M262" s="97" t="s">
        <v>69</v>
      </c>
      <c r="N262" s="97" t="s">
        <v>1204</v>
      </c>
      <c r="O262" s="97" t="s">
        <v>1205</v>
      </c>
      <c r="R262" t="s">
        <v>1206</v>
      </c>
      <c r="S262" t="s">
        <v>1207</v>
      </c>
    </row>
    <row r="263" spans="1:19" x14ac:dyDescent="0.25">
      <c r="A263" t="str">
        <f>TableMJRUENGL1[[#This Row],[Study Package Code]]</f>
        <v>Opt-ENGL1</v>
      </c>
      <c r="B263" s="5">
        <f>TableMJRUENGL1[[#This Row],[Ver]]</f>
        <v>0</v>
      </c>
      <c r="D263" t="str">
        <f>TableMJRUENGL1[[#This Row],[Structure Line]]</f>
        <v>Choose an Option</v>
      </c>
      <c r="E263" s="81">
        <f>TableMJRUENGL1[[#This Row],[Credit Points]]</f>
        <v>25</v>
      </c>
      <c r="F263">
        <v>1</v>
      </c>
      <c r="G263" t="s">
        <v>140</v>
      </c>
      <c r="H263">
        <v>0</v>
      </c>
      <c r="I263" t="s">
        <v>1221</v>
      </c>
      <c r="J263" t="s">
        <v>553</v>
      </c>
      <c r="K263">
        <v>0</v>
      </c>
      <c r="L263" t="s">
        <v>1219</v>
      </c>
      <c r="M263">
        <v>25</v>
      </c>
      <c r="N263" s="125"/>
      <c r="O263" s="125"/>
      <c r="R263" t="s">
        <v>1157</v>
      </c>
      <c r="S263">
        <v>0</v>
      </c>
    </row>
    <row r="264" spans="1:19" x14ac:dyDescent="0.25">
      <c r="A264" t="str">
        <f>TableMJRUENGL1[[#This Row],[Study Package Code]]</f>
        <v>Stream</v>
      </c>
      <c r="B264" s="5">
        <f>TableMJRUENGL1[[#This Row],[Ver]]</f>
        <v>0</v>
      </c>
      <c r="D264" t="str">
        <f>TableMJRUENGL1[[#This Row],[Structure Line]]</f>
        <v>Choose Your Minor Teaching Area Stream</v>
      </c>
      <c r="E264" s="81">
        <f>TableMJRUENGL1[[#This Row],[Credit Points]]</f>
        <v>150</v>
      </c>
      <c r="F264">
        <v>2</v>
      </c>
      <c r="G264" t="s">
        <v>140</v>
      </c>
      <c r="H264">
        <v>1</v>
      </c>
      <c r="I264" t="s">
        <v>1212</v>
      </c>
      <c r="J264" t="s">
        <v>1157</v>
      </c>
      <c r="K264">
        <v>0</v>
      </c>
      <c r="L264" t="s">
        <v>1158</v>
      </c>
      <c r="M264">
        <v>150</v>
      </c>
      <c r="N264" s="125"/>
      <c r="O264" s="125"/>
      <c r="R264" t="s">
        <v>451</v>
      </c>
      <c r="S264">
        <v>2</v>
      </c>
    </row>
    <row r="265" spans="1:19" x14ac:dyDescent="0.25">
      <c r="A265" t="str">
        <f>TableMJRUENGL1[[#This Row],[Study Package Code]]</f>
        <v>CWRI1003</v>
      </c>
      <c r="B265" s="5">
        <f>TableMJRUENGL1[[#This Row],[Ver]]</f>
        <v>2</v>
      </c>
      <c r="D265" t="str">
        <f>TableMJRUENGL1[[#This Row],[Structure Line]]</f>
        <v>Engaging Narrative</v>
      </c>
      <c r="E265" s="81">
        <f>TableMJRUENGL1[[#This Row],[Credit Points]]</f>
        <v>25</v>
      </c>
      <c r="F265">
        <v>3</v>
      </c>
      <c r="G265" t="s">
        <v>1208</v>
      </c>
      <c r="H265">
        <v>1</v>
      </c>
      <c r="I265" t="s">
        <v>1212</v>
      </c>
      <c r="J265" t="s">
        <v>451</v>
      </c>
      <c r="K265">
        <v>2</v>
      </c>
      <c r="L265" t="s">
        <v>861</v>
      </c>
      <c r="M265">
        <v>25</v>
      </c>
      <c r="N265" s="125">
        <v>43831</v>
      </c>
      <c r="O265" s="125"/>
      <c r="R265" t="s">
        <v>464</v>
      </c>
      <c r="S265">
        <v>1</v>
      </c>
    </row>
    <row r="266" spans="1:19" x14ac:dyDescent="0.25">
      <c r="A266" t="str">
        <f>TableMJRUENGL1[[#This Row],[Study Package Code]]</f>
        <v>EDSC4030</v>
      </c>
      <c r="B266" s="5">
        <f>TableMJRUENGL1[[#This Row],[Ver]]</f>
        <v>1</v>
      </c>
      <c r="D266" t="str">
        <f>TableMJRUENGL1[[#This Row],[Structure Line]]</f>
        <v>Curriculum and Instruction Lower Secondary: English</v>
      </c>
      <c r="E266" s="81">
        <f>TableMJRUENGL1[[#This Row],[Credit Points]]</f>
        <v>25</v>
      </c>
      <c r="F266">
        <v>4</v>
      </c>
      <c r="G266" t="s">
        <v>1208</v>
      </c>
      <c r="H266">
        <v>2</v>
      </c>
      <c r="I266" t="s">
        <v>1209</v>
      </c>
      <c r="J266" t="s">
        <v>464</v>
      </c>
      <c r="K266">
        <v>1</v>
      </c>
      <c r="L266" t="s">
        <v>952</v>
      </c>
      <c r="M266">
        <v>25</v>
      </c>
      <c r="N266" s="125">
        <v>43466</v>
      </c>
      <c r="O266" s="125"/>
      <c r="R266" t="s">
        <v>566</v>
      </c>
      <c r="S266">
        <v>1</v>
      </c>
    </row>
    <row r="267" spans="1:19" x14ac:dyDescent="0.25">
      <c r="A267" t="str">
        <f>TableMJRUENGL1[[#This Row],[Study Package Code]]</f>
        <v>AC-ENGL1</v>
      </c>
      <c r="B267" s="5">
        <f>TableMJRUENGL1[[#This Row],[Ver]]</f>
        <v>0</v>
      </c>
      <c r="D267" t="str">
        <f>TableMJRUENGL1[[#This Row],[Structure Line]]</f>
        <v>Choose PWRP1000 or LCST1004</v>
      </c>
      <c r="E267" s="81">
        <f>TableMJRUENGL1[[#This Row],[Credit Points]]</f>
        <v>25</v>
      </c>
      <c r="F267">
        <v>5</v>
      </c>
      <c r="G267" t="s">
        <v>1215</v>
      </c>
      <c r="H267">
        <v>2</v>
      </c>
      <c r="I267" t="s">
        <v>1209</v>
      </c>
      <c r="J267" t="s">
        <v>471</v>
      </c>
      <c r="K267">
        <v>0</v>
      </c>
      <c r="L267" t="s">
        <v>1256</v>
      </c>
      <c r="M267">
        <v>25</v>
      </c>
      <c r="N267" s="125"/>
      <c r="O267" s="125"/>
      <c r="R267" t="s">
        <v>485</v>
      </c>
      <c r="S267">
        <v>2</v>
      </c>
    </row>
    <row r="268" spans="1:19" x14ac:dyDescent="0.25">
      <c r="A268" t="str">
        <f>TableMJRUENGL1[[#This Row],[Study Package Code]]</f>
        <v>EDSC4018</v>
      </c>
      <c r="B268" s="5">
        <f>TableMJRUENGL1[[#This Row],[Ver]]</f>
        <v>2</v>
      </c>
      <c r="D268" t="str">
        <f>TableMJRUENGL1[[#This Row],[Structure Line]]</f>
        <v>Curriculum and Instruction Senior Secondary: English</v>
      </c>
      <c r="E268" s="81">
        <f>TableMJRUENGL1[[#This Row],[Credit Points]]</f>
        <v>25</v>
      </c>
      <c r="F268">
        <v>6</v>
      </c>
      <c r="G268" t="s">
        <v>1208</v>
      </c>
      <c r="H268">
        <v>2</v>
      </c>
      <c r="I268" t="s">
        <v>1212</v>
      </c>
      <c r="J268" t="s">
        <v>485</v>
      </c>
      <c r="K268">
        <v>2</v>
      </c>
      <c r="L268" t="s">
        <v>942</v>
      </c>
      <c r="M268">
        <v>25</v>
      </c>
      <c r="N268" s="125">
        <v>43831</v>
      </c>
      <c r="O268" s="125"/>
      <c r="R268" t="s">
        <v>496</v>
      </c>
      <c r="S268">
        <v>1</v>
      </c>
    </row>
    <row r="269" spans="1:19" x14ac:dyDescent="0.25">
      <c r="A269" t="str">
        <f>TableMJRUENGL1[[#This Row],[Study Package Code]]</f>
        <v>LCST2007</v>
      </c>
      <c r="B269" s="5">
        <f>TableMJRUENGL1[[#This Row],[Ver]]</f>
        <v>1</v>
      </c>
      <c r="D269" t="str">
        <f>TableMJRUENGL1[[#This Row],[Structure Line]]</f>
        <v>Reading Gender</v>
      </c>
      <c r="E269" s="81">
        <f>TableMJRUENGL1[[#This Row],[Credit Points]]</f>
        <v>25</v>
      </c>
      <c r="F269">
        <v>7</v>
      </c>
      <c r="G269" t="s">
        <v>1208</v>
      </c>
      <c r="H269">
        <v>2</v>
      </c>
      <c r="I269" t="s">
        <v>1212</v>
      </c>
      <c r="J269" t="s">
        <v>496</v>
      </c>
      <c r="K269">
        <v>1</v>
      </c>
      <c r="L269" t="s">
        <v>1048</v>
      </c>
      <c r="M269">
        <v>25</v>
      </c>
      <c r="N269" s="125">
        <v>44562</v>
      </c>
      <c r="O269" s="125"/>
      <c r="R269" t="s">
        <v>509</v>
      </c>
      <c r="S269">
        <v>1</v>
      </c>
    </row>
    <row r="270" spans="1:19" x14ac:dyDescent="0.25">
      <c r="A270" t="str">
        <f>TableMJRUENGL1[[#This Row],[Study Package Code]]</f>
        <v>LCST2006</v>
      </c>
      <c r="B270" s="5">
        <f>TableMJRUENGL1[[#This Row],[Ver]]</f>
        <v>2</v>
      </c>
      <c r="D270" t="str">
        <f>TableMJRUENGL1[[#This Row],[Structure Line]]</f>
        <v>Genre and Classic Texts</v>
      </c>
      <c r="E270" s="81">
        <f>TableMJRUENGL1[[#This Row],[Credit Points]]</f>
        <v>25</v>
      </c>
      <c r="F270">
        <v>8</v>
      </c>
      <c r="G270" t="s">
        <v>1208</v>
      </c>
      <c r="H270">
        <v>3</v>
      </c>
      <c r="I270" t="s">
        <v>1209</v>
      </c>
      <c r="J270" t="s">
        <v>509</v>
      </c>
      <c r="K270">
        <v>2</v>
      </c>
      <c r="L270" t="s">
        <v>1047</v>
      </c>
      <c r="M270">
        <v>25</v>
      </c>
      <c r="N270" s="125">
        <v>45292</v>
      </c>
      <c r="O270" s="125"/>
      <c r="R270" t="s">
        <v>1248</v>
      </c>
      <c r="S270">
        <v>1</v>
      </c>
    </row>
    <row r="271" spans="1:19" x14ac:dyDescent="0.25">
      <c r="A271" t="str">
        <f>TableMJRUENGL1[[#This Row],[Study Package Code]]</f>
        <v>LCST3007</v>
      </c>
      <c r="B271" s="5">
        <f>TableMJRUENGL1[[#This Row],[Ver]]</f>
        <v>1</v>
      </c>
      <c r="D271" t="str">
        <f>TableMJRUENGL1[[#This Row],[Structure Line]]</f>
        <v>Textual Futures</v>
      </c>
      <c r="E271" s="81">
        <f>TableMJRUENGL1[[#This Row],[Credit Points]]</f>
        <v>25</v>
      </c>
      <c r="F271">
        <v>9</v>
      </c>
      <c r="G271" t="s">
        <v>1208</v>
      </c>
      <c r="H271">
        <v>3</v>
      </c>
      <c r="I271" t="s">
        <v>1212</v>
      </c>
      <c r="J271" t="s">
        <v>524</v>
      </c>
      <c r="K271">
        <v>1</v>
      </c>
      <c r="L271" t="s">
        <v>1050</v>
      </c>
      <c r="M271">
        <v>25</v>
      </c>
      <c r="N271" s="125">
        <v>44562</v>
      </c>
      <c r="O271" s="125"/>
      <c r="R271" t="s">
        <v>524</v>
      </c>
      <c r="S271">
        <v>1</v>
      </c>
    </row>
    <row r="272" spans="1:19" x14ac:dyDescent="0.25">
      <c r="A272" t="str">
        <f>TableMJRUENGL1[[#This Row],[Study Package Code]]</f>
        <v>LCST3006</v>
      </c>
      <c r="B272" s="5">
        <f>TableMJRUENGL1[[#This Row],[Ver]]</f>
        <v>1</v>
      </c>
      <c r="D272" t="str">
        <f>TableMJRUENGL1[[#This Row],[Structure Line]]</f>
        <v>Decolonising Place</v>
      </c>
      <c r="E272" s="81">
        <f>TableMJRUENGL1[[#This Row],[Credit Points]]</f>
        <v>25</v>
      </c>
      <c r="F272">
        <v>10</v>
      </c>
      <c r="G272" t="s">
        <v>1208</v>
      </c>
      <c r="H272">
        <v>4</v>
      </c>
      <c r="I272" t="s">
        <v>1209</v>
      </c>
      <c r="J272" t="s">
        <v>539</v>
      </c>
      <c r="K272">
        <v>1</v>
      </c>
      <c r="L272" t="s">
        <v>1049</v>
      </c>
      <c r="M272">
        <v>25</v>
      </c>
      <c r="N272" s="125">
        <v>44562</v>
      </c>
      <c r="O272" s="125"/>
      <c r="R272" t="s">
        <v>539</v>
      </c>
      <c r="S272">
        <v>1</v>
      </c>
    </row>
    <row r="273" spans="1:19" x14ac:dyDescent="0.25">
      <c r="A273" t="str">
        <f>TableMJRUENGL1[[#This Row],[Study Package Code]]</f>
        <v>COMS2000</v>
      </c>
      <c r="B273" s="5">
        <f>TableMJRUENGL1[[#This Row],[Ver]]</f>
        <v>0</v>
      </c>
      <c r="D273" t="str">
        <f>TableMJRUENGL1[[#This Row],[Structure Line]]</f>
        <v>Media, Culture and Consumption</v>
      </c>
      <c r="E273" s="81">
        <f>TableMJRUENGL1[[#This Row],[Credit Points]]</f>
        <v>25</v>
      </c>
      <c r="F273">
        <v>1</v>
      </c>
      <c r="G273" t="s">
        <v>140</v>
      </c>
      <c r="H273">
        <v>0</v>
      </c>
      <c r="I273" t="s">
        <v>1221</v>
      </c>
      <c r="J273" t="s">
        <v>600</v>
      </c>
      <c r="K273" s="122">
        <v>0</v>
      </c>
      <c r="L273" t="s">
        <v>854</v>
      </c>
      <c r="M273">
        <v>25</v>
      </c>
      <c r="N273" s="125">
        <v>44927</v>
      </c>
      <c r="O273" s="125"/>
      <c r="R273" t="s">
        <v>102</v>
      </c>
      <c r="S273">
        <v>0</v>
      </c>
    </row>
    <row r="274" spans="1:19" x14ac:dyDescent="0.25">
      <c r="A274" t="str">
        <f>TableMJRUENGL1[[#This Row],[Study Package Code]]</f>
        <v>COMS2001</v>
      </c>
      <c r="B274" s="5">
        <f>TableMJRUENGL1[[#This Row],[Ver]]</f>
        <v>0</v>
      </c>
      <c r="D274" t="str">
        <f>TableMJRUENGL1[[#This Row],[Structure Line]]</f>
        <v>Asian Media in Transition</v>
      </c>
      <c r="E274" s="81">
        <f>TableMJRUENGL1[[#This Row],[Credit Points]]</f>
        <v>25</v>
      </c>
      <c r="F274">
        <v>1</v>
      </c>
      <c r="G274" t="s">
        <v>140</v>
      </c>
      <c r="H274">
        <v>0</v>
      </c>
      <c r="I274" t="s">
        <v>1221</v>
      </c>
      <c r="J274" t="s">
        <v>607</v>
      </c>
      <c r="K274" s="122">
        <v>0</v>
      </c>
      <c r="L274" t="s">
        <v>856</v>
      </c>
      <c r="M274">
        <v>25</v>
      </c>
      <c r="N274" s="125">
        <v>42005</v>
      </c>
      <c r="O274" s="125"/>
      <c r="R274" t="s">
        <v>350</v>
      </c>
      <c r="S274">
        <v>2</v>
      </c>
    </row>
    <row r="275" spans="1:19" x14ac:dyDescent="0.25">
      <c r="A275" t="str">
        <f>TableMJRUENGL1[[#This Row],[Study Package Code]]</f>
        <v>CWRI2002</v>
      </c>
      <c r="B275" s="5">
        <f>TableMJRUENGL1[[#This Row],[Ver]]</f>
        <v>0</v>
      </c>
      <c r="D275" t="str">
        <f>TableMJRUENGL1[[#This Row],[Structure Line]]</f>
        <v>Writing Short Fiction</v>
      </c>
      <c r="E275" s="81">
        <f>TableMJRUENGL1[[#This Row],[Credit Points]]</f>
        <v>25</v>
      </c>
      <c r="F275">
        <v>1</v>
      </c>
      <c r="G275" t="s">
        <v>140</v>
      </c>
      <c r="H275">
        <v>0</v>
      </c>
      <c r="I275" t="s">
        <v>1221</v>
      </c>
      <c r="J275" t="s">
        <v>610</v>
      </c>
      <c r="K275" s="122">
        <v>0</v>
      </c>
      <c r="L275" t="s">
        <v>863</v>
      </c>
      <c r="M275">
        <v>25</v>
      </c>
      <c r="N275" s="125">
        <v>42005</v>
      </c>
      <c r="O275" s="125"/>
      <c r="R275" t="s">
        <v>1257</v>
      </c>
      <c r="S275">
        <v>2</v>
      </c>
    </row>
    <row r="276" spans="1:19" x14ac:dyDescent="0.25">
      <c r="A276" t="str">
        <f>TableMJRUENGL1[[#This Row],[Study Package Code]]</f>
        <v>CWRI3011</v>
      </c>
      <c r="B276" s="5">
        <f>TableMJRUENGL1[[#This Row],[Ver]]</f>
        <v>0</v>
      </c>
      <c r="D276" t="str">
        <f>TableMJRUENGL1[[#This Row],[Structure Line]]</f>
        <v>Writing for Children</v>
      </c>
      <c r="E276" s="81">
        <f>TableMJRUENGL1[[#This Row],[Credit Points]]</f>
        <v>25</v>
      </c>
      <c r="F276">
        <v>1</v>
      </c>
      <c r="G276" t="s">
        <v>140</v>
      </c>
      <c r="H276">
        <v>0</v>
      </c>
      <c r="I276" t="s">
        <v>1221</v>
      </c>
      <c r="J276" t="s">
        <v>617</v>
      </c>
      <c r="K276" s="122">
        <v>0</v>
      </c>
      <c r="L276" t="s">
        <v>865</v>
      </c>
      <c r="M276">
        <v>25</v>
      </c>
      <c r="N276" s="125">
        <v>42005</v>
      </c>
      <c r="O276" s="125"/>
      <c r="R276" t="s">
        <v>1257</v>
      </c>
      <c r="S276">
        <v>3</v>
      </c>
    </row>
    <row r="277" spans="1:19" x14ac:dyDescent="0.25">
      <c r="A277" t="str">
        <f>TableMJRUENGL1[[#This Row],[Study Package Code]]</f>
        <v>MATH1014</v>
      </c>
      <c r="B277" s="5">
        <f>TableMJRUENGL1[[#This Row],[Ver]]</f>
        <v>0</v>
      </c>
      <c r="D277" t="str">
        <f>TableMJRUENGL1[[#This Row],[Structure Line]]</f>
        <v>Foundations of Calculus</v>
      </c>
      <c r="E277" s="81">
        <f>TableMJRUENGL1[[#This Row],[Credit Points]]</f>
        <v>25</v>
      </c>
      <c r="F277">
        <v>1</v>
      </c>
      <c r="G277" t="s">
        <v>140</v>
      </c>
      <c r="H277">
        <v>0</v>
      </c>
      <c r="I277" t="s">
        <v>1221</v>
      </c>
      <c r="J277" t="s">
        <v>588</v>
      </c>
      <c r="K277" s="122">
        <v>0</v>
      </c>
      <c r="L277" t="s">
        <v>1051</v>
      </c>
      <c r="M277">
        <v>25</v>
      </c>
      <c r="N277" s="125">
        <v>42736</v>
      </c>
      <c r="O277" s="125"/>
      <c r="R277" t="s">
        <v>359</v>
      </c>
      <c r="S277">
        <v>3</v>
      </c>
    </row>
    <row r="278" spans="1:19" x14ac:dyDescent="0.25">
      <c r="A278" t="str">
        <f>TableMJRUENGL1[[#This Row],[Study Package Code]]</f>
        <v>STRU-BSCIM</v>
      </c>
      <c r="B278" s="5">
        <f>TableMJRUENGL1[[#This Row],[Ver]]</f>
        <v>3</v>
      </c>
      <c r="D278" t="str">
        <f>TableMJRUENGL1[[#This Row],[Structure Line]]</f>
        <v>Biological Sciences Education Minor Teaching Area Stream (BEd Secondary)</v>
      </c>
      <c r="E278" s="81">
        <f>TableMJRUENGL1[[#This Row],[Credit Points]]</f>
        <v>150</v>
      </c>
      <c r="F278">
        <v>2</v>
      </c>
      <c r="G278" t="s">
        <v>140</v>
      </c>
      <c r="H278">
        <v>1</v>
      </c>
      <c r="I278" t="s">
        <v>1212</v>
      </c>
      <c r="J278" t="s">
        <v>350</v>
      </c>
      <c r="K278">
        <v>3</v>
      </c>
      <c r="L278" t="s">
        <v>205</v>
      </c>
      <c r="M278">
        <v>150</v>
      </c>
      <c r="N278" s="125">
        <v>45658</v>
      </c>
      <c r="O278" s="125"/>
      <c r="R278" t="s">
        <v>1251</v>
      </c>
      <c r="S278">
        <v>2</v>
      </c>
    </row>
    <row r="279" spans="1:19" x14ac:dyDescent="0.25">
      <c r="A279" t="str">
        <f>TableMJRUENGL1[[#This Row],[Study Package Code]]</f>
        <v>STRU-ENGLB</v>
      </c>
      <c r="B279" s="5">
        <f>TableMJRUENGL1[[#This Row],[Ver]]</f>
        <v>4</v>
      </c>
      <c r="D279" t="str">
        <f>TableMJRUENGL1[[#This Row],[Structure Line]]</f>
        <v>Broadening English Teaching Area Stream (BEd Secondary)</v>
      </c>
      <c r="E279" s="81">
        <f>TableMJRUENGL1[[#This Row],[Credit Points]]</f>
        <v>150</v>
      </c>
      <c r="F279">
        <v>2</v>
      </c>
      <c r="G279" t="s">
        <v>140</v>
      </c>
      <c r="H279">
        <v>1</v>
      </c>
      <c r="I279" t="s">
        <v>1212</v>
      </c>
      <c r="J279" t="s">
        <v>359</v>
      </c>
      <c r="K279">
        <v>4</v>
      </c>
      <c r="L279" t="s">
        <v>402</v>
      </c>
      <c r="M279">
        <v>150</v>
      </c>
      <c r="N279" s="125">
        <v>45658</v>
      </c>
      <c r="O279" s="125"/>
    </row>
    <row r="280" spans="1:19" x14ac:dyDescent="0.25">
      <c r="A280" t="str">
        <f>TableMJRUENGL1[[#This Row],[Study Package Code]]</f>
        <v>STRU-GEOGM</v>
      </c>
      <c r="B280" s="5">
        <f>TableMJRUENGL1[[#This Row],[Ver]]</f>
        <v>1</v>
      </c>
      <c r="D280" t="str">
        <f>TableMJRUENGL1[[#This Row],[Structure Line]]</f>
        <v>Geography Education Minor Teaching Area Stream (BEd Secondary)</v>
      </c>
      <c r="E280" s="81">
        <f>TableMJRUENGL1[[#This Row],[Credit Points]]</f>
        <v>150</v>
      </c>
      <c r="F280">
        <v>2</v>
      </c>
      <c r="G280" t="s">
        <v>140</v>
      </c>
      <c r="H280">
        <v>1</v>
      </c>
      <c r="I280" t="s">
        <v>1212</v>
      </c>
      <c r="J280" t="s">
        <v>354</v>
      </c>
      <c r="K280">
        <v>1</v>
      </c>
      <c r="L280" t="s">
        <v>414</v>
      </c>
      <c r="M280">
        <v>150</v>
      </c>
      <c r="N280" s="125">
        <v>45658</v>
      </c>
      <c r="O280" s="125"/>
    </row>
    <row r="281" spans="1:19" x14ac:dyDescent="0.25">
      <c r="A281" t="str">
        <f>TableMJRUENGL1[[#This Row],[Study Package Code]]</f>
        <v>STRU-HISTM</v>
      </c>
      <c r="B281" s="5">
        <f>TableMJRUENGL1[[#This Row],[Ver]]</f>
        <v>1</v>
      </c>
      <c r="D281" t="str">
        <f>TableMJRUENGL1[[#This Row],[Structure Line]]</f>
        <v>History Education Minor Teaching Area Stream (BEd Secondary)</v>
      </c>
      <c r="E281" s="81">
        <f>TableMJRUENGL1[[#This Row],[Credit Points]]</f>
        <v>150</v>
      </c>
      <c r="F281">
        <v>2</v>
      </c>
      <c r="G281" t="s">
        <v>140</v>
      </c>
      <c r="H281">
        <v>1</v>
      </c>
      <c r="I281" t="s">
        <v>1212</v>
      </c>
      <c r="J281" t="s">
        <v>355</v>
      </c>
      <c r="K281">
        <v>1</v>
      </c>
      <c r="L281" t="s">
        <v>445</v>
      </c>
      <c r="M281">
        <v>150</v>
      </c>
      <c r="N281" s="125">
        <v>45658</v>
      </c>
      <c r="O281" s="125"/>
    </row>
    <row r="282" spans="1:19" x14ac:dyDescent="0.25">
      <c r="A282" t="str">
        <f>TableMJRUENGL1[[#This Row],[Study Package Code]]</f>
        <v>STRU-MARTM</v>
      </c>
      <c r="B282" s="5">
        <f>TableMJRUENGL1[[#This Row],[Ver]]</f>
        <v>1</v>
      </c>
      <c r="D282" t="str">
        <f>TableMJRUENGL1[[#This Row],[Structure Line]]</f>
        <v>The Arts - Media Education Minor Teaching Area Stream (BEd Secondary)</v>
      </c>
      <c r="E282" s="81">
        <f>TableMJRUENGL1[[#This Row],[Credit Points]]</f>
        <v>150</v>
      </c>
      <c r="F282">
        <v>2</v>
      </c>
      <c r="G282" t="s">
        <v>140</v>
      </c>
      <c r="H282">
        <v>1</v>
      </c>
      <c r="I282" t="s">
        <v>1212</v>
      </c>
      <c r="J282" t="s">
        <v>360</v>
      </c>
      <c r="K282">
        <v>1</v>
      </c>
      <c r="L282" t="s">
        <v>491</v>
      </c>
      <c r="M282">
        <v>150</v>
      </c>
      <c r="N282" s="125">
        <v>45658</v>
      </c>
      <c r="O282" s="125"/>
    </row>
    <row r="283" spans="1:19" x14ac:dyDescent="0.25">
      <c r="A283" t="str">
        <f>TableMJRUENGL1[[#This Row],[Study Package Code]]</f>
        <v>STRU-MATHM</v>
      </c>
      <c r="B283" s="5">
        <f>TableMJRUENGL1[[#This Row],[Ver]]</f>
        <v>3</v>
      </c>
      <c r="D283" t="str">
        <f>TableMJRUENGL1[[#This Row],[Structure Line]]</f>
        <v>Mathematics Education Minor Teaching Area Stream (BEd Secondary)</v>
      </c>
      <c r="E283" s="81">
        <f>TableMJRUENGL1[[#This Row],[Credit Points]]</f>
        <v>150</v>
      </c>
      <c r="F283">
        <v>2</v>
      </c>
      <c r="G283" t="s">
        <v>140</v>
      </c>
      <c r="H283">
        <v>1</v>
      </c>
      <c r="I283" t="s">
        <v>1212</v>
      </c>
      <c r="J283" t="s">
        <v>356</v>
      </c>
      <c r="K283">
        <v>3</v>
      </c>
      <c r="L283" t="s">
        <v>213</v>
      </c>
      <c r="M283">
        <v>150</v>
      </c>
      <c r="N283" s="125">
        <v>45658</v>
      </c>
      <c r="O283" s="125"/>
      <c r="R283" t="s">
        <v>356</v>
      </c>
      <c r="S283">
        <v>2</v>
      </c>
    </row>
    <row r="284" spans="1:19" x14ac:dyDescent="0.25">
      <c r="A284" t="str">
        <f>TableMJRUENGL1[[#This Row],[Study Package Code]]</f>
        <v>STRU-PARTM</v>
      </c>
      <c r="B284" s="5">
        <f>TableMJRUENGL1[[#This Row],[Ver]]</f>
        <v>2</v>
      </c>
      <c r="D284" t="str">
        <f>TableMJRUENGL1[[#This Row],[Structure Line]]</f>
        <v>The Arts - Performing Arts Education Minor Teaching Area Stream (BEd Secondary)</v>
      </c>
      <c r="E284" s="81">
        <f>TableMJRUENGL1[[#This Row],[Credit Points]]</f>
        <v>150</v>
      </c>
      <c r="F284">
        <v>2</v>
      </c>
      <c r="G284" t="s">
        <v>140</v>
      </c>
      <c r="H284">
        <v>1</v>
      </c>
      <c r="I284" t="s">
        <v>1212</v>
      </c>
      <c r="J284" t="s">
        <v>361</v>
      </c>
      <c r="K284">
        <v>2</v>
      </c>
      <c r="L284" t="s">
        <v>505</v>
      </c>
      <c r="M284">
        <v>150</v>
      </c>
      <c r="N284" s="125">
        <v>43466</v>
      </c>
      <c r="O284" s="125"/>
      <c r="R284" t="s">
        <v>361</v>
      </c>
      <c r="S284">
        <v>2</v>
      </c>
    </row>
    <row r="285" spans="1:19" x14ac:dyDescent="0.25">
      <c r="A285" t="str">
        <f>TableMJRUENGL1[[#This Row],[Study Package Code]]</f>
        <v>STRU-PSYCM</v>
      </c>
      <c r="B285" s="5">
        <f>TableMJRUENGL1[[#This Row],[Ver]]</f>
        <v>3</v>
      </c>
      <c r="D285" t="str">
        <f>TableMJRUENGL1[[#This Row],[Structure Line]]</f>
        <v>Psychology Education Minor Teaching Area Stream (BEd Secondary)</v>
      </c>
      <c r="E285" s="81">
        <f>TableMJRUENGL1[[#This Row],[Credit Points]]</f>
        <v>150</v>
      </c>
      <c r="F285">
        <v>2</v>
      </c>
      <c r="G285" t="s">
        <v>140</v>
      </c>
      <c r="H285">
        <v>1</v>
      </c>
      <c r="I285" t="s">
        <v>1212</v>
      </c>
      <c r="J285" t="s">
        <v>357</v>
      </c>
      <c r="K285">
        <v>3</v>
      </c>
      <c r="L285" t="s">
        <v>482</v>
      </c>
      <c r="M285">
        <v>150</v>
      </c>
      <c r="N285" s="125">
        <v>45658</v>
      </c>
      <c r="O285" s="125"/>
      <c r="R285" t="s">
        <v>1252</v>
      </c>
      <c r="S285">
        <v>2</v>
      </c>
    </row>
    <row r="286" spans="1:19" x14ac:dyDescent="0.25">
      <c r="A286" t="str">
        <f>TableMJRUENGL1[[#This Row],[Study Package Code]]</f>
        <v>STRU-VARTM</v>
      </c>
      <c r="B286" s="5">
        <f>TableMJRUENGL1[[#This Row],[Ver]]</f>
        <v>3</v>
      </c>
      <c r="D286" t="str">
        <f>TableMJRUENGL1[[#This Row],[Structure Line]]</f>
        <v>The Arts - Visual Arts Education Minor Teaching Area Stream (BEd Secondary)</v>
      </c>
      <c r="E286" s="81">
        <f>TableMJRUENGL1[[#This Row],[Credit Points]]</f>
        <v>150</v>
      </c>
      <c r="F286">
        <v>2</v>
      </c>
      <c r="G286" t="s">
        <v>140</v>
      </c>
      <c r="H286">
        <v>1</v>
      </c>
      <c r="I286" t="s">
        <v>1212</v>
      </c>
      <c r="J286" t="s">
        <v>217</v>
      </c>
      <c r="K286">
        <v>3</v>
      </c>
      <c r="L286" t="s">
        <v>520</v>
      </c>
      <c r="M286">
        <v>150</v>
      </c>
      <c r="N286" s="125">
        <v>45658</v>
      </c>
      <c r="O286" s="125"/>
      <c r="R286" t="s">
        <v>357</v>
      </c>
      <c r="S286">
        <v>2</v>
      </c>
    </row>
    <row r="287" spans="1:19" x14ac:dyDescent="0.25">
      <c r="A287" t="str">
        <f>TableMJRUENGL1[[#This Row],[Study Package Code]]</f>
        <v>LCST1004</v>
      </c>
      <c r="B287" s="5">
        <f>TableMJRUENGL1[[#This Row],[Ver]]</f>
        <v>0</v>
      </c>
      <c r="D287" t="str">
        <f>TableMJRUENGL1[[#This Row],[Structure Line]]</f>
        <v>Introduction to Cultural Studies</v>
      </c>
      <c r="E287" s="81">
        <f>TableMJRUENGL1[[#This Row],[Credit Points]]</f>
        <v>25</v>
      </c>
      <c r="F287">
        <v>5</v>
      </c>
      <c r="G287" t="s">
        <v>1215</v>
      </c>
      <c r="H287">
        <v>2</v>
      </c>
      <c r="I287" t="s">
        <v>1209</v>
      </c>
      <c r="J287" t="s">
        <v>566</v>
      </c>
      <c r="K287" s="122">
        <v>0</v>
      </c>
      <c r="L287" t="s">
        <v>1046</v>
      </c>
      <c r="M287">
        <v>25</v>
      </c>
      <c r="N287" s="125">
        <v>42370</v>
      </c>
      <c r="O287" s="125"/>
      <c r="R287" t="s">
        <v>1253</v>
      </c>
      <c r="S287">
        <v>2</v>
      </c>
    </row>
    <row r="288" spans="1:19" x14ac:dyDescent="0.25">
      <c r="A288" t="str">
        <f>TableMJRUENGL1[[#This Row],[Study Package Code]]</f>
        <v>PWRP1000</v>
      </c>
      <c r="B288" s="5">
        <f>TableMJRUENGL1[[#This Row],[Ver]]</f>
        <v>0</v>
      </c>
      <c r="D288" t="str">
        <f>TableMJRUENGL1[[#This Row],[Structure Line]]</f>
        <v>Introduction to Creative and Professional Writing</v>
      </c>
      <c r="E288" s="81">
        <f>TableMJRUENGL1[[#This Row],[Credit Points]]</f>
        <v>25</v>
      </c>
      <c r="F288">
        <v>5</v>
      </c>
      <c r="G288" t="s">
        <v>1215</v>
      </c>
      <c r="H288">
        <v>2</v>
      </c>
      <c r="I288" t="s">
        <v>1209</v>
      </c>
      <c r="J288" t="s">
        <v>579</v>
      </c>
      <c r="K288" s="122">
        <v>0</v>
      </c>
      <c r="L288" t="s">
        <v>1125</v>
      </c>
      <c r="M288">
        <v>25</v>
      </c>
      <c r="N288" s="125">
        <v>44197</v>
      </c>
      <c r="O288" s="125"/>
      <c r="R288" t="s">
        <v>217</v>
      </c>
      <c r="S288">
        <v>2</v>
      </c>
    </row>
    <row r="289" spans="1:19" x14ac:dyDescent="0.25">
      <c r="A289" s="78"/>
      <c r="B289" s="80"/>
      <c r="C289" s="78"/>
      <c r="D289" s="78"/>
      <c r="G289" s="79" t="s">
        <v>1194</v>
      </c>
      <c r="H289" s="272">
        <v>45658</v>
      </c>
      <c r="J289" s="274" t="s">
        <v>340</v>
      </c>
      <c r="K289" s="273">
        <v>1</v>
      </c>
      <c r="L289" s="274" t="s">
        <v>377</v>
      </c>
      <c r="M289" s="78"/>
      <c r="N289" s="198" t="s">
        <v>1195</v>
      </c>
      <c r="O289" s="125">
        <v>45614</v>
      </c>
    </row>
    <row r="290" spans="1:19" ht="31.5" x14ac:dyDescent="0.25">
      <c r="A290" s="97" t="s">
        <v>0</v>
      </c>
      <c r="B290" s="98" t="s">
        <v>1196</v>
      </c>
      <c r="C290" s="97" t="s">
        <v>1197</v>
      </c>
      <c r="D290" s="97" t="s">
        <v>3</v>
      </c>
      <c r="E290" s="99" t="s">
        <v>1198</v>
      </c>
      <c r="F290" s="97" t="s">
        <v>1199</v>
      </c>
      <c r="G290" s="97" t="s">
        <v>1200</v>
      </c>
      <c r="H290" s="97" t="s">
        <v>1201</v>
      </c>
      <c r="I290" s="97" t="s">
        <v>18</v>
      </c>
      <c r="J290" s="97" t="s">
        <v>1202</v>
      </c>
      <c r="K290" s="97" t="s">
        <v>1</v>
      </c>
      <c r="L290" s="97" t="s">
        <v>1203</v>
      </c>
      <c r="M290" s="97" t="s">
        <v>69</v>
      </c>
      <c r="N290" s="97" t="s">
        <v>1204</v>
      </c>
      <c r="O290" s="97" t="s">
        <v>1205</v>
      </c>
      <c r="R290" t="s">
        <v>1206</v>
      </c>
      <c r="S290" t="s">
        <v>1207</v>
      </c>
    </row>
    <row r="291" spans="1:19" x14ac:dyDescent="0.25">
      <c r="A291" t="str">
        <f>TableMJRUHSEC1[[#This Row],[Study Package Code]]</f>
        <v>Opt-HSEC1</v>
      </c>
      <c r="B291" s="5">
        <f>TableMJRUHSEC1[[#This Row],[Ver]]</f>
        <v>0</v>
      </c>
      <c r="D291" t="str">
        <f>TableMJRUHSEC1[[#This Row],[Structure Line]]</f>
        <v>Choose an Option</v>
      </c>
      <c r="E291" s="81">
        <f>TableMJRUHSEC1[[#This Row],[Credit Points]]</f>
        <v>25</v>
      </c>
      <c r="F291">
        <v>1</v>
      </c>
      <c r="G291" t="s">
        <v>140</v>
      </c>
      <c r="H291">
        <v>0</v>
      </c>
      <c r="I291" t="s">
        <v>1221</v>
      </c>
      <c r="J291" t="s">
        <v>554</v>
      </c>
      <c r="K291">
        <v>0</v>
      </c>
      <c r="L291" t="s">
        <v>1219</v>
      </c>
      <c r="M291">
        <v>25</v>
      </c>
      <c r="N291" s="125"/>
      <c r="O291" s="125"/>
      <c r="R291" t="s">
        <v>452</v>
      </c>
      <c r="S291">
        <v>1</v>
      </c>
    </row>
    <row r="292" spans="1:19" x14ac:dyDescent="0.25">
      <c r="A292" t="str">
        <f>TableMJRUHSEC1[[#This Row],[Study Package Code]]</f>
        <v>Stream</v>
      </c>
      <c r="B292" s="5">
        <f>TableMJRUHSEC1[[#This Row],[Ver]]</f>
        <v>0</v>
      </c>
      <c r="D292" t="str">
        <f>TableMJRUHSEC1[[#This Row],[Structure Line]]</f>
        <v>Choose Your Minor Teaching Area Stream</v>
      </c>
      <c r="E292" s="81">
        <f>TableMJRUHSEC1[[#This Row],[Credit Points]]</f>
        <v>150</v>
      </c>
      <c r="F292">
        <v>2</v>
      </c>
      <c r="G292" t="s">
        <v>140</v>
      </c>
      <c r="H292">
        <v>1</v>
      </c>
      <c r="I292" t="s">
        <v>1212</v>
      </c>
      <c r="J292" t="s">
        <v>1157</v>
      </c>
      <c r="K292">
        <v>0</v>
      </c>
      <c r="L292" t="s">
        <v>1158</v>
      </c>
      <c r="M292">
        <v>150</v>
      </c>
      <c r="N292" s="125"/>
      <c r="O292" s="125"/>
      <c r="R292" t="s">
        <v>593</v>
      </c>
      <c r="S292">
        <v>1</v>
      </c>
    </row>
    <row r="293" spans="1:19" x14ac:dyDescent="0.25">
      <c r="A293" t="str">
        <f>TableMJRUHSEC1[[#This Row],[Study Package Code]]</f>
        <v>ECON1000</v>
      </c>
      <c r="B293" s="5">
        <f>TableMJRUHSEC1[[#This Row],[Ver]]</f>
        <v>1</v>
      </c>
      <c r="D293" t="str">
        <f>TableMJRUHSEC1[[#This Row],[Structure Line]]</f>
        <v>Introductory Economics</v>
      </c>
      <c r="E293" s="81">
        <f>TableMJRUHSEC1[[#This Row],[Credit Points]]</f>
        <v>25</v>
      </c>
      <c r="F293">
        <v>3</v>
      </c>
      <c r="G293" t="s">
        <v>1208</v>
      </c>
      <c r="H293">
        <v>1</v>
      </c>
      <c r="I293" t="s">
        <v>1212</v>
      </c>
      <c r="J293" t="s">
        <v>452</v>
      </c>
      <c r="K293">
        <v>1</v>
      </c>
      <c r="L293" t="s">
        <v>869</v>
      </c>
      <c r="M293">
        <v>25</v>
      </c>
      <c r="N293" s="125">
        <v>42005</v>
      </c>
      <c r="O293" s="125"/>
      <c r="R293" t="s">
        <v>465</v>
      </c>
      <c r="S293">
        <v>1</v>
      </c>
    </row>
    <row r="294" spans="1:19" x14ac:dyDescent="0.25">
      <c r="A294" t="str">
        <f>TableMJRUHSEC1[[#This Row],[Study Package Code]]</f>
        <v>EDSC4024</v>
      </c>
      <c r="B294" s="5">
        <f>TableMJRUHSEC1[[#This Row],[Ver]]</f>
        <v>1</v>
      </c>
      <c r="D294" t="str">
        <f>TableMJRUHSEC1[[#This Row],[Structure Line]]</f>
        <v>Curriculum and Instruction Lower Secondary: Humanities and Social Sciences</v>
      </c>
      <c r="E294" s="81">
        <f>TableMJRUHSEC1[[#This Row],[Credit Points]]</f>
        <v>25</v>
      </c>
      <c r="F294">
        <v>4</v>
      </c>
      <c r="G294" t="s">
        <v>1208</v>
      </c>
      <c r="H294">
        <v>2</v>
      </c>
      <c r="I294" t="s">
        <v>1209</v>
      </c>
      <c r="J294" t="s">
        <v>465</v>
      </c>
      <c r="K294">
        <v>1</v>
      </c>
      <c r="L294" t="s">
        <v>948</v>
      </c>
      <c r="M294">
        <v>25</v>
      </c>
      <c r="N294" s="125">
        <v>43466</v>
      </c>
      <c r="O294" s="125"/>
      <c r="R294" t="s">
        <v>486</v>
      </c>
      <c r="S294">
        <v>2</v>
      </c>
    </row>
    <row r="295" spans="1:19" x14ac:dyDescent="0.25">
      <c r="A295" t="str">
        <f>TableMJRUHSEC1[[#This Row],[Study Package Code]]</f>
        <v>AC-HSEC11</v>
      </c>
      <c r="B295" s="5">
        <f>TableMJRUHSEC1[[#This Row],[Ver]]</f>
        <v>0</v>
      </c>
      <c r="D295" t="str">
        <f>TableMJRUHSEC1[[#This Row],[Structure Line]]</f>
        <v>Choose ECOM1000 or BLAW1002</v>
      </c>
      <c r="E295" s="81">
        <f>TableMJRUHSEC1[[#This Row],[Credit Points]]</f>
        <v>25</v>
      </c>
      <c r="F295">
        <v>5</v>
      </c>
      <c r="G295" t="s">
        <v>1215</v>
      </c>
      <c r="H295">
        <v>2</v>
      </c>
      <c r="I295" t="s">
        <v>1209</v>
      </c>
      <c r="J295" t="s">
        <v>1258</v>
      </c>
      <c r="K295">
        <v>0</v>
      </c>
      <c r="L295" t="s">
        <v>1259</v>
      </c>
      <c r="M295">
        <v>25</v>
      </c>
      <c r="N295" s="125"/>
      <c r="O295" s="125"/>
      <c r="R295" t="s">
        <v>497</v>
      </c>
      <c r="S295">
        <v>1</v>
      </c>
    </row>
    <row r="296" spans="1:19" x14ac:dyDescent="0.25">
      <c r="A296" t="str">
        <f>TableMJRUHSEC1[[#This Row],[Study Package Code]]</f>
        <v>EDSC4026</v>
      </c>
      <c r="B296" s="5">
        <f>TableMJRUHSEC1[[#This Row],[Ver]]</f>
        <v>2</v>
      </c>
      <c r="D296" t="str">
        <f>TableMJRUHSEC1[[#This Row],[Structure Line]]</f>
        <v>Curriculum and Instruction Senior Secondary: Humanities and Social Sciences</v>
      </c>
      <c r="E296" s="81">
        <f>TableMJRUHSEC1[[#This Row],[Credit Points]]</f>
        <v>25</v>
      </c>
      <c r="F296">
        <v>6</v>
      </c>
      <c r="G296" t="s">
        <v>1208</v>
      </c>
      <c r="H296">
        <v>2</v>
      </c>
      <c r="I296" t="s">
        <v>1212</v>
      </c>
      <c r="J296" t="s">
        <v>486</v>
      </c>
      <c r="K296">
        <v>2</v>
      </c>
      <c r="L296" t="s">
        <v>950</v>
      </c>
      <c r="M296">
        <v>25</v>
      </c>
      <c r="N296" s="125">
        <v>43831</v>
      </c>
      <c r="O296" s="125"/>
      <c r="R296" t="s">
        <v>601</v>
      </c>
      <c r="S296">
        <v>1</v>
      </c>
    </row>
    <row r="297" spans="1:19" x14ac:dyDescent="0.25">
      <c r="A297" t="str">
        <f>TableMJRUHSEC1[[#This Row],[Study Package Code]]</f>
        <v>ECON2001</v>
      </c>
      <c r="B297" s="5">
        <f>TableMJRUHSEC1[[#This Row],[Ver]]</f>
        <v>1</v>
      </c>
      <c r="D297" t="str">
        <f>TableMJRUHSEC1[[#This Row],[Structure Line]]</f>
        <v>Macroeconomic Principles</v>
      </c>
      <c r="E297" s="81">
        <f>TableMJRUHSEC1[[#This Row],[Credit Points]]</f>
        <v>25</v>
      </c>
      <c r="F297">
        <v>7</v>
      </c>
      <c r="G297" t="s">
        <v>1208</v>
      </c>
      <c r="H297">
        <v>2</v>
      </c>
      <c r="I297" t="s">
        <v>1212</v>
      </c>
      <c r="J297" t="s">
        <v>497</v>
      </c>
      <c r="K297">
        <v>1</v>
      </c>
      <c r="L297" t="s">
        <v>870</v>
      </c>
      <c r="M297">
        <v>25</v>
      </c>
      <c r="N297" s="125">
        <v>42005</v>
      </c>
      <c r="O297" s="125"/>
      <c r="R297" t="s">
        <v>1248</v>
      </c>
      <c r="S297">
        <v>1</v>
      </c>
    </row>
    <row r="298" spans="1:19" x14ac:dyDescent="0.25">
      <c r="A298" t="str">
        <f>TableMJRUHSEC1[[#This Row],[Study Package Code]]</f>
        <v>AC-HSEC12</v>
      </c>
      <c r="B298" s="5">
        <f>TableMJRUHSEC1[[#This Row],[Ver]]</f>
        <v>0</v>
      </c>
      <c r="D298" t="str">
        <f>TableMJRUHSEC1[[#This Row],[Structure Line]]</f>
        <v>Choose ECON2006 or ECON2004</v>
      </c>
      <c r="E298" s="81">
        <f>TableMJRUHSEC1[[#This Row],[Credit Points]]</f>
        <v>25</v>
      </c>
      <c r="F298">
        <v>8</v>
      </c>
      <c r="G298" t="s">
        <v>1215</v>
      </c>
      <c r="H298">
        <v>3</v>
      </c>
      <c r="I298" t="s">
        <v>1209</v>
      </c>
      <c r="J298" t="s">
        <v>510</v>
      </c>
      <c r="K298">
        <v>0</v>
      </c>
      <c r="L298" t="s">
        <v>1260</v>
      </c>
      <c r="M298">
        <v>25</v>
      </c>
      <c r="N298" s="125"/>
      <c r="O298" s="125"/>
      <c r="R298" t="s">
        <v>611</v>
      </c>
      <c r="S298">
        <v>1</v>
      </c>
    </row>
    <row r="299" spans="1:19" x14ac:dyDescent="0.25">
      <c r="A299" t="str">
        <f>TableMJRUHSEC1[[#This Row],[Study Package Code]]</f>
        <v>AC-HSEC13</v>
      </c>
      <c r="B299" s="5">
        <f>TableMJRUHSEC1[[#This Row],[Ver]]</f>
        <v>0</v>
      </c>
      <c r="D299" t="str">
        <f>TableMJRUHSEC1[[#This Row],[Structure Line]]</f>
        <v>Choose ECON3007 or ECON3004</v>
      </c>
      <c r="E299" s="81">
        <f>TableMJRUHSEC1[[#This Row],[Credit Points]]</f>
        <v>25</v>
      </c>
      <c r="F299">
        <v>9</v>
      </c>
      <c r="G299" t="s">
        <v>1215</v>
      </c>
      <c r="H299">
        <v>3</v>
      </c>
      <c r="I299" t="s">
        <v>1212</v>
      </c>
      <c r="J299" t="s">
        <v>525</v>
      </c>
      <c r="K299">
        <v>0</v>
      </c>
      <c r="L299" t="s">
        <v>1261</v>
      </c>
      <c r="M299">
        <v>25</v>
      </c>
      <c r="N299" s="125"/>
      <c r="O299" s="125"/>
      <c r="R299" t="s">
        <v>618</v>
      </c>
      <c r="S299">
        <v>1</v>
      </c>
    </row>
    <row r="300" spans="1:19" x14ac:dyDescent="0.25">
      <c r="A300" t="str">
        <f>TableMJRUHSEC1[[#This Row],[Study Package Code]]</f>
        <v>MGMT3026</v>
      </c>
      <c r="B300" s="5">
        <f>TableMJRUHSEC1[[#This Row],[Ver]]</f>
        <v>1</v>
      </c>
      <c r="D300" t="str">
        <f>TableMJRUHSEC1[[#This Row],[Structure Line]]</f>
        <v>Business Innovation Lab</v>
      </c>
      <c r="E300" s="81">
        <f>TableMJRUHSEC1[[#This Row],[Credit Points]]</f>
        <v>25</v>
      </c>
      <c r="F300">
        <v>10</v>
      </c>
      <c r="G300" t="s">
        <v>1208</v>
      </c>
      <c r="H300">
        <v>4</v>
      </c>
      <c r="I300" t="s">
        <v>1209</v>
      </c>
      <c r="J300" t="s">
        <v>540</v>
      </c>
      <c r="K300">
        <v>1</v>
      </c>
      <c r="L300" t="s">
        <v>1068</v>
      </c>
      <c r="M300">
        <v>25</v>
      </c>
      <c r="N300" s="125">
        <v>43831</v>
      </c>
      <c r="O300" s="125"/>
      <c r="R300" t="s">
        <v>102</v>
      </c>
      <c r="S300">
        <v>0</v>
      </c>
    </row>
    <row r="301" spans="1:19" x14ac:dyDescent="0.25">
      <c r="A301" t="str">
        <f>TableMJRUHSEC1[[#This Row],[Study Package Code]]</f>
        <v>ACCT1002</v>
      </c>
      <c r="B301" s="5">
        <f>TableMJRUHSEC1[[#This Row],[Ver]]</f>
        <v>1</v>
      </c>
      <c r="D301" t="str">
        <f>TableMJRUHSEC1[[#This Row],[Structure Line]]</f>
        <v>Financial Decision Making</v>
      </c>
      <c r="E301" s="81">
        <f>TableMJRUHSEC1[[#This Row],[Credit Points]]</f>
        <v>25</v>
      </c>
      <c r="F301">
        <v>1</v>
      </c>
      <c r="G301" t="s">
        <v>140</v>
      </c>
      <c r="H301">
        <v>0</v>
      </c>
      <c r="I301" t="s">
        <v>1221</v>
      </c>
      <c r="J301" t="s">
        <v>629</v>
      </c>
      <c r="K301">
        <v>1</v>
      </c>
      <c r="L301" t="s">
        <v>782</v>
      </c>
      <c r="M301">
        <v>25</v>
      </c>
      <c r="N301" s="125">
        <v>43831</v>
      </c>
      <c r="O301" s="125"/>
      <c r="R301" t="s">
        <v>1157</v>
      </c>
      <c r="S301">
        <v>0</v>
      </c>
    </row>
    <row r="302" spans="1:19" x14ac:dyDescent="0.25">
      <c r="A302" t="str">
        <f>TableMJRUHSEC1[[#This Row],[Study Package Code]]</f>
        <v>BLAW2011</v>
      </c>
      <c r="B302" s="5">
        <f>TableMJRUHSEC1[[#This Row],[Ver]]</f>
        <v>1</v>
      </c>
      <c r="D302" t="str">
        <f>TableMJRUHSEC1[[#This Row],[Structure Line]]</f>
        <v>Safety and Environmental Health Law</v>
      </c>
      <c r="E302" s="81">
        <f>TableMJRUHSEC1[[#This Row],[Credit Points]]</f>
        <v>25</v>
      </c>
      <c r="F302">
        <v>1</v>
      </c>
      <c r="G302" t="s">
        <v>140</v>
      </c>
      <c r="H302">
        <v>0</v>
      </c>
      <c r="I302" t="s">
        <v>1221</v>
      </c>
      <c r="J302" t="s">
        <v>634</v>
      </c>
      <c r="K302">
        <v>1</v>
      </c>
      <c r="L302" t="s">
        <v>829</v>
      </c>
      <c r="M302">
        <v>25</v>
      </c>
      <c r="N302" s="125">
        <v>42005</v>
      </c>
      <c r="O302" s="125"/>
      <c r="R302" t="s">
        <v>350</v>
      </c>
      <c r="S302">
        <v>2</v>
      </c>
    </row>
    <row r="303" spans="1:19" x14ac:dyDescent="0.25">
      <c r="A303" t="str">
        <f>TableMJRUHSEC1[[#This Row],[Study Package Code]]</f>
        <v>MATH1014</v>
      </c>
      <c r="B303" s="5">
        <f>TableMJRUHSEC1[[#This Row],[Ver]]</f>
        <v>1</v>
      </c>
      <c r="D303" t="str">
        <f>TableMJRUHSEC1[[#This Row],[Structure Line]]</f>
        <v>Foundations of Calculus</v>
      </c>
      <c r="E303" s="81">
        <f>TableMJRUHSEC1[[#This Row],[Credit Points]]</f>
        <v>25</v>
      </c>
      <c r="F303">
        <v>1</v>
      </c>
      <c r="G303" t="s">
        <v>140</v>
      </c>
      <c r="H303">
        <v>0</v>
      </c>
      <c r="I303" t="s">
        <v>1221</v>
      </c>
      <c r="J303" t="s">
        <v>588</v>
      </c>
      <c r="K303">
        <v>1</v>
      </c>
      <c r="L303" t="s">
        <v>1051</v>
      </c>
      <c r="M303">
        <v>25</v>
      </c>
      <c r="N303" s="125">
        <v>42736</v>
      </c>
      <c r="O303" s="125"/>
      <c r="R303" t="s">
        <v>362</v>
      </c>
      <c r="S303">
        <v>1</v>
      </c>
    </row>
    <row r="304" spans="1:19" x14ac:dyDescent="0.25">
      <c r="A304" t="str">
        <f>TableMJRUHSEC1[[#This Row],[Study Package Code]]</f>
        <v>POLS3000</v>
      </c>
      <c r="B304" s="5">
        <f>TableMJRUHSEC1[[#This Row],[Ver]]</f>
        <v>1</v>
      </c>
      <c r="D304" t="str">
        <f>TableMJRUHSEC1[[#This Row],[Structure Line]]</f>
        <v>International Political Economy</v>
      </c>
      <c r="E304" s="81">
        <f>TableMJRUHSEC1[[#This Row],[Credit Points]]</f>
        <v>25</v>
      </c>
      <c r="F304">
        <v>1</v>
      </c>
      <c r="G304" t="s">
        <v>140</v>
      </c>
      <c r="H304">
        <v>0</v>
      </c>
      <c r="I304" t="s">
        <v>1221</v>
      </c>
      <c r="J304" t="s">
        <v>621</v>
      </c>
      <c r="K304">
        <v>1</v>
      </c>
      <c r="L304" t="s">
        <v>1103</v>
      </c>
      <c r="M304">
        <v>25</v>
      </c>
      <c r="N304" s="125">
        <v>42005</v>
      </c>
      <c r="O304" s="125"/>
      <c r="R304" t="s">
        <v>1263</v>
      </c>
      <c r="S304">
        <v>2</v>
      </c>
    </row>
    <row r="305" spans="1:19" x14ac:dyDescent="0.25">
      <c r="A305" t="str">
        <f>TableMJRUHSEC1[[#This Row],[Study Package Code]]</f>
        <v>SCWK2001</v>
      </c>
      <c r="B305" s="5">
        <f>TableMJRUHSEC1[[#This Row],[Ver]]</f>
        <v>1</v>
      </c>
      <c r="D305" t="str">
        <f>TableMJRUHSEC1[[#This Row],[Structure Line]]</f>
        <v>Citizenship, Culture and Diversity</v>
      </c>
      <c r="E305" s="81">
        <f>TableMJRUHSEC1[[#This Row],[Credit Points]]</f>
        <v>25</v>
      </c>
      <c r="F305">
        <v>1</v>
      </c>
      <c r="G305" t="s">
        <v>140</v>
      </c>
      <c r="H305">
        <v>0</v>
      </c>
      <c r="I305" t="s">
        <v>1221</v>
      </c>
      <c r="J305" t="s">
        <v>636</v>
      </c>
      <c r="K305">
        <v>1</v>
      </c>
      <c r="L305" t="s">
        <v>1140</v>
      </c>
      <c r="M305">
        <v>25</v>
      </c>
      <c r="N305" s="125">
        <v>42005</v>
      </c>
      <c r="O305" s="125"/>
      <c r="R305" t="s">
        <v>353</v>
      </c>
      <c r="S305">
        <v>3</v>
      </c>
    </row>
    <row r="306" spans="1:19" x14ac:dyDescent="0.25">
      <c r="A306" t="str">
        <f>TableMJRUHSEC1[[#This Row],[Study Package Code]]</f>
        <v>STRU-BSCIM</v>
      </c>
      <c r="B306" s="5">
        <f>TableMJRUHSEC1[[#This Row],[Ver]]</f>
        <v>3</v>
      </c>
      <c r="D306" t="str">
        <f>TableMJRUHSEC1[[#This Row],[Structure Line]]</f>
        <v>Biological Sciences Education Minor Teaching Area Stream (BEd Secondary)</v>
      </c>
      <c r="E306" s="81">
        <f>TableMJRUHSEC1[[#This Row],[Credit Points]]</f>
        <v>150</v>
      </c>
      <c r="F306">
        <v>2</v>
      </c>
      <c r="G306" t="s">
        <v>140</v>
      </c>
      <c r="H306">
        <v>1</v>
      </c>
      <c r="I306" t="s">
        <v>1212</v>
      </c>
      <c r="J306" t="s">
        <v>350</v>
      </c>
      <c r="K306">
        <v>3</v>
      </c>
      <c r="L306" t="s">
        <v>205</v>
      </c>
      <c r="M306">
        <v>150</v>
      </c>
      <c r="N306" s="125">
        <v>45658</v>
      </c>
      <c r="O306" s="125"/>
      <c r="R306" t="s">
        <v>356</v>
      </c>
      <c r="S306">
        <v>2</v>
      </c>
    </row>
    <row r="307" spans="1:19" x14ac:dyDescent="0.25">
      <c r="A307" t="str">
        <f>TableMJRUHSEC1[[#This Row],[Study Package Code]]</f>
        <v>STRU-ECOB1</v>
      </c>
      <c r="B307" s="5">
        <f>TableMJRUHSEC1[[#This Row],[Ver]]</f>
        <v>2</v>
      </c>
      <c r="D307" t="str">
        <f>TableMJRUHSEC1[[#This Row],[Structure Line]]</f>
        <v>Broadening Humanities and Social Sciences for Economics Teaching Area Stream (BEd Secondary)</v>
      </c>
      <c r="E307" s="81">
        <f>TableMJRUHSEC1[[#This Row],[Credit Points]]</f>
        <v>150</v>
      </c>
      <c r="F307">
        <v>2</v>
      </c>
      <c r="G307" t="s">
        <v>140</v>
      </c>
      <c r="H307">
        <v>1</v>
      </c>
      <c r="I307" t="s">
        <v>1212</v>
      </c>
      <c r="J307" t="s">
        <v>362</v>
      </c>
      <c r="K307">
        <v>2</v>
      </c>
      <c r="L307" t="s">
        <v>1159</v>
      </c>
      <c r="M307">
        <v>150</v>
      </c>
      <c r="N307" s="125">
        <v>45658</v>
      </c>
      <c r="O307" s="125"/>
    </row>
    <row r="308" spans="1:19" x14ac:dyDescent="0.25">
      <c r="A308" t="str">
        <f>TableMJRUHSEC1[[#This Row],[Study Package Code]]</f>
        <v>STRU-ENGLM</v>
      </c>
      <c r="B308" s="5">
        <f>TableMJRUHSEC1[[#This Row],[Ver]]</f>
        <v>3</v>
      </c>
      <c r="D308" t="str">
        <f>TableMJRUHSEC1[[#This Row],[Structure Line]]</f>
        <v>English Education Minor Teaching Area Stream (BEd Secondary)</v>
      </c>
      <c r="E308" s="81">
        <f>TableMJRUHSEC1[[#This Row],[Credit Points]]</f>
        <v>150</v>
      </c>
      <c r="F308">
        <v>2</v>
      </c>
      <c r="G308" t="s">
        <v>140</v>
      </c>
      <c r="H308">
        <v>1</v>
      </c>
      <c r="I308" t="s">
        <v>1212</v>
      </c>
      <c r="J308" t="s">
        <v>353</v>
      </c>
      <c r="K308">
        <v>3</v>
      </c>
      <c r="L308" t="s">
        <v>413</v>
      </c>
      <c r="M308">
        <v>150</v>
      </c>
      <c r="N308" s="125">
        <v>44562</v>
      </c>
      <c r="O308" s="125"/>
    </row>
    <row r="309" spans="1:19" x14ac:dyDescent="0.25">
      <c r="A309" t="str">
        <f>TableMJRUHSEC1[[#This Row],[Study Package Code]]</f>
        <v>STRU-MARTM</v>
      </c>
      <c r="B309" s="5">
        <f>TableMJRUHSEC1[[#This Row],[Ver]]</f>
        <v>1</v>
      </c>
      <c r="D309" t="str">
        <f>TableMJRUHSEC1[[#This Row],[Structure Line]]</f>
        <v>The Arts - Media Education Minor Teaching Area Stream (BEd Secondary)</v>
      </c>
      <c r="E309" s="81">
        <f>TableMJRUHSEC1[[#This Row],[Credit Points]]</f>
        <v>150</v>
      </c>
      <c r="F309">
        <v>2</v>
      </c>
      <c r="G309" t="s">
        <v>140</v>
      </c>
      <c r="H309">
        <v>1</v>
      </c>
      <c r="I309" t="s">
        <v>1212</v>
      </c>
      <c r="J309" t="s">
        <v>360</v>
      </c>
      <c r="K309">
        <v>1</v>
      </c>
      <c r="L309" t="s">
        <v>491</v>
      </c>
      <c r="M309">
        <v>150</v>
      </c>
      <c r="N309" s="125">
        <v>45658</v>
      </c>
      <c r="O309" s="125"/>
    </row>
    <row r="310" spans="1:19" x14ac:dyDescent="0.25">
      <c r="A310" t="str">
        <f>TableMJRUHSEC1[[#This Row],[Study Package Code]]</f>
        <v>STRU-MATHM</v>
      </c>
      <c r="B310" s="5">
        <f>TableMJRUHSEC1[[#This Row],[Ver]]</f>
        <v>3</v>
      </c>
      <c r="D310" t="str">
        <f>TableMJRUHSEC1[[#This Row],[Structure Line]]</f>
        <v>Mathematics Education Minor Teaching Area Stream (BEd Secondary)</v>
      </c>
      <c r="E310" s="81">
        <f>TableMJRUHSEC1[[#This Row],[Credit Points]]</f>
        <v>150</v>
      </c>
      <c r="F310">
        <v>2</v>
      </c>
      <c r="G310" t="s">
        <v>140</v>
      </c>
      <c r="H310">
        <v>1</v>
      </c>
      <c r="I310" t="s">
        <v>1212</v>
      </c>
      <c r="J310" t="s">
        <v>356</v>
      </c>
      <c r="K310">
        <v>3</v>
      </c>
      <c r="L310" t="s">
        <v>213</v>
      </c>
      <c r="M310">
        <v>150</v>
      </c>
      <c r="N310" s="125">
        <v>45658</v>
      </c>
      <c r="O310" s="125"/>
    </row>
    <row r="311" spans="1:19" x14ac:dyDescent="0.25">
      <c r="A311" t="str">
        <f>TableMJRUHSEC1[[#This Row],[Study Package Code]]</f>
        <v>STRU-PARTM</v>
      </c>
      <c r="B311" s="5">
        <f>TableMJRUHSEC1[[#This Row],[Ver]]</f>
        <v>2</v>
      </c>
      <c r="D311" t="str">
        <f>TableMJRUHSEC1[[#This Row],[Structure Line]]</f>
        <v>The Arts - Performing Arts Education Minor Teaching Area Stream (BEd Secondary)</v>
      </c>
      <c r="E311" s="81">
        <f>TableMJRUHSEC1[[#This Row],[Credit Points]]</f>
        <v>150</v>
      </c>
      <c r="F311">
        <v>2</v>
      </c>
      <c r="G311" t="s">
        <v>140</v>
      </c>
      <c r="H311">
        <v>1</v>
      </c>
      <c r="I311" t="s">
        <v>1212</v>
      </c>
      <c r="J311" t="s">
        <v>361</v>
      </c>
      <c r="K311">
        <v>2</v>
      </c>
      <c r="L311" t="s">
        <v>505</v>
      </c>
      <c r="M311">
        <v>150</v>
      </c>
      <c r="N311" s="125">
        <v>43466</v>
      </c>
      <c r="O311" s="125"/>
    </row>
    <row r="312" spans="1:19" x14ac:dyDescent="0.25">
      <c r="A312" t="str">
        <f>TableMJRUHSEC1[[#This Row],[Study Package Code]]</f>
        <v>STRU-PSYCM</v>
      </c>
      <c r="B312" s="5">
        <f>TableMJRUHSEC1[[#This Row],[Ver]]</f>
        <v>3</v>
      </c>
      <c r="D312" t="str">
        <f>TableMJRUHSEC1[[#This Row],[Structure Line]]</f>
        <v>Psychology Education Minor Teaching Area Stream (BEd Secondary)</v>
      </c>
      <c r="E312" s="81">
        <f>TableMJRUHSEC1[[#This Row],[Credit Points]]</f>
        <v>150</v>
      </c>
      <c r="F312">
        <v>2</v>
      </c>
      <c r="G312" t="s">
        <v>140</v>
      </c>
      <c r="H312">
        <v>1</v>
      </c>
      <c r="I312" t="s">
        <v>1212</v>
      </c>
      <c r="J312" t="s">
        <v>357</v>
      </c>
      <c r="K312">
        <v>3</v>
      </c>
      <c r="L312" t="s">
        <v>482</v>
      </c>
      <c r="M312">
        <v>150</v>
      </c>
      <c r="N312" s="125">
        <v>45658</v>
      </c>
      <c r="O312" s="125"/>
    </row>
    <row r="313" spans="1:19" x14ac:dyDescent="0.25">
      <c r="A313" t="str">
        <f>TableMJRUHSEC1[[#This Row],[Study Package Code]]</f>
        <v>STRU-VARTM</v>
      </c>
      <c r="B313" s="5">
        <f>TableMJRUHSEC1[[#This Row],[Ver]]</f>
        <v>3</v>
      </c>
      <c r="D313" t="str">
        <f>TableMJRUHSEC1[[#This Row],[Structure Line]]</f>
        <v>The Arts - Visual Arts Education Minor Teaching Area Stream (BEd Secondary)</v>
      </c>
      <c r="E313" s="81">
        <f>TableMJRUHSEC1[[#This Row],[Credit Points]]</f>
        <v>150</v>
      </c>
      <c r="F313">
        <v>2</v>
      </c>
      <c r="G313" t="s">
        <v>140</v>
      </c>
      <c r="H313">
        <v>1</v>
      </c>
      <c r="I313" t="s">
        <v>1212</v>
      </c>
      <c r="J313" t="s">
        <v>217</v>
      </c>
      <c r="K313">
        <v>3</v>
      </c>
      <c r="L313" t="s">
        <v>520</v>
      </c>
      <c r="M313">
        <v>150</v>
      </c>
      <c r="N313" s="125">
        <v>45658</v>
      </c>
      <c r="O313" s="125"/>
    </row>
    <row r="314" spans="1:19" x14ac:dyDescent="0.25">
      <c r="A314" t="str">
        <f>TableMJRUHSEC1[[#This Row],[Study Package Code]]</f>
        <v>BLAW1002</v>
      </c>
      <c r="B314" s="5">
        <f>TableMJRUHSEC1[[#This Row],[Ver]]</f>
        <v>1</v>
      </c>
      <c r="D314" t="str">
        <f>TableMJRUHSEC1[[#This Row],[Structure Line]]</f>
        <v>Markets and Legal Frameworks</v>
      </c>
      <c r="E314" s="81">
        <f>TableMJRUHSEC1[[#This Row],[Credit Points]]</f>
        <v>25</v>
      </c>
      <c r="F314">
        <v>5</v>
      </c>
      <c r="G314" t="s">
        <v>1215</v>
      </c>
      <c r="H314">
        <v>2</v>
      </c>
      <c r="I314" t="s">
        <v>1209</v>
      </c>
      <c r="J314" t="s">
        <v>567</v>
      </c>
      <c r="K314">
        <v>1</v>
      </c>
      <c r="L314" t="s">
        <v>828</v>
      </c>
      <c r="M314">
        <v>25</v>
      </c>
      <c r="N314" s="125">
        <v>43831</v>
      </c>
      <c r="O314" s="125"/>
    </row>
    <row r="315" spans="1:19" x14ac:dyDescent="0.25">
      <c r="A315" t="str">
        <f>TableMJRUHSEC1[[#This Row],[Study Package Code]]</f>
        <v>ECOM1000</v>
      </c>
      <c r="B315" s="5">
        <f>TableMJRUHSEC1[[#This Row],[Ver]]</f>
        <v>1</v>
      </c>
      <c r="D315" t="str">
        <f>TableMJRUHSEC1[[#This Row],[Structure Line]]</f>
        <v>Analytics for Decision Making</v>
      </c>
      <c r="E315" s="81">
        <f>TableMJRUHSEC1[[#This Row],[Credit Points]]</f>
        <v>25</v>
      </c>
      <c r="F315">
        <v>5</v>
      </c>
      <c r="G315" t="s">
        <v>1215</v>
      </c>
      <c r="H315">
        <v>2</v>
      </c>
      <c r="I315" t="s">
        <v>1209</v>
      </c>
      <c r="J315" t="s">
        <v>580</v>
      </c>
      <c r="K315">
        <v>1</v>
      </c>
      <c r="L315" t="s">
        <v>868</v>
      </c>
      <c r="M315">
        <v>25</v>
      </c>
      <c r="N315" s="125">
        <v>43831</v>
      </c>
      <c r="O315" s="125"/>
    </row>
    <row r="316" spans="1:19" x14ac:dyDescent="0.25">
      <c r="A316" t="str">
        <f>TableMJRUHSEC1[[#This Row],[Study Package Code]]</f>
        <v>ECON2004</v>
      </c>
      <c r="B316" s="5">
        <f>TableMJRUHSEC1[[#This Row],[Ver]]</f>
        <v>1</v>
      </c>
      <c r="D316" t="str">
        <f>TableMJRUHSEC1[[#This Row],[Structure Line]]</f>
        <v>Microeconomic Principles</v>
      </c>
      <c r="E316" s="81">
        <f>TableMJRUHSEC1[[#This Row],[Credit Points]]</f>
        <v>25</v>
      </c>
      <c r="F316">
        <v>8</v>
      </c>
      <c r="G316" t="s">
        <v>1215</v>
      </c>
      <c r="H316">
        <v>3</v>
      </c>
      <c r="I316" t="s">
        <v>1209</v>
      </c>
      <c r="J316" t="s">
        <v>593</v>
      </c>
      <c r="K316">
        <v>1</v>
      </c>
      <c r="L316" t="s">
        <v>871</v>
      </c>
      <c r="M316">
        <v>25</v>
      </c>
      <c r="N316" s="125">
        <v>42005</v>
      </c>
      <c r="O316" s="125"/>
      <c r="R316" t="s">
        <v>361</v>
      </c>
      <c r="S316">
        <v>2</v>
      </c>
    </row>
    <row r="317" spans="1:19" x14ac:dyDescent="0.25">
      <c r="A317" t="str">
        <f>TableMJRUHSEC1[[#This Row],[Study Package Code]]</f>
        <v>ECON2006</v>
      </c>
      <c r="B317" s="5">
        <f>TableMJRUHSEC1[[#This Row],[Ver]]</f>
        <v>1</v>
      </c>
      <c r="D317" t="str">
        <f>TableMJRUHSEC1[[#This Row],[Structure Line]]</f>
        <v>Applied Economics</v>
      </c>
      <c r="E317" s="81">
        <f>TableMJRUHSEC1[[#This Row],[Credit Points]]</f>
        <v>25</v>
      </c>
      <c r="F317">
        <v>8</v>
      </c>
      <c r="G317" t="s">
        <v>1215</v>
      </c>
      <c r="H317">
        <v>3</v>
      </c>
      <c r="I317" t="s">
        <v>1209</v>
      </c>
      <c r="J317" t="s">
        <v>601</v>
      </c>
      <c r="K317">
        <v>1</v>
      </c>
      <c r="L317" t="s">
        <v>872</v>
      </c>
      <c r="M317">
        <v>25</v>
      </c>
      <c r="N317" s="125">
        <v>42370</v>
      </c>
      <c r="O317" s="125"/>
      <c r="R317" t="s">
        <v>1252</v>
      </c>
      <c r="S317">
        <v>2</v>
      </c>
    </row>
    <row r="318" spans="1:19" x14ac:dyDescent="0.25">
      <c r="A318" t="str">
        <f>TableMJRUHSEC1[[#This Row],[Study Package Code]]</f>
        <v>ECON3004</v>
      </c>
      <c r="B318" s="5">
        <f>TableMJRUHSEC1[[#This Row],[Ver]]</f>
        <v>1</v>
      </c>
      <c r="D318" t="str">
        <f>TableMJRUHSEC1[[#This Row],[Structure Line]]</f>
        <v>Macroeconomic Theory</v>
      </c>
      <c r="E318" s="81">
        <f>TableMJRUHSEC1[[#This Row],[Credit Points]]</f>
        <v>25</v>
      </c>
      <c r="F318">
        <v>9</v>
      </c>
      <c r="G318" t="s">
        <v>1215</v>
      </c>
      <c r="H318">
        <v>3</v>
      </c>
      <c r="I318" t="s">
        <v>1212</v>
      </c>
      <c r="J318" t="s">
        <v>611</v>
      </c>
      <c r="K318">
        <v>1</v>
      </c>
      <c r="L318" t="s">
        <v>874</v>
      </c>
      <c r="M318">
        <v>25</v>
      </c>
      <c r="N318" s="125">
        <v>42005</v>
      </c>
      <c r="O318" s="125"/>
      <c r="R318" t="s">
        <v>357</v>
      </c>
      <c r="S318">
        <v>2</v>
      </c>
    </row>
    <row r="319" spans="1:19" x14ac:dyDescent="0.25">
      <c r="A319" t="str">
        <f>TableMJRUHSEC1[[#This Row],[Study Package Code]]</f>
        <v>ECON3007</v>
      </c>
      <c r="B319" s="5">
        <f>TableMJRUHSEC1[[#This Row],[Ver]]</f>
        <v>1</v>
      </c>
      <c r="D319" t="str">
        <f>TableMJRUHSEC1[[#This Row],[Structure Line]]</f>
        <v>Advanced Applied Economics</v>
      </c>
      <c r="E319" s="81">
        <f>TableMJRUHSEC1[[#This Row],[Credit Points]]</f>
        <v>25</v>
      </c>
      <c r="F319">
        <v>9</v>
      </c>
      <c r="G319" t="s">
        <v>1215</v>
      </c>
      <c r="H319">
        <v>3</v>
      </c>
      <c r="I319" t="s">
        <v>1212</v>
      </c>
      <c r="J319" t="s">
        <v>618</v>
      </c>
      <c r="K319">
        <v>1</v>
      </c>
      <c r="L319" t="s">
        <v>875</v>
      </c>
      <c r="M319">
        <v>25</v>
      </c>
      <c r="N319" s="125">
        <v>42370</v>
      </c>
      <c r="O319" s="125"/>
      <c r="R319" t="s">
        <v>217</v>
      </c>
      <c r="S319">
        <v>2</v>
      </c>
    </row>
    <row r="320" spans="1:19" x14ac:dyDescent="0.25">
      <c r="A320" s="78"/>
      <c r="B320" s="80"/>
      <c r="C320" s="78"/>
      <c r="D320" s="78"/>
      <c r="G320" s="79" t="s">
        <v>1194</v>
      </c>
      <c r="H320" s="272">
        <v>45658</v>
      </c>
      <c r="J320" s="274" t="s">
        <v>341</v>
      </c>
      <c r="K320" s="273">
        <v>1</v>
      </c>
      <c r="L320" s="274" t="s">
        <v>210</v>
      </c>
      <c r="M320" s="78"/>
      <c r="N320" s="198" t="s">
        <v>1195</v>
      </c>
      <c r="O320" s="125">
        <v>45540</v>
      </c>
    </row>
    <row r="321" spans="1:19" ht="31.5" x14ac:dyDescent="0.25">
      <c r="A321" s="97" t="s">
        <v>0</v>
      </c>
      <c r="B321" s="98" t="s">
        <v>1196</v>
      </c>
      <c r="C321" s="97" t="s">
        <v>1197</v>
      </c>
      <c r="D321" s="97" t="s">
        <v>3</v>
      </c>
      <c r="E321" s="99" t="s">
        <v>1198</v>
      </c>
      <c r="F321" s="97" t="s">
        <v>1199</v>
      </c>
      <c r="G321" s="97" t="s">
        <v>1200</v>
      </c>
      <c r="H321" s="97" t="s">
        <v>1201</v>
      </c>
      <c r="I321" s="97" t="s">
        <v>18</v>
      </c>
      <c r="J321" s="97" t="s">
        <v>1202</v>
      </c>
      <c r="K321" s="97" t="s">
        <v>1</v>
      </c>
      <c r="L321" s="97" t="s">
        <v>1203</v>
      </c>
      <c r="M321" s="97" t="s">
        <v>69</v>
      </c>
      <c r="N321" s="97" t="s">
        <v>1204</v>
      </c>
      <c r="O321" s="97" t="s">
        <v>1205</v>
      </c>
      <c r="R321" t="s">
        <v>1206</v>
      </c>
      <c r="S321" t="s">
        <v>1207</v>
      </c>
    </row>
    <row r="322" spans="1:19" x14ac:dyDescent="0.25">
      <c r="A322" t="str">
        <f>TableMJRUHSGE1[[#This Row],[Study Package Code]]</f>
        <v>Opt-HSGE1</v>
      </c>
      <c r="B322" s="5">
        <f>TableMJRUHSGE1[[#This Row],[Ver]]</f>
        <v>0</v>
      </c>
      <c r="D322" t="str">
        <f>TableMJRUHSGE1[[#This Row],[Structure Line]]</f>
        <v>Choose an Option</v>
      </c>
      <c r="E322" s="81">
        <f>TableMJRUHSGE1[[#This Row],[Credit Points]]</f>
        <v>25</v>
      </c>
      <c r="F322">
        <v>1</v>
      </c>
      <c r="G322" t="s">
        <v>140</v>
      </c>
      <c r="H322">
        <v>0</v>
      </c>
      <c r="I322" t="s">
        <v>1221</v>
      </c>
      <c r="J322" t="s">
        <v>555</v>
      </c>
      <c r="K322">
        <v>0</v>
      </c>
      <c r="L322" t="s">
        <v>1219</v>
      </c>
      <c r="M322">
        <v>25</v>
      </c>
      <c r="N322" s="125"/>
      <c r="O322" s="125"/>
      <c r="R322" t="s">
        <v>568</v>
      </c>
      <c r="S322">
        <v>1</v>
      </c>
    </row>
    <row r="323" spans="1:19" x14ac:dyDescent="0.25">
      <c r="A323" t="str">
        <f>TableMJRUHSGE1[[#This Row],[Study Package Code]]</f>
        <v>AC-HSGE11</v>
      </c>
      <c r="B323" s="5">
        <f>TableMJRUHSGE1[[#This Row],[Ver]]</f>
        <v>0</v>
      </c>
      <c r="D323" t="str">
        <f>TableMJRUHSGE1[[#This Row],[Structure Line]]</f>
        <v>Choose PHGY1000 or URDE1001</v>
      </c>
      <c r="E323" s="81">
        <f>TableMJRUHSGE1[[#This Row],[Credit Points]]</f>
        <v>25</v>
      </c>
      <c r="F323">
        <v>2</v>
      </c>
      <c r="G323" t="s">
        <v>1215</v>
      </c>
      <c r="H323">
        <v>1</v>
      </c>
      <c r="I323" t="s">
        <v>1212</v>
      </c>
      <c r="J323" t="s">
        <v>453</v>
      </c>
      <c r="K323">
        <v>0</v>
      </c>
      <c r="L323" t="s">
        <v>1264</v>
      </c>
      <c r="M323">
        <v>25</v>
      </c>
      <c r="N323" s="125"/>
      <c r="O323" s="125"/>
      <c r="R323" t="s">
        <v>465</v>
      </c>
      <c r="S323">
        <v>1</v>
      </c>
    </row>
    <row r="324" spans="1:19" x14ac:dyDescent="0.25">
      <c r="A324" t="str">
        <f>TableMJRUHSGE1[[#This Row],[Study Package Code]]</f>
        <v>Stream</v>
      </c>
      <c r="B324" s="5">
        <f>TableMJRUHSGE1[[#This Row],[Ver]]</f>
        <v>0</v>
      </c>
      <c r="D324" t="str">
        <f>TableMJRUHSGE1[[#This Row],[Structure Line]]</f>
        <v>Choose Your Minor Teaching Area Stream</v>
      </c>
      <c r="E324" s="81">
        <f>TableMJRUHSGE1[[#This Row],[Credit Points]]</f>
        <v>150</v>
      </c>
      <c r="F324">
        <v>3</v>
      </c>
      <c r="G324" t="s">
        <v>140</v>
      </c>
      <c r="H324">
        <v>1</v>
      </c>
      <c r="I324" t="s">
        <v>1212</v>
      </c>
      <c r="J324" t="s">
        <v>1157</v>
      </c>
      <c r="K324">
        <v>0</v>
      </c>
      <c r="L324" t="s">
        <v>1158</v>
      </c>
      <c r="M324">
        <v>150</v>
      </c>
      <c r="N324" s="125"/>
      <c r="O324" s="125"/>
      <c r="R324" t="s">
        <v>473</v>
      </c>
      <c r="S324">
        <v>1</v>
      </c>
    </row>
    <row r="325" spans="1:19" x14ac:dyDescent="0.25">
      <c r="A325" t="str">
        <f>TableMJRUHSGE1[[#This Row],[Study Package Code]]</f>
        <v>EDSC4024</v>
      </c>
      <c r="B325" s="5">
        <f>TableMJRUHSGE1[[#This Row],[Ver]]</f>
        <v>1</v>
      </c>
      <c r="D325" t="str">
        <f>TableMJRUHSGE1[[#This Row],[Structure Line]]</f>
        <v>Curriculum and Instruction Lower Secondary: Humanities and Social Sciences</v>
      </c>
      <c r="E325" s="81">
        <f>TableMJRUHSGE1[[#This Row],[Credit Points]]</f>
        <v>25</v>
      </c>
      <c r="F325">
        <v>4</v>
      </c>
      <c r="G325" t="s">
        <v>1208</v>
      </c>
      <c r="H325">
        <v>2</v>
      </c>
      <c r="I325" t="s">
        <v>1209</v>
      </c>
      <c r="J325" t="s">
        <v>465</v>
      </c>
      <c r="K325">
        <v>1</v>
      </c>
      <c r="L325" t="s">
        <v>948</v>
      </c>
      <c r="M325">
        <v>25</v>
      </c>
      <c r="N325" s="125">
        <v>43466</v>
      </c>
      <c r="O325" s="125"/>
      <c r="R325" t="s">
        <v>486</v>
      </c>
      <c r="S325">
        <v>2</v>
      </c>
    </row>
    <row r="326" spans="1:19" x14ac:dyDescent="0.25">
      <c r="A326" t="str">
        <f>TableMJRUHSGE1[[#This Row],[Study Package Code]]</f>
        <v>GEOG1000</v>
      </c>
      <c r="B326" s="5">
        <f>TableMJRUHSGE1[[#This Row],[Ver]]</f>
        <v>1</v>
      </c>
      <c r="D326" t="str">
        <f>TableMJRUHSGE1[[#This Row],[Structure Line]]</f>
        <v>Human Geography</v>
      </c>
      <c r="E326" s="81">
        <f>TableMJRUHSGE1[[#This Row],[Credit Points]]</f>
        <v>25</v>
      </c>
      <c r="F326">
        <v>5</v>
      </c>
      <c r="G326" t="s">
        <v>1208</v>
      </c>
      <c r="H326">
        <v>2</v>
      </c>
      <c r="I326" t="s">
        <v>1209</v>
      </c>
      <c r="J326" t="s">
        <v>473</v>
      </c>
      <c r="K326">
        <v>1</v>
      </c>
      <c r="L326" t="s">
        <v>1007</v>
      </c>
      <c r="M326">
        <v>25</v>
      </c>
      <c r="N326" s="125">
        <v>42005</v>
      </c>
      <c r="O326" s="125"/>
      <c r="R326" t="s">
        <v>602</v>
      </c>
      <c r="S326">
        <v>1</v>
      </c>
    </row>
    <row r="327" spans="1:19" x14ac:dyDescent="0.25">
      <c r="A327" t="str">
        <f>TableMJRUHSGE1[[#This Row],[Study Package Code]]</f>
        <v>EDSC4026</v>
      </c>
      <c r="B327" s="5">
        <f>TableMJRUHSGE1[[#This Row],[Ver]]</f>
        <v>2</v>
      </c>
      <c r="D327" t="str">
        <f>TableMJRUHSGE1[[#This Row],[Structure Line]]</f>
        <v>Curriculum and Instruction Senior Secondary: Humanities and Social Sciences</v>
      </c>
      <c r="E327" s="81">
        <f>TableMJRUHSGE1[[#This Row],[Credit Points]]</f>
        <v>25</v>
      </c>
      <c r="F327">
        <v>6</v>
      </c>
      <c r="G327" t="s">
        <v>1208</v>
      </c>
      <c r="H327">
        <v>2</v>
      </c>
      <c r="I327" t="s">
        <v>1212</v>
      </c>
      <c r="J327" t="s">
        <v>486</v>
      </c>
      <c r="K327">
        <v>2</v>
      </c>
      <c r="L327" t="s">
        <v>950</v>
      </c>
      <c r="M327">
        <v>25</v>
      </c>
      <c r="N327" s="125">
        <v>43831</v>
      </c>
      <c r="O327" s="125"/>
      <c r="R327" t="s">
        <v>612</v>
      </c>
      <c r="S327">
        <v>1</v>
      </c>
    </row>
    <row r="328" spans="1:19" x14ac:dyDescent="0.25">
      <c r="A328" t="str">
        <f>TableMJRUHSGE1[[#This Row],[Study Package Code]]</f>
        <v>AC-HSGE12</v>
      </c>
      <c r="B328" s="5">
        <f>TableMJRUHSGE1[[#This Row],[Ver]]</f>
        <v>0</v>
      </c>
      <c r="D328" t="str">
        <f>TableMJRUHSGE1[[#This Row],[Structure Line]]</f>
        <v>Choose GEOG2000 or PHGY2000</v>
      </c>
      <c r="E328" s="81">
        <f>TableMJRUHSGE1[[#This Row],[Credit Points]]</f>
        <v>25</v>
      </c>
      <c r="F328">
        <v>7</v>
      </c>
      <c r="G328" t="s">
        <v>1215</v>
      </c>
      <c r="H328">
        <v>2</v>
      </c>
      <c r="I328" t="s">
        <v>1212</v>
      </c>
      <c r="J328" t="s">
        <v>498</v>
      </c>
      <c r="K328">
        <v>0</v>
      </c>
      <c r="L328" t="s">
        <v>1265</v>
      </c>
      <c r="M328">
        <v>25</v>
      </c>
      <c r="N328" s="125"/>
      <c r="O328" s="125"/>
      <c r="R328" t="s">
        <v>1248</v>
      </c>
      <c r="S328">
        <v>1</v>
      </c>
    </row>
    <row r="329" spans="1:19" x14ac:dyDescent="0.25">
      <c r="A329" t="str">
        <f>TableMJRUHSGE1[[#This Row],[Study Package Code]]</f>
        <v>AC-HSGE13</v>
      </c>
      <c r="B329" s="5">
        <f>TableMJRUHSGE1[[#This Row],[Ver]]</f>
        <v>0</v>
      </c>
      <c r="D329" t="str">
        <f>TableMJRUHSGE1[[#This Row],[Structure Line]]</f>
        <v>Choose GEOG2002 or GEOG2001</v>
      </c>
      <c r="E329" s="81">
        <f>TableMJRUHSGE1[[#This Row],[Credit Points]]</f>
        <v>25</v>
      </c>
      <c r="F329">
        <v>8</v>
      </c>
      <c r="G329" t="s">
        <v>1215</v>
      </c>
      <c r="H329">
        <v>3</v>
      </c>
      <c r="I329" t="s">
        <v>1209</v>
      </c>
      <c r="J329" t="s">
        <v>511</v>
      </c>
      <c r="K329">
        <v>0</v>
      </c>
      <c r="L329" t="s">
        <v>1266</v>
      </c>
      <c r="M329">
        <v>25</v>
      </c>
      <c r="N329" s="125"/>
      <c r="O329" s="125"/>
      <c r="R329" t="s">
        <v>630</v>
      </c>
      <c r="S329">
        <v>3</v>
      </c>
    </row>
    <row r="330" spans="1:19" x14ac:dyDescent="0.25">
      <c r="A330" t="str">
        <f>TableMJRUHSGE1[[#This Row],[Study Package Code]]</f>
        <v>AC-HSGE14</v>
      </c>
      <c r="B330" s="5">
        <f>TableMJRUHSGE1[[#This Row],[Ver]]</f>
        <v>0</v>
      </c>
      <c r="D330" t="str">
        <f>TableMJRUHSGE1[[#This Row],[Structure Line]]</f>
        <v>Choose PHGY3000 or GEOG3000</v>
      </c>
      <c r="E330" s="81">
        <f>TableMJRUHSGE1[[#This Row],[Credit Points]]</f>
        <v>25</v>
      </c>
      <c r="F330">
        <v>9</v>
      </c>
      <c r="G330" t="s">
        <v>1215</v>
      </c>
      <c r="H330">
        <v>3</v>
      </c>
      <c r="I330" t="s">
        <v>1212</v>
      </c>
      <c r="J330" t="s">
        <v>526</v>
      </c>
      <c r="K330">
        <v>0</v>
      </c>
      <c r="L330" t="s">
        <v>1267</v>
      </c>
      <c r="M330">
        <v>25</v>
      </c>
      <c r="N330" s="125"/>
      <c r="O330" s="125"/>
      <c r="R330" t="s">
        <v>635</v>
      </c>
      <c r="S330">
        <v>1</v>
      </c>
    </row>
    <row r="331" spans="1:19" x14ac:dyDescent="0.25">
      <c r="A331" t="str">
        <f>TableMJRUHSGE1[[#This Row],[Study Package Code]]</f>
        <v>AC-HSGE15</v>
      </c>
      <c r="B331" s="5">
        <f>TableMJRUHSGE1[[#This Row],[Ver]]</f>
        <v>0</v>
      </c>
      <c r="D331" t="str">
        <f>TableMJRUHSGE1[[#This Row],[Structure Line]]</f>
        <v>Choose GEOG3001 or URDE3002</v>
      </c>
      <c r="E331" s="81">
        <f>TableMJRUHSGE1[[#This Row],[Credit Points]]</f>
        <v>25</v>
      </c>
      <c r="F331">
        <v>10</v>
      </c>
      <c r="G331" t="s">
        <v>1215</v>
      </c>
      <c r="H331">
        <v>4</v>
      </c>
      <c r="I331" t="s">
        <v>1209</v>
      </c>
      <c r="J331" t="s">
        <v>541</v>
      </c>
      <c r="K331">
        <v>0</v>
      </c>
      <c r="L331" t="s">
        <v>1268</v>
      </c>
      <c r="M331">
        <v>25</v>
      </c>
      <c r="N331" s="125"/>
      <c r="O331" s="125"/>
      <c r="R331" t="s">
        <v>102</v>
      </c>
      <c r="S331">
        <v>0</v>
      </c>
    </row>
    <row r="332" spans="1:19" x14ac:dyDescent="0.25">
      <c r="A332" t="str">
        <f>TableMJRUHSGE1[[#This Row],[Study Package Code]]</f>
        <v>MATH1014</v>
      </c>
      <c r="B332" s="5">
        <f>TableMJRUHSGE1[[#This Row],[Ver]]</f>
        <v>1</v>
      </c>
      <c r="D332" t="str">
        <f>TableMJRUHSGE1[[#This Row],[Structure Line]]</f>
        <v>Foundations of Calculus</v>
      </c>
      <c r="E332" s="81">
        <f>TableMJRUHSGE1[[#This Row],[Credit Points]]</f>
        <v>25</v>
      </c>
      <c r="F332">
        <v>1</v>
      </c>
      <c r="G332" t="s">
        <v>140</v>
      </c>
      <c r="H332">
        <v>0</v>
      </c>
      <c r="I332" t="s">
        <v>1221</v>
      </c>
      <c r="J332" t="s">
        <v>588</v>
      </c>
      <c r="K332">
        <v>1</v>
      </c>
      <c r="L332" t="s">
        <v>1051</v>
      </c>
      <c r="M332">
        <v>25</v>
      </c>
      <c r="N332" s="125">
        <v>42736</v>
      </c>
      <c r="O332" s="125"/>
      <c r="R332" t="s">
        <v>1157</v>
      </c>
      <c r="S332">
        <v>0</v>
      </c>
    </row>
    <row r="333" spans="1:19" x14ac:dyDescent="0.25">
      <c r="A333" t="str">
        <f>TableMJRUHSGE1[[#This Row],[Study Package Code]]</f>
        <v>PHGY3002</v>
      </c>
      <c r="B333" s="5">
        <f>TableMJRUHSGE1[[#This Row],[Ver]]</f>
        <v>1</v>
      </c>
      <c r="D333" t="str">
        <f>TableMJRUHSGE1[[#This Row],[Structure Line]]</f>
        <v>Rural Geographies</v>
      </c>
      <c r="E333" s="81">
        <f>TableMJRUHSGE1[[#This Row],[Credit Points]]</f>
        <v>25</v>
      </c>
      <c r="F333">
        <v>1</v>
      </c>
      <c r="G333" t="s">
        <v>140</v>
      </c>
      <c r="H333">
        <v>0</v>
      </c>
      <c r="I333" t="s">
        <v>1221</v>
      </c>
      <c r="J333" t="s">
        <v>642</v>
      </c>
      <c r="K333">
        <v>1</v>
      </c>
      <c r="L333" t="s">
        <v>1096</v>
      </c>
      <c r="M333">
        <v>25</v>
      </c>
      <c r="N333" s="125">
        <v>45292</v>
      </c>
      <c r="O333" s="125"/>
      <c r="R333" t="s">
        <v>350</v>
      </c>
      <c r="S333">
        <v>2</v>
      </c>
    </row>
    <row r="334" spans="1:19" x14ac:dyDescent="0.25">
      <c r="A334" t="str">
        <f>TableMJRUHSGE1[[#This Row],[Study Package Code]]</f>
        <v>URDE1006</v>
      </c>
      <c r="B334" s="5">
        <f>TableMJRUHSGE1[[#This Row],[Ver]]</f>
        <v>1</v>
      </c>
      <c r="D334" t="str">
        <f>TableMJRUHSGE1[[#This Row],[Structure Line]]</f>
        <v>Introduction to Planning</v>
      </c>
      <c r="E334" s="81">
        <f>TableMJRUHSGE1[[#This Row],[Credit Points]]</f>
        <v>25</v>
      </c>
      <c r="F334">
        <v>1</v>
      </c>
      <c r="G334" t="s">
        <v>140</v>
      </c>
      <c r="H334">
        <v>0</v>
      </c>
      <c r="I334" t="s">
        <v>1221</v>
      </c>
      <c r="J334" t="s">
        <v>644</v>
      </c>
      <c r="K334">
        <v>1</v>
      </c>
      <c r="L334" t="s">
        <v>1174</v>
      </c>
      <c r="M334">
        <v>25</v>
      </c>
      <c r="N334" s="125">
        <v>42005</v>
      </c>
      <c r="O334" s="125"/>
      <c r="R334" t="s">
        <v>1263</v>
      </c>
      <c r="S334">
        <v>2</v>
      </c>
    </row>
    <row r="335" spans="1:19" x14ac:dyDescent="0.25">
      <c r="A335" t="str">
        <f>TableMJRUHSGE1[[#This Row],[Study Package Code]]</f>
        <v>PHGY1000</v>
      </c>
      <c r="B335" s="5">
        <f>TableMJRUHSGE1[[#This Row],[Ver]]</f>
        <v>1</v>
      </c>
      <c r="D335" t="str">
        <f>TableMJRUHSGE1[[#This Row],[Structure Line]]</f>
        <v>Physical Geography</v>
      </c>
      <c r="E335" s="81">
        <f>TableMJRUHSGE1[[#This Row],[Credit Points]]</f>
        <v>25</v>
      </c>
      <c r="F335">
        <v>2</v>
      </c>
      <c r="G335" t="s">
        <v>1215</v>
      </c>
      <c r="H335">
        <v>1</v>
      </c>
      <c r="I335" t="s">
        <v>1212</v>
      </c>
      <c r="J335" t="s">
        <v>568</v>
      </c>
      <c r="K335">
        <v>1</v>
      </c>
      <c r="L335" t="s">
        <v>1093</v>
      </c>
      <c r="M335">
        <v>25</v>
      </c>
      <c r="N335" s="125">
        <v>42005</v>
      </c>
      <c r="O335" s="125"/>
      <c r="R335" t="s">
        <v>353</v>
      </c>
      <c r="S335">
        <v>3</v>
      </c>
    </row>
    <row r="336" spans="1:19" x14ac:dyDescent="0.25">
      <c r="A336" t="str">
        <f>TableMJRUHSGE1[[#This Row],[Study Package Code]]</f>
        <v>URDE1001</v>
      </c>
      <c r="B336" s="5">
        <f>TableMJRUHSGE1[[#This Row],[Ver]]</f>
        <v>1</v>
      </c>
      <c r="D336" t="str">
        <f>TableMJRUHSGE1[[#This Row],[Structure Line]]</f>
        <v>Urban Analysis</v>
      </c>
      <c r="E336" s="81">
        <f>TableMJRUHSGE1[[#This Row],[Credit Points]]</f>
        <v>25</v>
      </c>
      <c r="F336">
        <v>2</v>
      </c>
      <c r="G336" t="s">
        <v>1215</v>
      </c>
      <c r="H336">
        <v>1</v>
      </c>
      <c r="I336" t="s">
        <v>1212</v>
      </c>
      <c r="J336" t="s">
        <v>581</v>
      </c>
      <c r="K336">
        <v>1</v>
      </c>
      <c r="L336" t="s">
        <v>1173</v>
      </c>
      <c r="M336">
        <v>25</v>
      </c>
      <c r="N336" s="125">
        <v>42005</v>
      </c>
      <c r="O336" s="125"/>
      <c r="R336" t="s">
        <v>363</v>
      </c>
      <c r="S336">
        <v>1</v>
      </c>
    </row>
    <row r="337" spans="1:19" x14ac:dyDescent="0.25">
      <c r="A337" t="str">
        <f>TableMJRUHSGE1[[#This Row],[Study Package Code]]</f>
        <v>STRU-BSCIM</v>
      </c>
      <c r="B337" s="5">
        <f>TableMJRUHSGE1[[#This Row],[Ver]]</f>
        <v>3</v>
      </c>
      <c r="D337" t="str">
        <f>TableMJRUHSGE1[[#This Row],[Structure Line]]</f>
        <v>Biological Sciences Education Minor Teaching Area Stream (BEd Secondary)</v>
      </c>
      <c r="E337" s="81">
        <f>TableMJRUHSGE1[[#This Row],[Credit Points]]</f>
        <v>150</v>
      </c>
      <c r="F337">
        <v>3</v>
      </c>
      <c r="G337" t="s">
        <v>140</v>
      </c>
      <c r="H337">
        <v>1</v>
      </c>
      <c r="I337" t="s">
        <v>1212</v>
      </c>
      <c r="J337" t="s">
        <v>350</v>
      </c>
      <c r="K337">
        <v>3</v>
      </c>
      <c r="L337" t="s">
        <v>205</v>
      </c>
      <c r="M337">
        <v>150</v>
      </c>
      <c r="N337" s="125">
        <v>45658</v>
      </c>
      <c r="O337" s="125"/>
      <c r="R337" t="s">
        <v>356</v>
      </c>
      <c r="S337">
        <v>2</v>
      </c>
    </row>
    <row r="338" spans="1:19" x14ac:dyDescent="0.25">
      <c r="A338" t="str">
        <f>TableMJRUHSGE1[[#This Row],[Study Package Code]]</f>
        <v>STRU-ENGLM</v>
      </c>
      <c r="B338" s="5">
        <f>TableMJRUHSGE1[[#This Row],[Ver]]</f>
        <v>3</v>
      </c>
      <c r="D338" t="str">
        <f>TableMJRUHSGE1[[#This Row],[Structure Line]]</f>
        <v>English Education Minor Teaching Area Stream (BEd Secondary)</v>
      </c>
      <c r="E338" s="81">
        <f>TableMJRUHSGE1[[#This Row],[Credit Points]]</f>
        <v>150</v>
      </c>
      <c r="F338">
        <v>3</v>
      </c>
      <c r="G338" t="s">
        <v>140</v>
      </c>
      <c r="H338">
        <v>1</v>
      </c>
      <c r="I338" t="s">
        <v>1212</v>
      </c>
      <c r="J338" t="s">
        <v>353</v>
      </c>
      <c r="K338">
        <v>3</v>
      </c>
      <c r="L338" t="s">
        <v>413</v>
      </c>
      <c r="M338">
        <v>150</v>
      </c>
      <c r="N338" s="125">
        <v>44562</v>
      </c>
      <c r="O338" s="125"/>
    </row>
    <row r="339" spans="1:19" x14ac:dyDescent="0.25">
      <c r="A339" t="str">
        <f>TableMJRUHSGE1[[#This Row],[Study Package Code]]</f>
        <v>STRU-GEOB1</v>
      </c>
      <c r="B339" s="5">
        <f>TableMJRUHSGE1[[#This Row],[Ver]]</f>
        <v>2</v>
      </c>
      <c r="D339" t="str">
        <f>TableMJRUHSGE1[[#This Row],[Structure Line]]</f>
        <v>Broadening Humanities and Social Sciences for Geography Teaching Area Stream (BEd Secondary)</v>
      </c>
      <c r="E339" s="81">
        <f>TableMJRUHSGE1[[#This Row],[Credit Points]]</f>
        <v>150</v>
      </c>
      <c r="F339">
        <v>3</v>
      </c>
      <c r="G339" t="s">
        <v>140</v>
      </c>
      <c r="H339">
        <v>1</v>
      </c>
      <c r="I339" t="s">
        <v>1212</v>
      </c>
      <c r="J339" t="s">
        <v>363</v>
      </c>
      <c r="K339">
        <v>2</v>
      </c>
      <c r="L339" t="s">
        <v>1160</v>
      </c>
      <c r="M339">
        <v>150</v>
      </c>
      <c r="N339" s="125">
        <v>45658</v>
      </c>
      <c r="O339" s="125"/>
    </row>
    <row r="340" spans="1:19" x14ac:dyDescent="0.25">
      <c r="A340" t="str">
        <f>TableMJRUHSGE1[[#This Row],[Study Package Code]]</f>
        <v>STRU-MARTM</v>
      </c>
      <c r="B340" s="5">
        <f>TableMJRUHSGE1[[#This Row],[Ver]]</f>
        <v>1</v>
      </c>
      <c r="D340" t="str">
        <f>TableMJRUHSGE1[[#This Row],[Structure Line]]</f>
        <v>The Arts - Media Education Minor Teaching Area Stream (BEd Secondary)</v>
      </c>
      <c r="E340" s="81">
        <f>TableMJRUHSGE1[[#This Row],[Credit Points]]</f>
        <v>150</v>
      </c>
      <c r="F340">
        <v>3</v>
      </c>
      <c r="G340" t="s">
        <v>140</v>
      </c>
      <c r="H340">
        <v>1</v>
      </c>
      <c r="I340" t="s">
        <v>1212</v>
      </c>
      <c r="J340" t="s">
        <v>360</v>
      </c>
      <c r="K340">
        <v>1</v>
      </c>
      <c r="L340" t="s">
        <v>491</v>
      </c>
      <c r="M340">
        <v>150</v>
      </c>
      <c r="N340" s="125">
        <v>45658</v>
      </c>
      <c r="O340" s="125"/>
    </row>
    <row r="341" spans="1:19" x14ac:dyDescent="0.25">
      <c r="A341" t="str">
        <f>TableMJRUHSGE1[[#This Row],[Study Package Code]]</f>
        <v>STRU-MATHM</v>
      </c>
      <c r="B341" s="5">
        <f>TableMJRUHSGE1[[#This Row],[Ver]]</f>
        <v>3</v>
      </c>
      <c r="D341" t="str">
        <f>TableMJRUHSGE1[[#This Row],[Structure Line]]</f>
        <v>Mathematics Education Minor Teaching Area Stream (BEd Secondary)</v>
      </c>
      <c r="E341" s="81">
        <f>TableMJRUHSGE1[[#This Row],[Credit Points]]</f>
        <v>150</v>
      </c>
      <c r="F341">
        <v>3</v>
      </c>
      <c r="G341" t="s">
        <v>140</v>
      </c>
      <c r="H341">
        <v>1</v>
      </c>
      <c r="I341" t="s">
        <v>1212</v>
      </c>
      <c r="J341" t="s">
        <v>356</v>
      </c>
      <c r="K341">
        <v>3</v>
      </c>
      <c r="L341" t="s">
        <v>213</v>
      </c>
      <c r="M341">
        <v>150</v>
      </c>
      <c r="N341" s="125">
        <v>45658</v>
      </c>
      <c r="O341" s="125"/>
    </row>
    <row r="342" spans="1:19" x14ac:dyDescent="0.25">
      <c r="A342" t="str">
        <f>TableMJRUHSGE1[[#This Row],[Study Package Code]]</f>
        <v>STRU-PARTM</v>
      </c>
      <c r="B342" s="5">
        <f>TableMJRUHSGE1[[#This Row],[Ver]]</f>
        <v>2</v>
      </c>
      <c r="D342" t="str">
        <f>TableMJRUHSGE1[[#This Row],[Structure Line]]</f>
        <v>The Arts - Performing Arts Education Minor Teaching Area Stream (BEd Secondary)</v>
      </c>
      <c r="E342" s="81">
        <f>TableMJRUHSGE1[[#This Row],[Credit Points]]</f>
        <v>150</v>
      </c>
      <c r="F342">
        <v>3</v>
      </c>
      <c r="G342" t="s">
        <v>140</v>
      </c>
      <c r="H342">
        <v>1</v>
      </c>
      <c r="I342" t="s">
        <v>1212</v>
      </c>
      <c r="J342" t="s">
        <v>361</v>
      </c>
      <c r="K342">
        <v>2</v>
      </c>
      <c r="L342" t="s">
        <v>505</v>
      </c>
      <c r="M342">
        <v>150</v>
      </c>
      <c r="N342" s="125">
        <v>43466</v>
      </c>
      <c r="O342" s="125"/>
    </row>
    <row r="343" spans="1:19" x14ac:dyDescent="0.25">
      <c r="A343" t="str">
        <f>TableMJRUHSGE1[[#This Row],[Study Package Code]]</f>
        <v>STRU-PSYCM</v>
      </c>
      <c r="B343" s="5">
        <f>TableMJRUHSGE1[[#This Row],[Ver]]</f>
        <v>3</v>
      </c>
      <c r="D343" t="str">
        <f>TableMJRUHSGE1[[#This Row],[Structure Line]]</f>
        <v>Psychology Education Minor Teaching Area Stream (BEd Secondary)</v>
      </c>
      <c r="E343" s="81">
        <f>TableMJRUHSGE1[[#This Row],[Credit Points]]</f>
        <v>150</v>
      </c>
      <c r="F343">
        <v>3</v>
      </c>
      <c r="G343" t="s">
        <v>140</v>
      </c>
      <c r="H343">
        <v>1</v>
      </c>
      <c r="I343" t="s">
        <v>1212</v>
      </c>
      <c r="J343" t="s">
        <v>357</v>
      </c>
      <c r="K343">
        <v>3</v>
      </c>
      <c r="L343" t="s">
        <v>482</v>
      </c>
      <c r="M343">
        <v>150</v>
      </c>
      <c r="N343" s="125">
        <v>45658</v>
      </c>
      <c r="O343" s="125"/>
    </row>
    <row r="344" spans="1:19" x14ac:dyDescent="0.25">
      <c r="A344" t="str">
        <f>TableMJRUHSGE1[[#This Row],[Study Package Code]]</f>
        <v>STRU-VARTM</v>
      </c>
      <c r="B344" s="5">
        <f>TableMJRUHSGE1[[#This Row],[Ver]]</f>
        <v>3</v>
      </c>
      <c r="D344" t="str">
        <f>TableMJRUHSGE1[[#This Row],[Structure Line]]</f>
        <v>The Arts - Visual Arts Education Minor Teaching Area Stream (BEd Secondary)</v>
      </c>
      <c r="E344" s="81">
        <f>TableMJRUHSGE1[[#This Row],[Credit Points]]</f>
        <v>150</v>
      </c>
      <c r="F344">
        <v>3</v>
      </c>
      <c r="G344" t="s">
        <v>140</v>
      </c>
      <c r="H344">
        <v>1</v>
      </c>
      <c r="I344" t="s">
        <v>1212</v>
      </c>
      <c r="J344" t="s">
        <v>217</v>
      </c>
      <c r="K344">
        <v>3</v>
      </c>
      <c r="L344" t="s">
        <v>520</v>
      </c>
      <c r="M344">
        <v>150</v>
      </c>
      <c r="N344" s="125">
        <v>45658</v>
      </c>
      <c r="O344" s="125"/>
    </row>
    <row r="345" spans="1:19" x14ac:dyDescent="0.25">
      <c r="A345" t="str">
        <f>TableMJRUHSGE1[[#This Row],[Study Package Code]]</f>
        <v>GEOG2000</v>
      </c>
      <c r="B345" s="5">
        <f>TableMJRUHSGE1[[#This Row],[Ver]]</f>
        <v>1</v>
      </c>
      <c r="D345" t="str">
        <f>TableMJRUHSGE1[[#This Row],[Structure Line]]</f>
        <v>Geographies of Migration</v>
      </c>
      <c r="E345" s="81">
        <f>TableMJRUHSGE1[[#This Row],[Credit Points]]</f>
        <v>25</v>
      </c>
      <c r="F345">
        <v>7</v>
      </c>
      <c r="G345" t="s">
        <v>1215</v>
      </c>
      <c r="H345">
        <v>2</v>
      </c>
      <c r="I345" t="s">
        <v>1212</v>
      </c>
      <c r="J345" t="s">
        <v>594</v>
      </c>
      <c r="K345">
        <v>1</v>
      </c>
      <c r="L345" t="s">
        <v>1008</v>
      </c>
      <c r="M345">
        <v>25</v>
      </c>
      <c r="N345" s="125">
        <v>42005</v>
      </c>
      <c r="O345" s="125"/>
    </row>
    <row r="346" spans="1:19" x14ac:dyDescent="0.25">
      <c r="A346" t="str">
        <f>TableMJRUHSGE1[[#This Row],[Study Package Code]]</f>
        <v>PHGY2000</v>
      </c>
      <c r="B346" s="5">
        <f>TableMJRUHSGE1[[#This Row],[Ver]]</f>
        <v>1</v>
      </c>
      <c r="D346" t="str">
        <f>TableMJRUHSGE1[[#This Row],[Structure Line]]</f>
        <v>Natural Hazards</v>
      </c>
      <c r="E346" s="81">
        <f>TableMJRUHSGE1[[#This Row],[Credit Points]]</f>
        <v>25</v>
      </c>
      <c r="F346">
        <v>7</v>
      </c>
      <c r="G346" t="s">
        <v>1215</v>
      </c>
      <c r="H346">
        <v>2</v>
      </c>
      <c r="I346" t="s">
        <v>1212</v>
      </c>
      <c r="J346" t="s">
        <v>602</v>
      </c>
      <c r="K346">
        <v>1</v>
      </c>
      <c r="L346" t="s">
        <v>1094</v>
      </c>
      <c r="M346">
        <v>25</v>
      </c>
      <c r="N346" s="125">
        <v>42005</v>
      </c>
      <c r="O346" s="125"/>
    </row>
    <row r="347" spans="1:19" x14ac:dyDescent="0.25">
      <c r="A347" t="str">
        <f>TableMJRUHSGE1[[#This Row],[Study Package Code]]</f>
        <v>GEOG2001</v>
      </c>
      <c r="B347" s="5">
        <f>TableMJRUHSGE1[[#This Row],[Ver]]</f>
        <v>1</v>
      </c>
      <c r="D347" t="str">
        <f>TableMJRUHSGE1[[#This Row],[Structure Line]]</f>
        <v>Geographies of Food Security</v>
      </c>
      <c r="E347" s="81">
        <f>TableMJRUHSGE1[[#This Row],[Credit Points]]</f>
        <v>25</v>
      </c>
      <c r="F347">
        <v>8</v>
      </c>
      <c r="G347" t="s">
        <v>1215</v>
      </c>
      <c r="H347">
        <v>3</v>
      </c>
      <c r="I347" t="s">
        <v>1209</v>
      </c>
      <c r="J347" t="s">
        <v>612</v>
      </c>
      <c r="K347">
        <v>1</v>
      </c>
      <c r="L347" t="s">
        <v>1009</v>
      </c>
      <c r="M347">
        <v>25</v>
      </c>
      <c r="N347" s="125">
        <v>42005</v>
      </c>
      <c r="O347" s="125"/>
    </row>
    <row r="348" spans="1:19" x14ac:dyDescent="0.25">
      <c r="A348" t="str">
        <f>TableMJRUHSGE1[[#This Row],[Study Package Code]]</f>
        <v>GEOG2002</v>
      </c>
      <c r="B348" s="5">
        <f>TableMJRUHSGE1[[#This Row],[Ver]]</f>
        <v>1</v>
      </c>
      <c r="D348" t="str">
        <f>TableMJRUHSGE1[[#This Row],[Structure Line]]</f>
        <v>Fieldwork Skills</v>
      </c>
      <c r="E348" s="81">
        <f>TableMJRUHSGE1[[#This Row],[Credit Points]]</f>
        <v>25</v>
      </c>
      <c r="F348">
        <v>8</v>
      </c>
      <c r="G348" t="s">
        <v>1215</v>
      </c>
      <c r="H348">
        <v>3</v>
      </c>
      <c r="I348" t="s">
        <v>1209</v>
      </c>
      <c r="J348" t="s">
        <v>619</v>
      </c>
      <c r="K348">
        <v>1</v>
      </c>
      <c r="L348" t="s">
        <v>1010</v>
      </c>
      <c r="M348">
        <v>25</v>
      </c>
      <c r="N348" s="125">
        <v>42005</v>
      </c>
      <c r="O348" s="125"/>
    </row>
    <row r="349" spans="1:19" x14ac:dyDescent="0.25">
      <c r="A349" t="str">
        <f>TableMJRUHSGE1[[#This Row],[Study Package Code]]</f>
        <v>GEOG3000</v>
      </c>
      <c r="B349" s="5">
        <f>TableMJRUHSGE1[[#This Row],[Ver]]</f>
        <v>2</v>
      </c>
      <c r="D349" t="str">
        <f>TableMJRUHSGE1[[#This Row],[Structure Line]]</f>
        <v>Urban Geographies</v>
      </c>
      <c r="E349" s="81">
        <f>TableMJRUHSGE1[[#This Row],[Credit Points]]</f>
        <v>25</v>
      </c>
      <c r="F349">
        <v>9</v>
      </c>
      <c r="G349" t="s">
        <v>1215</v>
      </c>
      <c r="H349">
        <v>3</v>
      </c>
      <c r="I349" t="s">
        <v>1212</v>
      </c>
      <c r="J349" t="s">
        <v>626</v>
      </c>
      <c r="K349">
        <v>2</v>
      </c>
      <c r="L349" t="s">
        <v>1011</v>
      </c>
      <c r="M349">
        <v>25</v>
      </c>
      <c r="N349" s="125">
        <v>44562</v>
      </c>
      <c r="O349" s="125"/>
      <c r="R349" t="s">
        <v>361</v>
      </c>
      <c r="S349">
        <v>2</v>
      </c>
    </row>
    <row r="350" spans="1:19" x14ac:dyDescent="0.25">
      <c r="A350" t="str">
        <f>TableMJRUHSGE1[[#This Row],[Study Package Code]]</f>
        <v>PHGY3000</v>
      </c>
      <c r="B350" s="5">
        <f>TableMJRUHSGE1[[#This Row],[Ver]]</f>
        <v>3</v>
      </c>
      <c r="D350" t="str">
        <f>TableMJRUHSGE1[[#This Row],[Structure Line]]</f>
        <v>Cultural Landscapes</v>
      </c>
      <c r="E350" s="81">
        <f>TableMJRUHSGE1[[#This Row],[Credit Points]]</f>
        <v>25</v>
      </c>
      <c r="F350">
        <v>9</v>
      </c>
      <c r="G350" t="s">
        <v>1215</v>
      </c>
      <c r="H350">
        <v>3</v>
      </c>
      <c r="I350" t="s">
        <v>1212</v>
      </c>
      <c r="J350" t="s">
        <v>630</v>
      </c>
      <c r="K350">
        <v>3</v>
      </c>
      <c r="L350" t="s">
        <v>1095</v>
      </c>
      <c r="M350">
        <v>25</v>
      </c>
      <c r="N350" s="125">
        <v>44562</v>
      </c>
      <c r="O350" s="125"/>
      <c r="R350" t="s">
        <v>1252</v>
      </c>
      <c r="S350">
        <v>2</v>
      </c>
    </row>
    <row r="351" spans="1:19" x14ac:dyDescent="0.25">
      <c r="A351" t="str">
        <f>TableMJRUHSGE1[[#This Row],[Study Package Code]]</f>
        <v>GEOG3001</v>
      </c>
      <c r="B351" s="5">
        <f>TableMJRUHSGE1[[#This Row],[Ver]]</f>
        <v>1</v>
      </c>
      <c r="D351" t="str">
        <f>TableMJRUHSGE1[[#This Row],[Structure Line]]</f>
        <v>Sustainable Livelihoods</v>
      </c>
      <c r="E351" s="81">
        <f>TableMJRUHSGE1[[#This Row],[Credit Points]]</f>
        <v>25</v>
      </c>
      <c r="F351">
        <v>10</v>
      </c>
      <c r="G351" t="s">
        <v>1215</v>
      </c>
      <c r="H351">
        <v>4</v>
      </c>
      <c r="I351" t="s">
        <v>1209</v>
      </c>
      <c r="J351" t="s">
        <v>635</v>
      </c>
      <c r="K351">
        <v>1</v>
      </c>
      <c r="L351" t="s">
        <v>1012</v>
      </c>
      <c r="M351">
        <v>25</v>
      </c>
      <c r="N351" s="125">
        <v>42005</v>
      </c>
      <c r="O351" s="125"/>
      <c r="R351" t="s">
        <v>357</v>
      </c>
      <c r="S351">
        <v>2</v>
      </c>
    </row>
    <row r="352" spans="1:19" x14ac:dyDescent="0.25">
      <c r="A352" t="str">
        <f>TableMJRUHSGE1[[#This Row],[Study Package Code]]</f>
        <v>URDE3002</v>
      </c>
      <c r="B352" s="5">
        <f>TableMJRUHSGE1[[#This Row],[Ver]]</f>
        <v>1</v>
      </c>
      <c r="D352" t="str">
        <f>TableMJRUHSGE1[[#This Row],[Structure Line]]</f>
        <v>Urban Regeneration</v>
      </c>
      <c r="E352" s="81">
        <f>TableMJRUHSGE1[[#This Row],[Credit Points]]</f>
        <v>25</v>
      </c>
      <c r="F352">
        <v>10</v>
      </c>
      <c r="G352" t="s">
        <v>1215</v>
      </c>
      <c r="H352">
        <v>4</v>
      </c>
      <c r="I352" t="s">
        <v>1209</v>
      </c>
      <c r="J352" t="s">
        <v>637</v>
      </c>
      <c r="K352">
        <v>1</v>
      </c>
      <c r="L352" t="s">
        <v>1175</v>
      </c>
      <c r="M352">
        <v>25</v>
      </c>
      <c r="N352" s="125">
        <v>42005</v>
      </c>
      <c r="O352" s="125"/>
      <c r="R352" t="s">
        <v>217</v>
      </c>
      <c r="S352">
        <v>2</v>
      </c>
    </row>
    <row r="353" spans="1:19" x14ac:dyDescent="0.25">
      <c r="A353" s="78"/>
      <c r="B353" s="80"/>
      <c r="C353" s="78"/>
      <c r="D353" s="78"/>
      <c r="G353" s="79" t="s">
        <v>1194</v>
      </c>
      <c r="H353" s="272">
        <v>45658</v>
      </c>
      <c r="J353" s="274" t="s">
        <v>342</v>
      </c>
      <c r="K353" s="273">
        <v>1</v>
      </c>
      <c r="L353" s="274" t="s">
        <v>378</v>
      </c>
      <c r="M353" s="78"/>
      <c r="N353" s="198" t="s">
        <v>1195</v>
      </c>
      <c r="O353" s="125">
        <v>45540</v>
      </c>
    </row>
    <row r="354" spans="1:19" ht="31.5" x14ac:dyDescent="0.25">
      <c r="A354" s="97" t="s">
        <v>0</v>
      </c>
      <c r="B354" s="98" t="s">
        <v>1196</v>
      </c>
      <c r="C354" s="97" t="s">
        <v>1197</v>
      </c>
      <c r="D354" s="97" t="s">
        <v>3</v>
      </c>
      <c r="E354" s="99" t="s">
        <v>1198</v>
      </c>
      <c r="F354" s="97" t="s">
        <v>1199</v>
      </c>
      <c r="G354" s="97" t="s">
        <v>1200</v>
      </c>
      <c r="H354" s="97" t="s">
        <v>1201</v>
      </c>
      <c r="I354" s="97" t="s">
        <v>18</v>
      </c>
      <c r="J354" s="97" t="s">
        <v>1202</v>
      </c>
      <c r="K354" s="97" t="s">
        <v>1</v>
      </c>
      <c r="L354" s="97" t="s">
        <v>1203</v>
      </c>
      <c r="M354" s="97" t="s">
        <v>69</v>
      </c>
      <c r="N354" s="97" t="s">
        <v>1204</v>
      </c>
      <c r="O354" s="97" t="s">
        <v>1205</v>
      </c>
      <c r="R354" t="s">
        <v>1206</v>
      </c>
      <c r="S354" t="s">
        <v>1207</v>
      </c>
    </row>
    <row r="355" spans="1:19" x14ac:dyDescent="0.25">
      <c r="A355" t="str">
        <f>TableMJRUHSHI1[[#This Row],[Study Package Code]]</f>
        <v>Opt-HSHI1</v>
      </c>
      <c r="B355" s="5">
        <f>TableMJRUHSHI1[[#This Row],[Ver]]</f>
        <v>0</v>
      </c>
      <c r="D355" t="str">
        <f>TableMJRUHSHI1[[#This Row],[Structure Line]]</f>
        <v>Choose an Option</v>
      </c>
      <c r="E355" s="81">
        <f>TableMJRUHSHI1[[#This Row],[Credit Points]]</f>
        <v>25</v>
      </c>
      <c r="F355">
        <v>1</v>
      </c>
      <c r="G355" t="s">
        <v>140</v>
      </c>
      <c r="H355">
        <v>0</v>
      </c>
      <c r="I355" t="s">
        <v>1221</v>
      </c>
      <c r="J355" t="s">
        <v>556</v>
      </c>
      <c r="K355">
        <v>0</v>
      </c>
      <c r="L355" t="s">
        <v>1219</v>
      </c>
      <c r="M355">
        <v>25</v>
      </c>
      <c r="N355" s="125"/>
      <c r="O355" s="125"/>
      <c r="R355" t="s">
        <v>643</v>
      </c>
      <c r="S355">
        <v>1</v>
      </c>
    </row>
    <row r="356" spans="1:19" x14ac:dyDescent="0.25">
      <c r="A356" t="str">
        <f>TableMJRUHSHI1[[#This Row],[Study Package Code]]</f>
        <v>ANTH1001</v>
      </c>
      <c r="B356" s="5">
        <f>TableMJRUHSHI1[[#This Row],[Ver]]</f>
        <v>2</v>
      </c>
      <c r="D356" t="str">
        <f>TableMJRUHSHI1[[#This Row],[Structure Line]]</f>
        <v>Society and Culture in a Globalising World</v>
      </c>
      <c r="E356" s="81">
        <f>TableMJRUHSHI1[[#This Row],[Credit Points]]</f>
        <v>25</v>
      </c>
      <c r="F356">
        <v>2</v>
      </c>
      <c r="G356" t="s">
        <v>1208</v>
      </c>
      <c r="H356">
        <v>1</v>
      </c>
      <c r="I356" t="s">
        <v>1212</v>
      </c>
      <c r="J356" t="s">
        <v>454</v>
      </c>
      <c r="K356">
        <v>2</v>
      </c>
      <c r="L356" t="s">
        <v>819</v>
      </c>
      <c r="M356">
        <v>25</v>
      </c>
      <c r="N356" s="125">
        <v>42736</v>
      </c>
      <c r="O356" s="125"/>
      <c r="R356" t="s">
        <v>465</v>
      </c>
      <c r="S356">
        <v>1</v>
      </c>
    </row>
    <row r="357" spans="1:19" x14ac:dyDescent="0.25">
      <c r="A357" t="str">
        <f>TableMJRUHSHI1[[#This Row],[Study Package Code]]</f>
        <v>Stream</v>
      </c>
      <c r="B357" s="5">
        <f>TableMJRUHSHI1[[#This Row],[Ver]]</f>
        <v>0</v>
      </c>
      <c r="D357" t="str">
        <f>TableMJRUHSHI1[[#This Row],[Structure Line]]</f>
        <v>Choose Minor Teaching Area Stream</v>
      </c>
      <c r="E357" s="81">
        <f>TableMJRUHSHI1[[#This Row],[Credit Points]]</f>
        <v>150</v>
      </c>
      <c r="F357">
        <v>3</v>
      </c>
      <c r="G357" t="s">
        <v>140</v>
      </c>
      <c r="H357">
        <v>1</v>
      </c>
      <c r="I357" t="s">
        <v>1212</v>
      </c>
      <c r="J357" t="s">
        <v>1157</v>
      </c>
      <c r="K357">
        <v>0</v>
      </c>
      <c r="L357" t="s">
        <v>1269</v>
      </c>
      <c r="M357">
        <v>150</v>
      </c>
      <c r="N357" s="125"/>
      <c r="O357" s="125"/>
      <c r="R357" t="s">
        <v>474</v>
      </c>
      <c r="S357">
        <v>1</v>
      </c>
    </row>
    <row r="358" spans="1:19" x14ac:dyDescent="0.25">
      <c r="A358" t="str">
        <f>TableMJRUHSHI1[[#This Row],[Study Package Code]]</f>
        <v>EDSC4024</v>
      </c>
      <c r="B358" s="5">
        <f>TableMJRUHSHI1[[#This Row],[Ver]]</f>
        <v>1</v>
      </c>
      <c r="D358" t="str">
        <f>TableMJRUHSHI1[[#This Row],[Structure Line]]</f>
        <v>Curriculum and Instruction Lower Secondary: Humanities and Social Sciences</v>
      </c>
      <c r="E358" s="81">
        <f>TableMJRUHSHI1[[#This Row],[Credit Points]]</f>
        <v>25</v>
      </c>
      <c r="F358">
        <v>4</v>
      </c>
      <c r="G358" t="s">
        <v>1208</v>
      </c>
      <c r="H358">
        <v>2</v>
      </c>
      <c r="I358" t="s">
        <v>1209</v>
      </c>
      <c r="J358" t="s">
        <v>465</v>
      </c>
      <c r="K358">
        <v>1</v>
      </c>
      <c r="L358" t="s">
        <v>948</v>
      </c>
      <c r="M358">
        <v>25</v>
      </c>
      <c r="N358" s="125">
        <v>43466</v>
      </c>
      <c r="O358" s="125"/>
      <c r="R358" t="s">
        <v>486</v>
      </c>
      <c r="S358">
        <v>2</v>
      </c>
    </row>
    <row r="359" spans="1:19" x14ac:dyDescent="0.25">
      <c r="A359" t="str">
        <f>TableMJRUHSHI1[[#This Row],[Study Package Code]]</f>
        <v>HIST1000</v>
      </c>
      <c r="B359" s="5">
        <f>TableMJRUHSHI1[[#This Row],[Ver]]</f>
        <v>2</v>
      </c>
      <c r="D359" t="str">
        <f>TableMJRUHSHI1[[#This Row],[Structure Line]]</f>
        <v>Legacies of Empire</v>
      </c>
      <c r="E359" s="81">
        <f>TableMJRUHSHI1[[#This Row],[Credit Points]]</f>
        <v>25</v>
      </c>
      <c r="F359">
        <v>5</v>
      </c>
      <c r="G359" t="s">
        <v>1208</v>
      </c>
      <c r="H359">
        <v>2</v>
      </c>
      <c r="I359" t="s">
        <v>1209</v>
      </c>
      <c r="J359" t="s">
        <v>474</v>
      </c>
      <c r="K359">
        <v>2</v>
      </c>
      <c r="L359" t="s">
        <v>1015</v>
      </c>
      <c r="M359">
        <v>25</v>
      </c>
      <c r="N359" s="125">
        <v>45658</v>
      </c>
      <c r="O359" s="125"/>
      <c r="R359" t="s">
        <v>569</v>
      </c>
      <c r="S359">
        <v>2</v>
      </c>
    </row>
    <row r="360" spans="1:19" x14ac:dyDescent="0.25">
      <c r="A360" t="str">
        <f>TableMJRUHSHI1[[#This Row],[Study Package Code]]</f>
        <v>EDSC4026</v>
      </c>
      <c r="B360" s="5">
        <f>TableMJRUHSHI1[[#This Row],[Ver]]</f>
        <v>2</v>
      </c>
      <c r="D360" t="str">
        <f>TableMJRUHSHI1[[#This Row],[Structure Line]]</f>
        <v>Curriculum and Instruction Senior Secondary: Humanities and Social Sciences</v>
      </c>
      <c r="E360" s="81">
        <f>TableMJRUHSHI1[[#This Row],[Credit Points]]</f>
        <v>25</v>
      </c>
      <c r="F360">
        <v>6</v>
      </c>
      <c r="G360" t="s">
        <v>1208</v>
      </c>
      <c r="H360">
        <v>2</v>
      </c>
      <c r="I360" t="s">
        <v>1212</v>
      </c>
      <c r="J360" t="s">
        <v>486</v>
      </c>
      <c r="K360">
        <v>2</v>
      </c>
      <c r="L360" t="s">
        <v>950</v>
      </c>
      <c r="M360">
        <v>25</v>
      </c>
      <c r="N360" s="125">
        <v>43831</v>
      </c>
      <c r="O360" s="125"/>
      <c r="R360" t="s">
        <v>595</v>
      </c>
      <c r="S360">
        <v>2</v>
      </c>
    </row>
    <row r="361" spans="1:19" x14ac:dyDescent="0.25">
      <c r="A361" t="str">
        <f>TableMJRUHSHI1[[#This Row],[Study Package Code]]</f>
        <v>AC-HSHI11</v>
      </c>
      <c r="B361" s="5">
        <f>TableMJRUHSHI1[[#This Row],[Ver]]</f>
        <v>0</v>
      </c>
      <c r="D361" t="str">
        <f>TableMJRUHSHI1[[#This Row],[Structure Line]]</f>
        <v>Choose INDS2004 or HIST2000</v>
      </c>
      <c r="E361" s="81">
        <f>TableMJRUHSHI1[[#This Row],[Credit Points]]</f>
        <v>25</v>
      </c>
      <c r="F361">
        <v>7</v>
      </c>
      <c r="G361" t="s">
        <v>1215</v>
      </c>
      <c r="H361">
        <v>2</v>
      </c>
      <c r="I361" t="s">
        <v>1212</v>
      </c>
      <c r="J361" t="s">
        <v>499</v>
      </c>
      <c r="K361">
        <v>0</v>
      </c>
      <c r="L361" t="s">
        <v>1270</v>
      </c>
      <c r="M361">
        <v>25</v>
      </c>
      <c r="N361" s="125"/>
      <c r="O361" s="125"/>
      <c r="R361" t="s">
        <v>1248</v>
      </c>
      <c r="S361">
        <v>1</v>
      </c>
    </row>
    <row r="362" spans="1:19" x14ac:dyDescent="0.25">
      <c r="A362" t="str">
        <f>TableMJRUHSHI1[[#This Row],[Study Package Code]]</f>
        <v>AC-HSHI12</v>
      </c>
      <c r="B362" s="5">
        <f>TableMJRUHSHI1[[#This Row],[Ver]]</f>
        <v>0</v>
      </c>
      <c r="D362" t="str">
        <f>TableMJRUHSHI1[[#This Row],[Structure Line]]</f>
        <v>Choose HIST2001 or INDS2004</v>
      </c>
      <c r="E362" s="81">
        <f>TableMJRUHSHI1[[#This Row],[Credit Points]]</f>
        <v>25</v>
      </c>
      <c r="F362">
        <v>8</v>
      </c>
      <c r="G362" t="s">
        <v>1215</v>
      </c>
      <c r="H362">
        <v>3</v>
      </c>
      <c r="I362" t="s">
        <v>1209</v>
      </c>
      <c r="J362" t="s">
        <v>512</v>
      </c>
      <c r="K362">
        <v>0</v>
      </c>
      <c r="L362" t="s">
        <v>1271</v>
      </c>
      <c r="M362">
        <v>25</v>
      </c>
      <c r="N362" s="125"/>
      <c r="O362" s="125"/>
      <c r="R362" t="s">
        <v>613</v>
      </c>
      <c r="S362">
        <v>3</v>
      </c>
    </row>
    <row r="363" spans="1:19" x14ac:dyDescent="0.25">
      <c r="A363" t="str">
        <f>TableMJRUHSHI1[[#This Row],[Study Package Code]]</f>
        <v>AC-HSHI13</v>
      </c>
      <c r="B363" s="5">
        <f>TableMJRUHSHI1[[#This Row],[Ver]]</f>
        <v>0</v>
      </c>
      <c r="D363" t="str">
        <f>TableMJRUHSHI1[[#This Row],[Structure Line]]</f>
        <v>Choose HIST3001 or HIST3002</v>
      </c>
      <c r="E363" s="81">
        <f>TableMJRUHSHI1[[#This Row],[Credit Points]]</f>
        <v>25</v>
      </c>
      <c r="F363">
        <v>9</v>
      </c>
      <c r="G363" t="s">
        <v>1215</v>
      </c>
      <c r="H363">
        <v>3</v>
      </c>
      <c r="I363" t="s">
        <v>1212</v>
      </c>
      <c r="J363" t="s">
        <v>527</v>
      </c>
      <c r="K363">
        <v>0</v>
      </c>
      <c r="L363" t="s">
        <v>1272</v>
      </c>
      <c r="M363">
        <v>25</v>
      </c>
      <c r="N363" s="125"/>
      <c r="O363" s="125"/>
      <c r="R363" t="s">
        <v>542</v>
      </c>
      <c r="S363">
        <v>1</v>
      </c>
    </row>
    <row r="364" spans="1:19" x14ac:dyDescent="0.25">
      <c r="A364" t="str">
        <f>TableMJRUHSHI1[[#This Row],[Study Package Code]]</f>
        <v>HIST3003</v>
      </c>
      <c r="B364" s="5">
        <f>TableMJRUHSHI1[[#This Row],[Ver]]</f>
        <v>2</v>
      </c>
      <c r="D364" t="str">
        <f>TableMJRUHSHI1[[#This Row],[Structure Line]]</f>
        <v>Australians at War</v>
      </c>
      <c r="E364" s="81">
        <f>TableMJRUHSHI1[[#This Row],[Credit Points]]</f>
        <v>25</v>
      </c>
      <c r="F364">
        <v>10</v>
      </c>
      <c r="G364" t="s">
        <v>1208</v>
      </c>
      <c r="H364">
        <v>4</v>
      </c>
      <c r="I364" t="s">
        <v>1209</v>
      </c>
      <c r="J364" t="s">
        <v>542</v>
      </c>
      <c r="K364">
        <v>2</v>
      </c>
      <c r="L364" t="s">
        <v>1021</v>
      </c>
      <c r="M364">
        <v>25</v>
      </c>
      <c r="N364" s="125">
        <v>45658</v>
      </c>
      <c r="O364" s="125"/>
    </row>
    <row r="365" spans="1:19" x14ac:dyDescent="0.25">
      <c r="A365" t="str">
        <f>TableMJRUHSHI1[[#This Row],[Study Package Code]]</f>
        <v>ANTH1000</v>
      </c>
      <c r="B365" s="5">
        <f>TableMJRUHSHI1[[#This Row],[Ver]]</f>
        <v>1</v>
      </c>
      <c r="D365" t="str">
        <f>TableMJRUHSHI1[[#This Row],[Structure Line]]</f>
        <v>Self, Culture and Society</v>
      </c>
      <c r="E365" s="81">
        <f>TableMJRUHSHI1[[#This Row],[Credit Points]]</f>
        <v>25</v>
      </c>
      <c r="F365">
        <v>1</v>
      </c>
      <c r="G365" t="s">
        <v>140</v>
      </c>
      <c r="H365">
        <v>0</v>
      </c>
      <c r="I365" t="s">
        <v>1221</v>
      </c>
      <c r="J365" t="s">
        <v>631</v>
      </c>
      <c r="K365">
        <v>1</v>
      </c>
      <c r="L365" t="s">
        <v>818</v>
      </c>
      <c r="M365">
        <v>25</v>
      </c>
      <c r="N365" s="125">
        <v>42005</v>
      </c>
      <c r="O365" s="125"/>
    </row>
    <row r="366" spans="1:19" x14ac:dyDescent="0.25">
      <c r="A366" t="str">
        <f>TableMJRUHSHI1[[#This Row],[Study Package Code]]</f>
        <v>ANTH2002</v>
      </c>
      <c r="B366" s="5">
        <f>TableMJRUHSHI1[[#This Row],[Ver]]</f>
        <v>1</v>
      </c>
      <c r="D366" t="str">
        <f>TableMJRUHSHI1[[#This Row],[Structure Line]]</f>
        <v>Private Lives and Public Issues</v>
      </c>
      <c r="E366" s="81">
        <f>TableMJRUHSHI1[[#This Row],[Credit Points]]</f>
        <v>25</v>
      </c>
      <c r="F366">
        <v>1</v>
      </c>
      <c r="G366" t="s">
        <v>140</v>
      </c>
      <c r="H366">
        <v>0</v>
      </c>
      <c r="I366" t="s">
        <v>1221</v>
      </c>
      <c r="J366" t="s">
        <v>583</v>
      </c>
      <c r="K366">
        <v>1</v>
      </c>
      <c r="L366" t="s">
        <v>821</v>
      </c>
      <c r="M366">
        <v>25</v>
      </c>
      <c r="N366" s="125">
        <v>42005</v>
      </c>
      <c r="O366" s="125"/>
    </row>
    <row r="367" spans="1:19" x14ac:dyDescent="0.25">
      <c r="A367" t="str">
        <f>TableMJRUHSHI1[[#This Row],[Study Package Code]]</f>
        <v>ANTH3003</v>
      </c>
      <c r="B367" s="5">
        <f>TableMJRUHSHI1[[#This Row],[Ver]]</f>
        <v>1</v>
      </c>
      <c r="D367" t="str">
        <f>TableMJRUHSHI1[[#This Row],[Structure Line]]</f>
        <v>Human Rights and Social Justice</v>
      </c>
      <c r="E367" s="81">
        <f>TableMJRUHSHI1[[#This Row],[Credit Points]]</f>
        <v>25</v>
      </c>
      <c r="F367">
        <v>1</v>
      </c>
      <c r="G367" t="s">
        <v>140</v>
      </c>
      <c r="H367">
        <v>0</v>
      </c>
      <c r="I367" t="s">
        <v>1221</v>
      </c>
      <c r="J367" t="s">
        <v>614</v>
      </c>
      <c r="K367">
        <v>1</v>
      </c>
      <c r="L367" t="s">
        <v>822</v>
      </c>
      <c r="M367">
        <v>25</v>
      </c>
      <c r="N367" s="125">
        <v>42005</v>
      </c>
      <c r="O367" s="125"/>
    </row>
    <row r="368" spans="1:19" x14ac:dyDescent="0.25">
      <c r="A368" t="str">
        <f>TableMJRUHSHI1[[#This Row],[Study Package Code]]</f>
        <v>COMS1003</v>
      </c>
      <c r="B368" s="5">
        <f>TableMJRUHSHI1[[#This Row],[Ver]]</f>
        <v>3</v>
      </c>
      <c r="D368" t="str">
        <f>TableMJRUHSHI1[[#This Row],[Structure Line]]</f>
        <v>Culture to Cultures</v>
      </c>
      <c r="E368" s="81">
        <f>TableMJRUHSHI1[[#This Row],[Credit Points]]</f>
        <v>25</v>
      </c>
      <c r="F368">
        <v>1</v>
      </c>
      <c r="G368" t="s">
        <v>140</v>
      </c>
      <c r="H368">
        <v>0</v>
      </c>
      <c r="I368" t="s">
        <v>1221</v>
      </c>
      <c r="J368" t="s">
        <v>638</v>
      </c>
      <c r="K368">
        <v>3</v>
      </c>
      <c r="L368" t="s">
        <v>852</v>
      </c>
      <c r="M368">
        <v>25</v>
      </c>
      <c r="N368" s="125">
        <v>44562</v>
      </c>
      <c r="O368" s="125"/>
    </row>
    <row r="369" spans="1:19" x14ac:dyDescent="0.25">
      <c r="A369" t="str">
        <f>TableMJRUHSHI1[[#This Row],[Study Package Code]]</f>
        <v>HIST3000</v>
      </c>
      <c r="B369" s="5">
        <f>TableMJRUHSHI1[[#This Row],[Ver]]</f>
        <v>4</v>
      </c>
      <c r="D369" t="str">
        <f>TableMJRUHSHI1[[#This Row],[Structure Line]]</f>
        <v>A History of Nationalism and Nation-Making</v>
      </c>
      <c r="E369" s="81">
        <f>TableMJRUHSHI1[[#This Row],[Credit Points]]</f>
        <v>25</v>
      </c>
      <c r="F369">
        <v>1</v>
      </c>
      <c r="G369" t="s">
        <v>140</v>
      </c>
      <c r="H369">
        <v>0</v>
      </c>
      <c r="I369" t="s">
        <v>1221</v>
      </c>
      <c r="J369" t="s">
        <v>639</v>
      </c>
      <c r="K369">
        <v>4</v>
      </c>
      <c r="L369" t="s">
        <v>1018</v>
      </c>
      <c r="M369">
        <v>25</v>
      </c>
      <c r="N369" s="125">
        <v>45658</v>
      </c>
      <c r="O369" s="125"/>
    </row>
    <row r="370" spans="1:19" x14ac:dyDescent="0.25">
      <c r="A370" t="str">
        <f>TableMJRUHSHI1[[#This Row],[Study Package Code]]</f>
        <v>INDS2001</v>
      </c>
      <c r="B370" s="5">
        <f>TableMJRUHSHI1[[#This Row],[Ver]]</f>
        <v>1</v>
      </c>
      <c r="D370" t="str">
        <f>TableMJRUHSHI1[[#This Row],[Structure Line]]</f>
        <v>Indigenous Australian Land and Environments</v>
      </c>
      <c r="E370" s="81">
        <f>TableMJRUHSHI1[[#This Row],[Credit Points]]</f>
        <v>25</v>
      </c>
      <c r="F370">
        <v>1</v>
      </c>
      <c r="G370" t="s">
        <v>140</v>
      </c>
      <c r="H370">
        <v>0</v>
      </c>
      <c r="I370" t="s">
        <v>1221</v>
      </c>
      <c r="J370" t="s">
        <v>640</v>
      </c>
      <c r="K370">
        <v>1</v>
      </c>
      <c r="L370" t="s">
        <v>1039</v>
      </c>
      <c r="M370">
        <v>25</v>
      </c>
      <c r="N370" s="125">
        <v>42005</v>
      </c>
      <c r="O370" s="125"/>
    </row>
    <row r="371" spans="1:19" x14ac:dyDescent="0.25">
      <c r="A371" t="str">
        <f>TableMJRUHSHI1[[#This Row],[Study Package Code]]</f>
        <v>INTR1001</v>
      </c>
      <c r="B371" s="5">
        <f>TableMJRUHSHI1[[#This Row],[Ver]]</f>
        <v>2</v>
      </c>
      <c r="D371" t="str">
        <f>TableMJRUHSHI1[[#This Row],[Structure Line]]</f>
        <v>Australia's Global Politics</v>
      </c>
      <c r="E371" s="81">
        <f>TableMJRUHSHI1[[#This Row],[Credit Points]]</f>
        <v>25</v>
      </c>
      <c r="F371">
        <v>1</v>
      </c>
      <c r="G371" t="s">
        <v>140</v>
      </c>
      <c r="H371">
        <v>0</v>
      </c>
      <c r="I371" t="s">
        <v>1221</v>
      </c>
      <c r="J371" t="s">
        <v>643</v>
      </c>
      <c r="K371">
        <v>2</v>
      </c>
      <c r="L371" t="s">
        <v>1044</v>
      </c>
      <c r="M371">
        <v>25</v>
      </c>
      <c r="N371" s="125">
        <v>45292</v>
      </c>
      <c r="O371" s="125"/>
    </row>
    <row r="372" spans="1:19" x14ac:dyDescent="0.25">
      <c r="A372" t="str">
        <f>TableMJRUHSHI1[[#This Row],[Study Package Code]]</f>
        <v>LCST1004</v>
      </c>
      <c r="B372" s="5">
        <f>TableMJRUHSHI1[[#This Row],[Ver]]</f>
        <v>1</v>
      </c>
      <c r="D372" t="str">
        <f>TableMJRUHSHI1[[#This Row],[Structure Line]]</f>
        <v>Introduction to Cultural Studies</v>
      </c>
      <c r="E372" s="81">
        <f>TableMJRUHSHI1[[#This Row],[Credit Points]]</f>
        <v>25</v>
      </c>
      <c r="F372">
        <v>1</v>
      </c>
      <c r="G372" t="s">
        <v>140</v>
      </c>
      <c r="H372">
        <v>0</v>
      </c>
      <c r="I372" t="s">
        <v>1221</v>
      </c>
      <c r="J372" t="s">
        <v>566</v>
      </c>
      <c r="K372">
        <v>1</v>
      </c>
      <c r="L372" t="s">
        <v>1046</v>
      </c>
      <c r="M372">
        <v>25</v>
      </c>
      <c r="N372" s="125">
        <v>42370</v>
      </c>
      <c r="O372" s="125"/>
    </row>
    <row r="373" spans="1:19" x14ac:dyDescent="0.25">
      <c r="A373" t="str">
        <f>TableMJRUHSHI1[[#This Row],[Study Package Code]]</f>
        <v>MATH1014</v>
      </c>
      <c r="B373" s="5">
        <f>TableMJRUHSHI1[[#This Row],[Ver]]</f>
        <v>1</v>
      </c>
      <c r="D373" t="str">
        <f>TableMJRUHSHI1[[#This Row],[Structure Line]]</f>
        <v>Foundations of Calculus</v>
      </c>
      <c r="E373" s="81">
        <f>TableMJRUHSHI1[[#This Row],[Credit Points]]</f>
        <v>25</v>
      </c>
      <c r="F373">
        <v>1</v>
      </c>
      <c r="G373" t="s">
        <v>140</v>
      </c>
      <c r="H373">
        <v>0</v>
      </c>
      <c r="I373" t="s">
        <v>1221</v>
      </c>
      <c r="J373" t="s">
        <v>588</v>
      </c>
      <c r="K373">
        <v>1</v>
      </c>
      <c r="L373" t="s">
        <v>1051</v>
      </c>
      <c r="M373">
        <v>25</v>
      </c>
      <c r="N373" s="125">
        <v>42736</v>
      </c>
      <c r="O373" s="125"/>
    </row>
    <row r="374" spans="1:19" x14ac:dyDescent="0.25">
      <c r="A374" t="str">
        <f>TableMJRUHSHI1[[#This Row],[Study Package Code]]</f>
        <v>POLS3000</v>
      </c>
      <c r="B374" s="5">
        <f>TableMJRUHSHI1[[#This Row],[Ver]]</f>
        <v>1</v>
      </c>
      <c r="D374" t="str">
        <f>TableMJRUHSHI1[[#This Row],[Structure Line]]</f>
        <v>International Political Economy</v>
      </c>
      <c r="E374" s="81">
        <f>TableMJRUHSHI1[[#This Row],[Credit Points]]</f>
        <v>25</v>
      </c>
      <c r="F374">
        <v>1</v>
      </c>
      <c r="G374" t="s">
        <v>140</v>
      </c>
      <c r="H374">
        <v>0</v>
      </c>
      <c r="I374" t="s">
        <v>1221</v>
      </c>
      <c r="J374" t="s">
        <v>621</v>
      </c>
      <c r="K374">
        <v>1</v>
      </c>
      <c r="L374" t="s">
        <v>1103</v>
      </c>
      <c r="M374">
        <v>25</v>
      </c>
      <c r="N374" s="125">
        <v>42005</v>
      </c>
      <c r="O374" s="125"/>
    </row>
    <row r="375" spans="1:19" x14ac:dyDescent="0.25">
      <c r="A375" t="str">
        <f>TableMJRUHSHI1[[#This Row],[Study Package Code]]</f>
        <v>STRU-BSCIM</v>
      </c>
      <c r="B375" s="5">
        <f>TableMJRUHSHI1[[#This Row],[Ver]]</f>
        <v>3</v>
      </c>
      <c r="D375" t="str">
        <f>TableMJRUHSHI1[[#This Row],[Structure Line]]</f>
        <v>Biological Sciences Education Minor Teaching Area Stream (BEd Secondary)</v>
      </c>
      <c r="E375" s="81">
        <f>TableMJRUHSHI1[[#This Row],[Credit Points]]</f>
        <v>150</v>
      </c>
      <c r="F375">
        <v>3</v>
      </c>
      <c r="G375" t="s">
        <v>140</v>
      </c>
      <c r="H375">
        <v>1</v>
      </c>
      <c r="I375" t="s">
        <v>1212</v>
      </c>
      <c r="J375" t="s">
        <v>350</v>
      </c>
      <c r="K375">
        <v>3</v>
      </c>
      <c r="L375" t="s">
        <v>205</v>
      </c>
      <c r="M375">
        <v>150</v>
      </c>
      <c r="N375" s="125">
        <v>45658</v>
      </c>
      <c r="O375" s="125"/>
    </row>
    <row r="376" spans="1:19" x14ac:dyDescent="0.25">
      <c r="A376" t="str">
        <f>TableMJRUHSHI1[[#This Row],[Study Package Code]]</f>
        <v>STRU-ENGLM</v>
      </c>
      <c r="B376" s="5">
        <f>TableMJRUHSHI1[[#This Row],[Ver]]</f>
        <v>3</v>
      </c>
      <c r="D376" t="str">
        <f>TableMJRUHSHI1[[#This Row],[Structure Line]]</f>
        <v>English Education Minor Teaching Area Stream (BEd Secondary)</v>
      </c>
      <c r="E376" s="81">
        <f>TableMJRUHSHI1[[#This Row],[Credit Points]]</f>
        <v>150</v>
      </c>
      <c r="F376">
        <v>3</v>
      </c>
      <c r="G376" t="s">
        <v>140</v>
      </c>
      <c r="H376">
        <v>1</v>
      </c>
      <c r="I376" t="s">
        <v>1212</v>
      </c>
      <c r="J376" t="s">
        <v>353</v>
      </c>
      <c r="K376">
        <v>3</v>
      </c>
      <c r="L376" t="s">
        <v>413</v>
      </c>
      <c r="M376">
        <v>150</v>
      </c>
      <c r="N376" s="125">
        <v>44562</v>
      </c>
      <c r="O376" s="125"/>
    </row>
    <row r="377" spans="1:19" x14ac:dyDescent="0.25">
      <c r="A377" t="str">
        <f>TableMJRUHSHI1[[#This Row],[Study Package Code]]</f>
        <v>STRU-HISB1</v>
      </c>
      <c r="B377" s="5">
        <f>TableMJRUHSHI1[[#This Row],[Ver]]</f>
        <v>2</v>
      </c>
      <c r="D377" t="str">
        <f>TableMJRUHSHI1[[#This Row],[Structure Line]]</f>
        <v>Broadening Humanities and Social Sciences for History Teaching Area Stream (BEd Secondary)</v>
      </c>
      <c r="E377" s="81">
        <f>TableMJRUHSHI1[[#This Row],[Credit Points]]</f>
        <v>150</v>
      </c>
      <c r="F377">
        <v>3</v>
      </c>
      <c r="G377" t="s">
        <v>140</v>
      </c>
      <c r="H377">
        <v>1</v>
      </c>
      <c r="I377" t="s">
        <v>1212</v>
      </c>
      <c r="J377" t="s">
        <v>364</v>
      </c>
      <c r="K377">
        <v>2</v>
      </c>
      <c r="L377" t="s">
        <v>1161</v>
      </c>
      <c r="M377">
        <v>150</v>
      </c>
      <c r="N377" s="125">
        <v>45658</v>
      </c>
      <c r="O377" s="125"/>
    </row>
    <row r="378" spans="1:19" x14ac:dyDescent="0.25">
      <c r="A378" t="str">
        <f>TableMJRUHSHI1[[#This Row],[Study Package Code]]</f>
        <v>STRU-MARTM</v>
      </c>
      <c r="B378" s="5">
        <f>TableMJRUHSHI1[[#This Row],[Ver]]</f>
        <v>1</v>
      </c>
      <c r="D378" t="str">
        <f>TableMJRUHSHI1[[#This Row],[Structure Line]]</f>
        <v>The Arts - Media Education Minor Teaching Area Stream (BEd Secondary)</v>
      </c>
      <c r="E378" s="81">
        <f>TableMJRUHSHI1[[#This Row],[Credit Points]]</f>
        <v>150</v>
      </c>
      <c r="F378">
        <v>3</v>
      </c>
      <c r="G378" t="s">
        <v>140</v>
      </c>
      <c r="H378">
        <v>1</v>
      </c>
      <c r="I378" t="s">
        <v>1212</v>
      </c>
      <c r="J378" t="s">
        <v>360</v>
      </c>
      <c r="K378">
        <v>1</v>
      </c>
      <c r="L378" t="s">
        <v>491</v>
      </c>
      <c r="M378">
        <v>150</v>
      </c>
      <c r="N378" s="125">
        <v>45658</v>
      </c>
      <c r="O378" s="125"/>
      <c r="R378" t="s">
        <v>102</v>
      </c>
      <c r="S378">
        <v>0</v>
      </c>
    </row>
    <row r="379" spans="1:19" x14ac:dyDescent="0.25">
      <c r="A379" t="str">
        <f>TableMJRUHSHI1[[#This Row],[Study Package Code]]</f>
        <v>STRU-MATHM</v>
      </c>
      <c r="B379" s="5">
        <f>TableMJRUHSHI1[[#This Row],[Ver]]</f>
        <v>3</v>
      </c>
      <c r="D379" t="str">
        <f>TableMJRUHSHI1[[#This Row],[Structure Line]]</f>
        <v>Mathematics Education Minor Teaching Area Stream (BEd Secondary)</v>
      </c>
      <c r="E379" s="81">
        <f>TableMJRUHSHI1[[#This Row],[Credit Points]]</f>
        <v>150</v>
      </c>
      <c r="F379">
        <v>3</v>
      </c>
      <c r="G379" t="s">
        <v>140</v>
      </c>
      <c r="H379">
        <v>1</v>
      </c>
      <c r="I379" t="s">
        <v>1212</v>
      </c>
      <c r="J379" t="s">
        <v>356</v>
      </c>
      <c r="K379">
        <v>3</v>
      </c>
      <c r="L379" t="s">
        <v>213</v>
      </c>
      <c r="M379">
        <v>150</v>
      </c>
      <c r="N379" s="125">
        <v>45658</v>
      </c>
      <c r="O379" s="125"/>
      <c r="R379" t="s">
        <v>1157</v>
      </c>
      <c r="S379">
        <v>0</v>
      </c>
    </row>
    <row r="380" spans="1:19" x14ac:dyDescent="0.25">
      <c r="A380" t="str">
        <f>TableMJRUHSHI1[[#This Row],[Study Package Code]]</f>
        <v>STRU-PARTM</v>
      </c>
      <c r="B380" s="5">
        <f>TableMJRUHSHI1[[#This Row],[Ver]]</f>
        <v>2</v>
      </c>
      <c r="D380" t="str">
        <f>TableMJRUHSHI1[[#This Row],[Structure Line]]</f>
        <v>The Arts - Performing Arts Education Minor Teaching Area Stream (BEd Secondary)</v>
      </c>
      <c r="E380" s="81">
        <f>TableMJRUHSHI1[[#This Row],[Credit Points]]</f>
        <v>150</v>
      </c>
      <c r="F380">
        <v>3</v>
      </c>
      <c r="G380" t="s">
        <v>140</v>
      </c>
      <c r="H380">
        <v>1</v>
      </c>
      <c r="I380" t="s">
        <v>1212</v>
      </c>
      <c r="J380" t="s">
        <v>361</v>
      </c>
      <c r="K380">
        <v>2</v>
      </c>
      <c r="L380" t="s">
        <v>505</v>
      </c>
      <c r="M380">
        <v>150</v>
      </c>
      <c r="N380" s="125">
        <v>43466</v>
      </c>
      <c r="O380" s="125"/>
      <c r="R380" t="s">
        <v>350</v>
      </c>
      <c r="S380">
        <v>2</v>
      </c>
    </row>
    <row r="381" spans="1:19" x14ac:dyDescent="0.25">
      <c r="A381" t="str">
        <f>TableMJRUHSHI1[[#This Row],[Study Package Code]]</f>
        <v>STRU-PSYCM</v>
      </c>
      <c r="B381" s="5">
        <f>TableMJRUHSHI1[[#This Row],[Ver]]</f>
        <v>3</v>
      </c>
      <c r="D381" t="str">
        <f>TableMJRUHSHI1[[#This Row],[Structure Line]]</f>
        <v>Psychology Education Minor Teaching Area Stream (BEd Secondary)</v>
      </c>
      <c r="E381" s="81">
        <f>TableMJRUHSHI1[[#This Row],[Credit Points]]</f>
        <v>150</v>
      </c>
      <c r="F381">
        <v>3</v>
      </c>
      <c r="G381" t="s">
        <v>140</v>
      </c>
      <c r="H381">
        <v>1</v>
      </c>
      <c r="I381" t="s">
        <v>1212</v>
      </c>
      <c r="J381" t="s">
        <v>357</v>
      </c>
      <c r="K381">
        <v>3</v>
      </c>
      <c r="L381" t="s">
        <v>482</v>
      </c>
      <c r="M381">
        <v>150</v>
      </c>
      <c r="N381" s="125">
        <v>45658</v>
      </c>
      <c r="O381" s="125"/>
      <c r="R381" t="s">
        <v>1263</v>
      </c>
      <c r="S381">
        <v>2</v>
      </c>
    </row>
    <row r="382" spans="1:19" x14ac:dyDescent="0.25">
      <c r="A382" t="str">
        <f>TableMJRUHSHI1[[#This Row],[Study Package Code]]</f>
        <v>STRU-VARTM</v>
      </c>
      <c r="B382" s="5">
        <f>TableMJRUHSHI1[[#This Row],[Ver]]</f>
        <v>3</v>
      </c>
      <c r="D382" t="str">
        <f>TableMJRUHSHI1[[#This Row],[Structure Line]]</f>
        <v>The Arts - Visual Arts Education Minor Teaching Area Stream (BEd Secondary)</v>
      </c>
      <c r="E382" s="81">
        <f>TableMJRUHSHI1[[#This Row],[Credit Points]]</f>
        <v>150</v>
      </c>
      <c r="F382">
        <v>3</v>
      </c>
      <c r="G382" t="s">
        <v>140</v>
      </c>
      <c r="H382">
        <v>1</v>
      </c>
      <c r="I382" t="s">
        <v>1212</v>
      </c>
      <c r="J382" t="s">
        <v>217</v>
      </c>
      <c r="K382">
        <v>3</v>
      </c>
      <c r="L382" t="s">
        <v>520</v>
      </c>
      <c r="M382">
        <v>150</v>
      </c>
      <c r="N382" s="125">
        <v>45658</v>
      </c>
      <c r="O382" s="125"/>
      <c r="R382" t="s">
        <v>353</v>
      </c>
      <c r="S382">
        <v>3</v>
      </c>
    </row>
    <row r="383" spans="1:19" x14ac:dyDescent="0.25">
      <c r="A383" t="str">
        <f>TableMJRUHSHI1[[#This Row],[Study Package Code]]</f>
        <v>HIST2000</v>
      </c>
      <c r="B383" s="5">
        <f>TableMJRUHSHI1[[#This Row],[Ver]]</f>
        <v>2</v>
      </c>
      <c r="D383" t="str">
        <f>TableMJRUHSHI1[[#This Row],[Structure Line]]</f>
        <v>Social Change in Contemporary Australian History</v>
      </c>
      <c r="E383" s="81">
        <f>TableMJRUHSHI1[[#This Row],[Credit Points]]</f>
        <v>25</v>
      </c>
      <c r="F383">
        <v>7</v>
      </c>
      <c r="G383" t="s">
        <v>1215</v>
      </c>
      <c r="H383">
        <v>2</v>
      </c>
      <c r="I383" t="s">
        <v>1212</v>
      </c>
      <c r="J383" t="s">
        <v>569</v>
      </c>
      <c r="K383">
        <v>2</v>
      </c>
      <c r="L383" t="s">
        <v>1273</v>
      </c>
      <c r="M383">
        <v>25</v>
      </c>
      <c r="N383" s="125">
        <v>44562</v>
      </c>
      <c r="O383" s="125"/>
      <c r="R383" t="s">
        <v>364</v>
      </c>
      <c r="S383">
        <v>1</v>
      </c>
    </row>
    <row r="384" spans="1:19" x14ac:dyDescent="0.25">
      <c r="A384" t="str">
        <f>TableMJRUHSHI1[[#This Row],[Study Package Code]]</f>
        <v>INDS2004</v>
      </c>
      <c r="B384" s="5">
        <f>TableMJRUHSHI1[[#This Row],[Ver]]</f>
        <v>2</v>
      </c>
      <c r="D384" t="str">
        <f>TableMJRUHSHI1[[#This Row],[Structure Line]]</f>
        <v>Listening to Country: First Nations’ Perspectives</v>
      </c>
      <c r="E384" s="81">
        <f>TableMJRUHSHI1[[#This Row],[Credit Points]]</f>
        <v>25</v>
      </c>
      <c r="F384">
        <v>7</v>
      </c>
      <c r="G384" t="s">
        <v>1215</v>
      </c>
      <c r="H384">
        <v>2</v>
      </c>
      <c r="I384" t="s">
        <v>1212</v>
      </c>
      <c r="J384" t="s">
        <v>582</v>
      </c>
      <c r="K384">
        <v>2</v>
      </c>
      <c r="L384" t="s">
        <v>1041</v>
      </c>
      <c r="M384">
        <v>25</v>
      </c>
      <c r="N384" s="125">
        <v>44562</v>
      </c>
      <c r="O384" s="125"/>
      <c r="R384" t="s">
        <v>356</v>
      </c>
      <c r="S384">
        <v>2</v>
      </c>
    </row>
    <row r="385" spans="1:19" x14ac:dyDescent="0.25">
      <c r="A385" t="str">
        <f>TableMJRUHSHI1[[#This Row],[Study Package Code]]</f>
        <v>HIST2001</v>
      </c>
      <c r="B385" s="5">
        <f>TableMJRUHSHI1[[#This Row],[Ver]]</f>
        <v>3</v>
      </c>
      <c r="D385" t="str">
        <f>TableMJRUHSHI1[[#This Row],[Structure Line]]</f>
        <v>Democracy and Dictatorship</v>
      </c>
      <c r="E385" s="81">
        <f>TableMJRUHSHI1[[#This Row],[Credit Points]]</f>
        <v>25</v>
      </c>
      <c r="F385">
        <v>8</v>
      </c>
      <c r="G385" t="s">
        <v>1215</v>
      </c>
      <c r="H385">
        <v>3</v>
      </c>
      <c r="I385" t="s">
        <v>1209</v>
      </c>
      <c r="J385" t="s">
        <v>595</v>
      </c>
      <c r="K385">
        <v>3</v>
      </c>
      <c r="L385" t="s">
        <v>1017</v>
      </c>
      <c r="M385">
        <v>25</v>
      </c>
      <c r="N385" s="125">
        <v>45658</v>
      </c>
      <c r="O385" s="125"/>
      <c r="R385" t="s">
        <v>361</v>
      </c>
      <c r="S385">
        <v>2</v>
      </c>
    </row>
    <row r="386" spans="1:19" x14ac:dyDescent="0.25">
      <c r="A386" t="str">
        <f>TableMJRUHSHI1[[#This Row],[Study Package Code]]</f>
        <v>INDS2004</v>
      </c>
      <c r="B386" s="5">
        <f>TableMJRUHSHI1[[#This Row],[Ver]]</f>
        <v>2</v>
      </c>
      <c r="D386" t="str">
        <f>TableMJRUHSHI1[[#This Row],[Structure Line]]</f>
        <v>Listening to Country: First Nations’ Perspectives</v>
      </c>
      <c r="E386" s="81">
        <f>TableMJRUHSHI1[[#This Row],[Credit Points]]</f>
        <v>25</v>
      </c>
      <c r="F386">
        <v>8</v>
      </c>
      <c r="G386" t="s">
        <v>1215</v>
      </c>
      <c r="H386">
        <v>3</v>
      </c>
      <c r="I386" t="s">
        <v>1209</v>
      </c>
      <c r="J386" t="s">
        <v>582</v>
      </c>
      <c r="K386">
        <v>2</v>
      </c>
      <c r="L386" t="s">
        <v>1041</v>
      </c>
      <c r="M386">
        <v>25</v>
      </c>
      <c r="N386" s="125">
        <v>44562</v>
      </c>
      <c r="O386" s="125"/>
      <c r="R386" t="s">
        <v>1252</v>
      </c>
      <c r="S386">
        <v>2</v>
      </c>
    </row>
    <row r="387" spans="1:19" x14ac:dyDescent="0.25">
      <c r="A387" t="str">
        <f>TableMJRUHSHI1[[#This Row],[Study Package Code]]</f>
        <v>HIST3001</v>
      </c>
      <c r="B387" s="5">
        <f>TableMJRUHSHI1[[#This Row],[Ver]]</f>
        <v>3</v>
      </c>
      <c r="D387" t="str">
        <f>TableMJRUHSHI1[[#This Row],[Structure Line]]</f>
        <v>Competition, Cooperation and Conflict since 1945</v>
      </c>
      <c r="E387" s="81">
        <f>TableMJRUHSHI1[[#This Row],[Credit Points]]</f>
        <v>25</v>
      </c>
      <c r="F387">
        <v>9</v>
      </c>
      <c r="G387" t="s">
        <v>1215</v>
      </c>
      <c r="H387">
        <v>3</v>
      </c>
      <c r="I387" t="s">
        <v>1212</v>
      </c>
      <c r="J387" t="s">
        <v>613</v>
      </c>
      <c r="K387">
        <v>3</v>
      </c>
      <c r="L387" t="s">
        <v>1019</v>
      </c>
      <c r="M387">
        <v>25</v>
      </c>
      <c r="N387" s="125">
        <v>44927</v>
      </c>
      <c r="O387" s="125"/>
      <c r="R387" t="s">
        <v>357</v>
      </c>
      <c r="S387">
        <v>2</v>
      </c>
    </row>
    <row r="388" spans="1:19" x14ac:dyDescent="0.25">
      <c r="A388" t="str">
        <f>TableMJRUHSHI1[[#This Row],[Study Package Code]]</f>
        <v>HIST3002</v>
      </c>
      <c r="B388" s="5">
        <f>TableMJRUHSHI1[[#This Row],[Ver]]</f>
        <v>3</v>
      </c>
      <c r="D388" t="str">
        <f>TableMJRUHSHI1[[#This Row],[Structure Line]]</f>
        <v>History in Practice</v>
      </c>
      <c r="E388" s="81">
        <f>TableMJRUHSHI1[[#This Row],[Credit Points]]</f>
        <v>25</v>
      </c>
      <c r="F388">
        <v>9</v>
      </c>
      <c r="G388" t="s">
        <v>1215</v>
      </c>
      <c r="H388">
        <v>3</v>
      </c>
      <c r="I388" t="s">
        <v>1212</v>
      </c>
      <c r="J388" t="s">
        <v>620</v>
      </c>
      <c r="K388">
        <v>3</v>
      </c>
      <c r="L388" t="s">
        <v>1020</v>
      </c>
      <c r="M388">
        <v>25</v>
      </c>
      <c r="N388" s="125">
        <v>45658</v>
      </c>
      <c r="O388" s="125"/>
      <c r="R388" t="s">
        <v>217</v>
      </c>
      <c r="S388">
        <v>2</v>
      </c>
    </row>
    <row r="389" spans="1:19" x14ac:dyDescent="0.25">
      <c r="A389" s="78"/>
      <c r="B389" s="80"/>
      <c r="C389" s="78"/>
      <c r="D389" s="78"/>
      <c r="G389" s="79" t="s">
        <v>1194</v>
      </c>
      <c r="H389" s="272">
        <v>45658</v>
      </c>
      <c r="J389" s="274" t="s">
        <v>343</v>
      </c>
      <c r="K389" s="273">
        <v>1</v>
      </c>
      <c r="L389" s="274" t="s">
        <v>380</v>
      </c>
      <c r="M389" s="78"/>
      <c r="N389" s="198" t="s">
        <v>1195</v>
      </c>
      <c r="O389" s="125">
        <v>45540</v>
      </c>
    </row>
    <row r="390" spans="1:19" ht="31.5" x14ac:dyDescent="0.25">
      <c r="A390" s="97" t="s">
        <v>0</v>
      </c>
      <c r="B390" s="98" t="s">
        <v>1196</v>
      </c>
      <c r="C390" s="97" t="s">
        <v>1197</v>
      </c>
      <c r="D390" s="97" t="s">
        <v>3</v>
      </c>
      <c r="E390" s="99" t="s">
        <v>1198</v>
      </c>
      <c r="F390" s="97" t="s">
        <v>1199</v>
      </c>
      <c r="G390" s="97" t="s">
        <v>1200</v>
      </c>
      <c r="H390" s="97" t="s">
        <v>1201</v>
      </c>
      <c r="I390" s="97" t="s">
        <v>18</v>
      </c>
      <c r="J390" s="97" t="s">
        <v>1202</v>
      </c>
      <c r="K390" s="97" t="s">
        <v>1</v>
      </c>
      <c r="L390" s="97" t="s">
        <v>1203</v>
      </c>
      <c r="M390" s="97" t="s">
        <v>69</v>
      </c>
      <c r="N390" s="97" t="s">
        <v>1204</v>
      </c>
      <c r="O390" s="97" t="s">
        <v>1205</v>
      </c>
      <c r="R390" t="s">
        <v>1206</v>
      </c>
      <c r="S390" t="s">
        <v>1207</v>
      </c>
    </row>
    <row r="391" spans="1:19" x14ac:dyDescent="0.25">
      <c r="A391" t="str">
        <f>TableMJRUHSPL1[[#This Row],[Study Package Code]]</f>
        <v>Opt-HSPL1</v>
      </c>
      <c r="B391" s="5">
        <f>TableMJRUHSPL1[[#This Row],[Ver]]</f>
        <v>0</v>
      </c>
      <c r="D391" t="str">
        <f>TableMJRUHSPL1[[#This Row],[Structure Line]]</f>
        <v>Choose an Option</v>
      </c>
      <c r="E391" s="81">
        <f>TableMJRUHSPL1[[#This Row],[Credit Points]]</f>
        <v>25</v>
      </c>
      <c r="F391">
        <v>1</v>
      </c>
      <c r="G391" t="s">
        <v>140</v>
      </c>
      <c r="H391">
        <v>0</v>
      </c>
      <c r="I391" t="s">
        <v>1221</v>
      </c>
      <c r="J391" t="s">
        <v>557</v>
      </c>
      <c r="K391">
        <v>0</v>
      </c>
      <c r="L391" t="s">
        <v>1219</v>
      </c>
      <c r="M391">
        <v>25</v>
      </c>
      <c r="N391" s="125"/>
      <c r="O391" s="125"/>
      <c r="R391" t="s">
        <v>454</v>
      </c>
      <c r="S391">
        <v>2</v>
      </c>
    </row>
    <row r="392" spans="1:19" x14ac:dyDescent="0.25">
      <c r="A392" t="str">
        <f>TableMJRUHSPL1[[#This Row],[Study Package Code]]</f>
        <v>ANTH1001</v>
      </c>
      <c r="B392" s="5">
        <f>TableMJRUHSPL1[[#This Row],[Ver]]</f>
        <v>2</v>
      </c>
      <c r="D392" t="str">
        <f>TableMJRUHSPL1[[#This Row],[Structure Line]]</f>
        <v>Society and Culture in a Globalising World</v>
      </c>
      <c r="E392" s="81">
        <f>TableMJRUHSPL1[[#This Row],[Credit Points]]</f>
        <v>25</v>
      </c>
      <c r="F392">
        <v>2</v>
      </c>
      <c r="G392" t="s">
        <v>1208</v>
      </c>
      <c r="H392">
        <v>1</v>
      </c>
      <c r="I392" t="s">
        <v>1212</v>
      </c>
      <c r="J392" t="s">
        <v>454</v>
      </c>
      <c r="K392">
        <v>2</v>
      </c>
      <c r="L392" t="s">
        <v>819</v>
      </c>
      <c r="M392">
        <v>25</v>
      </c>
      <c r="N392" s="125">
        <v>42736</v>
      </c>
      <c r="O392" s="125"/>
      <c r="R392" t="s">
        <v>567</v>
      </c>
      <c r="S392">
        <v>1</v>
      </c>
    </row>
    <row r="393" spans="1:19" x14ac:dyDescent="0.25">
      <c r="A393" t="str">
        <f>TableMJRUHSPL1[[#This Row],[Study Package Code]]</f>
        <v>Stream</v>
      </c>
      <c r="B393" s="5">
        <f>TableMJRUHSPL1[[#This Row],[Ver]]</f>
        <v>0</v>
      </c>
      <c r="D393" t="str">
        <f>TableMJRUHSPL1[[#This Row],[Structure Line]]</f>
        <v>Choose Minor Teaching Area Stream</v>
      </c>
      <c r="E393" s="81">
        <f>TableMJRUHSPL1[[#This Row],[Credit Points]]</f>
        <v>150</v>
      </c>
      <c r="F393">
        <v>3</v>
      </c>
      <c r="G393" t="s">
        <v>140</v>
      </c>
      <c r="H393">
        <v>1</v>
      </c>
      <c r="I393" t="s">
        <v>1212</v>
      </c>
      <c r="J393" t="s">
        <v>1157</v>
      </c>
      <c r="K393">
        <v>0</v>
      </c>
      <c r="L393" t="s">
        <v>1269</v>
      </c>
      <c r="M393">
        <v>150</v>
      </c>
      <c r="N393" s="125"/>
      <c r="O393" s="125"/>
      <c r="R393" t="s">
        <v>465</v>
      </c>
      <c r="S393">
        <v>1</v>
      </c>
    </row>
    <row r="394" spans="1:19" x14ac:dyDescent="0.25">
      <c r="A394" t="str">
        <f>TableMJRUHSPL1[[#This Row],[Study Package Code]]</f>
        <v>EDSC4024</v>
      </c>
      <c r="B394" s="5">
        <f>TableMJRUHSPL1[[#This Row],[Ver]]</f>
        <v>1</v>
      </c>
      <c r="D394" t="str">
        <f>TableMJRUHSPL1[[#This Row],[Structure Line]]</f>
        <v>Curriculum and Instruction Lower Secondary: Humanities and Social Sciences</v>
      </c>
      <c r="E394" s="81">
        <f>TableMJRUHSPL1[[#This Row],[Credit Points]]</f>
        <v>25</v>
      </c>
      <c r="F394">
        <v>4</v>
      </c>
      <c r="G394" t="s">
        <v>1208</v>
      </c>
      <c r="H394">
        <v>2</v>
      </c>
      <c r="I394" t="s">
        <v>1209</v>
      </c>
      <c r="J394" t="s">
        <v>465</v>
      </c>
      <c r="K394">
        <v>1</v>
      </c>
      <c r="L394" t="s">
        <v>948</v>
      </c>
      <c r="M394">
        <v>25</v>
      </c>
      <c r="N394" s="125">
        <v>43466</v>
      </c>
      <c r="O394" s="125"/>
      <c r="R394" t="s">
        <v>486</v>
      </c>
      <c r="S394">
        <v>2</v>
      </c>
    </row>
    <row r="395" spans="1:19" x14ac:dyDescent="0.25">
      <c r="A395" t="str">
        <f>TableMJRUHSPL1[[#This Row],[Study Package Code]]</f>
        <v>STRD1000</v>
      </c>
      <c r="B395" s="5">
        <f>TableMJRUHSPL1[[#This Row],[Ver]]</f>
        <v>1</v>
      </c>
      <c r="D395" t="str">
        <f>TableMJRUHSPL1[[#This Row],[Structure Line]]</f>
        <v>Power, Politics and Government</v>
      </c>
      <c r="E395" s="81">
        <f>TableMJRUHSPL1[[#This Row],[Credit Points]]</f>
        <v>25</v>
      </c>
      <c r="F395">
        <v>5</v>
      </c>
      <c r="G395" t="s">
        <v>1208</v>
      </c>
      <c r="H395">
        <v>2</v>
      </c>
      <c r="I395" t="s">
        <v>1209</v>
      </c>
      <c r="J395" t="s">
        <v>475</v>
      </c>
      <c r="K395">
        <v>1</v>
      </c>
      <c r="L395" t="s">
        <v>1155</v>
      </c>
      <c r="M395">
        <v>25</v>
      </c>
      <c r="N395" s="125">
        <v>44562</v>
      </c>
      <c r="O395" s="125"/>
      <c r="R395" t="s">
        <v>614</v>
      </c>
      <c r="S395">
        <v>1</v>
      </c>
    </row>
    <row r="396" spans="1:19" x14ac:dyDescent="0.25">
      <c r="A396" t="str">
        <f>TableMJRUHSPL1[[#This Row],[Study Package Code]]</f>
        <v>EDSC4026</v>
      </c>
      <c r="B396" s="5">
        <f>TableMJRUHSPL1[[#This Row],[Ver]]</f>
        <v>2</v>
      </c>
      <c r="D396" t="str">
        <f>TableMJRUHSPL1[[#This Row],[Structure Line]]</f>
        <v>Curriculum and Instruction Senior Secondary: Humanities and Social Sciences</v>
      </c>
      <c r="E396" s="81">
        <f>TableMJRUHSPL1[[#This Row],[Credit Points]]</f>
        <v>25</v>
      </c>
      <c r="F396">
        <v>6</v>
      </c>
      <c r="G396" t="s">
        <v>1208</v>
      </c>
      <c r="H396">
        <v>2</v>
      </c>
      <c r="I396" t="s">
        <v>1212</v>
      </c>
      <c r="J396" t="s">
        <v>486</v>
      </c>
      <c r="K396">
        <v>2</v>
      </c>
      <c r="L396" t="s">
        <v>950</v>
      </c>
      <c r="M396">
        <v>25</v>
      </c>
      <c r="N396" s="125">
        <v>43831</v>
      </c>
      <c r="O396" s="125"/>
      <c r="R396" t="s">
        <v>1274</v>
      </c>
      <c r="S396">
        <v>0</v>
      </c>
    </row>
    <row r="397" spans="1:19" x14ac:dyDescent="0.25">
      <c r="A397" t="str">
        <f>TableMJRUHSPL1[[#This Row],[Study Package Code]]</f>
        <v>AC-HSPL11</v>
      </c>
      <c r="B397" s="5">
        <f>TableMJRUHSPL1[[#This Row],[Ver]]</f>
        <v>0</v>
      </c>
      <c r="D397" t="str">
        <f>TableMJRUHSPL1[[#This Row],[Structure Line]]</f>
        <v>Choose ANTH2000 or ANTH2002</v>
      </c>
      <c r="E397" s="81">
        <f>TableMJRUHSPL1[[#This Row],[Credit Points]]</f>
        <v>25</v>
      </c>
      <c r="F397">
        <v>7</v>
      </c>
      <c r="G397" t="s">
        <v>1215</v>
      </c>
      <c r="H397">
        <v>2</v>
      </c>
      <c r="I397" t="s">
        <v>1212</v>
      </c>
      <c r="J397" t="s">
        <v>500</v>
      </c>
      <c r="K397">
        <v>0</v>
      </c>
      <c r="L397" t="s">
        <v>1275</v>
      </c>
      <c r="M397">
        <v>25</v>
      </c>
      <c r="N397" s="125"/>
      <c r="O397" s="125"/>
      <c r="R397" t="s">
        <v>1248</v>
      </c>
      <c r="S397">
        <v>1</v>
      </c>
    </row>
    <row r="398" spans="1:19" x14ac:dyDescent="0.25">
      <c r="A398" t="str">
        <f>TableMJRUHSPL1[[#This Row],[Study Package Code]]</f>
        <v>AC-HSPL12</v>
      </c>
      <c r="B398" s="5">
        <f>TableMJRUHSPL1[[#This Row],[Ver]]</f>
        <v>0</v>
      </c>
      <c r="D398" t="str">
        <f>TableMJRUHSPL1[[#This Row],[Structure Line]]</f>
        <v>Choose HIST2001 or INTR2000</v>
      </c>
      <c r="E398" s="81">
        <f>TableMJRUHSPL1[[#This Row],[Credit Points]]</f>
        <v>25</v>
      </c>
      <c r="F398">
        <v>8</v>
      </c>
      <c r="G398" t="s">
        <v>1215</v>
      </c>
      <c r="H398">
        <v>3</v>
      </c>
      <c r="I398" t="s">
        <v>1209</v>
      </c>
      <c r="J398" t="s">
        <v>513</v>
      </c>
      <c r="K398">
        <v>0</v>
      </c>
      <c r="L398" t="s">
        <v>1276</v>
      </c>
      <c r="M398">
        <v>25</v>
      </c>
      <c r="N398" s="125"/>
      <c r="O398" s="125"/>
      <c r="R398" t="s">
        <v>621</v>
      </c>
      <c r="S398">
        <v>1</v>
      </c>
    </row>
    <row r="399" spans="1:19" x14ac:dyDescent="0.25">
      <c r="A399" t="str">
        <f>TableMJRUHSPL1[[#This Row],[Study Package Code]]</f>
        <v>AC-HSPL13</v>
      </c>
      <c r="B399" s="5">
        <f>TableMJRUHSPL1[[#This Row],[Ver]]</f>
        <v>0</v>
      </c>
      <c r="D399" t="str">
        <f>TableMJRUHSPL1[[#This Row],[Structure Line]]</f>
        <v>Choose ANTH3003 or POLS3000</v>
      </c>
      <c r="E399" s="81">
        <f>TableMJRUHSPL1[[#This Row],[Credit Points]]</f>
        <v>25</v>
      </c>
      <c r="F399">
        <v>9</v>
      </c>
      <c r="G399" t="s">
        <v>1215</v>
      </c>
      <c r="H399">
        <v>3</v>
      </c>
      <c r="I399" t="s">
        <v>1212</v>
      </c>
      <c r="J399" t="s">
        <v>528</v>
      </c>
      <c r="K399">
        <v>0</v>
      </c>
      <c r="L399" t="s">
        <v>1277</v>
      </c>
      <c r="M399">
        <v>25</v>
      </c>
      <c r="N399" s="125"/>
      <c r="O399" s="125"/>
      <c r="R399" t="s">
        <v>634</v>
      </c>
      <c r="S399">
        <v>1</v>
      </c>
    </row>
    <row r="400" spans="1:19" x14ac:dyDescent="0.25">
      <c r="A400" t="str">
        <f>TableMJRUHSPL1[[#This Row],[Study Package Code]]</f>
        <v>AC-HSPL14</v>
      </c>
      <c r="B400" s="5">
        <f>TableMJRUHSPL1[[#This Row],[Ver]]</f>
        <v>0</v>
      </c>
      <c r="D400" t="str">
        <f>TableMJRUHSPL1[[#This Row],[Structure Line]]</f>
        <v>Choose ANTH3005 or ANTH3006</v>
      </c>
      <c r="E400" s="81">
        <f>TableMJRUHSPL1[[#This Row],[Credit Points]]</f>
        <v>25</v>
      </c>
      <c r="F400">
        <v>10</v>
      </c>
      <c r="G400" t="s">
        <v>1215</v>
      </c>
      <c r="H400">
        <v>4</v>
      </c>
      <c r="I400" t="s">
        <v>1209</v>
      </c>
      <c r="J400" t="s">
        <v>543</v>
      </c>
      <c r="K400">
        <v>0</v>
      </c>
      <c r="L400" t="s">
        <v>1278</v>
      </c>
      <c r="M400">
        <v>25</v>
      </c>
      <c r="N400" s="125"/>
      <c r="O400" s="125"/>
      <c r="R400" t="s">
        <v>102</v>
      </c>
      <c r="S400">
        <v>0</v>
      </c>
    </row>
    <row r="401" spans="1:19" x14ac:dyDescent="0.25">
      <c r="A401" t="str">
        <f>TableMJRUHSPL1[[#This Row],[Study Package Code]]</f>
        <v>BLAW2011</v>
      </c>
      <c r="B401" s="5">
        <f>TableMJRUHSPL1[[#This Row],[Ver]]</f>
        <v>1</v>
      </c>
      <c r="D401" t="str">
        <f>TableMJRUHSPL1[[#This Row],[Structure Line]]</f>
        <v>Safety and Environmental Health Law</v>
      </c>
      <c r="E401" s="81">
        <f>TableMJRUHSPL1[[#This Row],[Credit Points]]</f>
        <v>25</v>
      </c>
      <c r="F401">
        <v>1</v>
      </c>
      <c r="G401" t="s">
        <v>140</v>
      </c>
      <c r="H401">
        <v>0</v>
      </c>
      <c r="I401" t="s">
        <v>1221</v>
      </c>
      <c r="J401" t="s">
        <v>634</v>
      </c>
      <c r="K401">
        <v>1</v>
      </c>
      <c r="L401" t="s">
        <v>829</v>
      </c>
      <c r="M401">
        <v>25</v>
      </c>
      <c r="N401" s="125">
        <v>42005</v>
      </c>
      <c r="O401" s="125"/>
      <c r="R401" t="s">
        <v>1157</v>
      </c>
      <c r="S401">
        <v>0</v>
      </c>
    </row>
    <row r="402" spans="1:19" x14ac:dyDescent="0.25">
      <c r="A402" t="str">
        <f>TableMJRUHSPL1[[#This Row],[Study Package Code]]</f>
        <v>MATH1014</v>
      </c>
      <c r="B402" s="5">
        <f>TableMJRUHSPL1[[#This Row],[Ver]]</f>
        <v>1</v>
      </c>
      <c r="D402" t="str">
        <f>TableMJRUHSPL1[[#This Row],[Structure Line]]</f>
        <v>Foundations of Calculus</v>
      </c>
      <c r="E402" s="81">
        <f>TableMJRUHSPL1[[#This Row],[Credit Points]]</f>
        <v>25</v>
      </c>
      <c r="F402">
        <v>1</v>
      </c>
      <c r="G402" t="s">
        <v>140</v>
      </c>
      <c r="H402">
        <v>0</v>
      </c>
      <c r="I402" t="s">
        <v>1221</v>
      </c>
      <c r="J402" t="s">
        <v>588</v>
      </c>
      <c r="K402">
        <v>1</v>
      </c>
      <c r="L402" t="s">
        <v>1051</v>
      </c>
      <c r="M402">
        <v>25</v>
      </c>
      <c r="N402" s="125">
        <v>42736</v>
      </c>
      <c r="O402" s="125"/>
      <c r="R402" t="s">
        <v>640</v>
      </c>
      <c r="S402">
        <v>1</v>
      </c>
    </row>
    <row r="403" spans="1:19" x14ac:dyDescent="0.25">
      <c r="A403" t="str">
        <f>TableMJRUHSPL1[[#This Row],[Study Package Code]]</f>
        <v>SCWK2001</v>
      </c>
      <c r="B403" s="5">
        <f>TableMJRUHSPL1[[#This Row],[Ver]]</f>
        <v>1</v>
      </c>
      <c r="D403" t="str">
        <f>TableMJRUHSPL1[[#This Row],[Structure Line]]</f>
        <v>Citizenship, Culture and Diversity</v>
      </c>
      <c r="E403" s="81">
        <f>TableMJRUHSPL1[[#This Row],[Credit Points]]</f>
        <v>25</v>
      </c>
      <c r="F403">
        <v>1</v>
      </c>
      <c r="G403" t="s">
        <v>140</v>
      </c>
      <c r="H403">
        <v>0</v>
      </c>
      <c r="I403" t="s">
        <v>1221</v>
      </c>
      <c r="J403" t="s">
        <v>636</v>
      </c>
      <c r="K403">
        <v>1</v>
      </c>
      <c r="L403" t="s">
        <v>1140</v>
      </c>
      <c r="M403">
        <v>25</v>
      </c>
      <c r="N403" s="125">
        <v>42005</v>
      </c>
      <c r="O403" s="125"/>
      <c r="R403" t="s">
        <v>582</v>
      </c>
      <c r="S403">
        <v>2</v>
      </c>
    </row>
    <row r="404" spans="1:19" x14ac:dyDescent="0.25">
      <c r="A404" t="str">
        <f>TableMJRUHSPL1[[#This Row],[Study Package Code]]</f>
        <v>STRD2001</v>
      </c>
      <c r="B404" s="5">
        <f>TableMJRUHSPL1[[#This Row],[Ver]]</f>
        <v>1</v>
      </c>
      <c r="D404" t="str">
        <f>TableMJRUHSPL1[[#This Row],[Structure Line]]</f>
        <v>Great Power Competition</v>
      </c>
      <c r="E404" s="81">
        <f>TableMJRUHSPL1[[#This Row],[Credit Points]]</f>
        <v>25</v>
      </c>
      <c r="F404">
        <v>1</v>
      </c>
      <c r="G404" t="s">
        <v>140</v>
      </c>
      <c r="H404">
        <v>0</v>
      </c>
      <c r="I404" t="s">
        <v>1221</v>
      </c>
      <c r="J404" t="s">
        <v>641</v>
      </c>
      <c r="K404">
        <v>1</v>
      </c>
      <c r="L404" t="s">
        <v>1156</v>
      </c>
      <c r="M404">
        <v>25</v>
      </c>
      <c r="N404" s="125">
        <v>44562</v>
      </c>
      <c r="O404" s="125"/>
    </row>
    <row r="405" spans="1:19" x14ac:dyDescent="0.25">
      <c r="A405" t="str">
        <f>TableMJRUHSPL1[[#This Row],[Study Package Code]]</f>
        <v>STRU-BSCIM</v>
      </c>
      <c r="B405" s="5">
        <f>TableMJRUHSPL1[[#This Row],[Ver]]</f>
        <v>3</v>
      </c>
      <c r="D405" t="str">
        <f>TableMJRUHSPL1[[#This Row],[Structure Line]]</f>
        <v>Biological Sciences Education Minor Teaching Area Stream (BEd Secondary)</v>
      </c>
      <c r="E405" s="81">
        <f>TableMJRUHSPL1[[#This Row],[Credit Points]]</f>
        <v>150</v>
      </c>
      <c r="F405">
        <v>3</v>
      </c>
      <c r="G405" t="s">
        <v>140</v>
      </c>
      <c r="H405">
        <v>1</v>
      </c>
      <c r="I405" t="s">
        <v>1212</v>
      </c>
      <c r="J405" t="s">
        <v>350</v>
      </c>
      <c r="K405">
        <v>3</v>
      </c>
      <c r="L405" t="s">
        <v>205</v>
      </c>
      <c r="M405">
        <v>150</v>
      </c>
      <c r="N405" s="125">
        <v>45658</v>
      </c>
      <c r="O405" s="125"/>
    </row>
    <row r="406" spans="1:19" x14ac:dyDescent="0.25">
      <c r="A406" t="str">
        <f>TableMJRUHSPL1[[#This Row],[Study Package Code]]</f>
        <v>STRU-ENGLM</v>
      </c>
      <c r="B406" s="5">
        <f>TableMJRUHSPL1[[#This Row],[Ver]]</f>
        <v>3</v>
      </c>
      <c r="D406" t="str">
        <f>TableMJRUHSPL1[[#This Row],[Structure Line]]</f>
        <v>English Education Minor Teaching Area Stream (BEd Secondary)</v>
      </c>
      <c r="E406" s="81">
        <f>TableMJRUHSPL1[[#This Row],[Credit Points]]</f>
        <v>150</v>
      </c>
      <c r="F406">
        <v>3</v>
      </c>
      <c r="G406" t="s">
        <v>140</v>
      </c>
      <c r="H406">
        <v>1</v>
      </c>
      <c r="I406" t="s">
        <v>1212</v>
      </c>
      <c r="J406" t="s">
        <v>353</v>
      </c>
      <c r="K406">
        <v>3</v>
      </c>
      <c r="L406" t="s">
        <v>413</v>
      </c>
      <c r="M406">
        <v>150</v>
      </c>
      <c r="N406" s="125">
        <v>44562</v>
      </c>
      <c r="O406" s="125"/>
    </row>
    <row r="407" spans="1:19" x14ac:dyDescent="0.25">
      <c r="A407" t="str">
        <f>TableMJRUHSPL1[[#This Row],[Study Package Code]]</f>
        <v>STRU-MARTM</v>
      </c>
      <c r="B407" s="5">
        <f>TableMJRUHSPL1[[#This Row],[Ver]]</f>
        <v>1</v>
      </c>
      <c r="D407" t="str">
        <f>TableMJRUHSPL1[[#This Row],[Structure Line]]</f>
        <v>The Arts - Media Education Minor Teaching Area Stream (BEd Secondary)</v>
      </c>
      <c r="E407" s="81">
        <f>TableMJRUHSPL1[[#This Row],[Credit Points]]</f>
        <v>150</v>
      </c>
      <c r="F407">
        <v>3</v>
      </c>
      <c r="G407" t="s">
        <v>140</v>
      </c>
      <c r="H407">
        <v>1</v>
      </c>
      <c r="I407" t="s">
        <v>1212</v>
      </c>
      <c r="J407" t="s">
        <v>360</v>
      </c>
      <c r="K407">
        <v>1</v>
      </c>
      <c r="L407" t="s">
        <v>491</v>
      </c>
      <c r="M407">
        <v>150</v>
      </c>
      <c r="N407" s="125">
        <v>45658</v>
      </c>
      <c r="O407" s="125"/>
    </row>
    <row r="408" spans="1:19" x14ac:dyDescent="0.25">
      <c r="A408" t="str">
        <f>TableMJRUHSPL1[[#This Row],[Study Package Code]]</f>
        <v>STRU-MATHM</v>
      </c>
      <c r="B408" s="5">
        <f>TableMJRUHSPL1[[#This Row],[Ver]]</f>
        <v>3</v>
      </c>
      <c r="D408" t="str">
        <f>TableMJRUHSPL1[[#This Row],[Structure Line]]</f>
        <v>Mathematics Education Minor Teaching Area Stream (BEd Secondary)</v>
      </c>
      <c r="E408" s="81">
        <f>TableMJRUHSPL1[[#This Row],[Credit Points]]</f>
        <v>150</v>
      </c>
      <c r="F408">
        <v>3</v>
      </c>
      <c r="G408" t="s">
        <v>140</v>
      </c>
      <c r="H408">
        <v>1</v>
      </c>
      <c r="I408" t="s">
        <v>1212</v>
      </c>
      <c r="J408" t="s">
        <v>356</v>
      </c>
      <c r="K408">
        <v>3</v>
      </c>
      <c r="L408" t="s">
        <v>213</v>
      </c>
      <c r="M408">
        <v>150</v>
      </c>
      <c r="N408" s="125">
        <v>45658</v>
      </c>
      <c r="O408" s="125"/>
    </row>
    <row r="409" spans="1:19" x14ac:dyDescent="0.25">
      <c r="A409" t="str">
        <f>TableMJRUHSPL1[[#This Row],[Study Package Code]]</f>
        <v>STRU-PARTM</v>
      </c>
      <c r="B409" s="5">
        <f>TableMJRUHSPL1[[#This Row],[Ver]]</f>
        <v>2</v>
      </c>
      <c r="D409" t="str">
        <f>TableMJRUHSPL1[[#This Row],[Structure Line]]</f>
        <v>The Arts - Performing Arts Education Minor Teaching Area Stream (BEd Secondary)</v>
      </c>
      <c r="E409" s="81">
        <f>TableMJRUHSPL1[[#This Row],[Credit Points]]</f>
        <v>150</v>
      </c>
      <c r="F409">
        <v>3</v>
      </c>
      <c r="G409" t="s">
        <v>140</v>
      </c>
      <c r="H409">
        <v>1</v>
      </c>
      <c r="I409" t="s">
        <v>1212</v>
      </c>
      <c r="J409" t="s">
        <v>361</v>
      </c>
      <c r="K409">
        <v>2</v>
      </c>
      <c r="L409" t="s">
        <v>505</v>
      </c>
      <c r="M409">
        <v>150</v>
      </c>
      <c r="N409" s="125">
        <v>43466</v>
      </c>
      <c r="O409" s="125"/>
    </row>
    <row r="410" spans="1:19" x14ac:dyDescent="0.25">
      <c r="A410" t="str">
        <f>TableMJRUHSPL1[[#This Row],[Study Package Code]]</f>
        <v>STRU-POLB1</v>
      </c>
      <c r="B410" s="5">
        <f>TableMJRUHSPL1[[#This Row],[Ver]]</f>
        <v>2</v>
      </c>
      <c r="D410" t="str">
        <f>TableMJRUHSPL1[[#This Row],[Structure Line]]</f>
        <v>Broadening Humanities and Social Sciences for Politics and Law Teaching Area Stream (BEd Secondary)</v>
      </c>
      <c r="E410" s="81">
        <f>TableMJRUHSPL1[[#This Row],[Credit Points]]</f>
        <v>150</v>
      </c>
      <c r="F410">
        <v>3</v>
      </c>
      <c r="G410" t="s">
        <v>140</v>
      </c>
      <c r="H410">
        <v>1</v>
      </c>
      <c r="I410" t="s">
        <v>1212</v>
      </c>
      <c r="J410" t="s">
        <v>365</v>
      </c>
      <c r="K410">
        <v>2</v>
      </c>
      <c r="L410" t="s">
        <v>1162</v>
      </c>
      <c r="M410">
        <v>150</v>
      </c>
      <c r="N410" s="125">
        <v>45658</v>
      </c>
      <c r="O410" s="125"/>
    </row>
    <row r="411" spans="1:19" x14ac:dyDescent="0.25">
      <c r="A411" t="str">
        <f>TableMJRUHSPL1[[#This Row],[Study Package Code]]</f>
        <v>STRU-PSYCM</v>
      </c>
      <c r="B411" s="5">
        <f>TableMJRUHSPL1[[#This Row],[Ver]]</f>
        <v>3</v>
      </c>
      <c r="D411" t="str">
        <f>TableMJRUHSPL1[[#This Row],[Structure Line]]</f>
        <v>Psychology Education Minor Teaching Area Stream (BEd Secondary)</v>
      </c>
      <c r="E411" s="81">
        <f>TableMJRUHSPL1[[#This Row],[Credit Points]]</f>
        <v>150</v>
      </c>
      <c r="F411">
        <v>3</v>
      </c>
      <c r="G411" t="s">
        <v>140</v>
      </c>
      <c r="H411">
        <v>1</v>
      </c>
      <c r="I411" t="s">
        <v>1212</v>
      </c>
      <c r="J411" t="s">
        <v>357</v>
      </c>
      <c r="K411">
        <v>3</v>
      </c>
      <c r="L411" t="s">
        <v>482</v>
      </c>
      <c r="M411">
        <v>150</v>
      </c>
      <c r="N411" s="125">
        <v>45658</v>
      </c>
      <c r="O411" s="125"/>
    </row>
    <row r="412" spans="1:19" x14ac:dyDescent="0.25">
      <c r="A412" t="str">
        <f>TableMJRUHSPL1[[#This Row],[Study Package Code]]</f>
        <v>STRU-VARTM</v>
      </c>
      <c r="B412" s="5">
        <f>TableMJRUHSPL1[[#This Row],[Ver]]</f>
        <v>3</v>
      </c>
      <c r="D412" t="str">
        <f>TableMJRUHSPL1[[#This Row],[Structure Line]]</f>
        <v>The Arts - Visual Arts Education Minor Teaching Area Stream (BEd Secondary)</v>
      </c>
      <c r="E412" s="81">
        <f>TableMJRUHSPL1[[#This Row],[Credit Points]]</f>
        <v>150</v>
      </c>
      <c r="F412">
        <v>3</v>
      </c>
      <c r="G412" t="s">
        <v>140</v>
      </c>
      <c r="H412">
        <v>1</v>
      </c>
      <c r="I412" t="s">
        <v>1212</v>
      </c>
      <c r="J412" t="s">
        <v>217</v>
      </c>
      <c r="K412">
        <v>3</v>
      </c>
      <c r="L412" t="s">
        <v>520</v>
      </c>
      <c r="M412">
        <v>150</v>
      </c>
      <c r="N412" s="125">
        <v>45658</v>
      </c>
      <c r="O412" s="125"/>
      <c r="R412" t="s">
        <v>350</v>
      </c>
      <c r="S412">
        <v>2</v>
      </c>
    </row>
    <row r="413" spans="1:19" x14ac:dyDescent="0.25">
      <c r="A413" t="str">
        <f>TableMJRUHSPL1[[#This Row],[Study Package Code]]</f>
        <v>ANTH2000</v>
      </c>
      <c r="B413" s="5">
        <f>TableMJRUHSPL1[[#This Row],[Ver]]</f>
        <v>1</v>
      </c>
      <c r="D413" t="str">
        <f>TableMJRUHSPL1[[#This Row],[Structure Line]]</f>
        <v>Ethnographies of the City</v>
      </c>
      <c r="E413" s="81">
        <f>TableMJRUHSPL1[[#This Row],[Credit Points]]</f>
        <v>25</v>
      </c>
      <c r="F413">
        <v>7</v>
      </c>
      <c r="G413" t="s">
        <v>1215</v>
      </c>
      <c r="H413">
        <v>2</v>
      </c>
      <c r="I413" t="s">
        <v>1212</v>
      </c>
      <c r="J413" t="s">
        <v>570</v>
      </c>
      <c r="K413">
        <v>1</v>
      </c>
      <c r="L413" t="s">
        <v>820</v>
      </c>
      <c r="M413">
        <v>25</v>
      </c>
      <c r="N413" s="125">
        <v>42005</v>
      </c>
      <c r="O413" s="125"/>
      <c r="R413" t="s">
        <v>1263</v>
      </c>
      <c r="S413">
        <v>2</v>
      </c>
    </row>
    <row r="414" spans="1:19" x14ac:dyDescent="0.25">
      <c r="A414" t="str">
        <f>TableMJRUHSPL1[[#This Row],[Study Package Code]]</f>
        <v>ANTH2002</v>
      </c>
      <c r="B414" s="5">
        <f>TableMJRUHSPL1[[#This Row],[Ver]]</f>
        <v>1</v>
      </c>
      <c r="D414" t="str">
        <f>TableMJRUHSPL1[[#This Row],[Structure Line]]</f>
        <v>Private Lives and Public Issues</v>
      </c>
      <c r="E414" s="81">
        <f>TableMJRUHSPL1[[#This Row],[Credit Points]]</f>
        <v>25</v>
      </c>
      <c r="F414">
        <v>7</v>
      </c>
      <c r="G414" t="s">
        <v>1215</v>
      </c>
      <c r="H414">
        <v>2</v>
      </c>
      <c r="I414" t="s">
        <v>1212</v>
      </c>
      <c r="J414" t="s">
        <v>583</v>
      </c>
      <c r="K414">
        <v>1</v>
      </c>
      <c r="L414" t="s">
        <v>821</v>
      </c>
      <c r="M414">
        <v>25</v>
      </c>
      <c r="N414" s="125">
        <v>42005</v>
      </c>
      <c r="O414" s="125"/>
      <c r="R414" t="s">
        <v>353</v>
      </c>
      <c r="S414">
        <v>3</v>
      </c>
    </row>
    <row r="415" spans="1:19" x14ac:dyDescent="0.25">
      <c r="A415" t="str">
        <f>TableMJRUHSPL1[[#This Row],[Study Package Code]]</f>
        <v>HIST2001</v>
      </c>
      <c r="B415" s="5">
        <f>TableMJRUHSPL1[[#This Row],[Ver]]</f>
        <v>3</v>
      </c>
      <c r="D415" t="str">
        <f>TableMJRUHSPL1[[#This Row],[Structure Line]]</f>
        <v>Democracy and Dictatorship</v>
      </c>
      <c r="E415" s="81">
        <f>TableMJRUHSPL1[[#This Row],[Credit Points]]</f>
        <v>25</v>
      </c>
      <c r="F415">
        <v>8</v>
      </c>
      <c r="G415" t="s">
        <v>1215</v>
      </c>
      <c r="H415">
        <v>3</v>
      </c>
      <c r="I415" t="s">
        <v>1209</v>
      </c>
      <c r="J415" t="s">
        <v>595</v>
      </c>
      <c r="K415">
        <v>3</v>
      </c>
      <c r="L415" t="s">
        <v>1017</v>
      </c>
      <c r="M415">
        <v>25</v>
      </c>
      <c r="N415" s="125">
        <v>45658</v>
      </c>
      <c r="O415" s="125"/>
      <c r="R415" t="s">
        <v>356</v>
      </c>
      <c r="S415">
        <v>2</v>
      </c>
    </row>
    <row r="416" spans="1:19" x14ac:dyDescent="0.25">
      <c r="A416" t="str">
        <f>TableMJRUHSPL1[[#This Row],[Study Package Code]]</f>
        <v>INTR2000</v>
      </c>
      <c r="B416" s="5">
        <f>TableMJRUHSPL1[[#This Row],[Ver]]</f>
        <v>3</v>
      </c>
      <c r="D416" t="str">
        <f>TableMJRUHSPL1[[#This Row],[Structure Line]]</f>
        <v>International Relations Theory</v>
      </c>
      <c r="E416" s="81">
        <f>TableMJRUHSPL1[[#This Row],[Credit Points]]</f>
        <v>25</v>
      </c>
      <c r="F416">
        <v>8</v>
      </c>
      <c r="G416" t="s">
        <v>1215</v>
      </c>
      <c r="H416">
        <v>3</v>
      </c>
      <c r="I416" t="s">
        <v>1209</v>
      </c>
      <c r="J416" t="s">
        <v>603</v>
      </c>
      <c r="K416">
        <v>3</v>
      </c>
      <c r="L416" t="s">
        <v>1045</v>
      </c>
      <c r="M416">
        <v>25</v>
      </c>
      <c r="N416" s="125">
        <v>45292</v>
      </c>
      <c r="O416" s="125"/>
      <c r="R416" t="s">
        <v>361</v>
      </c>
      <c r="S416">
        <v>2</v>
      </c>
    </row>
    <row r="417" spans="1:19" x14ac:dyDescent="0.25">
      <c r="A417" t="str">
        <f>TableMJRUHSPL1[[#This Row],[Study Package Code]]</f>
        <v>ANTH3003</v>
      </c>
      <c r="B417" s="5">
        <f>TableMJRUHSPL1[[#This Row],[Ver]]</f>
        <v>1</v>
      </c>
      <c r="D417" t="str">
        <f>TableMJRUHSPL1[[#This Row],[Structure Line]]</f>
        <v>Human Rights and Social Justice</v>
      </c>
      <c r="E417" s="81">
        <f>TableMJRUHSPL1[[#This Row],[Credit Points]]</f>
        <v>25</v>
      </c>
      <c r="F417">
        <v>9</v>
      </c>
      <c r="G417" t="s">
        <v>1215</v>
      </c>
      <c r="H417">
        <v>3</v>
      </c>
      <c r="I417" t="s">
        <v>1212</v>
      </c>
      <c r="J417" t="s">
        <v>614</v>
      </c>
      <c r="K417">
        <v>1</v>
      </c>
      <c r="L417" t="s">
        <v>822</v>
      </c>
      <c r="M417">
        <v>25</v>
      </c>
      <c r="N417" s="125">
        <v>42005</v>
      </c>
      <c r="O417" s="125"/>
      <c r="R417" t="s">
        <v>365</v>
      </c>
      <c r="S417">
        <v>1</v>
      </c>
    </row>
    <row r="418" spans="1:19" x14ac:dyDescent="0.25">
      <c r="A418" t="str">
        <f>TableMJRUHSPL1[[#This Row],[Study Package Code]]</f>
        <v>POLS3000</v>
      </c>
      <c r="B418" s="5">
        <f>TableMJRUHSPL1[[#This Row],[Ver]]</f>
        <v>1</v>
      </c>
      <c r="D418" t="str">
        <f>TableMJRUHSPL1[[#This Row],[Structure Line]]</f>
        <v>International Political Economy</v>
      </c>
      <c r="E418" s="81">
        <f>TableMJRUHSPL1[[#This Row],[Credit Points]]</f>
        <v>25</v>
      </c>
      <c r="F418">
        <v>9</v>
      </c>
      <c r="G418" t="s">
        <v>1215</v>
      </c>
      <c r="H418">
        <v>3</v>
      </c>
      <c r="I418" t="s">
        <v>1212</v>
      </c>
      <c r="J418" t="s">
        <v>621</v>
      </c>
      <c r="K418">
        <v>1</v>
      </c>
      <c r="L418" t="s">
        <v>1103</v>
      </c>
      <c r="M418">
        <v>25</v>
      </c>
      <c r="N418" s="125">
        <v>42005</v>
      </c>
      <c r="O418" s="125"/>
      <c r="R418" t="s">
        <v>1252</v>
      </c>
      <c r="S418">
        <v>2</v>
      </c>
    </row>
    <row r="419" spans="1:19" x14ac:dyDescent="0.25">
      <c r="A419" t="str">
        <f>TableMJRUHSPL1[[#This Row],[Study Package Code]]</f>
        <v>ANTH3005</v>
      </c>
      <c r="B419" s="5">
        <f>TableMJRUHSPL1[[#This Row],[Ver]]</f>
        <v>1</v>
      </c>
      <c r="D419" t="str">
        <f>TableMJRUHSPL1[[#This Row],[Structure Line]]</f>
        <v>Social Inequality: Possibilities for Change</v>
      </c>
      <c r="E419" s="81">
        <f>TableMJRUHSPL1[[#This Row],[Credit Points]]</f>
        <v>25</v>
      </c>
      <c r="F419">
        <v>10</v>
      </c>
      <c r="G419" t="s">
        <v>1215</v>
      </c>
      <c r="H419">
        <v>4</v>
      </c>
      <c r="I419" t="s">
        <v>1209</v>
      </c>
      <c r="J419" t="s">
        <v>627</v>
      </c>
      <c r="K419">
        <v>1</v>
      </c>
      <c r="L419" t="s">
        <v>823</v>
      </c>
      <c r="M419">
        <v>25</v>
      </c>
      <c r="N419" s="125">
        <v>42736</v>
      </c>
      <c r="O419" s="125"/>
      <c r="R419" t="s">
        <v>357</v>
      </c>
      <c r="S419">
        <v>2</v>
      </c>
    </row>
    <row r="420" spans="1:19" x14ac:dyDescent="0.25">
      <c r="A420" t="str">
        <f>TableMJRUHSPL1[[#This Row],[Study Package Code]]</f>
        <v>ANTH3006</v>
      </c>
      <c r="B420" s="5">
        <f>TableMJRUHSPL1[[#This Row],[Ver]]</f>
        <v>1</v>
      </c>
      <c r="D420" t="str">
        <f>TableMJRUHSPL1[[#This Row],[Structure Line]]</f>
        <v>Understanding Social Research A</v>
      </c>
      <c r="E420" s="81">
        <f>TableMJRUHSPL1[[#This Row],[Credit Points]]</f>
        <v>25</v>
      </c>
      <c r="F420">
        <v>10</v>
      </c>
      <c r="G420" t="s">
        <v>1215</v>
      </c>
      <c r="H420">
        <v>4</v>
      </c>
      <c r="I420" t="s">
        <v>1209</v>
      </c>
      <c r="J420" t="s">
        <v>632</v>
      </c>
      <c r="K420">
        <v>1</v>
      </c>
      <c r="L420" t="s">
        <v>824</v>
      </c>
      <c r="M420">
        <v>25</v>
      </c>
      <c r="N420" s="125">
        <v>42736</v>
      </c>
      <c r="O420" s="125"/>
      <c r="R420" t="s">
        <v>217</v>
      </c>
      <c r="S420">
        <v>2</v>
      </c>
    </row>
    <row r="421" spans="1:19" x14ac:dyDescent="0.25">
      <c r="A421" s="78"/>
      <c r="B421" s="80"/>
      <c r="C421" s="78"/>
      <c r="D421" s="78"/>
      <c r="G421" s="79" t="s">
        <v>1194</v>
      </c>
      <c r="H421" s="272">
        <v>45658</v>
      </c>
      <c r="J421" s="274" t="s">
        <v>344</v>
      </c>
      <c r="K421" s="273">
        <v>1</v>
      </c>
      <c r="L421" s="274" t="s">
        <v>382</v>
      </c>
      <c r="M421" s="78"/>
      <c r="N421" s="198" t="s">
        <v>1195</v>
      </c>
      <c r="O421" s="125">
        <v>45541</v>
      </c>
    </row>
    <row r="422" spans="1:19" ht="31.5" x14ac:dyDescent="0.25">
      <c r="A422" s="97" t="s">
        <v>0</v>
      </c>
      <c r="B422" s="98" t="s">
        <v>1196</v>
      </c>
      <c r="C422" s="97" t="s">
        <v>1197</v>
      </c>
      <c r="D422" s="97" t="s">
        <v>3</v>
      </c>
      <c r="E422" s="99" t="s">
        <v>1198</v>
      </c>
      <c r="F422" s="97" t="s">
        <v>1199</v>
      </c>
      <c r="G422" s="97" t="s">
        <v>1200</v>
      </c>
      <c r="H422" s="97" t="s">
        <v>1201</v>
      </c>
      <c r="I422" s="97" t="s">
        <v>18</v>
      </c>
      <c r="J422" s="97" t="s">
        <v>1202</v>
      </c>
      <c r="K422" s="97" t="s">
        <v>1</v>
      </c>
      <c r="L422" s="97" t="s">
        <v>1203</v>
      </c>
      <c r="M422" s="97" t="s">
        <v>69</v>
      </c>
      <c r="N422" s="97" t="s">
        <v>1204</v>
      </c>
      <c r="O422" s="97" t="s">
        <v>1205</v>
      </c>
      <c r="R422" t="s">
        <v>1206</v>
      </c>
      <c r="S422" t="s">
        <v>1207</v>
      </c>
    </row>
    <row r="423" spans="1:19" x14ac:dyDescent="0.25">
      <c r="A423" t="str">
        <f>TableMJRUMATH1[[#This Row],[Study Package Code]]</f>
        <v>MATH1016</v>
      </c>
      <c r="B423" s="5">
        <f>TableMJRUMATH1[[#This Row],[Ver]]</f>
        <v>1</v>
      </c>
      <c r="D423" t="str">
        <f>TableMJRUMATH1[[#This Row],[Structure Line]]</f>
        <v>Calculus 1</v>
      </c>
      <c r="E423" s="81">
        <f>TableMJRUMATH1[[#This Row],[Credit Points]]</f>
        <v>25</v>
      </c>
      <c r="F423">
        <v>1</v>
      </c>
      <c r="G423" t="s">
        <v>1208</v>
      </c>
      <c r="H423">
        <v>1</v>
      </c>
      <c r="I423" t="s">
        <v>1212</v>
      </c>
      <c r="J423" t="s">
        <v>446</v>
      </c>
      <c r="K423">
        <v>1</v>
      </c>
      <c r="L423" t="s">
        <v>1054</v>
      </c>
      <c r="M423">
        <v>25</v>
      </c>
      <c r="N423" s="125">
        <v>42736</v>
      </c>
      <c r="O423" s="125"/>
      <c r="R423" t="s">
        <v>446</v>
      </c>
      <c r="S423">
        <v>1</v>
      </c>
    </row>
    <row r="424" spans="1:19" x14ac:dyDescent="0.25">
      <c r="A424" t="str">
        <f>TableMJRUMATH1[[#This Row],[Study Package Code]]</f>
        <v>Stream</v>
      </c>
      <c r="B424" s="5">
        <f>TableMJRUMATH1[[#This Row],[Ver]]</f>
        <v>0</v>
      </c>
      <c r="D424" t="str">
        <f>TableMJRUMATH1[[#This Row],[Structure Line]]</f>
        <v>Choose Your Minor Teaching Area Stream</v>
      </c>
      <c r="E424" s="81">
        <f>TableMJRUMATH1[[#This Row],[Credit Points]]</f>
        <v>150</v>
      </c>
      <c r="F424">
        <v>2</v>
      </c>
      <c r="G424" t="s">
        <v>140</v>
      </c>
      <c r="H424">
        <v>1</v>
      </c>
      <c r="I424" t="s">
        <v>1212</v>
      </c>
      <c r="J424" t="s">
        <v>1157</v>
      </c>
      <c r="K424">
        <v>0</v>
      </c>
      <c r="L424" t="s">
        <v>1158</v>
      </c>
      <c r="M424">
        <v>150</v>
      </c>
      <c r="N424" s="125"/>
      <c r="O424" s="125"/>
      <c r="R424" t="s">
        <v>466</v>
      </c>
      <c r="S424">
        <v>1</v>
      </c>
    </row>
    <row r="425" spans="1:19" x14ac:dyDescent="0.25">
      <c r="A425" t="str">
        <f>TableMJRUMATH1[[#This Row],[Study Package Code]]</f>
        <v>EDSC4020</v>
      </c>
      <c r="B425" s="5">
        <f>TableMJRUMATH1[[#This Row],[Ver]]</f>
        <v>1</v>
      </c>
      <c r="D425" t="str">
        <f>TableMJRUMATH1[[#This Row],[Structure Line]]</f>
        <v>Curriculum and Instruction Lower Secondary: Mathematics</v>
      </c>
      <c r="E425" s="81">
        <f>TableMJRUMATH1[[#This Row],[Credit Points]]</f>
        <v>25</v>
      </c>
      <c r="F425">
        <v>3</v>
      </c>
      <c r="G425" t="s">
        <v>1208</v>
      </c>
      <c r="H425">
        <v>2</v>
      </c>
      <c r="I425" t="s">
        <v>1209</v>
      </c>
      <c r="J425" t="s">
        <v>466</v>
      </c>
      <c r="K425">
        <v>1</v>
      </c>
      <c r="L425" t="s">
        <v>943</v>
      </c>
      <c r="M425">
        <v>25</v>
      </c>
      <c r="N425" s="125">
        <v>43466</v>
      </c>
      <c r="O425" s="125"/>
      <c r="R425" t="s">
        <v>476</v>
      </c>
      <c r="S425">
        <v>1</v>
      </c>
    </row>
    <row r="426" spans="1:19" x14ac:dyDescent="0.25">
      <c r="A426" t="str">
        <f>TableMJRUMATH1[[#This Row],[Study Package Code]]</f>
        <v>STAT1005</v>
      </c>
      <c r="B426" s="5">
        <f>TableMJRUMATH1[[#This Row],[Ver]]</f>
        <v>1</v>
      </c>
      <c r="D426" t="str">
        <f>TableMJRUMATH1[[#This Row],[Structure Line]]</f>
        <v>Introduction to Probability and Data Analysis</v>
      </c>
      <c r="E426" s="81">
        <f>TableMJRUMATH1[[#This Row],[Credit Points]]</f>
        <v>25</v>
      </c>
      <c r="F426">
        <v>4</v>
      </c>
      <c r="G426" t="s">
        <v>1208</v>
      </c>
      <c r="H426">
        <v>2</v>
      </c>
      <c r="I426" t="s">
        <v>1209</v>
      </c>
      <c r="J426" t="s">
        <v>476</v>
      </c>
      <c r="K426">
        <v>1</v>
      </c>
      <c r="L426" t="s">
        <v>1149</v>
      </c>
      <c r="M426">
        <v>25</v>
      </c>
      <c r="N426" s="125">
        <v>43831</v>
      </c>
      <c r="O426" s="125"/>
      <c r="R426" t="s">
        <v>487</v>
      </c>
      <c r="S426">
        <v>2</v>
      </c>
    </row>
    <row r="427" spans="1:19" x14ac:dyDescent="0.25">
      <c r="A427" t="str">
        <f>TableMJRUMATH1[[#This Row],[Study Package Code]]</f>
        <v>EDSC4021</v>
      </c>
      <c r="B427" s="5">
        <f>TableMJRUMATH1[[#This Row],[Ver]]</f>
        <v>2</v>
      </c>
      <c r="D427" t="str">
        <f>TableMJRUMATH1[[#This Row],[Structure Line]]</f>
        <v>Curriculum and Instruction Senior Secondary: Mathematics</v>
      </c>
      <c r="E427" s="81">
        <f>TableMJRUMATH1[[#This Row],[Credit Points]]</f>
        <v>25</v>
      </c>
      <c r="F427">
        <v>5</v>
      </c>
      <c r="G427" t="s">
        <v>1208</v>
      </c>
      <c r="H427">
        <v>2</v>
      </c>
      <c r="I427" t="s">
        <v>1212</v>
      </c>
      <c r="J427" t="s">
        <v>487</v>
      </c>
      <c r="K427">
        <v>2</v>
      </c>
      <c r="L427" t="s">
        <v>945</v>
      </c>
      <c r="M427">
        <v>25</v>
      </c>
      <c r="N427" s="125">
        <v>43831</v>
      </c>
      <c r="O427" s="125"/>
      <c r="R427" t="s">
        <v>748</v>
      </c>
      <c r="S427">
        <v>1</v>
      </c>
    </row>
    <row r="428" spans="1:19" x14ac:dyDescent="0.25">
      <c r="A428" t="str">
        <f>TableMJRUMATH1[[#This Row],[Study Package Code]]</f>
        <v>MATH1015</v>
      </c>
      <c r="B428" s="5">
        <f>TableMJRUMATH1[[#This Row],[Ver]]</f>
        <v>1</v>
      </c>
      <c r="D428" t="str">
        <f>TableMJRUMATH1[[#This Row],[Structure Line]]</f>
        <v>Linear Algebra 1</v>
      </c>
      <c r="E428" s="81">
        <f>TableMJRUMATH1[[#This Row],[Credit Points]]</f>
        <v>25</v>
      </c>
      <c r="F428">
        <v>6</v>
      </c>
      <c r="G428" t="s">
        <v>1208</v>
      </c>
      <c r="H428">
        <v>2</v>
      </c>
      <c r="I428" t="s">
        <v>1212</v>
      </c>
      <c r="J428" t="s">
        <v>501</v>
      </c>
      <c r="K428">
        <v>1</v>
      </c>
      <c r="L428" t="s">
        <v>1053</v>
      </c>
      <c r="M428">
        <v>25</v>
      </c>
      <c r="N428" s="125">
        <v>42736</v>
      </c>
      <c r="O428" s="125"/>
      <c r="R428" t="s">
        <v>571</v>
      </c>
      <c r="S428">
        <v>2</v>
      </c>
    </row>
    <row r="429" spans="1:19" x14ac:dyDescent="0.25">
      <c r="A429" t="str">
        <f>TableMJRUMATH1[[#This Row],[Study Package Code]]</f>
        <v>AC-MATH1</v>
      </c>
      <c r="B429" s="5">
        <f>TableMJRUMATH1[[#This Row],[Ver]]</f>
        <v>0</v>
      </c>
      <c r="D429" t="str">
        <f>TableMJRUMATH1[[#This Row],[Structure Line]]</f>
        <v>Choose MATH2011 or MATH2009.</v>
      </c>
      <c r="E429" s="81">
        <f>TableMJRUMATH1[[#This Row],[Credit Points]]</f>
        <v>25</v>
      </c>
      <c r="F429">
        <v>7</v>
      </c>
      <c r="G429" t="s">
        <v>1215</v>
      </c>
      <c r="H429">
        <v>3</v>
      </c>
      <c r="I429" t="s">
        <v>1209</v>
      </c>
      <c r="J429" t="s">
        <v>514</v>
      </c>
      <c r="K429">
        <v>0</v>
      </c>
      <c r="L429" t="s">
        <v>1279</v>
      </c>
      <c r="M429">
        <v>25</v>
      </c>
      <c r="N429" s="125"/>
      <c r="O429" s="125"/>
      <c r="R429" t="s">
        <v>1248</v>
      </c>
      <c r="S429">
        <v>1</v>
      </c>
    </row>
    <row r="430" spans="1:19" x14ac:dyDescent="0.25">
      <c r="A430" t="str">
        <f>TableMJRUMATH1[[#This Row],[Study Package Code]]</f>
        <v>STAT3011</v>
      </c>
      <c r="B430" s="5">
        <f>TableMJRUMATH1[[#This Row],[Ver]]</f>
        <v>1</v>
      </c>
      <c r="D430" t="str">
        <f>TableMJRUMATH1[[#This Row],[Structure Line]]</f>
        <v>Data Visualisation</v>
      </c>
      <c r="E430" s="81">
        <f>TableMJRUMATH1[[#This Row],[Credit Points]]</f>
        <v>25</v>
      </c>
      <c r="F430">
        <v>8</v>
      </c>
      <c r="G430" t="s">
        <v>1208</v>
      </c>
      <c r="H430">
        <v>3</v>
      </c>
      <c r="I430" t="s">
        <v>1212</v>
      </c>
      <c r="J430" t="s">
        <v>529</v>
      </c>
      <c r="K430">
        <v>1</v>
      </c>
      <c r="L430" t="s">
        <v>1154</v>
      </c>
      <c r="M430">
        <v>25</v>
      </c>
      <c r="N430" s="125">
        <v>44197</v>
      </c>
      <c r="O430" s="125"/>
      <c r="R430" t="s">
        <v>1280</v>
      </c>
      <c r="S430">
        <v>1</v>
      </c>
    </row>
    <row r="431" spans="1:19" x14ac:dyDescent="0.25">
      <c r="A431" t="str">
        <f>TableMJRUMATH1[[#This Row],[Study Package Code]]</f>
        <v>STAT2001</v>
      </c>
      <c r="B431" s="5">
        <f>TableMJRUMATH1[[#This Row],[Ver]]</f>
        <v>2</v>
      </c>
      <c r="D431" t="str">
        <f>TableMJRUMATH1[[#This Row],[Structure Line]]</f>
        <v>Mathematical Statistics</v>
      </c>
      <c r="E431" s="81">
        <f>TableMJRUMATH1[[#This Row],[Credit Points]]</f>
        <v>25</v>
      </c>
      <c r="F431">
        <v>9</v>
      </c>
      <c r="G431" t="s">
        <v>1208</v>
      </c>
      <c r="H431">
        <v>4</v>
      </c>
      <c r="I431" t="s">
        <v>1209</v>
      </c>
      <c r="J431" t="s">
        <v>544</v>
      </c>
      <c r="K431">
        <v>2</v>
      </c>
      <c r="L431" t="s">
        <v>1150</v>
      </c>
      <c r="M431">
        <v>25</v>
      </c>
      <c r="N431" s="125">
        <v>44197</v>
      </c>
      <c r="O431" s="125"/>
      <c r="R431" t="s">
        <v>558</v>
      </c>
      <c r="S431">
        <v>1</v>
      </c>
    </row>
    <row r="432" spans="1:19" x14ac:dyDescent="0.25">
      <c r="A432" t="str">
        <f>TableMJRUMATH1[[#This Row],[Study Package Code]]</f>
        <v>MATH3011</v>
      </c>
      <c r="B432" s="5">
        <f>TableMJRUMATH1[[#This Row],[Ver]]</f>
        <v>1</v>
      </c>
      <c r="D432" t="str">
        <f>TableMJRUMATH1[[#This Row],[Structure Line]]</f>
        <v>Present and Future Mathematics</v>
      </c>
      <c r="E432" s="81">
        <f>TableMJRUMATH1[[#This Row],[Credit Points]]</f>
        <v>25</v>
      </c>
      <c r="F432">
        <v>10</v>
      </c>
      <c r="G432" t="s">
        <v>1208</v>
      </c>
      <c r="H432">
        <v>4</v>
      </c>
      <c r="I432" t="s">
        <v>1209</v>
      </c>
      <c r="J432" t="s">
        <v>558</v>
      </c>
      <c r="K432">
        <v>1</v>
      </c>
      <c r="L432" t="s">
        <v>1061</v>
      </c>
      <c r="M432">
        <v>25</v>
      </c>
      <c r="N432" s="125">
        <v>44562</v>
      </c>
      <c r="O432" s="125"/>
      <c r="R432" t="s">
        <v>1157</v>
      </c>
      <c r="S432">
        <v>0</v>
      </c>
    </row>
    <row r="433" spans="1:19" x14ac:dyDescent="0.25">
      <c r="A433" t="str">
        <f>TableMJRUMATH1[[#This Row],[Study Package Code]]</f>
        <v>STRU-BSCIM</v>
      </c>
      <c r="B433" s="5">
        <f>TableMJRUMATH1[[#This Row],[Ver]]</f>
        <v>3</v>
      </c>
      <c r="D433" t="str">
        <f>TableMJRUMATH1[[#This Row],[Structure Line]]</f>
        <v>Biological Sciences Education Minor Teaching Area Stream (BEd Secondary)</v>
      </c>
      <c r="E433" s="81">
        <f>TableMJRUMATH1[[#This Row],[Credit Points]]</f>
        <v>150</v>
      </c>
      <c r="F433">
        <v>2</v>
      </c>
      <c r="G433" t="s">
        <v>140</v>
      </c>
      <c r="H433">
        <v>1</v>
      </c>
      <c r="I433" t="s">
        <v>1212</v>
      </c>
      <c r="J433" t="s">
        <v>350</v>
      </c>
      <c r="K433">
        <v>3</v>
      </c>
      <c r="L433" t="s">
        <v>205</v>
      </c>
      <c r="M433">
        <v>150</v>
      </c>
      <c r="N433" s="125">
        <v>45658</v>
      </c>
      <c r="O433" s="125"/>
      <c r="R433" t="s">
        <v>102</v>
      </c>
      <c r="S433">
        <v>0</v>
      </c>
    </row>
    <row r="434" spans="1:19" x14ac:dyDescent="0.25">
      <c r="A434" t="str">
        <f>TableMJRUMATH1[[#This Row],[Study Package Code]]</f>
        <v>STRU-ENGLM</v>
      </c>
      <c r="B434" s="5">
        <f>TableMJRUMATH1[[#This Row],[Ver]]</f>
        <v>3</v>
      </c>
      <c r="D434" t="str">
        <f>TableMJRUMATH1[[#This Row],[Structure Line]]</f>
        <v>English Education Minor Teaching Area Stream (BEd Secondary)</v>
      </c>
      <c r="E434" s="81">
        <f>TableMJRUMATH1[[#This Row],[Credit Points]]</f>
        <v>150</v>
      </c>
      <c r="F434">
        <v>2</v>
      </c>
      <c r="G434" t="s">
        <v>140</v>
      </c>
      <c r="H434">
        <v>1</v>
      </c>
      <c r="I434" t="s">
        <v>1212</v>
      </c>
      <c r="J434" t="s">
        <v>353</v>
      </c>
      <c r="K434">
        <v>3</v>
      </c>
      <c r="L434" t="s">
        <v>413</v>
      </c>
      <c r="M434">
        <v>150</v>
      </c>
      <c r="N434" s="125">
        <v>44562</v>
      </c>
      <c r="O434" s="125"/>
      <c r="R434" t="s">
        <v>350</v>
      </c>
      <c r="S434">
        <v>2</v>
      </c>
    </row>
    <row r="435" spans="1:19" x14ac:dyDescent="0.25">
      <c r="A435" t="str">
        <f>TableMJRUMATH1[[#This Row],[Study Package Code]]</f>
        <v>STRU-GEOGM</v>
      </c>
      <c r="B435" s="5">
        <f>TableMJRUMATH1[[#This Row],[Ver]]</f>
        <v>1</v>
      </c>
      <c r="D435" t="str">
        <f>TableMJRUMATH1[[#This Row],[Structure Line]]</f>
        <v>Geography Education Minor Teaching Area Stream (BEd Secondary)</v>
      </c>
      <c r="E435" s="81">
        <f>TableMJRUMATH1[[#This Row],[Credit Points]]</f>
        <v>150</v>
      </c>
      <c r="F435">
        <v>2</v>
      </c>
      <c r="G435" t="s">
        <v>140</v>
      </c>
      <c r="H435">
        <v>1</v>
      </c>
      <c r="I435" t="s">
        <v>1212</v>
      </c>
      <c r="J435" t="s">
        <v>354</v>
      </c>
      <c r="K435">
        <v>1</v>
      </c>
      <c r="L435" t="s">
        <v>414</v>
      </c>
      <c r="M435">
        <v>150</v>
      </c>
      <c r="N435" s="125">
        <v>45658</v>
      </c>
      <c r="O435" s="125"/>
      <c r="R435" t="s">
        <v>1281</v>
      </c>
      <c r="S435">
        <v>2</v>
      </c>
    </row>
    <row r="436" spans="1:19" x14ac:dyDescent="0.25">
      <c r="A436" t="str">
        <f>TableMJRUMATH1[[#This Row],[Study Package Code]]</f>
        <v>STRU-HISTM</v>
      </c>
      <c r="B436" s="5">
        <f>TableMJRUMATH1[[#This Row],[Ver]]</f>
        <v>1</v>
      </c>
      <c r="D436" t="str">
        <f>TableMJRUMATH1[[#This Row],[Structure Line]]</f>
        <v>History Education Minor Teaching Area Stream (BEd Secondary)</v>
      </c>
      <c r="E436" s="81">
        <f>TableMJRUMATH1[[#This Row],[Credit Points]]</f>
        <v>150</v>
      </c>
      <c r="F436">
        <v>2</v>
      </c>
      <c r="G436" t="s">
        <v>140</v>
      </c>
      <c r="H436">
        <v>1</v>
      </c>
      <c r="I436" t="s">
        <v>1212</v>
      </c>
      <c r="J436" t="s">
        <v>355</v>
      </c>
      <c r="K436">
        <v>1</v>
      </c>
      <c r="L436" t="s">
        <v>445</v>
      </c>
      <c r="M436">
        <v>150</v>
      </c>
      <c r="N436" s="125">
        <v>45658</v>
      </c>
      <c r="O436" s="125"/>
      <c r="R436" t="s">
        <v>353</v>
      </c>
      <c r="S436">
        <v>3</v>
      </c>
    </row>
    <row r="437" spans="1:19" x14ac:dyDescent="0.25">
      <c r="A437" t="str">
        <f>TableMJRUMATH1[[#This Row],[Study Package Code]]</f>
        <v>STRU-MARTM</v>
      </c>
      <c r="B437" s="5">
        <f>TableMJRUMATH1[[#This Row],[Ver]]</f>
        <v>1</v>
      </c>
      <c r="D437" t="str">
        <f>TableMJRUMATH1[[#This Row],[Structure Line]]</f>
        <v>The Arts - Media Education Minor Teaching Area Stream (BEd Secondary)</v>
      </c>
      <c r="E437" s="81">
        <f>TableMJRUMATH1[[#This Row],[Credit Points]]</f>
        <v>150</v>
      </c>
      <c r="F437">
        <v>2</v>
      </c>
      <c r="G437" t="s">
        <v>140</v>
      </c>
      <c r="H437">
        <v>1</v>
      </c>
      <c r="I437" t="s">
        <v>1212</v>
      </c>
      <c r="J437" t="s">
        <v>360</v>
      </c>
      <c r="K437">
        <v>1</v>
      </c>
      <c r="L437" t="s">
        <v>491</v>
      </c>
      <c r="M437">
        <v>150</v>
      </c>
      <c r="N437" s="125">
        <v>45658</v>
      </c>
      <c r="O437" s="125"/>
      <c r="R437" t="s">
        <v>1251</v>
      </c>
      <c r="S437">
        <v>2</v>
      </c>
    </row>
    <row r="438" spans="1:19" x14ac:dyDescent="0.25">
      <c r="A438" t="str">
        <f>TableMJRUMATH1[[#This Row],[Study Package Code]]</f>
        <v>STRU-MATHB</v>
      </c>
      <c r="B438" s="5">
        <f>TableMJRUMATH1[[#This Row],[Ver]]</f>
        <v>3</v>
      </c>
      <c r="D438" t="str">
        <f>TableMJRUMATH1[[#This Row],[Structure Line]]</f>
        <v>Broadening Mathematics Teaching Area Stream (BEd Secondary)</v>
      </c>
      <c r="E438" s="81">
        <f>TableMJRUMATH1[[#This Row],[Credit Points]]</f>
        <v>150</v>
      </c>
      <c r="F438">
        <v>2</v>
      </c>
      <c r="G438" t="s">
        <v>140</v>
      </c>
      <c r="H438">
        <v>1</v>
      </c>
      <c r="I438" t="s">
        <v>1212</v>
      </c>
      <c r="J438" t="s">
        <v>366</v>
      </c>
      <c r="K438" s="122">
        <v>3</v>
      </c>
      <c r="L438" t="s">
        <v>409</v>
      </c>
      <c r="M438">
        <v>150</v>
      </c>
      <c r="N438" s="125">
        <v>45292</v>
      </c>
      <c r="O438" s="125"/>
      <c r="R438" t="s">
        <v>366</v>
      </c>
      <c r="S438">
        <v>2</v>
      </c>
    </row>
    <row r="439" spans="1:19" x14ac:dyDescent="0.25">
      <c r="A439" t="str">
        <f>TableMJRUMATH1[[#This Row],[Study Package Code]]</f>
        <v>STRU-PARTM</v>
      </c>
      <c r="B439" s="5">
        <f>TableMJRUMATH1[[#This Row],[Ver]]</f>
        <v>2</v>
      </c>
      <c r="D439" t="str">
        <f>TableMJRUMATH1[[#This Row],[Structure Line]]</f>
        <v>The Arts - Performing Arts Education Minor Teaching Area Stream (BEd Secondary)</v>
      </c>
      <c r="E439" s="81">
        <f>TableMJRUMATH1[[#This Row],[Credit Points]]</f>
        <v>150</v>
      </c>
      <c r="F439">
        <v>2</v>
      </c>
      <c r="G439" t="s">
        <v>140</v>
      </c>
      <c r="H439">
        <v>1</v>
      </c>
      <c r="I439" t="s">
        <v>1212</v>
      </c>
      <c r="J439" t="s">
        <v>361</v>
      </c>
      <c r="K439">
        <v>2</v>
      </c>
      <c r="L439" t="s">
        <v>505</v>
      </c>
      <c r="M439">
        <v>150</v>
      </c>
      <c r="N439" s="125">
        <v>43466</v>
      </c>
      <c r="O439" s="125"/>
      <c r="R439" t="s">
        <v>361</v>
      </c>
      <c r="S439">
        <v>2</v>
      </c>
    </row>
    <row r="440" spans="1:19" x14ac:dyDescent="0.25">
      <c r="A440" t="str">
        <f>TableMJRUMATH1[[#This Row],[Study Package Code]]</f>
        <v>STRU-PSYCM</v>
      </c>
      <c r="B440" s="5">
        <f>TableMJRUMATH1[[#This Row],[Ver]]</f>
        <v>3</v>
      </c>
      <c r="D440" t="str">
        <f>TableMJRUMATH1[[#This Row],[Structure Line]]</f>
        <v>Psychology Education Minor Teaching Area Stream (BEd Secondary)</v>
      </c>
      <c r="E440" s="81">
        <f>TableMJRUMATH1[[#This Row],[Credit Points]]</f>
        <v>150</v>
      </c>
      <c r="F440">
        <v>2</v>
      </c>
      <c r="G440" t="s">
        <v>140</v>
      </c>
      <c r="H440">
        <v>1</v>
      </c>
      <c r="I440" t="s">
        <v>1212</v>
      </c>
      <c r="J440" t="s">
        <v>357</v>
      </c>
      <c r="K440">
        <v>3</v>
      </c>
      <c r="L440" t="s">
        <v>482</v>
      </c>
      <c r="M440">
        <v>150</v>
      </c>
      <c r="N440" s="125">
        <v>45658</v>
      </c>
      <c r="O440" s="125"/>
      <c r="R440" t="s">
        <v>1252</v>
      </c>
      <c r="S440">
        <v>2</v>
      </c>
    </row>
    <row r="441" spans="1:19" x14ac:dyDescent="0.25">
      <c r="A441" t="str">
        <f>TableMJRUMATH1[[#This Row],[Study Package Code]]</f>
        <v>STRU-VARTM</v>
      </c>
      <c r="B441" s="5">
        <f>TableMJRUMATH1[[#This Row],[Ver]]</f>
        <v>3</v>
      </c>
      <c r="D441" t="str">
        <f>TableMJRUMATH1[[#This Row],[Structure Line]]</f>
        <v>The Arts - Visual Arts Education Minor Teaching Area Stream (BEd Secondary)</v>
      </c>
      <c r="E441" s="81">
        <f>TableMJRUMATH1[[#This Row],[Credit Points]]</f>
        <v>150</v>
      </c>
      <c r="F441">
        <v>2</v>
      </c>
      <c r="G441" t="s">
        <v>140</v>
      </c>
      <c r="H441">
        <v>1</v>
      </c>
      <c r="I441" t="s">
        <v>1212</v>
      </c>
      <c r="J441" t="s">
        <v>217</v>
      </c>
      <c r="K441">
        <v>3</v>
      </c>
      <c r="L441" t="s">
        <v>520</v>
      </c>
      <c r="M441">
        <v>150</v>
      </c>
      <c r="N441" s="125">
        <v>45658</v>
      </c>
      <c r="O441" s="125"/>
      <c r="R441" t="s">
        <v>357</v>
      </c>
      <c r="S441">
        <v>2</v>
      </c>
    </row>
    <row r="442" spans="1:19" x14ac:dyDescent="0.25">
      <c r="A442" t="str">
        <f>TableMJRUMATH1[[#This Row],[Study Package Code]]</f>
        <v>MATH2009</v>
      </c>
      <c r="B442" s="5">
        <f>TableMJRUMATH1[[#This Row],[Ver]]</f>
        <v>2</v>
      </c>
      <c r="D442" t="str">
        <f>TableMJRUMATH1[[#This Row],[Structure Line]]</f>
        <v>Calculus 2</v>
      </c>
      <c r="E442" s="81">
        <f>TableMJRUMATH1[[#This Row],[Credit Points]]</f>
        <v>25</v>
      </c>
      <c r="F442">
        <v>7</v>
      </c>
      <c r="G442" t="s">
        <v>1215</v>
      </c>
      <c r="H442">
        <v>3</v>
      </c>
      <c r="I442" t="s">
        <v>1209</v>
      </c>
      <c r="J442" t="s">
        <v>571</v>
      </c>
      <c r="K442">
        <v>2</v>
      </c>
      <c r="L442" t="s">
        <v>1056</v>
      </c>
      <c r="M442">
        <v>25</v>
      </c>
      <c r="N442" s="125">
        <v>42736</v>
      </c>
      <c r="O442" s="125"/>
      <c r="R442" t="s">
        <v>1253</v>
      </c>
      <c r="S442">
        <v>2</v>
      </c>
    </row>
    <row r="443" spans="1:19" x14ac:dyDescent="0.25">
      <c r="A443" t="str">
        <f>TableMJRUMATH1[[#This Row],[Study Package Code]]</f>
        <v>MATH2011</v>
      </c>
      <c r="B443" s="5">
        <f>TableMJRUMATH1[[#This Row],[Ver]]</f>
        <v>1</v>
      </c>
      <c r="D443" t="str">
        <f>TableMJRUMATH1[[#This Row],[Structure Line]]</f>
        <v>Operations Research</v>
      </c>
      <c r="E443" s="81">
        <f>TableMJRUMATH1[[#This Row],[Credit Points]]</f>
        <v>25</v>
      </c>
      <c r="F443">
        <v>7</v>
      </c>
      <c r="G443" t="s">
        <v>1215</v>
      </c>
      <c r="H443">
        <v>3</v>
      </c>
      <c r="I443" t="s">
        <v>1209</v>
      </c>
      <c r="J443" t="s">
        <v>584</v>
      </c>
      <c r="K443">
        <v>1</v>
      </c>
      <c r="L443" t="s">
        <v>1059</v>
      </c>
      <c r="M443">
        <v>25</v>
      </c>
      <c r="N443" s="125">
        <v>42005</v>
      </c>
      <c r="O443" s="125"/>
      <c r="R443" t="s">
        <v>217</v>
      </c>
      <c r="S443">
        <v>2</v>
      </c>
    </row>
    <row r="444" spans="1:19" x14ac:dyDescent="0.25">
      <c r="A444" s="78"/>
      <c r="B444" s="80"/>
      <c r="C444" s="78"/>
      <c r="D444" s="78"/>
      <c r="G444" s="79" t="s">
        <v>1194</v>
      </c>
      <c r="H444" s="272">
        <v>45658</v>
      </c>
      <c r="J444" s="274" t="s">
        <v>345</v>
      </c>
      <c r="K444" s="273">
        <v>1</v>
      </c>
      <c r="L444" s="274" t="s">
        <v>207</v>
      </c>
      <c r="M444" s="78"/>
      <c r="N444" s="198" t="s">
        <v>1195</v>
      </c>
      <c r="O444" s="125">
        <v>45541</v>
      </c>
    </row>
    <row r="445" spans="1:19" ht="31.5" x14ac:dyDescent="0.25">
      <c r="A445" s="97" t="s">
        <v>0</v>
      </c>
      <c r="B445" s="98" t="s">
        <v>1196</v>
      </c>
      <c r="C445" s="97" t="s">
        <v>1197</v>
      </c>
      <c r="D445" s="97" t="s">
        <v>3</v>
      </c>
      <c r="E445" s="99" t="s">
        <v>1198</v>
      </c>
      <c r="F445" s="97" t="s">
        <v>1199</v>
      </c>
      <c r="G445" s="97" t="s">
        <v>1200</v>
      </c>
      <c r="H445" s="97" t="s">
        <v>1201</v>
      </c>
      <c r="I445" s="97" t="s">
        <v>18</v>
      </c>
      <c r="J445" s="97" t="s">
        <v>1202</v>
      </c>
      <c r="K445" s="97" t="s">
        <v>1</v>
      </c>
      <c r="L445" s="97" t="s">
        <v>1203</v>
      </c>
      <c r="M445" s="97" t="s">
        <v>69</v>
      </c>
      <c r="N445" s="97" t="s">
        <v>1204</v>
      </c>
      <c r="O445" s="97" t="s">
        <v>1205</v>
      </c>
      <c r="R445" t="s">
        <v>1206</v>
      </c>
      <c r="S445" t="s">
        <v>1207</v>
      </c>
    </row>
    <row r="446" spans="1:19" x14ac:dyDescent="0.25">
      <c r="A446" t="str">
        <f>TableMJRUPHYSE[[#This Row],[Study Package Code]]</f>
        <v>HUMB1006</v>
      </c>
      <c r="B446" s="5">
        <f>TableMJRUPHYSE[[#This Row],[Ver]]</f>
        <v>1</v>
      </c>
      <c r="D446" t="str">
        <f>TableMJRUPHYSE[[#This Row],[Structure Line]]</f>
        <v>Human Physiology for Exercise Science</v>
      </c>
      <c r="E446" s="81">
        <f>TableMJRUPHYSE[[#This Row],[Credit Points]]</f>
        <v>25</v>
      </c>
      <c r="F446">
        <v>1</v>
      </c>
      <c r="G446" t="s">
        <v>1208</v>
      </c>
      <c r="H446">
        <v>1</v>
      </c>
      <c r="I446" t="s">
        <v>1212</v>
      </c>
      <c r="J446" t="s">
        <v>467</v>
      </c>
      <c r="K446">
        <v>1</v>
      </c>
      <c r="L446" t="s">
        <v>1027</v>
      </c>
      <c r="M446">
        <v>25</v>
      </c>
      <c r="N446" s="125">
        <v>43101</v>
      </c>
      <c r="O446" s="125"/>
      <c r="R446" t="s">
        <v>696</v>
      </c>
      <c r="S446">
        <v>1</v>
      </c>
    </row>
    <row r="447" spans="1:19" x14ac:dyDescent="0.25">
      <c r="A447" t="str">
        <f>TableMJRUPHYSE[[#This Row],[Study Package Code]]</f>
        <v>REHT1001</v>
      </c>
      <c r="B447" s="5">
        <f>TableMJRUPHYSE[[#This Row],[Ver]]</f>
        <v>2</v>
      </c>
      <c r="D447" t="str">
        <f>TableMJRUPHYSE[[#This Row],[Structure Line]]</f>
        <v>Physical Activity, Exercise and Fitness Assessment</v>
      </c>
      <c r="E447" s="81">
        <f>TableMJRUPHYSE[[#This Row],[Credit Points]]</f>
        <v>25</v>
      </c>
      <c r="F447">
        <v>2</v>
      </c>
      <c r="G447" t="s">
        <v>1208</v>
      </c>
      <c r="H447">
        <v>1</v>
      </c>
      <c r="I447" t="s">
        <v>1212</v>
      </c>
      <c r="J447" t="s">
        <v>455</v>
      </c>
      <c r="K447">
        <v>2</v>
      </c>
      <c r="L447" t="s">
        <v>1129</v>
      </c>
      <c r="M447">
        <v>25</v>
      </c>
      <c r="N447" s="125">
        <v>44562</v>
      </c>
      <c r="O447" s="125"/>
      <c r="R447" t="s">
        <v>713</v>
      </c>
      <c r="S447">
        <v>1</v>
      </c>
    </row>
    <row r="448" spans="1:19" x14ac:dyDescent="0.25">
      <c r="A448" t="str">
        <f>TableMJRUPHYSE[[#This Row],[Study Package Code]]</f>
        <v>Stream</v>
      </c>
      <c r="B448" s="5">
        <f>TableMJRUPHYSE[[#This Row],[Ver]]</f>
        <v>0</v>
      </c>
      <c r="D448" t="str">
        <f>TableMJRUPHYSE[[#This Row],[Structure Line]]</f>
        <v>Choose Your Minor Teaching Area Stream</v>
      </c>
      <c r="E448" s="81">
        <f>TableMJRUPHYSE[[#This Row],[Credit Points]]</f>
        <v>150</v>
      </c>
      <c r="F448">
        <v>3</v>
      </c>
      <c r="G448" t="s">
        <v>140</v>
      </c>
      <c r="H448">
        <v>1</v>
      </c>
      <c r="I448" t="s">
        <v>1212</v>
      </c>
      <c r="J448" t="s">
        <v>1157</v>
      </c>
      <c r="K448">
        <v>0</v>
      </c>
      <c r="L448" t="s">
        <v>1158</v>
      </c>
      <c r="M448">
        <v>150</v>
      </c>
      <c r="N448" s="125"/>
      <c r="O448" s="125"/>
      <c r="R448" t="s">
        <v>477</v>
      </c>
      <c r="S448">
        <v>1</v>
      </c>
    </row>
    <row r="449" spans="1:19" x14ac:dyDescent="0.25">
      <c r="A449" t="str">
        <f>TableMJRUPHYSE[[#This Row],[Study Package Code]]</f>
        <v>EDSC4034</v>
      </c>
      <c r="B449" s="5">
        <f>TableMJRUPHYSE[[#This Row],[Ver]]</f>
        <v>1</v>
      </c>
      <c r="D449" t="str">
        <f>TableMJRUPHYSE[[#This Row],[Structure Line]]</f>
        <v>Curriculum and Instruction Lower Secondary: Health and Physical Education</v>
      </c>
      <c r="E449" s="81">
        <f>TableMJRUPHYSE[[#This Row],[Credit Points]]</f>
        <v>25</v>
      </c>
      <c r="F449">
        <v>4</v>
      </c>
      <c r="G449" t="s">
        <v>1208</v>
      </c>
      <c r="H449">
        <v>2</v>
      </c>
      <c r="I449" t="s">
        <v>1209</v>
      </c>
      <c r="J449" t="s">
        <v>477</v>
      </c>
      <c r="K449">
        <v>1</v>
      </c>
      <c r="L449" t="s">
        <v>954</v>
      </c>
      <c r="M449">
        <v>25</v>
      </c>
      <c r="N449" s="125">
        <v>44197</v>
      </c>
      <c r="O449" s="125"/>
      <c r="R449" t="s">
        <v>95</v>
      </c>
      <c r="S449">
        <v>1</v>
      </c>
    </row>
    <row r="450" spans="1:19" x14ac:dyDescent="0.25">
      <c r="A450" t="str">
        <f>TableMJRUPHYSE[[#This Row],[Study Package Code]]</f>
        <v>EDSC4035</v>
      </c>
      <c r="B450" s="5">
        <f>TableMJRUPHYSE[[#This Row],[Ver]]</f>
        <v>1</v>
      </c>
      <c r="D450" t="str">
        <f>TableMJRUPHYSE[[#This Row],[Structure Line]]</f>
        <v>Curriculum and Instruction Senior Secondary: Health and Physical Education</v>
      </c>
      <c r="E450" s="81">
        <f>TableMJRUPHYSE[[#This Row],[Credit Points]]</f>
        <v>25</v>
      </c>
      <c r="F450">
        <v>5</v>
      </c>
      <c r="G450" t="s">
        <v>1208</v>
      </c>
      <c r="H450">
        <v>2</v>
      </c>
      <c r="I450" t="s">
        <v>1212</v>
      </c>
      <c r="J450" t="s">
        <v>488</v>
      </c>
      <c r="K450">
        <v>1</v>
      </c>
      <c r="L450" t="s">
        <v>956</v>
      </c>
      <c r="M450">
        <v>25</v>
      </c>
      <c r="N450" s="125">
        <v>44197</v>
      </c>
      <c r="O450" s="125"/>
      <c r="R450" t="s">
        <v>467</v>
      </c>
      <c r="S450">
        <v>1</v>
      </c>
    </row>
    <row r="451" spans="1:19" x14ac:dyDescent="0.25">
      <c r="A451" t="str">
        <f>TableMJRUPHYSE[[#This Row],[Study Package Code]]</f>
        <v>REHT2001</v>
      </c>
      <c r="B451" s="5">
        <f>TableMJRUPHYSE[[#This Row],[Ver]]</f>
        <v>1</v>
      </c>
      <c r="D451" t="str">
        <f>TableMJRUPHYSE[[#This Row],[Structure Line]]</f>
        <v>Motor Learning</v>
      </c>
      <c r="E451" s="81">
        <f>TableMJRUPHYSE[[#This Row],[Credit Points]]</f>
        <v>25</v>
      </c>
      <c r="F451">
        <v>6</v>
      </c>
      <c r="G451" t="s">
        <v>1208</v>
      </c>
      <c r="H451">
        <v>2</v>
      </c>
      <c r="I451" t="s">
        <v>1212</v>
      </c>
      <c r="J451" t="s">
        <v>502</v>
      </c>
      <c r="K451">
        <v>1</v>
      </c>
      <c r="L451" t="s">
        <v>1132</v>
      </c>
      <c r="M451">
        <v>25</v>
      </c>
      <c r="N451" s="125">
        <v>43466</v>
      </c>
      <c r="O451" s="125"/>
      <c r="R451" t="s">
        <v>488</v>
      </c>
      <c r="S451">
        <v>1</v>
      </c>
    </row>
    <row r="452" spans="1:19" x14ac:dyDescent="0.25">
      <c r="A452" t="str">
        <f>TableMJRUPHYSE[[#This Row],[Study Package Code]]</f>
        <v>HUMV2000</v>
      </c>
      <c r="B452" s="5">
        <f>TableMJRUPHYSE[[#This Row],[Ver]]</f>
        <v>1</v>
      </c>
      <c r="D452" t="str">
        <f>TableMJRUPHYSE[[#This Row],[Structure Line]]</f>
        <v>Biomechanics</v>
      </c>
      <c r="E452" s="81">
        <f>TableMJRUPHYSE[[#This Row],[Credit Points]]</f>
        <v>25</v>
      </c>
      <c r="F452">
        <v>7</v>
      </c>
      <c r="G452" t="s">
        <v>1208</v>
      </c>
      <c r="H452">
        <v>3</v>
      </c>
      <c r="I452" t="s">
        <v>1209</v>
      </c>
      <c r="J452" t="s">
        <v>515</v>
      </c>
      <c r="K452">
        <v>1</v>
      </c>
      <c r="L452" t="s">
        <v>1036</v>
      </c>
      <c r="M452">
        <v>25</v>
      </c>
      <c r="N452" s="125">
        <v>42005</v>
      </c>
      <c r="O452" s="125"/>
      <c r="R452" t="s">
        <v>502</v>
      </c>
      <c r="S452">
        <v>1</v>
      </c>
    </row>
    <row r="453" spans="1:19" x14ac:dyDescent="0.25">
      <c r="A453" t="str">
        <f>TableMJRUPHYSE[[#This Row],[Study Package Code]]</f>
        <v>REHT2003</v>
      </c>
      <c r="B453" s="5">
        <f>TableMJRUPHYSE[[#This Row],[Ver]]</f>
        <v>1</v>
      </c>
      <c r="D453" t="str">
        <f>TableMJRUPHYSE[[#This Row],[Structure Line]]</f>
        <v>Exercise Delivery</v>
      </c>
      <c r="E453" s="81">
        <f>TableMJRUPHYSE[[#This Row],[Credit Points]]</f>
        <v>25</v>
      </c>
      <c r="F453">
        <v>8</v>
      </c>
      <c r="G453" t="s">
        <v>1208</v>
      </c>
      <c r="H453">
        <v>3</v>
      </c>
      <c r="I453" t="s">
        <v>1209</v>
      </c>
      <c r="J453" t="s">
        <v>559</v>
      </c>
      <c r="K453">
        <v>1</v>
      </c>
      <c r="L453" t="s">
        <v>1134</v>
      </c>
      <c r="M453">
        <v>25</v>
      </c>
      <c r="N453" s="125">
        <v>44562</v>
      </c>
      <c r="O453" s="125"/>
      <c r="R453" t="s">
        <v>455</v>
      </c>
      <c r="S453">
        <v>2</v>
      </c>
    </row>
    <row r="454" spans="1:19" x14ac:dyDescent="0.25">
      <c r="A454" t="str">
        <f>TableMJRUPHYSE[[#This Row],[Study Package Code]]</f>
        <v>REHT3002</v>
      </c>
      <c r="B454" s="5">
        <f>TableMJRUPHYSE[[#This Row],[Ver]]</f>
        <v>2</v>
      </c>
      <c r="D454" t="str">
        <f>TableMJRUPHYSE[[#This Row],[Structure Line]]</f>
        <v>Exercise Prescription</v>
      </c>
      <c r="E454" s="81">
        <f>TableMJRUPHYSE[[#This Row],[Credit Points]]</f>
        <v>25</v>
      </c>
      <c r="F454">
        <v>9</v>
      </c>
      <c r="G454" t="s">
        <v>1208</v>
      </c>
      <c r="H454">
        <v>3</v>
      </c>
      <c r="I454" t="s">
        <v>1212</v>
      </c>
      <c r="J454" t="s">
        <v>530</v>
      </c>
      <c r="K454">
        <v>2</v>
      </c>
      <c r="L454" t="s">
        <v>1135</v>
      </c>
      <c r="M454">
        <v>25</v>
      </c>
      <c r="N454" s="125">
        <v>44562</v>
      </c>
      <c r="O454" s="125"/>
      <c r="R454" t="s">
        <v>515</v>
      </c>
      <c r="S454">
        <v>1</v>
      </c>
    </row>
    <row r="455" spans="1:19" x14ac:dyDescent="0.25">
      <c r="A455" t="str">
        <f>TableMJRUPHYSE[[#This Row],[Study Package Code]]</f>
        <v>PSYC3006</v>
      </c>
      <c r="B455" s="5">
        <f>TableMJRUPHYSE[[#This Row],[Ver]]</f>
        <v>3</v>
      </c>
      <c r="D455" t="str">
        <f>TableMJRUPHYSE[[#This Row],[Structure Line]]</f>
        <v>Behaviour Change for Exercise and Health</v>
      </c>
      <c r="E455" s="81">
        <f>TableMJRUPHYSE[[#This Row],[Credit Points]]</f>
        <v>25</v>
      </c>
      <c r="F455">
        <v>10</v>
      </c>
      <c r="G455" t="s">
        <v>1208</v>
      </c>
      <c r="H455">
        <v>4</v>
      </c>
      <c r="I455" t="s">
        <v>1209</v>
      </c>
      <c r="J455" t="s">
        <v>545</v>
      </c>
      <c r="K455">
        <v>3</v>
      </c>
      <c r="L455" t="s">
        <v>1119</v>
      </c>
      <c r="M455">
        <v>25</v>
      </c>
      <c r="N455" s="125">
        <v>44197</v>
      </c>
      <c r="O455" s="125"/>
      <c r="R455" t="s">
        <v>1248</v>
      </c>
      <c r="S455">
        <v>1</v>
      </c>
    </row>
    <row r="456" spans="1:19" x14ac:dyDescent="0.25">
      <c r="A456" t="str">
        <f>TableMJRUPHYSE[[#This Row],[Study Package Code]]</f>
        <v>STRU-BSCIM</v>
      </c>
      <c r="B456" s="5">
        <f>TableMJRUPHYSE[[#This Row],[Ver]]</f>
        <v>3</v>
      </c>
      <c r="D456" t="str">
        <f>TableMJRUPHYSE[[#This Row],[Structure Line]]</f>
        <v>Biological Sciences Education Minor Teaching Area Stream (BEd Secondary)</v>
      </c>
      <c r="E456" s="81">
        <f>TableMJRUPHYSE[[#This Row],[Credit Points]]</f>
        <v>150</v>
      </c>
      <c r="F456">
        <v>3</v>
      </c>
      <c r="G456" t="s">
        <v>140</v>
      </c>
      <c r="H456">
        <v>1</v>
      </c>
      <c r="I456" t="s">
        <v>1212</v>
      </c>
      <c r="J456" t="s">
        <v>350</v>
      </c>
      <c r="K456">
        <v>3</v>
      </c>
      <c r="L456" t="s">
        <v>205</v>
      </c>
      <c r="M456">
        <v>150</v>
      </c>
      <c r="N456" s="125">
        <v>45658</v>
      </c>
      <c r="O456" s="125"/>
      <c r="R456" t="s">
        <v>559</v>
      </c>
      <c r="S456">
        <v>1</v>
      </c>
    </row>
    <row r="457" spans="1:19" x14ac:dyDescent="0.25">
      <c r="A457" t="str">
        <f>TableMJRUPHYSE[[#This Row],[Study Package Code]]</f>
        <v>STRU-HPEB1</v>
      </c>
      <c r="B457" s="5">
        <f>TableMJRUPHYSE[[#This Row],[Ver]]</f>
        <v>1</v>
      </c>
      <c r="D457" t="str">
        <f>TableMJRUPHYSE[[#This Row],[Structure Line]]</f>
        <v>Broadening Health and Physical Education Teaching Area Stream (BEd Secondary)</v>
      </c>
      <c r="E457" s="81">
        <f>TableMJRUPHYSE[[#This Row],[Credit Points]]</f>
        <v>150</v>
      </c>
      <c r="F457">
        <v>3</v>
      </c>
      <c r="G457" t="s">
        <v>140</v>
      </c>
      <c r="H457">
        <v>1</v>
      </c>
      <c r="I457" t="s">
        <v>1212</v>
      </c>
      <c r="J457" t="s">
        <v>367</v>
      </c>
      <c r="K457">
        <v>1</v>
      </c>
      <c r="L457" t="s">
        <v>208</v>
      </c>
      <c r="M457">
        <v>150</v>
      </c>
      <c r="N457" s="125">
        <v>45658</v>
      </c>
      <c r="O457" s="125"/>
      <c r="R457" t="s">
        <v>707</v>
      </c>
      <c r="S457">
        <v>1</v>
      </c>
    </row>
    <row r="458" spans="1:19" x14ac:dyDescent="0.25">
      <c r="A458">
        <f>TableMJRUPHYSE[[#This Row],[Study Package Code]]</f>
        <v>0</v>
      </c>
      <c r="B458" s="5">
        <f>TableMJRUPHYSE[[#This Row],[Ver]]</f>
        <v>0</v>
      </c>
      <c r="D458">
        <f>TableMJRUPHYSE[[#This Row],[Structure Line]]</f>
        <v>0</v>
      </c>
      <c r="E458" s="81">
        <f>TableMJRUPHYSE[[#This Row],[Credit Points]]</f>
        <v>0</v>
      </c>
      <c r="N458" s="125"/>
      <c r="O458" s="125"/>
      <c r="R458" t="s">
        <v>530</v>
      </c>
      <c r="S458">
        <v>2</v>
      </c>
    </row>
    <row r="459" spans="1:19" x14ac:dyDescent="0.25">
      <c r="A459">
        <f>TableMJRUPHYSE[[#This Row],[Study Package Code]]</f>
        <v>0</v>
      </c>
      <c r="B459" s="5">
        <f>TableMJRUPHYSE[[#This Row],[Ver]]</f>
        <v>0</v>
      </c>
      <c r="D459">
        <f>TableMJRUPHYSE[[#This Row],[Structure Line]]</f>
        <v>0</v>
      </c>
      <c r="E459" s="81">
        <f>TableMJRUPHYSE[[#This Row],[Credit Points]]</f>
        <v>0</v>
      </c>
      <c r="N459" s="125"/>
      <c r="O459" s="125"/>
      <c r="R459" t="s">
        <v>741</v>
      </c>
      <c r="S459">
        <v>1</v>
      </c>
    </row>
    <row r="460" spans="1:19" x14ac:dyDescent="0.25">
      <c r="A460">
        <f>TableMJRUPHYSE[[#This Row],[Study Package Code]]</f>
        <v>0</v>
      </c>
      <c r="B460" s="5">
        <f>TableMJRUPHYSE[[#This Row],[Ver]]</f>
        <v>0</v>
      </c>
      <c r="D460">
        <f>TableMJRUPHYSE[[#This Row],[Structure Line]]</f>
        <v>0</v>
      </c>
      <c r="E460" s="81">
        <f>TableMJRUPHYSE[[#This Row],[Credit Points]]</f>
        <v>0</v>
      </c>
      <c r="N460" s="125"/>
      <c r="O460" s="125"/>
      <c r="R460" t="s">
        <v>545</v>
      </c>
      <c r="S460">
        <v>3</v>
      </c>
    </row>
    <row r="461" spans="1:19" x14ac:dyDescent="0.25">
      <c r="A461">
        <f>TableMJRUPHYSE[[#This Row],[Study Package Code]]</f>
        <v>0</v>
      </c>
      <c r="B461" s="5">
        <f>TableMJRUPHYSE[[#This Row],[Ver]]</f>
        <v>0</v>
      </c>
      <c r="D461">
        <f>TableMJRUPHYSE[[#This Row],[Structure Line]]</f>
        <v>0</v>
      </c>
      <c r="E461" s="81">
        <f>TableMJRUPHYSE[[#This Row],[Credit Points]]</f>
        <v>0</v>
      </c>
      <c r="N461" s="125"/>
      <c r="O461" s="125"/>
      <c r="R461" t="s">
        <v>194</v>
      </c>
      <c r="S461">
        <v>2</v>
      </c>
    </row>
    <row r="462" spans="1:19" x14ac:dyDescent="0.25">
      <c r="A462" s="78"/>
      <c r="B462" s="80"/>
      <c r="C462" s="78"/>
      <c r="D462" s="78"/>
      <c r="G462" s="79" t="s">
        <v>1194</v>
      </c>
      <c r="H462" s="272">
        <v>45658</v>
      </c>
      <c r="J462" s="274" t="s">
        <v>346</v>
      </c>
      <c r="K462" s="273">
        <v>1</v>
      </c>
      <c r="L462" s="274" t="s">
        <v>385</v>
      </c>
      <c r="M462" s="78"/>
      <c r="N462" s="198" t="s">
        <v>1195</v>
      </c>
      <c r="O462" s="125">
        <v>45541</v>
      </c>
    </row>
    <row r="463" spans="1:19" ht="31.5" x14ac:dyDescent="0.25">
      <c r="A463" s="97" t="s">
        <v>0</v>
      </c>
      <c r="B463" s="98" t="s">
        <v>1196</v>
      </c>
      <c r="C463" s="97" t="s">
        <v>1197</v>
      </c>
      <c r="D463" s="97" t="s">
        <v>3</v>
      </c>
      <c r="E463" s="99" t="s">
        <v>1198</v>
      </c>
      <c r="F463" s="97" t="s">
        <v>1199</v>
      </c>
      <c r="G463" s="97" t="s">
        <v>1200</v>
      </c>
      <c r="H463" s="97" t="s">
        <v>1201</v>
      </c>
      <c r="I463" s="97" t="s">
        <v>18</v>
      </c>
      <c r="J463" s="97" t="s">
        <v>1202</v>
      </c>
      <c r="K463" s="97" t="s">
        <v>1</v>
      </c>
      <c r="L463" s="97" t="s">
        <v>1203</v>
      </c>
      <c r="M463" s="97" t="s">
        <v>69</v>
      </c>
      <c r="N463" s="97" t="s">
        <v>1204</v>
      </c>
      <c r="O463" s="97" t="s">
        <v>1205</v>
      </c>
      <c r="R463" t="s">
        <v>1206</v>
      </c>
      <c r="S463" t="s">
        <v>1207</v>
      </c>
    </row>
    <row r="464" spans="1:19" x14ac:dyDescent="0.25">
      <c r="A464" t="str">
        <f>TableMJRUSCBI1[[#This Row],[Study Package Code]]</f>
        <v>Opt-SCBI1</v>
      </c>
      <c r="B464" s="5">
        <f>TableMJRUSCBI1[[#This Row],[Ver]]</f>
        <v>0</v>
      </c>
      <c r="D464" t="str">
        <f>TableMJRUSCBI1[[#This Row],[Structure Line]]</f>
        <v>Choose an Option</v>
      </c>
      <c r="E464" s="81">
        <f>TableMJRUSCBI1[[#This Row],[Credit Points]]</f>
        <v>25</v>
      </c>
      <c r="F464">
        <v>1</v>
      </c>
      <c r="G464" t="s">
        <v>140</v>
      </c>
      <c r="H464">
        <v>0</v>
      </c>
      <c r="I464" t="s">
        <v>1221</v>
      </c>
      <c r="J464" t="s">
        <v>560</v>
      </c>
      <c r="K464">
        <v>0</v>
      </c>
      <c r="L464" t="s">
        <v>1219</v>
      </c>
      <c r="M464">
        <v>25</v>
      </c>
      <c r="N464" s="125"/>
      <c r="O464" s="125"/>
      <c r="R464" t="s">
        <v>572</v>
      </c>
      <c r="S464">
        <v>1</v>
      </c>
    </row>
    <row r="465" spans="1:19" x14ac:dyDescent="0.25">
      <c r="A465" t="str">
        <f>TableMJRUSCBI1[[#This Row],[Study Package Code]]</f>
        <v>AC-SCBI1</v>
      </c>
      <c r="B465" s="5">
        <f>TableMJRUSCBI1[[#This Row],[Ver]]</f>
        <v>0</v>
      </c>
      <c r="D465" t="str">
        <f>TableMJRUSCBI1[[#This Row],[Structure Line]]</f>
        <v>Choose AGRI1000 or HUMB1000</v>
      </c>
      <c r="E465" s="81">
        <f>TableMJRUSCBI1[[#This Row],[Credit Points]]</f>
        <v>25</v>
      </c>
      <c r="F465">
        <v>2</v>
      </c>
      <c r="G465" t="s">
        <v>1215</v>
      </c>
      <c r="H465">
        <v>1</v>
      </c>
      <c r="I465" t="s">
        <v>1212</v>
      </c>
      <c r="J465" t="s">
        <v>456</v>
      </c>
      <c r="K465">
        <v>0</v>
      </c>
      <c r="L465" t="s">
        <v>1282</v>
      </c>
      <c r="M465">
        <v>25</v>
      </c>
      <c r="N465" s="125"/>
      <c r="O465" s="125"/>
      <c r="R465" t="s">
        <v>1157</v>
      </c>
      <c r="S465">
        <v>0</v>
      </c>
    </row>
    <row r="466" spans="1:19" x14ac:dyDescent="0.25">
      <c r="A466" t="str">
        <f>TableMJRUSCBI1[[#This Row],[Study Package Code]]</f>
        <v>Stream</v>
      </c>
      <c r="B466" s="5">
        <f>TableMJRUSCBI1[[#This Row],[Ver]]</f>
        <v>0</v>
      </c>
      <c r="D466" t="str">
        <f>TableMJRUSCBI1[[#This Row],[Structure Line]]</f>
        <v>Choose Minor Teaching Area Stream</v>
      </c>
      <c r="E466" s="81">
        <f>TableMJRUSCBI1[[#This Row],[Credit Points]]</f>
        <v>150</v>
      </c>
      <c r="F466">
        <v>3</v>
      </c>
      <c r="G466" t="s">
        <v>140</v>
      </c>
      <c r="H466">
        <v>1</v>
      </c>
      <c r="I466" t="s">
        <v>1212</v>
      </c>
      <c r="J466" t="s">
        <v>1157</v>
      </c>
      <c r="K466">
        <v>0</v>
      </c>
      <c r="L466" t="s">
        <v>1269</v>
      </c>
      <c r="M466">
        <v>150</v>
      </c>
      <c r="N466" s="125"/>
      <c r="O466" s="125"/>
      <c r="R466" t="s">
        <v>461</v>
      </c>
      <c r="S466">
        <v>1</v>
      </c>
    </row>
    <row r="467" spans="1:19" x14ac:dyDescent="0.25">
      <c r="A467" t="str">
        <f>TableMJRUSCBI1[[#This Row],[Study Package Code]]</f>
        <v>EDSC4022</v>
      </c>
      <c r="B467" s="5">
        <f>TableMJRUSCBI1[[#This Row],[Ver]]</f>
        <v>1</v>
      </c>
      <c r="D467" t="str">
        <f>TableMJRUSCBI1[[#This Row],[Structure Line]]</f>
        <v>Curriculum and Instruction Lower Secondary: Science</v>
      </c>
      <c r="E467" s="81">
        <f>TableMJRUSCBI1[[#This Row],[Credit Points]]</f>
        <v>25</v>
      </c>
      <c r="F467">
        <v>4</v>
      </c>
      <c r="G467" t="s">
        <v>1208</v>
      </c>
      <c r="H467">
        <v>2</v>
      </c>
      <c r="I467" t="s">
        <v>1209</v>
      </c>
      <c r="J467" t="s">
        <v>461</v>
      </c>
      <c r="K467">
        <v>1</v>
      </c>
      <c r="L467" t="s">
        <v>946</v>
      </c>
      <c r="M467">
        <v>25</v>
      </c>
      <c r="N467" s="125">
        <v>43466</v>
      </c>
      <c r="O467" s="125"/>
      <c r="R467" t="s">
        <v>478</v>
      </c>
      <c r="S467">
        <v>1</v>
      </c>
    </row>
    <row r="468" spans="1:19" x14ac:dyDescent="0.25">
      <c r="A468" t="str">
        <f>TableMJRUSCBI1[[#This Row],[Study Package Code]]</f>
        <v>BIOL1005</v>
      </c>
      <c r="B468" s="5">
        <f>TableMJRUSCBI1[[#This Row],[Ver]]</f>
        <v>1</v>
      </c>
      <c r="D468" t="str">
        <f>TableMJRUSCBI1[[#This Row],[Structure Line]]</f>
        <v>Foundations of Biology</v>
      </c>
      <c r="E468" s="81">
        <f>TableMJRUSCBI1[[#This Row],[Credit Points]]</f>
        <v>25</v>
      </c>
      <c r="F468">
        <v>5</v>
      </c>
      <c r="G468" t="s">
        <v>1208</v>
      </c>
      <c r="H468">
        <v>2</v>
      </c>
      <c r="I468" t="s">
        <v>1209</v>
      </c>
      <c r="J468" t="s">
        <v>478</v>
      </c>
      <c r="K468">
        <v>1</v>
      </c>
      <c r="L468" t="s">
        <v>827</v>
      </c>
      <c r="M468">
        <v>25</v>
      </c>
      <c r="N468" s="125">
        <v>44562</v>
      </c>
      <c r="O468" s="125"/>
      <c r="R468" t="s">
        <v>483</v>
      </c>
      <c r="S468">
        <v>2</v>
      </c>
    </row>
    <row r="469" spans="1:19" x14ac:dyDescent="0.25">
      <c r="A469" t="str">
        <f>TableMJRUSCBI1[[#This Row],[Study Package Code]]</f>
        <v>EDSC4023</v>
      </c>
      <c r="B469" s="5">
        <f>TableMJRUSCBI1[[#This Row],[Ver]]</f>
        <v>2</v>
      </c>
      <c r="D469" t="str">
        <f>TableMJRUSCBI1[[#This Row],[Structure Line]]</f>
        <v>Curriculum and Instruction Senior Secondary: Science</v>
      </c>
      <c r="E469" s="81">
        <f>TableMJRUSCBI1[[#This Row],[Credit Points]]</f>
        <v>25</v>
      </c>
      <c r="F469">
        <v>6</v>
      </c>
      <c r="G469" t="s">
        <v>1208</v>
      </c>
      <c r="H469">
        <v>2</v>
      </c>
      <c r="I469" t="s">
        <v>1212</v>
      </c>
      <c r="J469" t="s">
        <v>483</v>
      </c>
      <c r="K469">
        <v>2</v>
      </c>
      <c r="L469" t="s">
        <v>947</v>
      </c>
      <c r="M469">
        <v>25</v>
      </c>
      <c r="N469" s="125">
        <v>43831</v>
      </c>
      <c r="O469" s="125"/>
      <c r="R469" t="s">
        <v>503</v>
      </c>
      <c r="S469">
        <v>1</v>
      </c>
    </row>
    <row r="470" spans="1:19" x14ac:dyDescent="0.25">
      <c r="A470" t="str">
        <f>TableMJRUSCBI1[[#This Row],[Study Package Code]]</f>
        <v>BOTA2000</v>
      </c>
      <c r="B470" s="5">
        <f>TableMJRUSCBI1[[#This Row],[Ver]]</f>
        <v>1</v>
      </c>
      <c r="D470" t="str">
        <f>TableMJRUSCBI1[[#This Row],[Structure Line]]</f>
        <v>Plant Diversity and Adaptation</v>
      </c>
      <c r="E470" s="81">
        <f>TableMJRUSCBI1[[#This Row],[Credit Points]]</f>
        <v>25</v>
      </c>
      <c r="F470">
        <v>7</v>
      </c>
      <c r="G470" t="s">
        <v>1208</v>
      </c>
      <c r="H470">
        <v>2</v>
      </c>
      <c r="I470" t="s">
        <v>1212</v>
      </c>
      <c r="J470" t="s">
        <v>503</v>
      </c>
      <c r="K470">
        <v>1</v>
      </c>
      <c r="L470" t="s">
        <v>831</v>
      </c>
      <c r="M470">
        <v>25</v>
      </c>
      <c r="N470" s="125">
        <v>42005</v>
      </c>
      <c r="O470" s="125"/>
      <c r="R470" t="s">
        <v>1248</v>
      </c>
      <c r="S470">
        <v>1</v>
      </c>
    </row>
    <row r="471" spans="1:19" x14ac:dyDescent="0.25">
      <c r="A471" t="str">
        <f>TableMJRUSCBI1[[#This Row],[Study Package Code]]</f>
        <v>ZOOL2000</v>
      </c>
      <c r="B471" s="5">
        <f>TableMJRUSCBI1[[#This Row],[Ver]]</f>
        <v>2</v>
      </c>
      <c r="D471" t="str">
        <f>TableMJRUSCBI1[[#This Row],[Structure Line]]</f>
        <v>Animal Diversity and Evolution</v>
      </c>
      <c r="E471" s="81">
        <f>TableMJRUSCBI1[[#This Row],[Credit Points]]</f>
        <v>25</v>
      </c>
      <c r="F471">
        <v>8</v>
      </c>
      <c r="G471" t="s">
        <v>1208</v>
      </c>
      <c r="H471">
        <v>3</v>
      </c>
      <c r="I471" t="s">
        <v>1209</v>
      </c>
      <c r="J471" t="s">
        <v>516</v>
      </c>
      <c r="K471">
        <v>2</v>
      </c>
      <c r="L471" t="s">
        <v>1192</v>
      </c>
      <c r="M471">
        <v>25</v>
      </c>
      <c r="N471" s="125">
        <v>43101</v>
      </c>
      <c r="O471" s="125"/>
      <c r="R471" t="s">
        <v>1283</v>
      </c>
      <c r="S471">
        <v>0</v>
      </c>
    </row>
    <row r="472" spans="1:19" x14ac:dyDescent="0.25">
      <c r="A472" t="str">
        <f>TableMJRUSCBI1[[#This Row],[Study Package Code]]</f>
        <v>ENST3002</v>
      </c>
      <c r="B472" s="5">
        <f>TableMJRUSCBI1[[#This Row],[Ver]]</f>
        <v>1</v>
      </c>
      <c r="D472" t="str">
        <f>TableMJRUSCBI1[[#This Row],[Structure Line]]</f>
        <v>Environmental Restoration</v>
      </c>
      <c r="E472" s="81">
        <f>TableMJRUSCBI1[[#This Row],[Credit Points]]</f>
        <v>25</v>
      </c>
      <c r="F472">
        <v>9</v>
      </c>
      <c r="G472" t="s">
        <v>1208</v>
      </c>
      <c r="H472">
        <v>3</v>
      </c>
      <c r="I472" t="s">
        <v>1212</v>
      </c>
      <c r="J472" t="s">
        <v>531</v>
      </c>
      <c r="K472">
        <v>1</v>
      </c>
      <c r="L472" t="s">
        <v>1001</v>
      </c>
      <c r="M472">
        <v>25</v>
      </c>
      <c r="N472" s="125">
        <v>42005</v>
      </c>
      <c r="O472" s="125"/>
      <c r="R472" t="s">
        <v>531</v>
      </c>
      <c r="S472">
        <v>1</v>
      </c>
    </row>
    <row r="473" spans="1:19" x14ac:dyDescent="0.25">
      <c r="A473" t="str">
        <f>TableMJRUSCBI1[[#This Row],[Study Package Code]]</f>
        <v>EDSC3011</v>
      </c>
      <c r="B473" s="5">
        <f>TableMJRUSCBI1[[#This Row],[Ver]]</f>
        <v>1</v>
      </c>
      <c r="D473" t="str">
        <f>TableMJRUSCBI1[[#This Row],[Structure Line]]</f>
        <v>Species Evolution Over Time</v>
      </c>
      <c r="E473" s="81">
        <f>TableMJRUSCBI1[[#This Row],[Credit Points]]</f>
        <v>25</v>
      </c>
      <c r="F473">
        <v>10</v>
      </c>
      <c r="G473" t="s">
        <v>1208</v>
      </c>
      <c r="H473">
        <v>4</v>
      </c>
      <c r="I473" t="s">
        <v>1209</v>
      </c>
      <c r="J473" t="s">
        <v>546</v>
      </c>
      <c r="K473">
        <v>1</v>
      </c>
      <c r="L473" t="s">
        <v>938</v>
      </c>
      <c r="M473">
        <v>25</v>
      </c>
      <c r="N473" s="125">
        <v>44927</v>
      </c>
      <c r="O473" s="125"/>
      <c r="R473" t="s">
        <v>622</v>
      </c>
      <c r="S473">
        <v>1</v>
      </c>
    </row>
    <row r="474" spans="1:19" x14ac:dyDescent="0.25">
      <c r="A474" t="str">
        <f>TableMJRUSCBI1[[#This Row],[Study Package Code]]</f>
        <v>AGRI3006</v>
      </c>
      <c r="B474" s="5">
        <f>TableMJRUSCBI1[[#This Row],[Ver]]</f>
        <v>1</v>
      </c>
      <c r="D474" t="str">
        <f>TableMJRUSCBI1[[#This Row],[Structure Line]]</f>
        <v>Agricultural Microbiology</v>
      </c>
      <c r="E474" s="81">
        <f>TableMJRUSCBI1[[#This Row],[Credit Points]]</f>
        <v>25</v>
      </c>
      <c r="F474">
        <v>1</v>
      </c>
      <c r="G474" t="s">
        <v>140</v>
      </c>
      <c r="H474">
        <v>0</v>
      </c>
      <c r="I474" t="s">
        <v>1221</v>
      </c>
      <c r="J474" t="s">
        <v>604</v>
      </c>
      <c r="K474">
        <v>1</v>
      </c>
      <c r="L474" t="s">
        <v>817</v>
      </c>
      <c r="M474">
        <v>25</v>
      </c>
      <c r="N474" s="125">
        <v>42005</v>
      </c>
      <c r="O474" s="125"/>
      <c r="R474" t="s">
        <v>102</v>
      </c>
      <c r="S474">
        <v>0</v>
      </c>
    </row>
    <row r="475" spans="1:19" x14ac:dyDescent="0.25">
      <c r="A475" t="str">
        <f>TableMJRUSCBI1[[#This Row],[Study Package Code]]</f>
        <v>ECEV2000</v>
      </c>
      <c r="B475" s="5">
        <f>TableMJRUSCBI1[[#This Row],[Ver]]</f>
        <v>1</v>
      </c>
      <c r="D475" t="str">
        <f>TableMJRUSCBI1[[#This Row],[Structure Line]]</f>
        <v>Terrestrial Ecology</v>
      </c>
      <c r="E475" s="81">
        <f>TableMJRUSCBI1[[#This Row],[Credit Points]]</f>
        <v>25</v>
      </c>
      <c r="F475">
        <v>1</v>
      </c>
      <c r="G475" t="s">
        <v>140</v>
      </c>
      <c r="H475">
        <v>0</v>
      </c>
      <c r="I475" t="s">
        <v>1221</v>
      </c>
      <c r="J475" t="s">
        <v>608</v>
      </c>
      <c r="K475">
        <v>1</v>
      </c>
      <c r="L475" t="s">
        <v>866</v>
      </c>
      <c r="M475">
        <v>25</v>
      </c>
      <c r="N475" s="125">
        <v>42005</v>
      </c>
      <c r="O475" s="125"/>
    </row>
    <row r="476" spans="1:19" x14ac:dyDescent="0.25">
      <c r="A476" t="str">
        <f>TableMJRUSCBI1[[#This Row],[Study Package Code]]</f>
        <v>ENST3007</v>
      </c>
      <c r="B476" s="5">
        <f>TableMJRUSCBI1[[#This Row],[Ver]]</f>
        <v>1</v>
      </c>
      <c r="D476" t="str">
        <f>TableMJRUSCBI1[[#This Row],[Structure Line]]</f>
        <v>Wildlife Conservation</v>
      </c>
      <c r="E476" s="81">
        <f>TableMJRUSCBI1[[#This Row],[Credit Points]]</f>
        <v>25</v>
      </c>
      <c r="F476">
        <v>1</v>
      </c>
      <c r="G476" t="s">
        <v>140</v>
      </c>
      <c r="H476">
        <v>0</v>
      </c>
      <c r="I476" t="s">
        <v>1221</v>
      </c>
      <c r="J476" t="s">
        <v>615</v>
      </c>
      <c r="K476">
        <v>1</v>
      </c>
      <c r="L476" t="s">
        <v>1002</v>
      </c>
      <c r="M476">
        <v>25</v>
      </c>
      <c r="N476" s="125">
        <v>44927</v>
      </c>
      <c r="O476" s="125"/>
    </row>
    <row r="477" spans="1:19" x14ac:dyDescent="0.25">
      <c r="A477" t="str">
        <f>TableMJRUSCBI1[[#This Row],[Study Package Code]]</f>
        <v>ERTH3000</v>
      </c>
      <c r="B477" s="5">
        <f>TableMJRUSCBI1[[#This Row],[Ver]]</f>
        <v>1</v>
      </c>
      <c r="D477" t="str">
        <f>TableMJRUSCBI1[[#This Row],[Structure Line]]</f>
        <v>Habitat and Landform Mapping</v>
      </c>
      <c r="E477" s="81">
        <f>TableMJRUSCBI1[[#This Row],[Credit Points]]</f>
        <v>25</v>
      </c>
      <c r="F477">
        <v>1</v>
      </c>
      <c r="G477" t="s">
        <v>140</v>
      </c>
      <c r="H477">
        <v>0</v>
      </c>
      <c r="I477" t="s">
        <v>1221</v>
      </c>
      <c r="J477" t="s">
        <v>622</v>
      </c>
      <c r="K477">
        <v>1</v>
      </c>
      <c r="L477" t="s">
        <v>1003</v>
      </c>
      <c r="M477">
        <v>25</v>
      </c>
      <c r="N477" s="125">
        <v>42005</v>
      </c>
      <c r="O477" s="125"/>
    </row>
    <row r="478" spans="1:19" x14ac:dyDescent="0.25">
      <c r="A478" t="str">
        <f>TableMJRUSCBI1[[#This Row],[Study Package Code]]</f>
        <v>MATH1014</v>
      </c>
      <c r="B478" s="5">
        <f>TableMJRUSCBI1[[#This Row],[Ver]]</f>
        <v>1</v>
      </c>
      <c r="D478" t="str">
        <f>TableMJRUSCBI1[[#This Row],[Structure Line]]</f>
        <v>Foundations of Calculus</v>
      </c>
      <c r="E478" s="81">
        <f>TableMJRUSCBI1[[#This Row],[Credit Points]]</f>
        <v>25</v>
      </c>
      <c r="F478">
        <v>1</v>
      </c>
      <c r="G478" t="s">
        <v>140</v>
      </c>
      <c r="H478">
        <v>0</v>
      </c>
      <c r="I478" t="s">
        <v>1221</v>
      </c>
      <c r="J478" t="s">
        <v>588</v>
      </c>
      <c r="K478">
        <v>1</v>
      </c>
      <c r="L478" t="s">
        <v>1051</v>
      </c>
      <c r="M478">
        <v>25</v>
      </c>
      <c r="N478" s="125">
        <v>42736</v>
      </c>
      <c r="O478" s="125"/>
    </row>
    <row r="479" spans="1:19" x14ac:dyDescent="0.25">
      <c r="A479" t="str">
        <f>TableMJRUSCBI1[[#This Row],[Study Package Code]]</f>
        <v>ZOOL2001</v>
      </c>
      <c r="B479" s="5">
        <f>TableMJRUSCBI1[[#This Row],[Ver]]</f>
        <v>1</v>
      </c>
      <c r="D479" t="str">
        <f>TableMJRUSCBI1[[#This Row],[Structure Line]]</f>
        <v>Marine Biodiversity</v>
      </c>
      <c r="E479" s="81">
        <f>TableMJRUSCBI1[[#This Row],[Credit Points]]</f>
        <v>25</v>
      </c>
      <c r="F479">
        <v>1</v>
      </c>
      <c r="G479" t="s">
        <v>140</v>
      </c>
      <c r="H479">
        <v>0</v>
      </c>
      <c r="I479" t="s">
        <v>1221</v>
      </c>
      <c r="J479" t="s">
        <v>624</v>
      </c>
      <c r="K479">
        <v>1</v>
      </c>
      <c r="L479" t="s">
        <v>1193</v>
      </c>
      <c r="M479">
        <v>25</v>
      </c>
      <c r="N479" s="125">
        <v>42005</v>
      </c>
      <c r="O479" s="125"/>
    </row>
    <row r="480" spans="1:19" x14ac:dyDescent="0.25">
      <c r="A480" t="str">
        <f>TableMJRUSCBI1[[#This Row],[Study Package Code]]</f>
        <v>AGRI1000</v>
      </c>
      <c r="B480" s="5">
        <f>TableMJRUSCBI1[[#This Row],[Ver]]</f>
        <v>1</v>
      </c>
      <c r="D480" t="str">
        <f>TableMJRUSCBI1[[#This Row],[Structure Line]]</f>
        <v>Land and Water Resources</v>
      </c>
      <c r="E480" s="81">
        <f>TableMJRUSCBI1[[#This Row],[Credit Points]]</f>
        <v>25</v>
      </c>
      <c r="F480">
        <v>2</v>
      </c>
      <c r="G480" t="s">
        <v>1215</v>
      </c>
      <c r="H480">
        <v>1</v>
      </c>
      <c r="I480" t="s">
        <v>1212</v>
      </c>
      <c r="J480" t="s">
        <v>572</v>
      </c>
      <c r="K480">
        <v>1</v>
      </c>
      <c r="L480" t="s">
        <v>816</v>
      </c>
      <c r="M480">
        <v>25</v>
      </c>
      <c r="N480" s="125">
        <v>42005</v>
      </c>
      <c r="O480" s="125"/>
      <c r="R480" t="s">
        <v>368</v>
      </c>
      <c r="S480">
        <v>3</v>
      </c>
    </row>
    <row r="481" spans="1:19" x14ac:dyDescent="0.25">
      <c r="A481" t="str">
        <f>TableMJRUSCBI1[[#This Row],[Study Package Code]]</f>
        <v>HUMB1000</v>
      </c>
      <c r="B481" s="5">
        <f>TableMJRUSCBI1[[#This Row],[Ver]]</f>
        <v>1</v>
      </c>
      <c r="D481" t="str">
        <f>TableMJRUSCBI1[[#This Row],[Structure Line]]</f>
        <v>Human Structure and Function</v>
      </c>
      <c r="E481" s="81">
        <f>TableMJRUSCBI1[[#This Row],[Credit Points]]</f>
        <v>25</v>
      </c>
      <c r="F481">
        <v>2</v>
      </c>
      <c r="G481" t="s">
        <v>1215</v>
      </c>
      <c r="H481">
        <v>1</v>
      </c>
      <c r="I481" t="s">
        <v>1212</v>
      </c>
      <c r="J481" t="s">
        <v>458</v>
      </c>
      <c r="K481">
        <v>1</v>
      </c>
      <c r="L481" t="s">
        <v>1023</v>
      </c>
      <c r="M481">
        <v>25</v>
      </c>
      <c r="N481" s="125">
        <v>42005</v>
      </c>
      <c r="O481" s="125"/>
      <c r="R481" t="s">
        <v>1284</v>
      </c>
      <c r="S481">
        <v>2</v>
      </c>
    </row>
    <row r="482" spans="1:19" x14ac:dyDescent="0.25">
      <c r="A482" t="str">
        <f>TableMJRUSCBI1[[#This Row],[Study Package Code]]</f>
        <v>STRU-BIOLB</v>
      </c>
      <c r="B482" s="5">
        <f>TableMJRUSCBI1[[#This Row],[Ver]]</f>
        <v>4</v>
      </c>
      <c r="D482" t="str">
        <f>TableMJRUSCBI1[[#This Row],[Structure Line]]</f>
        <v>Broadening Biology Teaching Area Stream (BEd Secondary)</v>
      </c>
      <c r="E482" s="81">
        <f>TableMJRUSCBI1[[#This Row],[Credit Points]]</f>
        <v>150</v>
      </c>
      <c r="F482">
        <v>3</v>
      </c>
      <c r="G482" t="s">
        <v>140</v>
      </c>
      <c r="H482">
        <v>1</v>
      </c>
      <c r="I482" t="s">
        <v>1212</v>
      </c>
      <c r="J482" t="s">
        <v>368</v>
      </c>
      <c r="K482">
        <v>4</v>
      </c>
      <c r="L482" t="s">
        <v>399</v>
      </c>
      <c r="M482">
        <v>150</v>
      </c>
      <c r="N482" s="125">
        <v>45658</v>
      </c>
      <c r="O482" s="125"/>
      <c r="R482" t="s">
        <v>353</v>
      </c>
      <c r="S482">
        <v>3</v>
      </c>
    </row>
    <row r="483" spans="1:19" x14ac:dyDescent="0.25">
      <c r="A483" t="str">
        <f>TableMJRUSCBI1[[#This Row],[Study Package Code]]</f>
        <v>STRU-ENGLM</v>
      </c>
      <c r="B483" s="5">
        <f>TableMJRUSCBI1[[#This Row],[Ver]]</f>
        <v>3</v>
      </c>
      <c r="D483" t="str">
        <f>TableMJRUSCBI1[[#This Row],[Structure Line]]</f>
        <v>English Education Minor Teaching Area Stream (BEd Secondary)</v>
      </c>
      <c r="E483" s="81">
        <f>TableMJRUSCBI1[[#This Row],[Credit Points]]</f>
        <v>150</v>
      </c>
      <c r="F483">
        <v>3</v>
      </c>
      <c r="G483" t="s">
        <v>140</v>
      </c>
      <c r="H483">
        <v>1</v>
      </c>
      <c r="I483" t="s">
        <v>1212</v>
      </c>
      <c r="J483" t="s">
        <v>353</v>
      </c>
      <c r="K483">
        <v>3</v>
      </c>
      <c r="L483" t="s">
        <v>413</v>
      </c>
      <c r="M483">
        <v>150</v>
      </c>
      <c r="N483" s="125">
        <v>44562</v>
      </c>
      <c r="O483" s="125"/>
      <c r="R483" t="s">
        <v>1251</v>
      </c>
      <c r="S483">
        <v>2</v>
      </c>
    </row>
    <row r="484" spans="1:19" x14ac:dyDescent="0.25">
      <c r="A484" t="str">
        <f>TableMJRUSCBI1[[#This Row],[Study Package Code]]</f>
        <v>STRU-GEOGM</v>
      </c>
      <c r="B484" s="5">
        <f>TableMJRUSCBI1[[#This Row],[Ver]]</f>
        <v>1</v>
      </c>
      <c r="D484" t="str">
        <f>TableMJRUSCBI1[[#This Row],[Structure Line]]</f>
        <v>Geography Education Minor Teaching Area Stream (BEd Secondary)</v>
      </c>
      <c r="E484" s="81">
        <f>TableMJRUSCBI1[[#This Row],[Credit Points]]</f>
        <v>150</v>
      </c>
      <c r="F484">
        <v>3</v>
      </c>
      <c r="G484" t="s">
        <v>140</v>
      </c>
      <c r="H484">
        <v>1</v>
      </c>
      <c r="I484" t="s">
        <v>1212</v>
      </c>
      <c r="J484" t="s">
        <v>354</v>
      </c>
      <c r="K484">
        <v>1</v>
      </c>
      <c r="L484" t="s">
        <v>414</v>
      </c>
      <c r="M484">
        <v>150</v>
      </c>
      <c r="N484" s="125">
        <v>45658</v>
      </c>
      <c r="O484" s="125"/>
      <c r="R484" t="s">
        <v>356</v>
      </c>
      <c r="S484">
        <v>2</v>
      </c>
    </row>
    <row r="485" spans="1:19" x14ac:dyDescent="0.25">
      <c r="A485" t="str">
        <f>TableMJRUSCBI1[[#This Row],[Study Package Code]]</f>
        <v>STRU-HISTM</v>
      </c>
      <c r="B485" s="5">
        <f>TableMJRUSCBI1[[#This Row],[Ver]]</f>
        <v>1</v>
      </c>
      <c r="D485" t="str">
        <f>TableMJRUSCBI1[[#This Row],[Structure Line]]</f>
        <v>History Education Minor Teaching Area Stream (BEd Secondary)</v>
      </c>
      <c r="E485" s="81">
        <f>TableMJRUSCBI1[[#This Row],[Credit Points]]</f>
        <v>150</v>
      </c>
      <c r="F485">
        <v>3</v>
      </c>
      <c r="G485" t="s">
        <v>140</v>
      </c>
      <c r="H485">
        <v>1</v>
      </c>
      <c r="I485" t="s">
        <v>1212</v>
      </c>
      <c r="J485" t="s">
        <v>355</v>
      </c>
      <c r="K485">
        <v>1</v>
      </c>
      <c r="L485" t="s">
        <v>445</v>
      </c>
      <c r="M485">
        <v>150</v>
      </c>
      <c r="N485" s="125">
        <v>45658</v>
      </c>
      <c r="O485" s="125"/>
      <c r="R485" t="s">
        <v>361</v>
      </c>
      <c r="S485">
        <v>2</v>
      </c>
    </row>
    <row r="486" spans="1:19" x14ac:dyDescent="0.25">
      <c r="A486" t="str">
        <f>TableMJRUSCBI1[[#This Row],[Study Package Code]]</f>
        <v>STRU-MARTM</v>
      </c>
      <c r="B486" s="5">
        <f>TableMJRUSCBI1[[#This Row],[Ver]]</f>
        <v>1</v>
      </c>
      <c r="D486" t="str">
        <f>TableMJRUSCBI1[[#This Row],[Structure Line]]</f>
        <v>The Arts - Media Education Minor Teaching Area Stream (BEd Secondary)</v>
      </c>
      <c r="E486" s="81">
        <f>TableMJRUSCBI1[[#This Row],[Credit Points]]</f>
        <v>150</v>
      </c>
      <c r="F486">
        <v>3</v>
      </c>
      <c r="G486" t="s">
        <v>140</v>
      </c>
      <c r="H486">
        <v>1</v>
      </c>
      <c r="I486" t="s">
        <v>1212</v>
      </c>
      <c r="J486" t="s">
        <v>360</v>
      </c>
      <c r="K486">
        <v>1</v>
      </c>
      <c r="L486" t="s">
        <v>491</v>
      </c>
      <c r="M486">
        <v>150</v>
      </c>
      <c r="N486" s="125">
        <v>45658</v>
      </c>
      <c r="O486" s="125"/>
      <c r="R486" t="s">
        <v>1253</v>
      </c>
      <c r="S486">
        <v>2</v>
      </c>
    </row>
    <row r="487" spans="1:19" x14ac:dyDescent="0.25">
      <c r="A487" t="str">
        <f>TableMJRUSCBI1[[#This Row],[Study Package Code]]</f>
        <v>STRU-MATHM</v>
      </c>
      <c r="B487" s="5">
        <f>TableMJRUSCBI1[[#This Row],[Ver]]</f>
        <v>3</v>
      </c>
      <c r="D487" t="str">
        <f>TableMJRUSCBI1[[#This Row],[Structure Line]]</f>
        <v>Mathematics Education Minor Teaching Area Stream (BEd Secondary)</v>
      </c>
      <c r="E487" s="81">
        <f>TableMJRUSCBI1[[#This Row],[Credit Points]]</f>
        <v>150</v>
      </c>
      <c r="F487">
        <v>3</v>
      </c>
      <c r="G487" t="s">
        <v>140</v>
      </c>
      <c r="H487">
        <v>1</v>
      </c>
      <c r="I487" t="s">
        <v>1212</v>
      </c>
      <c r="J487" t="s">
        <v>356</v>
      </c>
      <c r="K487">
        <v>3</v>
      </c>
      <c r="L487" t="s">
        <v>213</v>
      </c>
      <c r="M487">
        <v>150</v>
      </c>
      <c r="N487" s="125">
        <v>45658</v>
      </c>
      <c r="O487" s="125"/>
      <c r="R487" t="s">
        <v>217</v>
      </c>
      <c r="S487">
        <v>2</v>
      </c>
    </row>
    <row r="488" spans="1:19" x14ac:dyDescent="0.25">
      <c r="A488" t="str">
        <f>TableMJRUSCBI1[[#This Row],[Study Package Code]]</f>
        <v>STRU-PARTM</v>
      </c>
      <c r="B488" s="5">
        <f>TableMJRUSCBI1[[#This Row],[Ver]]</f>
        <v>2</v>
      </c>
      <c r="D488" t="str">
        <f>TableMJRUSCBI1[[#This Row],[Structure Line]]</f>
        <v>The Arts - Performing Arts Education Minor Teaching Area Stream (BEd Secondary)</v>
      </c>
      <c r="E488" s="81">
        <f>TableMJRUSCBI1[[#This Row],[Credit Points]]</f>
        <v>150</v>
      </c>
      <c r="F488">
        <v>3</v>
      </c>
      <c r="G488" t="s">
        <v>140</v>
      </c>
      <c r="H488">
        <v>1</v>
      </c>
      <c r="I488" t="s">
        <v>1212</v>
      </c>
      <c r="J488" t="s">
        <v>361</v>
      </c>
      <c r="K488">
        <v>2</v>
      </c>
      <c r="L488" t="s">
        <v>505</v>
      </c>
      <c r="M488">
        <v>150</v>
      </c>
      <c r="N488" s="125">
        <v>43466</v>
      </c>
      <c r="O488" s="125"/>
      <c r="R488" t="s">
        <v>608</v>
      </c>
      <c r="S488">
        <v>1</v>
      </c>
    </row>
    <row r="489" spans="1:19" x14ac:dyDescent="0.25">
      <c r="A489" t="str">
        <f>TableMJRUSCBI1[[#This Row],[Study Package Code]]</f>
        <v>STRU-VARTM</v>
      </c>
      <c r="B489" s="5">
        <f>TableMJRUSCBI1[[#This Row],[Ver]]</f>
        <v>3</v>
      </c>
      <c r="D489" t="str">
        <f>TableMJRUSCBI1[[#This Row],[Structure Line]]</f>
        <v>The Arts - Visual Arts Education Minor Teaching Area Stream (BEd Secondary)</v>
      </c>
      <c r="E489" s="81">
        <f>TableMJRUSCBI1[[#This Row],[Credit Points]]</f>
        <v>150</v>
      </c>
      <c r="F489">
        <v>3</v>
      </c>
      <c r="G489" t="s">
        <v>140</v>
      </c>
      <c r="H489">
        <v>1</v>
      </c>
      <c r="I489" t="s">
        <v>1212</v>
      </c>
      <c r="J489" t="s">
        <v>217</v>
      </c>
      <c r="K489">
        <v>3</v>
      </c>
      <c r="L489" t="s">
        <v>520</v>
      </c>
      <c r="M489">
        <v>150</v>
      </c>
      <c r="N489" s="125">
        <v>45658</v>
      </c>
      <c r="O489" s="125"/>
      <c r="R489" t="s">
        <v>516</v>
      </c>
      <c r="S489">
        <v>2</v>
      </c>
    </row>
    <row r="490" spans="1:19" x14ac:dyDescent="0.25">
      <c r="A490" s="78"/>
      <c r="B490" s="80"/>
      <c r="C490" s="78"/>
      <c r="D490" s="78"/>
      <c r="G490" s="79" t="s">
        <v>1194</v>
      </c>
      <c r="H490" s="272">
        <v>45658</v>
      </c>
      <c r="J490" s="274" t="s">
        <v>347</v>
      </c>
      <c r="K490" s="273">
        <v>1</v>
      </c>
      <c r="L490" s="274" t="s">
        <v>387</v>
      </c>
      <c r="M490" s="78"/>
      <c r="N490" s="198" t="s">
        <v>1195</v>
      </c>
      <c r="O490" s="125">
        <v>45541</v>
      </c>
    </row>
    <row r="491" spans="1:19" ht="31.5" x14ac:dyDescent="0.25">
      <c r="A491" s="97" t="s">
        <v>0</v>
      </c>
      <c r="B491" s="98" t="s">
        <v>1196</v>
      </c>
      <c r="C491" s="97" t="s">
        <v>1197</v>
      </c>
      <c r="D491" s="97" t="s">
        <v>3</v>
      </c>
      <c r="E491" s="99" t="s">
        <v>1198</v>
      </c>
      <c r="F491" s="97" t="s">
        <v>1199</v>
      </c>
      <c r="G491" s="97" t="s">
        <v>1200</v>
      </c>
      <c r="H491" s="97" t="s">
        <v>1201</v>
      </c>
      <c r="I491" s="97" t="s">
        <v>18</v>
      </c>
      <c r="J491" s="97" t="s">
        <v>1202</v>
      </c>
      <c r="K491" s="97" t="s">
        <v>1</v>
      </c>
      <c r="L491" s="97" t="s">
        <v>1203</v>
      </c>
      <c r="M491" s="97" t="s">
        <v>69</v>
      </c>
      <c r="N491" s="97" t="s">
        <v>1204</v>
      </c>
      <c r="O491" s="97" t="s">
        <v>1205</v>
      </c>
      <c r="R491" t="s">
        <v>1206</v>
      </c>
      <c r="S491" t="s">
        <v>1207</v>
      </c>
    </row>
    <row r="492" spans="1:19" x14ac:dyDescent="0.25">
      <c r="A492" t="str">
        <f>TableMJRUSCCH1[[#This Row],[Study Package Code]]</f>
        <v>Opt-SCCH1</v>
      </c>
      <c r="B492" s="5">
        <f>TableMJRUSCCH1[[#This Row],[Ver]]</f>
        <v>0</v>
      </c>
      <c r="D492" t="str">
        <f>TableMJRUSCCH1[[#This Row],[Structure Line]]</f>
        <v>Choose an Option</v>
      </c>
      <c r="E492" s="81">
        <f>TableMJRUSCCH1[[#This Row],[Credit Points]]</f>
        <v>25</v>
      </c>
      <c r="F492">
        <v>1</v>
      </c>
      <c r="G492" t="s">
        <v>140</v>
      </c>
      <c r="H492">
        <v>0</v>
      </c>
      <c r="I492" t="s">
        <v>1221</v>
      </c>
      <c r="J492" t="s">
        <v>561</v>
      </c>
      <c r="K492">
        <v>0</v>
      </c>
      <c r="L492" t="s">
        <v>1219</v>
      </c>
      <c r="M492">
        <v>25</v>
      </c>
      <c r="N492" s="125"/>
      <c r="O492" s="125"/>
      <c r="R492" t="s">
        <v>457</v>
      </c>
      <c r="S492">
        <v>1</v>
      </c>
    </row>
    <row r="493" spans="1:19" x14ac:dyDescent="0.25">
      <c r="A493" t="str">
        <f>TableMJRUSCCH1[[#This Row],[Study Package Code]]</f>
        <v>CHEM1000</v>
      </c>
      <c r="B493" s="5">
        <f>TableMJRUSCCH1[[#This Row],[Ver]]</f>
        <v>1</v>
      </c>
      <c r="D493" t="str">
        <f>TableMJRUSCCH1[[#This Row],[Structure Line]]</f>
        <v>Principles and Processes in Chemistry</v>
      </c>
      <c r="E493" s="81">
        <f>TableMJRUSCCH1[[#This Row],[Credit Points]]</f>
        <v>25</v>
      </c>
      <c r="F493">
        <v>2</v>
      </c>
      <c r="G493" t="s">
        <v>1208</v>
      </c>
      <c r="H493">
        <v>1</v>
      </c>
      <c r="I493" t="s">
        <v>1212</v>
      </c>
      <c r="J493" t="s">
        <v>457</v>
      </c>
      <c r="K493">
        <v>1</v>
      </c>
      <c r="L493" t="s">
        <v>832</v>
      </c>
      <c r="M493">
        <v>25</v>
      </c>
      <c r="N493" s="125">
        <v>42005</v>
      </c>
      <c r="O493" s="125"/>
      <c r="R493" t="s">
        <v>461</v>
      </c>
      <c r="S493">
        <v>1</v>
      </c>
    </row>
    <row r="494" spans="1:19" x14ac:dyDescent="0.25">
      <c r="A494" t="str">
        <f>TableMJRUSCCH1[[#This Row],[Study Package Code]]</f>
        <v>Stream</v>
      </c>
      <c r="B494" s="5">
        <f>TableMJRUSCCH1[[#This Row],[Ver]]</f>
        <v>0</v>
      </c>
      <c r="D494" t="str">
        <f>TableMJRUSCCH1[[#This Row],[Structure Line]]</f>
        <v>Choose Your Minor Teaching Area Stream</v>
      </c>
      <c r="E494" s="81">
        <f>TableMJRUSCCH1[[#This Row],[Credit Points]]</f>
        <v>150</v>
      </c>
      <c r="F494">
        <v>3</v>
      </c>
      <c r="G494" t="s">
        <v>140</v>
      </c>
      <c r="H494">
        <v>1</v>
      </c>
      <c r="I494" t="s">
        <v>1212</v>
      </c>
      <c r="J494" t="s">
        <v>1157</v>
      </c>
      <c r="K494">
        <v>0</v>
      </c>
      <c r="L494" t="s">
        <v>1158</v>
      </c>
      <c r="M494">
        <v>150</v>
      </c>
      <c r="N494" s="125"/>
      <c r="O494" s="125"/>
      <c r="R494" t="s">
        <v>479</v>
      </c>
      <c r="S494">
        <v>1</v>
      </c>
    </row>
    <row r="495" spans="1:19" x14ac:dyDescent="0.25">
      <c r="A495" t="str">
        <f>TableMJRUSCCH1[[#This Row],[Study Package Code]]</f>
        <v>EDSC4022</v>
      </c>
      <c r="B495" s="5">
        <f>TableMJRUSCCH1[[#This Row],[Ver]]</f>
        <v>1</v>
      </c>
      <c r="D495" t="str">
        <f>TableMJRUSCCH1[[#This Row],[Structure Line]]</f>
        <v>Curriculum and Instruction Lower Secondary: Science</v>
      </c>
      <c r="E495" s="81">
        <f>TableMJRUSCCH1[[#This Row],[Credit Points]]</f>
        <v>25</v>
      </c>
      <c r="F495">
        <v>4</v>
      </c>
      <c r="G495" t="s">
        <v>1208</v>
      </c>
      <c r="H495">
        <v>2</v>
      </c>
      <c r="I495" t="s">
        <v>1209</v>
      </c>
      <c r="J495" t="s">
        <v>461</v>
      </c>
      <c r="K495">
        <v>1</v>
      </c>
      <c r="L495" t="s">
        <v>946</v>
      </c>
      <c r="M495">
        <v>25</v>
      </c>
      <c r="N495" s="125">
        <v>43466</v>
      </c>
      <c r="O495" s="125"/>
      <c r="R495" t="s">
        <v>489</v>
      </c>
      <c r="S495">
        <v>1</v>
      </c>
    </row>
    <row r="496" spans="1:19" x14ac:dyDescent="0.25">
      <c r="A496" t="str">
        <f>TableMJRUSCCH1[[#This Row],[Study Package Code]]</f>
        <v>CHEM1002</v>
      </c>
      <c r="B496" s="5">
        <f>TableMJRUSCCH1[[#This Row],[Ver]]</f>
        <v>1</v>
      </c>
      <c r="D496" t="str">
        <f>TableMJRUSCCH1[[#This Row],[Structure Line]]</f>
        <v>Reactivity and Function in Chemistry</v>
      </c>
      <c r="E496" s="81">
        <f>TableMJRUSCCH1[[#This Row],[Credit Points]]</f>
        <v>25</v>
      </c>
      <c r="F496">
        <v>5</v>
      </c>
      <c r="G496" t="s">
        <v>1208</v>
      </c>
      <c r="H496">
        <v>2</v>
      </c>
      <c r="I496" t="s">
        <v>1209</v>
      </c>
      <c r="J496" t="s">
        <v>479</v>
      </c>
      <c r="K496">
        <v>1</v>
      </c>
      <c r="L496" t="s">
        <v>833</v>
      </c>
      <c r="M496">
        <v>25</v>
      </c>
      <c r="N496" s="125">
        <v>42005</v>
      </c>
      <c r="O496" s="125"/>
      <c r="R496" t="s">
        <v>483</v>
      </c>
      <c r="S496">
        <v>2</v>
      </c>
    </row>
    <row r="497" spans="1:19" x14ac:dyDescent="0.25">
      <c r="A497" t="str">
        <f>TableMJRUSCCH1[[#This Row],[Study Package Code]]</f>
        <v>CHEM2005</v>
      </c>
      <c r="B497" s="5">
        <f>TableMJRUSCCH1[[#This Row],[Ver]]</f>
        <v>1</v>
      </c>
      <c r="D497" t="str">
        <f>TableMJRUSCCH1[[#This Row],[Structure Line]]</f>
        <v>Analytical Chemistry</v>
      </c>
      <c r="E497" s="81">
        <f>TableMJRUSCCH1[[#This Row],[Credit Points]]</f>
        <v>25</v>
      </c>
      <c r="F497">
        <v>6</v>
      </c>
      <c r="G497" t="s">
        <v>1208</v>
      </c>
      <c r="H497">
        <v>2</v>
      </c>
      <c r="I497" t="s">
        <v>1212</v>
      </c>
      <c r="J497" t="s">
        <v>489</v>
      </c>
      <c r="K497">
        <v>1</v>
      </c>
      <c r="L497" t="s">
        <v>839</v>
      </c>
      <c r="M497">
        <v>25</v>
      </c>
      <c r="N497" s="125">
        <v>42005</v>
      </c>
      <c r="O497" s="125"/>
      <c r="R497" t="s">
        <v>517</v>
      </c>
      <c r="S497">
        <v>1</v>
      </c>
    </row>
    <row r="498" spans="1:19" x14ac:dyDescent="0.25">
      <c r="A498" t="str">
        <f>TableMJRUSCCH1[[#This Row],[Study Package Code]]</f>
        <v>EDSC4023</v>
      </c>
      <c r="B498" s="5">
        <f>TableMJRUSCCH1[[#This Row],[Ver]]</f>
        <v>2</v>
      </c>
      <c r="D498" t="str">
        <f>TableMJRUSCCH1[[#This Row],[Structure Line]]</f>
        <v>Curriculum and Instruction Senior Secondary: Science</v>
      </c>
      <c r="E498" s="81">
        <f>TableMJRUSCCH1[[#This Row],[Credit Points]]</f>
        <v>25</v>
      </c>
      <c r="F498">
        <v>7</v>
      </c>
      <c r="G498" t="s">
        <v>1208</v>
      </c>
      <c r="H498">
        <v>2</v>
      </c>
      <c r="I498" t="s">
        <v>1212</v>
      </c>
      <c r="J498" t="s">
        <v>483</v>
      </c>
      <c r="K498">
        <v>2</v>
      </c>
      <c r="L498" t="s">
        <v>947</v>
      </c>
      <c r="M498">
        <v>25</v>
      </c>
      <c r="N498" s="125">
        <v>43831</v>
      </c>
      <c r="O498" s="125"/>
      <c r="R498" t="s">
        <v>1248</v>
      </c>
      <c r="S498">
        <v>1</v>
      </c>
    </row>
    <row r="499" spans="1:19" x14ac:dyDescent="0.25">
      <c r="A499" t="str">
        <f>TableMJRUSCCH1[[#This Row],[Study Package Code]]</f>
        <v>CHEM2004</v>
      </c>
      <c r="B499" s="5">
        <f>TableMJRUSCCH1[[#This Row],[Ver]]</f>
        <v>1</v>
      </c>
      <c r="D499" t="str">
        <f>TableMJRUSCCH1[[#This Row],[Structure Line]]</f>
        <v>Chemical Structure and Spectroscopy</v>
      </c>
      <c r="E499" s="81">
        <f>TableMJRUSCCH1[[#This Row],[Credit Points]]</f>
        <v>25</v>
      </c>
      <c r="F499">
        <v>8</v>
      </c>
      <c r="G499" t="s">
        <v>1208</v>
      </c>
      <c r="H499">
        <v>3</v>
      </c>
      <c r="I499" t="s">
        <v>1209</v>
      </c>
      <c r="J499" t="s">
        <v>517</v>
      </c>
      <c r="K499">
        <v>1</v>
      </c>
      <c r="L499" t="s">
        <v>837</v>
      </c>
      <c r="M499">
        <v>25</v>
      </c>
      <c r="N499" s="125">
        <v>42005</v>
      </c>
      <c r="O499" s="125"/>
      <c r="R499" t="s">
        <v>573</v>
      </c>
      <c r="S499">
        <v>1</v>
      </c>
    </row>
    <row r="500" spans="1:19" x14ac:dyDescent="0.25">
      <c r="A500" t="str">
        <f>TableMJRUSCCH1[[#This Row],[Study Package Code]]</f>
        <v>AC-SCCH11</v>
      </c>
      <c r="B500" s="5">
        <f>TableMJRUSCCH1[[#This Row],[Ver]]</f>
        <v>0</v>
      </c>
      <c r="D500" t="str">
        <f>TableMJRUSCCH1[[#This Row],[Structure Line]]</f>
        <v>Choose CHEM3001 or CHEM3003</v>
      </c>
      <c r="E500" s="81">
        <f>TableMJRUSCCH1[[#This Row],[Credit Points]]</f>
        <v>25</v>
      </c>
      <c r="F500">
        <v>9</v>
      </c>
      <c r="G500" t="s">
        <v>1215</v>
      </c>
      <c r="H500">
        <v>3</v>
      </c>
      <c r="I500" t="s">
        <v>1212</v>
      </c>
      <c r="J500" t="s">
        <v>532</v>
      </c>
      <c r="K500">
        <v>0</v>
      </c>
      <c r="L500" t="s">
        <v>1285</v>
      </c>
      <c r="M500">
        <v>25</v>
      </c>
      <c r="N500" s="125"/>
      <c r="O500" s="125"/>
      <c r="R500" t="s">
        <v>596</v>
      </c>
      <c r="S500">
        <v>1</v>
      </c>
    </row>
    <row r="501" spans="1:19" x14ac:dyDescent="0.25">
      <c r="A501" t="str">
        <f>TableMJRUSCCH1[[#This Row],[Study Package Code]]</f>
        <v>AC-SCCH12</v>
      </c>
      <c r="B501" s="5">
        <f>TableMJRUSCCH1[[#This Row],[Ver]]</f>
        <v>0</v>
      </c>
      <c r="D501" t="str">
        <f>TableMJRUSCCH1[[#This Row],[Structure Line]]</f>
        <v>Choose CHEM3009 or CHEM3004</v>
      </c>
      <c r="E501" s="81">
        <f>TableMJRUSCCH1[[#This Row],[Credit Points]]</f>
        <v>25</v>
      </c>
      <c r="F501">
        <v>10</v>
      </c>
      <c r="G501" t="s">
        <v>1215</v>
      </c>
      <c r="H501">
        <v>4</v>
      </c>
      <c r="I501" t="s">
        <v>1209</v>
      </c>
      <c r="J501" t="s">
        <v>547</v>
      </c>
      <c r="K501">
        <v>0</v>
      </c>
      <c r="L501" t="s">
        <v>1286</v>
      </c>
      <c r="M501">
        <v>25</v>
      </c>
      <c r="N501" s="125"/>
      <c r="O501" s="125"/>
      <c r="R501" t="s">
        <v>102</v>
      </c>
      <c r="S501">
        <v>0</v>
      </c>
    </row>
    <row r="502" spans="1:19" x14ac:dyDescent="0.25">
      <c r="A502" t="str">
        <f>TableMJRUSCCH1[[#This Row],[Study Package Code]]</f>
        <v>CHEM2003</v>
      </c>
      <c r="B502" s="5">
        <f>TableMJRUSCCH1[[#This Row],[Ver]]</f>
        <v>1</v>
      </c>
      <c r="D502" t="str">
        <f>TableMJRUSCCH1[[#This Row],[Structure Line]]</f>
        <v>Medicinal and Natural Product Chemistry</v>
      </c>
      <c r="E502" s="81">
        <f>TableMJRUSCCH1[[#This Row],[Credit Points]]</f>
        <v>25</v>
      </c>
      <c r="F502">
        <v>1</v>
      </c>
      <c r="G502" t="s">
        <v>140</v>
      </c>
      <c r="H502">
        <v>0</v>
      </c>
      <c r="I502" t="s">
        <v>1221</v>
      </c>
      <c r="J502" t="s">
        <v>623</v>
      </c>
      <c r="K502">
        <v>1</v>
      </c>
      <c r="L502" t="s">
        <v>836</v>
      </c>
      <c r="M502">
        <v>25</v>
      </c>
      <c r="N502" s="125">
        <v>42005</v>
      </c>
      <c r="O502" s="125"/>
      <c r="R502" t="s">
        <v>1157</v>
      </c>
      <c r="S502">
        <v>0</v>
      </c>
    </row>
    <row r="503" spans="1:19" x14ac:dyDescent="0.25">
      <c r="A503" t="str">
        <f>TableMJRUSCCH1[[#This Row],[Study Package Code]]</f>
        <v>CHEM2008</v>
      </c>
      <c r="B503" s="5">
        <f>TableMJRUSCCH1[[#This Row],[Ver]]</f>
        <v>1</v>
      </c>
      <c r="D503" t="str">
        <f>TableMJRUSCCH1[[#This Row],[Structure Line]]</f>
        <v>Chemistry for Sustainability</v>
      </c>
      <c r="E503" s="81">
        <f>TableMJRUSCCH1[[#This Row],[Credit Points]]</f>
        <v>25</v>
      </c>
      <c r="F503">
        <v>1</v>
      </c>
      <c r="G503" t="s">
        <v>140</v>
      </c>
      <c r="H503">
        <v>0</v>
      </c>
      <c r="I503" t="s">
        <v>1221</v>
      </c>
      <c r="J503" t="s">
        <v>625</v>
      </c>
      <c r="K503">
        <v>1</v>
      </c>
      <c r="L503" t="s">
        <v>842</v>
      </c>
      <c r="M503">
        <v>25</v>
      </c>
      <c r="N503" s="125">
        <v>44927</v>
      </c>
      <c r="O503" s="125"/>
    </row>
    <row r="504" spans="1:19" x14ac:dyDescent="0.25">
      <c r="A504" t="str">
        <f>TableMJRUSCCH1[[#This Row],[Study Package Code]]</f>
        <v>FOOD2003</v>
      </c>
      <c r="B504" s="5">
        <f>TableMJRUSCCH1[[#This Row],[Ver]]</f>
        <v>1</v>
      </c>
      <c r="D504" t="str">
        <f>TableMJRUSCCH1[[#This Row],[Structure Line]]</f>
        <v>Food Chemistry</v>
      </c>
      <c r="E504" s="81">
        <f>TableMJRUSCCH1[[#This Row],[Credit Points]]</f>
        <v>25</v>
      </c>
      <c r="F504">
        <v>1</v>
      </c>
      <c r="G504" t="s">
        <v>140</v>
      </c>
      <c r="H504">
        <v>0</v>
      </c>
      <c r="I504" t="s">
        <v>1221</v>
      </c>
      <c r="J504" t="s">
        <v>628</v>
      </c>
      <c r="K504">
        <v>1</v>
      </c>
      <c r="L504" t="s">
        <v>1004</v>
      </c>
      <c r="M504">
        <v>25</v>
      </c>
      <c r="N504" s="125">
        <v>42005</v>
      </c>
      <c r="O504" s="125"/>
    </row>
    <row r="505" spans="1:19" x14ac:dyDescent="0.25">
      <c r="A505" t="str">
        <f>TableMJRUSCCH1[[#This Row],[Study Package Code]]</f>
        <v>FOOD3006</v>
      </c>
      <c r="B505" s="5">
        <f>TableMJRUSCCH1[[#This Row],[Ver]]</f>
        <v>1</v>
      </c>
      <c r="D505" t="str">
        <f>TableMJRUSCCH1[[#This Row],[Structure Line]]</f>
        <v>Current Topics in Food Science</v>
      </c>
      <c r="E505" s="81">
        <f>TableMJRUSCCH1[[#This Row],[Credit Points]]</f>
        <v>25</v>
      </c>
      <c r="F505">
        <v>1</v>
      </c>
      <c r="G505" t="s">
        <v>140</v>
      </c>
      <c r="H505">
        <v>0</v>
      </c>
      <c r="I505" t="s">
        <v>1221</v>
      </c>
      <c r="J505" t="s">
        <v>633</v>
      </c>
      <c r="K505">
        <v>1</v>
      </c>
      <c r="L505" t="s">
        <v>1006</v>
      </c>
      <c r="M505">
        <v>25</v>
      </c>
      <c r="N505" s="125">
        <v>42736</v>
      </c>
      <c r="O505" s="125"/>
    </row>
    <row r="506" spans="1:19" x14ac:dyDescent="0.25">
      <c r="A506" t="str">
        <f>TableMJRUSCCH1[[#This Row],[Study Package Code]]</f>
        <v>MATH1014</v>
      </c>
      <c r="B506" s="5">
        <f>TableMJRUSCCH1[[#This Row],[Ver]]</f>
        <v>1</v>
      </c>
      <c r="D506" t="str">
        <f>TableMJRUSCCH1[[#This Row],[Structure Line]]</f>
        <v>Foundations of Calculus</v>
      </c>
      <c r="E506" s="81">
        <f>TableMJRUSCCH1[[#This Row],[Credit Points]]</f>
        <v>25</v>
      </c>
      <c r="F506">
        <v>1</v>
      </c>
      <c r="G506" t="s">
        <v>140</v>
      </c>
      <c r="H506">
        <v>0</v>
      </c>
      <c r="I506" t="s">
        <v>1221</v>
      </c>
      <c r="J506" t="s">
        <v>588</v>
      </c>
      <c r="K506">
        <v>1</v>
      </c>
      <c r="L506" t="s">
        <v>1051</v>
      </c>
      <c r="M506">
        <v>25</v>
      </c>
      <c r="N506" s="125">
        <v>42736</v>
      </c>
      <c r="O506" s="125"/>
    </row>
    <row r="507" spans="1:19" x14ac:dyDescent="0.25">
      <c r="A507" t="str">
        <f>TableMJRUSCCH1[[#This Row],[Study Package Code]]</f>
        <v>STRU-CHEMB</v>
      </c>
      <c r="B507" s="5">
        <f>TableMJRUSCCH1[[#This Row],[Ver]]</f>
        <v>3</v>
      </c>
      <c r="D507" t="str">
        <f>TableMJRUSCCH1[[#This Row],[Structure Line]]</f>
        <v>Broadening Chemistry Teaching Area Stream (BEd Secondary)</v>
      </c>
      <c r="E507" s="81">
        <f>TableMJRUSCCH1[[#This Row],[Credit Points]]</f>
        <v>150</v>
      </c>
      <c r="F507">
        <v>3</v>
      </c>
      <c r="G507" t="s">
        <v>140</v>
      </c>
      <c r="H507">
        <v>1</v>
      </c>
      <c r="I507" t="s">
        <v>1212</v>
      </c>
      <c r="J507" t="s">
        <v>369</v>
      </c>
      <c r="K507">
        <v>3</v>
      </c>
      <c r="L507" t="s">
        <v>401</v>
      </c>
      <c r="M507">
        <v>150</v>
      </c>
      <c r="N507" s="125">
        <v>45658</v>
      </c>
      <c r="O507" s="125"/>
    </row>
    <row r="508" spans="1:19" x14ac:dyDescent="0.25">
      <c r="A508" t="str">
        <f>TableMJRUSCCH1[[#This Row],[Study Package Code]]</f>
        <v>STRU-ENGLM</v>
      </c>
      <c r="B508" s="5">
        <f>TableMJRUSCCH1[[#This Row],[Ver]]</f>
        <v>3</v>
      </c>
      <c r="D508" t="str">
        <f>TableMJRUSCCH1[[#This Row],[Structure Line]]</f>
        <v>English Education Minor Teaching Area Stream (BEd Secondary)</v>
      </c>
      <c r="E508" s="81">
        <f>TableMJRUSCCH1[[#This Row],[Credit Points]]</f>
        <v>150</v>
      </c>
      <c r="F508">
        <v>3</v>
      </c>
      <c r="G508" t="s">
        <v>140</v>
      </c>
      <c r="H508">
        <v>1</v>
      </c>
      <c r="I508" t="s">
        <v>1212</v>
      </c>
      <c r="J508" t="s">
        <v>353</v>
      </c>
      <c r="K508">
        <v>3</v>
      </c>
      <c r="L508" t="s">
        <v>413</v>
      </c>
      <c r="M508">
        <v>150</v>
      </c>
      <c r="N508" s="125">
        <v>44562</v>
      </c>
      <c r="O508" s="125"/>
    </row>
    <row r="509" spans="1:19" x14ac:dyDescent="0.25">
      <c r="A509" t="str">
        <f>TableMJRUSCCH1[[#This Row],[Study Package Code]]</f>
        <v>STRU-GEOGM</v>
      </c>
      <c r="B509" s="5">
        <f>TableMJRUSCCH1[[#This Row],[Ver]]</f>
        <v>1</v>
      </c>
      <c r="D509" t="str">
        <f>TableMJRUSCCH1[[#This Row],[Structure Line]]</f>
        <v>Geography Education Minor Teaching Area Stream (BEd Secondary)</v>
      </c>
      <c r="E509" s="81">
        <f>TableMJRUSCCH1[[#This Row],[Credit Points]]</f>
        <v>150</v>
      </c>
      <c r="F509">
        <v>3</v>
      </c>
      <c r="G509" t="s">
        <v>140</v>
      </c>
      <c r="H509">
        <v>1</v>
      </c>
      <c r="I509" t="s">
        <v>1212</v>
      </c>
      <c r="J509" t="s">
        <v>354</v>
      </c>
      <c r="K509">
        <v>1</v>
      </c>
      <c r="L509" t="s">
        <v>414</v>
      </c>
      <c r="M509">
        <v>150</v>
      </c>
      <c r="N509" s="125">
        <v>45658</v>
      </c>
      <c r="O509" s="125"/>
    </row>
    <row r="510" spans="1:19" x14ac:dyDescent="0.25">
      <c r="A510" t="str">
        <f>TableMJRUSCCH1[[#This Row],[Study Package Code]]</f>
        <v>STRU-HISTM</v>
      </c>
      <c r="B510" s="5">
        <f>TableMJRUSCCH1[[#This Row],[Ver]]</f>
        <v>1</v>
      </c>
      <c r="D510" t="str">
        <f>TableMJRUSCCH1[[#This Row],[Structure Line]]</f>
        <v>History Education Minor Teaching Area Stream (BEd Secondary)</v>
      </c>
      <c r="E510" s="81">
        <f>TableMJRUSCCH1[[#This Row],[Credit Points]]</f>
        <v>150</v>
      </c>
      <c r="F510">
        <v>3</v>
      </c>
      <c r="G510" t="s">
        <v>140</v>
      </c>
      <c r="H510">
        <v>1</v>
      </c>
      <c r="I510" t="s">
        <v>1212</v>
      </c>
      <c r="J510" t="s">
        <v>355</v>
      </c>
      <c r="K510">
        <v>1</v>
      </c>
      <c r="L510" t="s">
        <v>445</v>
      </c>
      <c r="M510">
        <v>150</v>
      </c>
      <c r="N510" s="125">
        <v>45658</v>
      </c>
      <c r="O510" s="125"/>
    </row>
    <row r="511" spans="1:19" x14ac:dyDescent="0.25">
      <c r="A511" t="str">
        <f>TableMJRUSCCH1[[#This Row],[Study Package Code]]</f>
        <v>STRU-MARTM</v>
      </c>
      <c r="B511" s="5">
        <f>TableMJRUSCCH1[[#This Row],[Ver]]</f>
        <v>1</v>
      </c>
      <c r="D511" t="str">
        <f>TableMJRUSCCH1[[#This Row],[Structure Line]]</f>
        <v>The Arts - Media Education Minor Teaching Area Stream (BEd Secondary)</v>
      </c>
      <c r="E511" s="81">
        <f>TableMJRUSCCH1[[#This Row],[Credit Points]]</f>
        <v>150</v>
      </c>
      <c r="F511">
        <v>3</v>
      </c>
      <c r="G511" t="s">
        <v>140</v>
      </c>
      <c r="H511">
        <v>1</v>
      </c>
      <c r="I511" t="s">
        <v>1212</v>
      </c>
      <c r="J511" t="s">
        <v>360</v>
      </c>
      <c r="K511">
        <v>1</v>
      </c>
      <c r="L511" t="s">
        <v>491</v>
      </c>
      <c r="M511">
        <v>150</v>
      </c>
      <c r="N511" s="125">
        <v>45658</v>
      </c>
      <c r="O511" s="125"/>
      <c r="R511" t="s">
        <v>369</v>
      </c>
      <c r="S511">
        <v>2</v>
      </c>
    </row>
    <row r="512" spans="1:19" x14ac:dyDescent="0.25">
      <c r="A512" t="str">
        <f>TableMJRUSCCH1[[#This Row],[Study Package Code]]</f>
        <v>STRU-MATHM</v>
      </c>
      <c r="B512" s="5">
        <f>TableMJRUSCCH1[[#This Row],[Ver]]</f>
        <v>3</v>
      </c>
      <c r="D512" t="str">
        <f>TableMJRUSCCH1[[#This Row],[Structure Line]]</f>
        <v>Mathematics Education Minor Teaching Area Stream (BEd Secondary)</v>
      </c>
      <c r="E512" s="81">
        <f>TableMJRUSCCH1[[#This Row],[Credit Points]]</f>
        <v>150</v>
      </c>
      <c r="F512">
        <v>3</v>
      </c>
      <c r="G512" t="s">
        <v>140</v>
      </c>
      <c r="H512">
        <v>1</v>
      </c>
      <c r="I512" t="s">
        <v>1212</v>
      </c>
      <c r="J512" t="s">
        <v>356</v>
      </c>
      <c r="K512">
        <v>3</v>
      </c>
      <c r="L512" t="s">
        <v>213</v>
      </c>
      <c r="M512">
        <v>150</v>
      </c>
      <c r="N512" s="125">
        <v>45658</v>
      </c>
      <c r="O512" s="125"/>
      <c r="R512" t="s">
        <v>1284</v>
      </c>
      <c r="S512">
        <v>2</v>
      </c>
    </row>
    <row r="513" spans="1:19" x14ac:dyDescent="0.25">
      <c r="A513" t="str">
        <f>TableMJRUSCCH1[[#This Row],[Study Package Code]]</f>
        <v>STRU-PARTM</v>
      </c>
      <c r="B513" s="5">
        <f>TableMJRUSCCH1[[#This Row],[Ver]]</f>
        <v>2</v>
      </c>
      <c r="D513" t="str">
        <f>TableMJRUSCCH1[[#This Row],[Structure Line]]</f>
        <v>The Arts - Performing Arts Education Minor Teaching Area Stream (BEd Secondary)</v>
      </c>
      <c r="E513" s="81">
        <f>TableMJRUSCCH1[[#This Row],[Credit Points]]</f>
        <v>150</v>
      </c>
      <c r="F513">
        <v>3</v>
      </c>
      <c r="G513" t="s">
        <v>140</v>
      </c>
      <c r="H513">
        <v>1</v>
      </c>
      <c r="I513" t="s">
        <v>1212</v>
      </c>
      <c r="J513" t="s">
        <v>361</v>
      </c>
      <c r="K513">
        <v>2</v>
      </c>
      <c r="L513" t="s">
        <v>505</v>
      </c>
      <c r="M513">
        <v>150</v>
      </c>
      <c r="N513" s="125">
        <v>43466</v>
      </c>
      <c r="O513" s="125"/>
      <c r="R513" t="s">
        <v>353</v>
      </c>
      <c r="S513">
        <v>3</v>
      </c>
    </row>
    <row r="514" spans="1:19" x14ac:dyDescent="0.25">
      <c r="A514" t="str">
        <f>TableMJRUSCCH1[[#This Row],[Study Package Code]]</f>
        <v>STRU-VARTM</v>
      </c>
      <c r="B514" s="5">
        <f>TableMJRUSCCH1[[#This Row],[Ver]]</f>
        <v>3</v>
      </c>
      <c r="D514" t="str">
        <f>TableMJRUSCCH1[[#This Row],[Structure Line]]</f>
        <v>The Arts - Visual Arts Education Minor Teaching Area Stream (BEd Secondary)</v>
      </c>
      <c r="E514" s="81">
        <f>TableMJRUSCCH1[[#This Row],[Credit Points]]</f>
        <v>150</v>
      </c>
      <c r="F514">
        <v>3</v>
      </c>
      <c r="G514" t="s">
        <v>140</v>
      </c>
      <c r="H514">
        <v>1</v>
      </c>
      <c r="I514" t="s">
        <v>1212</v>
      </c>
      <c r="J514" t="s">
        <v>217</v>
      </c>
      <c r="K514">
        <v>3</v>
      </c>
      <c r="L514" t="s">
        <v>520</v>
      </c>
      <c r="M514">
        <v>150</v>
      </c>
      <c r="N514" s="125">
        <v>45658</v>
      </c>
      <c r="O514" s="125"/>
      <c r="R514" t="s">
        <v>1251</v>
      </c>
      <c r="S514">
        <v>2</v>
      </c>
    </row>
    <row r="515" spans="1:19" x14ac:dyDescent="0.25">
      <c r="A515" t="str">
        <f>TableMJRUSCCH1[[#This Row],[Study Package Code]]</f>
        <v>CHEM3001</v>
      </c>
      <c r="B515" s="5">
        <f>TableMJRUSCCH1[[#This Row],[Ver]]</f>
        <v>1</v>
      </c>
      <c r="D515" t="str">
        <f>TableMJRUSCCH1[[#This Row],[Structure Line]]</f>
        <v>Environmental Chemistry</v>
      </c>
      <c r="E515" s="81">
        <f>TableMJRUSCCH1[[#This Row],[Credit Points]]</f>
        <v>25</v>
      </c>
      <c r="F515">
        <v>9</v>
      </c>
      <c r="G515" t="s">
        <v>1215</v>
      </c>
      <c r="H515">
        <v>3</v>
      </c>
      <c r="I515" t="s">
        <v>1212</v>
      </c>
      <c r="J515" t="s">
        <v>573</v>
      </c>
      <c r="K515">
        <v>1</v>
      </c>
      <c r="L515" t="s">
        <v>844</v>
      </c>
      <c r="M515">
        <v>25</v>
      </c>
      <c r="N515" s="125">
        <v>42005</v>
      </c>
      <c r="O515" s="125"/>
      <c r="R515" t="s">
        <v>356</v>
      </c>
      <c r="S515">
        <v>2</v>
      </c>
    </row>
    <row r="516" spans="1:19" x14ac:dyDescent="0.25">
      <c r="A516" t="str">
        <f>TableMJRUSCCH1[[#This Row],[Study Package Code]]</f>
        <v>CHEM3003</v>
      </c>
      <c r="B516" s="5">
        <f>TableMJRUSCCH1[[#This Row],[Ver]]</f>
        <v>2</v>
      </c>
      <c r="D516" t="str">
        <f>TableMJRUSCCH1[[#This Row],[Structure Line]]</f>
        <v>Bioanalytical and Biophysical Chemistry</v>
      </c>
      <c r="E516" s="81">
        <f>TableMJRUSCCH1[[#This Row],[Credit Points]]</f>
        <v>25</v>
      </c>
      <c r="F516">
        <v>9</v>
      </c>
      <c r="G516" t="s">
        <v>1215</v>
      </c>
      <c r="H516">
        <v>3</v>
      </c>
      <c r="I516" t="s">
        <v>1212</v>
      </c>
      <c r="J516" t="s">
        <v>585</v>
      </c>
      <c r="K516">
        <v>2</v>
      </c>
      <c r="L516" t="s">
        <v>845</v>
      </c>
      <c r="M516">
        <v>25</v>
      </c>
      <c r="N516" s="125">
        <v>44013</v>
      </c>
      <c r="O516" s="125"/>
      <c r="R516" t="s">
        <v>361</v>
      </c>
      <c r="S516">
        <v>2</v>
      </c>
    </row>
    <row r="517" spans="1:19" x14ac:dyDescent="0.25">
      <c r="A517" t="str">
        <f>TableMJRUSCCH1[[#This Row],[Study Package Code]]</f>
        <v>CHEM3004</v>
      </c>
      <c r="B517" s="5">
        <f>TableMJRUSCCH1[[#This Row],[Ver]]</f>
        <v>1</v>
      </c>
      <c r="D517" t="str">
        <f>TableMJRUSCCH1[[#This Row],[Structure Line]]</f>
        <v>Analytical Chemistry and Spectroscopy</v>
      </c>
      <c r="E517" s="81">
        <f>TableMJRUSCCH1[[#This Row],[Credit Points]]</f>
        <v>25</v>
      </c>
      <c r="F517">
        <v>10</v>
      </c>
      <c r="G517" t="s">
        <v>1215</v>
      </c>
      <c r="H517">
        <v>4</v>
      </c>
      <c r="I517" t="s">
        <v>1209</v>
      </c>
      <c r="J517" t="s">
        <v>596</v>
      </c>
      <c r="K517">
        <v>1</v>
      </c>
      <c r="L517" t="s">
        <v>847</v>
      </c>
      <c r="M517">
        <v>25</v>
      </c>
      <c r="N517" s="125">
        <v>42005</v>
      </c>
      <c r="O517" s="125"/>
      <c r="R517" t="s">
        <v>1253</v>
      </c>
      <c r="S517">
        <v>2</v>
      </c>
    </row>
    <row r="518" spans="1:19" x14ac:dyDescent="0.25">
      <c r="A518" t="str">
        <f>TableMJRUSCCH1[[#This Row],[Study Package Code]]</f>
        <v>CHEM3009</v>
      </c>
      <c r="B518" s="5">
        <f>TableMJRUSCCH1[[#This Row],[Ver]]</f>
        <v>1</v>
      </c>
      <c r="D518" t="str">
        <f>TableMJRUSCCH1[[#This Row],[Structure Line]]</f>
        <v>Industrial Chemistry and Achieving Sustainability</v>
      </c>
      <c r="E518" s="81">
        <f>TableMJRUSCCH1[[#This Row],[Credit Points]]</f>
        <v>25</v>
      </c>
      <c r="F518">
        <v>10</v>
      </c>
      <c r="G518" t="s">
        <v>1215</v>
      </c>
      <c r="H518">
        <v>4</v>
      </c>
      <c r="I518" t="s">
        <v>1209</v>
      </c>
      <c r="J518" t="s">
        <v>605</v>
      </c>
      <c r="K518">
        <v>1</v>
      </c>
      <c r="L518" t="s">
        <v>849</v>
      </c>
      <c r="M518">
        <v>25</v>
      </c>
      <c r="N518" s="125">
        <v>45292</v>
      </c>
      <c r="O518" s="125"/>
      <c r="R518" t="s">
        <v>217</v>
      </c>
      <c r="S518">
        <v>2</v>
      </c>
    </row>
    <row r="519" spans="1:19" x14ac:dyDescent="0.25">
      <c r="A519" s="78"/>
      <c r="B519" s="80"/>
      <c r="C519" s="78"/>
      <c r="D519" s="78"/>
      <c r="G519" s="79" t="s">
        <v>1194</v>
      </c>
      <c r="H519" s="272">
        <v>45658</v>
      </c>
      <c r="J519" s="274" t="s">
        <v>348</v>
      </c>
      <c r="K519" s="273">
        <v>1</v>
      </c>
      <c r="L519" s="274" t="s">
        <v>388</v>
      </c>
      <c r="M519" s="78"/>
      <c r="N519" s="198" t="s">
        <v>1195</v>
      </c>
      <c r="O519" s="125">
        <v>45541</v>
      </c>
    </row>
    <row r="520" spans="1:19" ht="31.5" x14ac:dyDescent="0.25">
      <c r="A520" s="97" t="s">
        <v>0</v>
      </c>
      <c r="B520" s="98" t="s">
        <v>1196</v>
      </c>
      <c r="C520" s="97" t="s">
        <v>1197</v>
      </c>
      <c r="D520" s="97" t="s">
        <v>3</v>
      </c>
      <c r="E520" s="99" t="s">
        <v>1198</v>
      </c>
      <c r="F520" s="97" t="s">
        <v>1199</v>
      </c>
      <c r="G520" s="97" t="s">
        <v>1200</v>
      </c>
      <c r="H520" s="97" t="s">
        <v>1201</v>
      </c>
      <c r="I520" s="97" t="s">
        <v>18</v>
      </c>
      <c r="J520" s="97" t="s">
        <v>1202</v>
      </c>
      <c r="K520" s="97" t="s">
        <v>1</v>
      </c>
      <c r="L520" s="97" t="s">
        <v>1203</v>
      </c>
      <c r="M520" s="97" t="s">
        <v>69</v>
      </c>
      <c r="N520" s="97" t="s">
        <v>1204</v>
      </c>
      <c r="O520" s="97" t="s">
        <v>1205</v>
      </c>
      <c r="R520" t="s">
        <v>1206</v>
      </c>
      <c r="S520" t="s">
        <v>1207</v>
      </c>
    </row>
    <row r="521" spans="1:19" x14ac:dyDescent="0.25">
      <c r="A521" t="str">
        <f>TableMJRUSCHB1[[#This Row],[Study Package Code]]</f>
        <v>Opt-SCHB1</v>
      </c>
      <c r="B521" s="5">
        <f>TableMJRUSCHB1[[#This Row],[Ver]]</f>
        <v>0</v>
      </c>
      <c r="D521" t="str">
        <f>TableMJRUSCHB1[[#This Row],[Structure Line]]</f>
        <v>Choose an Option</v>
      </c>
      <c r="E521" s="81">
        <f>TableMJRUSCHB1[[#This Row],[Credit Points]]</f>
        <v>25</v>
      </c>
      <c r="F521">
        <v>1</v>
      </c>
      <c r="G521" t="s">
        <v>140</v>
      </c>
      <c r="H521">
        <v>0</v>
      </c>
      <c r="I521" t="s">
        <v>1221</v>
      </c>
      <c r="J521" t="s">
        <v>562</v>
      </c>
      <c r="K521">
        <v>0</v>
      </c>
      <c r="L521" t="s">
        <v>1219</v>
      </c>
      <c r="M521">
        <v>25</v>
      </c>
      <c r="N521" s="125"/>
      <c r="O521" s="125"/>
      <c r="R521" t="s">
        <v>458</v>
      </c>
      <c r="S521">
        <v>1</v>
      </c>
    </row>
    <row r="522" spans="1:19" x14ac:dyDescent="0.25">
      <c r="A522" t="str">
        <f>TableMJRUSCHB1[[#This Row],[Study Package Code]]</f>
        <v>HUMB1000</v>
      </c>
      <c r="B522" s="5">
        <f>TableMJRUSCHB1[[#This Row],[Ver]]</f>
        <v>1</v>
      </c>
      <c r="D522" t="str">
        <f>TableMJRUSCHB1[[#This Row],[Structure Line]]</f>
        <v>Human Structure and Function</v>
      </c>
      <c r="E522" s="81">
        <f>TableMJRUSCHB1[[#This Row],[Credit Points]]</f>
        <v>25</v>
      </c>
      <c r="F522">
        <v>2</v>
      </c>
      <c r="G522" t="s">
        <v>1208</v>
      </c>
      <c r="H522">
        <v>1</v>
      </c>
      <c r="I522" t="s">
        <v>1212</v>
      </c>
      <c r="J522" t="s">
        <v>458</v>
      </c>
      <c r="K522">
        <v>1</v>
      </c>
      <c r="L522" t="s">
        <v>1023</v>
      </c>
      <c r="M522">
        <v>25</v>
      </c>
      <c r="N522" s="125">
        <v>42005</v>
      </c>
      <c r="O522" s="125"/>
      <c r="R522" t="s">
        <v>1157</v>
      </c>
      <c r="S522">
        <v>0</v>
      </c>
    </row>
    <row r="523" spans="1:19" x14ac:dyDescent="0.25">
      <c r="A523" t="str">
        <f>TableMJRUSCHB1[[#This Row],[Study Package Code]]</f>
        <v>Stream</v>
      </c>
      <c r="B523" s="5">
        <f>TableMJRUSCHB1[[#This Row],[Ver]]</f>
        <v>0</v>
      </c>
      <c r="D523" t="str">
        <f>TableMJRUSCHB1[[#This Row],[Structure Line]]</f>
        <v>Choose Your Minor Teaching Area Stream</v>
      </c>
      <c r="E523" s="81">
        <f>TableMJRUSCHB1[[#This Row],[Credit Points]]</f>
        <v>150</v>
      </c>
      <c r="F523">
        <v>3</v>
      </c>
      <c r="G523" t="s">
        <v>140</v>
      </c>
      <c r="H523">
        <v>1</v>
      </c>
      <c r="I523" t="s">
        <v>1212</v>
      </c>
      <c r="J523" t="s">
        <v>1157</v>
      </c>
      <c r="K523">
        <v>0</v>
      </c>
      <c r="L523" t="s">
        <v>1158</v>
      </c>
      <c r="M523">
        <v>150</v>
      </c>
      <c r="N523" s="125"/>
      <c r="O523" s="125"/>
      <c r="R523" t="s">
        <v>461</v>
      </c>
      <c r="S523">
        <v>1</v>
      </c>
    </row>
    <row r="524" spans="1:19" x14ac:dyDescent="0.25">
      <c r="A524" t="str">
        <f>TableMJRUSCHB1[[#This Row],[Study Package Code]]</f>
        <v>EDSC4022</v>
      </c>
      <c r="B524" s="5">
        <f>TableMJRUSCHB1[[#This Row],[Ver]]</f>
        <v>1</v>
      </c>
      <c r="D524" t="str">
        <f>TableMJRUSCHB1[[#This Row],[Structure Line]]</f>
        <v>Curriculum and Instruction Lower Secondary: Science</v>
      </c>
      <c r="E524" s="81">
        <f>TableMJRUSCHB1[[#This Row],[Credit Points]]</f>
        <v>25</v>
      </c>
      <c r="F524">
        <v>4</v>
      </c>
      <c r="G524" t="s">
        <v>1208</v>
      </c>
      <c r="H524">
        <v>2</v>
      </c>
      <c r="I524" t="s">
        <v>1209</v>
      </c>
      <c r="J524" t="s">
        <v>461</v>
      </c>
      <c r="K524">
        <v>1</v>
      </c>
      <c r="L524" t="s">
        <v>946</v>
      </c>
      <c r="M524">
        <v>25</v>
      </c>
      <c r="N524" s="125">
        <v>43466</v>
      </c>
      <c r="O524" s="125"/>
      <c r="R524" t="s">
        <v>480</v>
      </c>
      <c r="S524">
        <v>1</v>
      </c>
    </row>
    <row r="525" spans="1:19" x14ac:dyDescent="0.25">
      <c r="A525" t="str">
        <f>TableMJRUSCHB1[[#This Row],[Study Package Code]]</f>
        <v>HUMB1001</v>
      </c>
      <c r="B525" s="5">
        <f>TableMJRUSCHB1[[#This Row],[Ver]]</f>
        <v>1</v>
      </c>
      <c r="D525" t="str">
        <f>TableMJRUSCHB1[[#This Row],[Structure Line]]</f>
        <v>Integrated Systems Anatomy and Physiology</v>
      </c>
      <c r="E525" s="81">
        <f>TableMJRUSCHB1[[#This Row],[Credit Points]]</f>
        <v>25</v>
      </c>
      <c r="F525">
        <v>5</v>
      </c>
      <c r="G525" t="s">
        <v>1208</v>
      </c>
      <c r="H525">
        <v>2</v>
      </c>
      <c r="I525" t="s">
        <v>1209</v>
      </c>
      <c r="J525" t="s">
        <v>480</v>
      </c>
      <c r="K525">
        <v>1</v>
      </c>
      <c r="L525" t="s">
        <v>1024</v>
      </c>
      <c r="M525">
        <v>25</v>
      </c>
      <c r="N525" s="125">
        <v>42005</v>
      </c>
      <c r="O525" s="125"/>
      <c r="R525" t="s">
        <v>483</v>
      </c>
      <c r="S525">
        <v>2</v>
      </c>
    </row>
    <row r="526" spans="1:19" x14ac:dyDescent="0.25">
      <c r="A526" t="str">
        <f>TableMJRUSCHB1[[#This Row],[Study Package Code]]</f>
        <v>EDSC4023</v>
      </c>
      <c r="B526" s="5">
        <f>TableMJRUSCHB1[[#This Row],[Ver]]</f>
        <v>2</v>
      </c>
      <c r="D526" t="str">
        <f>TableMJRUSCHB1[[#This Row],[Structure Line]]</f>
        <v>Curriculum and Instruction Senior Secondary: Science</v>
      </c>
      <c r="E526" s="81">
        <f>TableMJRUSCHB1[[#This Row],[Credit Points]]</f>
        <v>25</v>
      </c>
      <c r="F526">
        <v>6</v>
      </c>
      <c r="G526" t="s">
        <v>1208</v>
      </c>
      <c r="H526">
        <v>2</v>
      </c>
      <c r="I526" t="s">
        <v>1212</v>
      </c>
      <c r="J526" t="s">
        <v>483</v>
      </c>
      <c r="K526">
        <v>2</v>
      </c>
      <c r="L526" t="s">
        <v>947</v>
      </c>
      <c r="M526">
        <v>25</v>
      </c>
      <c r="N526" s="125">
        <v>43831</v>
      </c>
      <c r="O526" s="125"/>
      <c r="R526" t="s">
        <v>504</v>
      </c>
      <c r="S526">
        <v>1</v>
      </c>
    </row>
    <row r="527" spans="1:19" x14ac:dyDescent="0.25">
      <c r="A527" t="str">
        <f>TableMJRUSCHB1[[#This Row],[Study Package Code]]</f>
        <v>HUMB2012</v>
      </c>
      <c r="B527" s="5">
        <f>TableMJRUSCHB1[[#This Row],[Ver]]</f>
        <v>1</v>
      </c>
      <c r="D527" t="str">
        <f>TableMJRUSCHB1[[#This Row],[Structure Line]]</f>
        <v>Physiological Processes</v>
      </c>
      <c r="E527" s="81">
        <f>TableMJRUSCHB1[[#This Row],[Credit Points]]</f>
        <v>25</v>
      </c>
      <c r="F527">
        <v>7</v>
      </c>
      <c r="G527" t="s">
        <v>1208</v>
      </c>
      <c r="H527">
        <v>2</v>
      </c>
      <c r="I527" t="s">
        <v>1212</v>
      </c>
      <c r="J527" t="s">
        <v>504</v>
      </c>
      <c r="K527">
        <v>1</v>
      </c>
      <c r="L527" t="s">
        <v>1032</v>
      </c>
      <c r="M527">
        <v>25</v>
      </c>
      <c r="N527" s="125">
        <v>44197</v>
      </c>
      <c r="O527" s="125"/>
      <c r="R527" t="s">
        <v>1248</v>
      </c>
      <c r="S527">
        <v>1</v>
      </c>
    </row>
    <row r="528" spans="1:19" x14ac:dyDescent="0.25">
      <c r="A528" t="str">
        <f>TableMJRUSCHB1[[#This Row],[Study Package Code]]</f>
        <v>HUMB2013</v>
      </c>
      <c r="B528" s="5">
        <f>TableMJRUSCHB1[[#This Row],[Ver]]</f>
        <v>1</v>
      </c>
      <c r="D528" t="str">
        <f>TableMJRUSCHB1[[#This Row],[Structure Line]]</f>
        <v>Trunk Anatomy and Embryology</v>
      </c>
      <c r="E528" s="81">
        <f>TableMJRUSCHB1[[#This Row],[Credit Points]]</f>
        <v>25</v>
      </c>
      <c r="F528">
        <v>8</v>
      </c>
      <c r="G528" t="s">
        <v>1208</v>
      </c>
      <c r="H528">
        <v>3</v>
      </c>
      <c r="I528" t="s">
        <v>1209</v>
      </c>
      <c r="J528" t="s">
        <v>518</v>
      </c>
      <c r="K528">
        <v>1</v>
      </c>
      <c r="L528" t="s">
        <v>1033</v>
      </c>
      <c r="M528">
        <v>25</v>
      </c>
      <c r="N528" s="125">
        <v>44197</v>
      </c>
      <c r="O528" s="125"/>
      <c r="R528" t="s">
        <v>1287</v>
      </c>
      <c r="S528">
        <v>0</v>
      </c>
    </row>
    <row r="529" spans="1:19" x14ac:dyDescent="0.25">
      <c r="A529" t="str">
        <f>TableMJRUSCHB1[[#This Row],[Study Package Code]]</f>
        <v>MEDS3005</v>
      </c>
      <c r="B529" s="5">
        <f>TableMJRUSCHB1[[#This Row],[Ver]]</f>
        <v>1</v>
      </c>
      <c r="D529" t="str">
        <f>TableMJRUSCHB1[[#This Row],[Structure Line]]</f>
        <v>Human Reproductive Science</v>
      </c>
      <c r="E529" s="81">
        <f>TableMJRUSCHB1[[#This Row],[Credit Points]]</f>
        <v>25</v>
      </c>
      <c r="F529">
        <v>9</v>
      </c>
      <c r="G529" t="s">
        <v>1208</v>
      </c>
      <c r="H529">
        <v>3</v>
      </c>
      <c r="I529" t="s">
        <v>1212</v>
      </c>
      <c r="J529" t="s">
        <v>533</v>
      </c>
      <c r="K529">
        <v>1</v>
      </c>
      <c r="L529" t="s">
        <v>1066</v>
      </c>
      <c r="M529">
        <v>25</v>
      </c>
      <c r="N529" s="125">
        <v>44197</v>
      </c>
      <c r="O529" s="125"/>
      <c r="R529" t="s">
        <v>533</v>
      </c>
      <c r="S529">
        <v>1</v>
      </c>
    </row>
    <row r="530" spans="1:19" x14ac:dyDescent="0.25">
      <c r="A530" t="str">
        <f>TableMJRUSCHB1[[#This Row],[Study Package Code]]</f>
        <v>EDSC3011</v>
      </c>
      <c r="B530" s="5">
        <f>TableMJRUSCHB1[[#This Row],[Ver]]</f>
        <v>1</v>
      </c>
      <c r="D530" t="str">
        <f>TableMJRUSCHB1[[#This Row],[Structure Line]]</f>
        <v>Species Evolution Over Time</v>
      </c>
      <c r="E530" s="81">
        <f>TableMJRUSCHB1[[#This Row],[Credit Points]]</f>
        <v>25</v>
      </c>
      <c r="F530">
        <v>10</v>
      </c>
      <c r="G530" t="s">
        <v>1208</v>
      </c>
      <c r="H530">
        <v>4</v>
      </c>
      <c r="I530" t="s">
        <v>1209</v>
      </c>
      <c r="J530" t="s">
        <v>546</v>
      </c>
      <c r="K530">
        <v>1</v>
      </c>
      <c r="L530" t="s">
        <v>938</v>
      </c>
      <c r="M530">
        <v>25</v>
      </c>
      <c r="N530" s="125">
        <v>44927</v>
      </c>
      <c r="O530" s="125"/>
      <c r="R530" t="s">
        <v>546</v>
      </c>
      <c r="S530">
        <v>1</v>
      </c>
    </row>
    <row r="531" spans="1:19" x14ac:dyDescent="0.25">
      <c r="A531" t="str">
        <f>TableMJRUSCHB1[[#This Row],[Study Package Code]]</f>
        <v>HUMB2011</v>
      </c>
      <c r="B531" s="5">
        <f>TableMJRUSCHB1[[#This Row],[Ver]]</f>
        <v>1</v>
      </c>
      <c r="D531" t="str">
        <f>TableMJRUSCHB1[[#This Row],[Structure Line]]</f>
        <v>Limb Anatomy and Biomechanics</v>
      </c>
      <c r="E531" s="81">
        <f>TableMJRUSCHB1[[#This Row],[Credit Points]]</f>
        <v>25</v>
      </c>
      <c r="F531">
        <v>1</v>
      </c>
      <c r="G531" t="s">
        <v>140</v>
      </c>
      <c r="H531">
        <v>0</v>
      </c>
      <c r="I531" t="s">
        <v>1221</v>
      </c>
      <c r="J531" t="s">
        <v>574</v>
      </c>
      <c r="K531">
        <v>1</v>
      </c>
      <c r="L531" t="s">
        <v>1030</v>
      </c>
      <c r="M531">
        <v>25</v>
      </c>
      <c r="N531" s="125">
        <v>44197</v>
      </c>
      <c r="O531" s="125"/>
      <c r="R531" t="s">
        <v>102</v>
      </c>
      <c r="S531">
        <v>0</v>
      </c>
    </row>
    <row r="532" spans="1:19" x14ac:dyDescent="0.25">
      <c r="A532" t="str">
        <f>TableMJRUSCHB1[[#This Row],[Study Package Code]]</f>
        <v>HUMB2014</v>
      </c>
      <c r="B532" s="5">
        <f>TableMJRUSCHB1[[#This Row],[Ver]]</f>
        <v>1</v>
      </c>
      <c r="D532" t="str">
        <f>TableMJRUSCHB1[[#This Row],[Structure Line]]</f>
        <v>Vital Physiology</v>
      </c>
      <c r="E532" s="81">
        <f>TableMJRUSCHB1[[#This Row],[Credit Points]]</f>
        <v>25</v>
      </c>
      <c r="F532">
        <v>1</v>
      </c>
      <c r="G532" t="s">
        <v>140</v>
      </c>
      <c r="H532">
        <v>0</v>
      </c>
      <c r="I532" t="s">
        <v>1221</v>
      </c>
      <c r="J532" t="s">
        <v>586</v>
      </c>
      <c r="K532">
        <v>1</v>
      </c>
      <c r="L532" t="s">
        <v>1034</v>
      </c>
      <c r="M532">
        <v>25</v>
      </c>
      <c r="N532" s="125">
        <v>44197</v>
      </c>
      <c r="O532" s="125"/>
      <c r="R532" t="s">
        <v>1284</v>
      </c>
      <c r="S532">
        <v>2</v>
      </c>
    </row>
    <row r="533" spans="1:19" x14ac:dyDescent="0.25">
      <c r="A533" t="str">
        <f>TableMJRUSCHB1[[#This Row],[Study Package Code]]</f>
        <v>HUMB3009</v>
      </c>
      <c r="B533" s="5">
        <f>TableMJRUSCHB1[[#This Row],[Ver]]</f>
        <v>1</v>
      </c>
      <c r="D533" t="str">
        <f>TableMJRUSCHB1[[#This Row],[Structure Line]]</f>
        <v>Neuroanatomy</v>
      </c>
      <c r="E533" s="81">
        <f>TableMJRUSCHB1[[#This Row],[Credit Points]]</f>
        <v>25</v>
      </c>
      <c r="F533">
        <v>1</v>
      </c>
      <c r="G533" t="s">
        <v>140</v>
      </c>
      <c r="H533">
        <v>0</v>
      </c>
      <c r="I533" t="s">
        <v>1221</v>
      </c>
      <c r="J533" t="s">
        <v>591</v>
      </c>
      <c r="K533">
        <v>1</v>
      </c>
      <c r="L533" t="s">
        <v>1035</v>
      </c>
      <c r="M533">
        <v>25</v>
      </c>
      <c r="N533" s="125">
        <v>44197</v>
      </c>
      <c r="O533" s="125"/>
      <c r="R533" t="s">
        <v>353</v>
      </c>
      <c r="S533">
        <v>3</v>
      </c>
    </row>
    <row r="534" spans="1:19" x14ac:dyDescent="0.25">
      <c r="A534" t="str">
        <f>TableMJRUSCHB1[[#This Row],[Study Package Code]]</f>
        <v>MATH1014</v>
      </c>
      <c r="B534" s="5">
        <f>TableMJRUSCHB1[[#This Row],[Ver]]</f>
        <v>1</v>
      </c>
      <c r="D534" t="str">
        <f>TableMJRUSCHB1[[#This Row],[Structure Line]]</f>
        <v>Foundations of Calculus</v>
      </c>
      <c r="E534" s="81">
        <f>TableMJRUSCHB1[[#This Row],[Credit Points]]</f>
        <v>25</v>
      </c>
      <c r="F534">
        <v>1</v>
      </c>
      <c r="G534" t="s">
        <v>140</v>
      </c>
      <c r="H534">
        <v>0</v>
      </c>
      <c r="I534" t="s">
        <v>1221</v>
      </c>
      <c r="J534" t="s">
        <v>588</v>
      </c>
      <c r="K534">
        <v>1</v>
      </c>
      <c r="L534" t="s">
        <v>1051</v>
      </c>
      <c r="M534">
        <v>25</v>
      </c>
      <c r="N534" s="125">
        <v>42736</v>
      </c>
      <c r="O534" s="125"/>
      <c r="R534" t="s">
        <v>1251</v>
      </c>
      <c r="S534">
        <v>2</v>
      </c>
    </row>
    <row r="535" spans="1:19" x14ac:dyDescent="0.25">
      <c r="A535" t="str">
        <f>TableMJRUSCHB1[[#This Row],[Study Package Code]]</f>
        <v>STRU-ENGLM</v>
      </c>
      <c r="B535" s="5">
        <f>TableMJRUSCHB1[[#This Row],[Ver]]</f>
        <v>3</v>
      </c>
      <c r="D535" t="str">
        <f>TableMJRUSCHB1[[#This Row],[Structure Line]]</f>
        <v>English Education Minor Teaching Area Stream (BEd Secondary)</v>
      </c>
      <c r="E535" s="81">
        <f>TableMJRUSCHB1[[#This Row],[Credit Points]]</f>
        <v>150</v>
      </c>
      <c r="F535">
        <v>3</v>
      </c>
      <c r="G535" t="s">
        <v>140</v>
      </c>
      <c r="H535">
        <v>1</v>
      </c>
      <c r="I535" t="s">
        <v>1212</v>
      </c>
      <c r="J535" t="s">
        <v>353</v>
      </c>
      <c r="K535">
        <v>3</v>
      </c>
      <c r="L535" t="s">
        <v>413</v>
      </c>
      <c r="M535">
        <v>150</v>
      </c>
      <c r="N535" s="125">
        <v>44562</v>
      </c>
      <c r="O535" s="125"/>
      <c r="R535" t="s">
        <v>370</v>
      </c>
      <c r="S535">
        <v>2</v>
      </c>
    </row>
    <row r="536" spans="1:19" x14ac:dyDescent="0.25">
      <c r="A536" t="str">
        <f>TableMJRUSCHB1[[#This Row],[Study Package Code]]</f>
        <v>STRU-GEOGM</v>
      </c>
      <c r="B536" s="5">
        <f>TableMJRUSCHB1[[#This Row],[Ver]]</f>
        <v>1</v>
      </c>
      <c r="D536" t="str">
        <f>TableMJRUSCHB1[[#This Row],[Structure Line]]</f>
        <v>Geography Education Minor Teaching Area Stream (BEd Secondary)</v>
      </c>
      <c r="E536" s="81">
        <f>TableMJRUSCHB1[[#This Row],[Credit Points]]</f>
        <v>150</v>
      </c>
      <c r="F536">
        <v>3</v>
      </c>
      <c r="G536" t="s">
        <v>140</v>
      </c>
      <c r="H536">
        <v>1</v>
      </c>
      <c r="I536" t="s">
        <v>1212</v>
      </c>
      <c r="J536" t="s">
        <v>354</v>
      </c>
      <c r="K536">
        <v>1</v>
      </c>
      <c r="L536" t="s">
        <v>414</v>
      </c>
      <c r="M536">
        <v>150</v>
      </c>
      <c r="N536" s="125">
        <v>45658</v>
      </c>
      <c r="O536" s="125"/>
    </row>
    <row r="537" spans="1:19" x14ac:dyDescent="0.25">
      <c r="A537" t="str">
        <f>TableMJRUSCHB1[[#This Row],[Study Package Code]]</f>
        <v>STRU-HISTM</v>
      </c>
      <c r="B537" s="5">
        <f>TableMJRUSCHB1[[#This Row],[Ver]]</f>
        <v>1</v>
      </c>
      <c r="D537" t="str">
        <f>TableMJRUSCHB1[[#This Row],[Structure Line]]</f>
        <v>History Education Minor Teaching Area Stream (BEd Secondary)</v>
      </c>
      <c r="E537" s="81">
        <f>TableMJRUSCHB1[[#This Row],[Credit Points]]</f>
        <v>150</v>
      </c>
      <c r="F537">
        <v>3</v>
      </c>
      <c r="G537" t="s">
        <v>140</v>
      </c>
      <c r="H537">
        <v>1</v>
      </c>
      <c r="I537" t="s">
        <v>1212</v>
      </c>
      <c r="J537" t="s">
        <v>355</v>
      </c>
      <c r="K537">
        <v>1</v>
      </c>
      <c r="L537" t="s">
        <v>445</v>
      </c>
      <c r="M537">
        <v>150</v>
      </c>
      <c r="N537" s="125">
        <v>45658</v>
      </c>
      <c r="O537" s="125"/>
      <c r="R537" t="s">
        <v>356</v>
      </c>
      <c r="S537">
        <v>2</v>
      </c>
    </row>
    <row r="538" spans="1:19" x14ac:dyDescent="0.25">
      <c r="A538" t="str">
        <f>TableMJRUSCHB1[[#This Row],[Study Package Code]]</f>
        <v>STRU-HUMBB</v>
      </c>
      <c r="B538" s="5">
        <f>TableMJRUSCHB1[[#This Row],[Ver]]</f>
        <v>3</v>
      </c>
      <c r="D538" t="str">
        <f>TableMJRUSCHB1[[#This Row],[Structure Line]]</f>
        <v>Broadening Human Biology Teaching Area Stream (BEd Secondary)</v>
      </c>
      <c r="E538" s="81">
        <f>TableMJRUSCHB1[[#This Row],[Credit Points]]</f>
        <v>150</v>
      </c>
      <c r="F538">
        <v>3</v>
      </c>
      <c r="G538" t="s">
        <v>140</v>
      </c>
      <c r="H538">
        <v>1</v>
      </c>
      <c r="I538" t="s">
        <v>1212</v>
      </c>
      <c r="J538" t="s">
        <v>370</v>
      </c>
      <c r="K538">
        <v>3</v>
      </c>
      <c r="L538" t="s">
        <v>408</v>
      </c>
      <c r="M538">
        <v>150</v>
      </c>
      <c r="N538" s="125">
        <v>45658</v>
      </c>
      <c r="O538" s="125"/>
      <c r="R538" t="s">
        <v>361</v>
      </c>
      <c r="S538">
        <v>2</v>
      </c>
    </row>
    <row r="539" spans="1:19" x14ac:dyDescent="0.25">
      <c r="A539" t="str">
        <f>TableMJRUSCHB1[[#This Row],[Study Package Code]]</f>
        <v>STRU-MARTM</v>
      </c>
      <c r="B539" s="5">
        <f>TableMJRUSCHB1[[#This Row],[Ver]]</f>
        <v>1</v>
      </c>
      <c r="D539" t="str">
        <f>TableMJRUSCHB1[[#This Row],[Structure Line]]</f>
        <v>The Arts - Media Education Minor Teaching Area Stream (BEd Secondary)</v>
      </c>
      <c r="E539" s="81">
        <f>TableMJRUSCHB1[[#This Row],[Credit Points]]</f>
        <v>150</v>
      </c>
      <c r="F539">
        <v>3</v>
      </c>
      <c r="G539" t="s">
        <v>140</v>
      </c>
      <c r="H539">
        <v>1</v>
      </c>
      <c r="I539" t="s">
        <v>1212</v>
      </c>
      <c r="J539" t="s">
        <v>360</v>
      </c>
      <c r="K539">
        <v>1</v>
      </c>
      <c r="L539" t="s">
        <v>491</v>
      </c>
      <c r="M539">
        <v>150</v>
      </c>
      <c r="N539" s="125">
        <v>45658</v>
      </c>
      <c r="O539" s="125"/>
      <c r="R539" t="s">
        <v>1253</v>
      </c>
      <c r="S539">
        <v>2</v>
      </c>
    </row>
    <row r="540" spans="1:19" x14ac:dyDescent="0.25">
      <c r="A540" t="str">
        <f>TableMJRUSCHB1[[#This Row],[Study Package Code]]</f>
        <v>STRU-MATHM</v>
      </c>
      <c r="B540" s="5">
        <f>TableMJRUSCHB1[[#This Row],[Ver]]</f>
        <v>3</v>
      </c>
      <c r="D540" t="str">
        <f>TableMJRUSCHB1[[#This Row],[Structure Line]]</f>
        <v>Mathematics Education Minor Teaching Area Stream (BEd Secondary)</v>
      </c>
      <c r="E540" s="81">
        <f>TableMJRUSCHB1[[#This Row],[Credit Points]]</f>
        <v>150</v>
      </c>
      <c r="F540">
        <v>3</v>
      </c>
      <c r="G540" t="s">
        <v>140</v>
      </c>
      <c r="H540">
        <v>1</v>
      </c>
      <c r="I540" t="s">
        <v>1212</v>
      </c>
      <c r="J540" t="s">
        <v>356</v>
      </c>
      <c r="K540">
        <v>3</v>
      </c>
      <c r="L540" t="s">
        <v>213</v>
      </c>
      <c r="M540">
        <v>150</v>
      </c>
      <c r="N540" s="125">
        <v>45658</v>
      </c>
      <c r="O540" s="125"/>
      <c r="R540" t="s">
        <v>217</v>
      </c>
      <c r="S540">
        <v>2</v>
      </c>
    </row>
    <row r="541" spans="1:19" x14ac:dyDescent="0.25">
      <c r="A541" t="str">
        <f>TableMJRUSCHB1[[#This Row],[Study Package Code]]</f>
        <v>STRU-PARTM</v>
      </c>
      <c r="B541" s="5">
        <f>TableMJRUSCHB1[[#This Row],[Ver]]</f>
        <v>2</v>
      </c>
      <c r="D541" t="str">
        <f>TableMJRUSCHB1[[#This Row],[Structure Line]]</f>
        <v>The Arts - Performing Arts Education Minor Teaching Area Stream (BEd Secondary)</v>
      </c>
      <c r="E541" s="81">
        <f>TableMJRUSCHB1[[#This Row],[Credit Points]]</f>
        <v>150</v>
      </c>
      <c r="F541">
        <v>3</v>
      </c>
      <c r="G541" t="s">
        <v>140</v>
      </c>
      <c r="H541">
        <v>1</v>
      </c>
      <c r="I541" t="s">
        <v>1212</v>
      </c>
      <c r="J541" t="s">
        <v>361</v>
      </c>
      <c r="K541">
        <v>2</v>
      </c>
      <c r="L541" t="s">
        <v>505</v>
      </c>
      <c r="M541">
        <v>150</v>
      </c>
      <c r="N541" s="125">
        <v>43466</v>
      </c>
      <c r="O541" s="125"/>
      <c r="R541" t="s">
        <v>574</v>
      </c>
      <c r="S541">
        <v>1</v>
      </c>
    </row>
    <row r="542" spans="1:19" x14ac:dyDescent="0.25">
      <c r="A542" t="str">
        <f>TableMJRUSCHB1[[#This Row],[Study Package Code]]</f>
        <v>STRU-VARTM</v>
      </c>
      <c r="B542" s="5">
        <f>TableMJRUSCHB1[[#This Row],[Ver]]</f>
        <v>3</v>
      </c>
      <c r="D542" t="str">
        <f>TableMJRUSCHB1[[#This Row],[Structure Line]]</f>
        <v>The Arts - Visual Arts Education Minor Teaching Area Stream (BEd Secondary)</v>
      </c>
      <c r="E542" s="81">
        <f>TableMJRUSCHB1[[#This Row],[Credit Points]]</f>
        <v>150</v>
      </c>
      <c r="F542">
        <v>3</v>
      </c>
      <c r="G542" t="s">
        <v>140</v>
      </c>
      <c r="H542">
        <v>1</v>
      </c>
      <c r="I542" t="s">
        <v>1212</v>
      </c>
      <c r="J542" t="s">
        <v>217</v>
      </c>
      <c r="K542">
        <v>3</v>
      </c>
      <c r="L542" t="s">
        <v>520</v>
      </c>
      <c r="M542">
        <v>150</v>
      </c>
      <c r="N542" s="125">
        <v>45658</v>
      </c>
      <c r="O542" s="125"/>
      <c r="R542" t="s">
        <v>518</v>
      </c>
      <c r="S542">
        <v>1</v>
      </c>
    </row>
    <row r="543" spans="1:19" x14ac:dyDescent="0.25">
      <c r="A543" s="78"/>
      <c r="B543" s="80"/>
      <c r="C543" s="78"/>
      <c r="D543" s="78"/>
      <c r="G543" s="79" t="s">
        <v>1194</v>
      </c>
      <c r="H543" s="272">
        <v>45658</v>
      </c>
      <c r="J543" s="274" t="s">
        <v>336</v>
      </c>
      <c r="K543" s="273">
        <v>1</v>
      </c>
      <c r="L543" s="274" t="s">
        <v>389</v>
      </c>
      <c r="M543" s="78"/>
      <c r="N543" s="198" t="s">
        <v>1195</v>
      </c>
      <c r="O543" s="125">
        <v>45541</v>
      </c>
    </row>
    <row r="544" spans="1:19" ht="31.5" x14ac:dyDescent="0.25">
      <c r="A544" s="97" t="s">
        <v>0</v>
      </c>
      <c r="B544" s="98" t="s">
        <v>1196</v>
      </c>
      <c r="C544" s="97" t="s">
        <v>1197</v>
      </c>
      <c r="D544" s="97" t="s">
        <v>3</v>
      </c>
      <c r="E544" s="99" t="s">
        <v>1198</v>
      </c>
      <c r="F544" s="97" t="s">
        <v>1199</v>
      </c>
      <c r="G544" s="97" t="s">
        <v>1200</v>
      </c>
      <c r="H544" s="97" t="s">
        <v>1201</v>
      </c>
      <c r="I544" s="97" t="s">
        <v>18</v>
      </c>
      <c r="J544" s="97" t="s">
        <v>1202</v>
      </c>
      <c r="K544" s="97" t="s">
        <v>1</v>
      </c>
      <c r="L544" s="97" t="s">
        <v>1203</v>
      </c>
      <c r="M544" s="97" t="s">
        <v>69</v>
      </c>
      <c r="N544" s="97" t="s">
        <v>1204</v>
      </c>
      <c r="O544" s="97" t="s">
        <v>1205</v>
      </c>
      <c r="R544" t="s">
        <v>1206</v>
      </c>
      <c r="S544" t="s">
        <v>1207</v>
      </c>
    </row>
    <row r="545" spans="1:19" x14ac:dyDescent="0.25">
      <c r="A545" t="str">
        <f>TableMJRUSCPH1[[#This Row],[Study Package Code]]</f>
        <v>MATH1016</v>
      </c>
      <c r="B545" s="5">
        <f>TableMJRUSCPH1[[#This Row],[Ver]]</f>
        <v>1</v>
      </c>
      <c r="D545" t="str">
        <f>TableMJRUSCPH1[[#This Row],[Structure Line]]</f>
        <v>Calculus 1</v>
      </c>
      <c r="E545" s="81">
        <f>TableMJRUSCPH1[[#This Row],[Credit Points]]</f>
        <v>25</v>
      </c>
      <c r="F545">
        <v>1</v>
      </c>
      <c r="G545" t="s">
        <v>1208</v>
      </c>
      <c r="H545">
        <v>1</v>
      </c>
      <c r="I545" t="s">
        <v>1212</v>
      </c>
      <c r="J545" t="s">
        <v>446</v>
      </c>
      <c r="K545">
        <v>1</v>
      </c>
      <c r="L545" t="s">
        <v>1054</v>
      </c>
      <c r="M545">
        <v>25</v>
      </c>
      <c r="N545" s="125">
        <v>42736</v>
      </c>
      <c r="O545" s="125"/>
      <c r="R545" t="s">
        <v>446</v>
      </c>
      <c r="S545">
        <v>1</v>
      </c>
    </row>
    <row r="546" spans="1:19" x14ac:dyDescent="0.25">
      <c r="A546" t="str">
        <f>TableMJRUSCPH1[[#This Row],[Study Package Code]]</f>
        <v>MATH1015</v>
      </c>
      <c r="B546" s="5">
        <f>TableMJRUSCPH1[[#This Row],[Ver]]</f>
        <v>1</v>
      </c>
      <c r="D546" t="str">
        <f>TableMJRUSCPH1[[#This Row],[Structure Line]]</f>
        <v>Linear Algebra 1</v>
      </c>
      <c r="E546" s="81">
        <f>TableMJRUSCPH1[[#This Row],[Credit Points]]</f>
        <v>25</v>
      </c>
      <c r="F546">
        <v>2</v>
      </c>
      <c r="G546" t="s">
        <v>1208</v>
      </c>
      <c r="H546">
        <v>1</v>
      </c>
      <c r="I546" t="s">
        <v>1212</v>
      </c>
      <c r="J546" t="s">
        <v>501</v>
      </c>
      <c r="K546">
        <v>1</v>
      </c>
      <c r="L546" t="s">
        <v>1053</v>
      </c>
      <c r="M546">
        <v>25</v>
      </c>
      <c r="N546" s="125">
        <v>42736</v>
      </c>
      <c r="O546" s="125"/>
      <c r="R546" t="s">
        <v>501</v>
      </c>
      <c r="S546">
        <v>1</v>
      </c>
    </row>
    <row r="547" spans="1:19" x14ac:dyDescent="0.25">
      <c r="A547" t="str">
        <f>TableMJRUSCPH1[[#This Row],[Study Package Code]]</f>
        <v>EDSC4022</v>
      </c>
      <c r="B547" s="5">
        <f>TableMJRUSCPH1[[#This Row],[Ver]]</f>
        <v>1</v>
      </c>
      <c r="D547" t="str">
        <f>TableMJRUSCPH1[[#This Row],[Structure Line]]</f>
        <v>Curriculum and Instruction Lower Secondary: Science</v>
      </c>
      <c r="E547" s="81">
        <f>TableMJRUSCPH1[[#This Row],[Credit Points]]</f>
        <v>25</v>
      </c>
      <c r="F547">
        <v>3</v>
      </c>
      <c r="G547" t="s">
        <v>1208</v>
      </c>
      <c r="H547">
        <v>2</v>
      </c>
      <c r="I547" t="s">
        <v>1209</v>
      </c>
      <c r="J547" t="s">
        <v>461</v>
      </c>
      <c r="K547">
        <v>1</v>
      </c>
      <c r="L547" t="s">
        <v>946</v>
      </c>
      <c r="M547">
        <v>25</v>
      </c>
      <c r="N547" s="125">
        <v>43466</v>
      </c>
      <c r="O547" s="125"/>
      <c r="R547" t="s">
        <v>571</v>
      </c>
      <c r="S547">
        <v>2</v>
      </c>
    </row>
    <row r="548" spans="1:19" x14ac:dyDescent="0.25">
      <c r="A548" t="str">
        <f>TableMJRUSCPH1[[#This Row],[Study Package Code]]</f>
        <v>STAT1004</v>
      </c>
      <c r="B548" s="5">
        <f>TableMJRUSCPH1[[#This Row],[Ver]]</f>
        <v>2</v>
      </c>
      <c r="D548" t="str">
        <f>TableMJRUSCPH1[[#This Row],[Structure Line]]</f>
        <v>Introduction to Scientific Data Analysis</v>
      </c>
      <c r="E548" s="81">
        <f>TableMJRUSCPH1[[#This Row],[Credit Points]]</f>
        <v>25</v>
      </c>
      <c r="F548">
        <v>4</v>
      </c>
      <c r="G548" t="s">
        <v>1208</v>
      </c>
      <c r="H548">
        <v>2</v>
      </c>
      <c r="I548" t="s">
        <v>1209</v>
      </c>
      <c r="J548" t="s">
        <v>468</v>
      </c>
      <c r="K548">
        <v>2</v>
      </c>
      <c r="L548" t="s">
        <v>1148</v>
      </c>
      <c r="M548">
        <v>25</v>
      </c>
      <c r="N548" s="125">
        <v>44197</v>
      </c>
      <c r="O548" s="125"/>
      <c r="R548" t="s">
        <v>461</v>
      </c>
      <c r="S548">
        <v>1</v>
      </c>
    </row>
    <row r="549" spans="1:19" x14ac:dyDescent="0.25">
      <c r="A549" t="str">
        <f>TableMJRUSCPH1[[#This Row],[Study Package Code]]</f>
        <v>PHYS1005</v>
      </c>
      <c r="B549" s="5">
        <f>TableMJRUSCPH1[[#This Row],[Ver]]</f>
        <v>1</v>
      </c>
      <c r="D549" t="str">
        <f>TableMJRUSCPH1[[#This Row],[Structure Line]]</f>
        <v>Physics 1</v>
      </c>
      <c r="E549" s="81">
        <f>TableMJRUSCPH1[[#This Row],[Credit Points]]</f>
        <v>25</v>
      </c>
      <c r="F549">
        <v>5</v>
      </c>
      <c r="G549" t="s">
        <v>1208</v>
      </c>
      <c r="H549">
        <v>2</v>
      </c>
      <c r="I549" t="s">
        <v>1209</v>
      </c>
      <c r="J549" t="s">
        <v>702</v>
      </c>
      <c r="K549">
        <v>1</v>
      </c>
      <c r="L549" t="s">
        <v>1097</v>
      </c>
      <c r="M549">
        <v>25</v>
      </c>
      <c r="N549" s="125">
        <v>42005</v>
      </c>
      <c r="O549" s="125"/>
      <c r="R549" t="s">
        <v>702</v>
      </c>
      <c r="S549">
        <v>1</v>
      </c>
    </row>
    <row r="550" spans="1:19" x14ac:dyDescent="0.25">
      <c r="A550" t="str">
        <f>TableMJRUSCPH1[[#This Row],[Study Package Code]]</f>
        <v>EDSC4023</v>
      </c>
      <c r="B550" s="5">
        <f>TableMJRUSCPH1[[#This Row],[Ver]]</f>
        <v>2</v>
      </c>
      <c r="D550" t="str">
        <f>TableMJRUSCPH1[[#This Row],[Structure Line]]</f>
        <v>Curriculum and Instruction Senior Secondary: Science</v>
      </c>
      <c r="E550" s="81">
        <f>TableMJRUSCPH1[[#This Row],[Credit Points]]</f>
        <v>25</v>
      </c>
      <c r="F550">
        <v>6</v>
      </c>
      <c r="G550" t="s">
        <v>1208</v>
      </c>
      <c r="H550">
        <v>2</v>
      </c>
      <c r="I550" t="s">
        <v>1212</v>
      </c>
      <c r="J550" t="s">
        <v>483</v>
      </c>
      <c r="K550">
        <v>2</v>
      </c>
      <c r="L550" t="s">
        <v>947</v>
      </c>
      <c r="M550">
        <v>25</v>
      </c>
      <c r="N550" s="125">
        <v>43831</v>
      </c>
      <c r="O550" s="125"/>
      <c r="R550" t="s">
        <v>483</v>
      </c>
      <c r="S550">
        <v>2</v>
      </c>
    </row>
    <row r="551" spans="1:19" x14ac:dyDescent="0.25">
      <c r="A551" t="str">
        <f>TableMJRUSCPH1[[#This Row],[Study Package Code]]</f>
        <v>MATH2010</v>
      </c>
      <c r="B551" s="5">
        <f>TableMJRUSCPH1[[#This Row],[Ver]]</f>
        <v>2</v>
      </c>
      <c r="D551" t="str">
        <f>TableMJRUSCPH1[[#This Row],[Structure Line]]</f>
        <v>Linear Algebra 2</v>
      </c>
      <c r="E551" s="81">
        <f>TableMJRUSCPH1[[#This Row],[Credit Points]]</f>
        <v>25</v>
      </c>
      <c r="F551">
        <v>7</v>
      </c>
      <c r="G551" t="s">
        <v>1208</v>
      </c>
      <c r="H551">
        <v>2</v>
      </c>
      <c r="I551" t="s">
        <v>1212</v>
      </c>
      <c r="J551" t="s">
        <v>492</v>
      </c>
      <c r="K551">
        <v>2</v>
      </c>
      <c r="L551" t="s">
        <v>1057</v>
      </c>
      <c r="M551">
        <v>25</v>
      </c>
      <c r="N551" s="125">
        <v>42736</v>
      </c>
      <c r="O551" s="125"/>
      <c r="R551" t="s">
        <v>748</v>
      </c>
      <c r="S551">
        <v>1</v>
      </c>
    </row>
    <row r="552" spans="1:19" x14ac:dyDescent="0.25">
      <c r="A552" t="str">
        <f>TableMJRUSCPH1[[#This Row],[Study Package Code]]</f>
        <v>PHYS1007</v>
      </c>
      <c r="B552" s="5">
        <f>TableMJRUSCPH1[[#This Row],[Ver]]</f>
        <v>2</v>
      </c>
      <c r="D552" t="str">
        <f>TableMJRUSCPH1[[#This Row],[Structure Line]]</f>
        <v>Physics 2</v>
      </c>
      <c r="E552" s="81">
        <f>TableMJRUSCPH1[[#This Row],[Credit Points]]</f>
        <v>25</v>
      </c>
      <c r="F552">
        <v>8</v>
      </c>
      <c r="G552" t="s">
        <v>1208</v>
      </c>
      <c r="H552">
        <v>2</v>
      </c>
      <c r="I552" t="s">
        <v>1212</v>
      </c>
      <c r="J552" t="s">
        <v>710</v>
      </c>
      <c r="K552">
        <v>2</v>
      </c>
      <c r="L552" t="s">
        <v>1099</v>
      </c>
      <c r="M552">
        <v>25</v>
      </c>
      <c r="N552" s="125">
        <v>45292</v>
      </c>
      <c r="O552" s="125"/>
      <c r="R552" t="s">
        <v>710</v>
      </c>
      <c r="S552">
        <v>1</v>
      </c>
    </row>
    <row r="553" spans="1:19" x14ac:dyDescent="0.25">
      <c r="A553" t="str">
        <f>TableMJRUSCPH1[[#This Row],[Study Package Code]]</f>
        <v>PHYS2006</v>
      </c>
      <c r="B553" s="5">
        <f>TableMJRUSCPH1[[#This Row],[Ver]]</f>
        <v>1</v>
      </c>
      <c r="D553" t="str">
        <f>TableMJRUSCPH1[[#This Row],[Structure Line]]</f>
        <v>Classical Mechanics and Quantum Physics</v>
      </c>
      <c r="E553" s="81">
        <f>TableMJRUSCPH1[[#This Row],[Credit Points]]</f>
        <v>25</v>
      </c>
      <c r="F553">
        <v>9</v>
      </c>
      <c r="G553" t="s">
        <v>1208</v>
      </c>
      <c r="H553">
        <v>3</v>
      </c>
      <c r="I553" t="s">
        <v>1209</v>
      </c>
      <c r="J553" t="s">
        <v>718</v>
      </c>
      <c r="K553">
        <v>1</v>
      </c>
      <c r="L553" t="s">
        <v>1100</v>
      </c>
      <c r="M553">
        <v>25</v>
      </c>
      <c r="N553" s="125">
        <v>44197</v>
      </c>
      <c r="O553" s="125"/>
      <c r="R553" t="s">
        <v>718</v>
      </c>
      <c r="S553">
        <v>1</v>
      </c>
    </row>
    <row r="554" spans="1:19" x14ac:dyDescent="0.25">
      <c r="A554" t="str">
        <f>TableMJRUSCPH1[[#This Row],[Study Package Code]]</f>
        <v>EDSC4020</v>
      </c>
      <c r="B554" s="5">
        <f>TableMJRUSCPH1[[#This Row],[Ver]]</f>
        <v>1</v>
      </c>
      <c r="D554" t="str">
        <f>TableMJRUSCPH1[[#This Row],[Structure Line]]</f>
        <v>Curriculum and Instruction Lower Secondary: Mathematics</v>
      </c>
      <c r="E554" s="81">
        <f>TableMJRUSCPH1[[#This Row],[Credit Points]]</f>
        <v>25</v>
      </c>
      <c r="F554">
        <v>10</v>
      </c>
      <c r="G554" t="s">
        <v>1208</v>
      </c>
      <c r="H554">
        <v>3</v>
      </c>
      <c r="I554" t="s">
        <v>1209</v>
      </c>
      <c r="J554" t="s">
        <v>466</v>
      </c>
      <c r="K554">
        <v>1</v>
      </c>
      <c r="L554" t="s">
        <v>943</v>
      </c>
      <c r="M554">
        <v>25</v>
      </c>
      <c r="N554" s="125">
        <v>43466</v>
      </c>
      <c r="O554" s="125"/>
      <c r="R554" t="s">
        <v>466</v>
      </c>
      <c r="S554">
        <v>1</v>
      </c>
    </row>
    <row r="555" spans="1:19" x14ac:dyDescent="0.25">
      <c r="A555" t="str">
        <f>TableMJRUSCPH1[[#This Row],[Study Package Code]]</f>
        <v>MATH3011</v>
      </c>
      <c r="B555" s="5">
        <f>TableMJRUSCPH1[[#This Row],[Ver]]</f>
        <v>1</v>
      </c>
      <c r="D555" t="str">
        <f>TableMJRUSCPH1[[#This Row],[Structure Line]]</f>
        <v>Present and Future Mathematics</v>
      </c>
      <c r="E555" s="81">
        <f>TableMJRUSCPH1[[#This Row],[Credit Points]]</f>
        <v>25</v>
      </c>
      <c r="F555">
        <v>11</v>
      </c>
      <c r="G555" t="s">
        <v>1208</v>
      </c>
      <c r="H555">
        <v>3</v>
      </c>
      <c r="I555" t="s">
        <v>1209</v>
      </c>
      <c r="J555" t="s">
        <v>558</v>
      </c>
      <c r="K555">
        <v>1</v>
      </c>
      <c r="L555" t="s">
        <v>1061</v>
      </c>
      <c r="M555">
        <v>25</v>
      </c>
      <c r="N555" s="125">
        <v>44562</v>
      </c>
      <c r="O555" s="125"/>
      <c r="R555" t="s">
        <v>1248</v>
      </c>
      <c r="S555">
        <v>1</v>
      </c>
    </row>
    <row r="556" spans="1:19" x14ac:dyDescent="0.25">
      <c r="A556" t="str">
        <f>TableMJRUSCPH1[[#This Row],[Study Package Code]]</f>
        <v>EDSC4021</v>
      </c>
      <c r="B556" s="5">
        <f>TableMJRUSCPH1[[#This Row],[Ver]]</f>
        <v>2</v>
      </c>
      <c r="D556" t="str">
        <f>TableMJRUSCPH1[[#This Row],[Structure Line]]</f>
        <v>Curriculum and Instruction Senior Secondary: Mathematics</v>
      </c>
      <c r="E556" s="81">
        <f>TableMJRUSCPH1[[#This Row],[Credit Points]]</f>
        <v>25</v>
      </c>
      <c r="F556">
        <v>12</v>
      </c>
      <c r="G556" t="s">
        <v>1208</v>
      </c>
      <c r="H556">
        <v>3</v>
      </c>
      <c r="I556" t="s">
        <v>1212</v>
      </c>
      <c r="J556" t="s">
        <v>487</v>
      </c>
      <c r="K556">
        <v>2</v>
      </c>
      <c r="L556" t="s">
        <v>945</v>
      </c>
      <c r="M556">
        <v>25</v>
      </c>
      <c r="N556" s="125">
        <v>43831</v>
      </c>
      <c r="O556" s="125"/>
      <c r="R556" t="s">
        <v>476</v>
      </c>
      <c r="S556">
        <v>1</v>
      </c>
    </row>
    <row r="557" spans="1:19" x14ac:dyDescent="0.25">
      <c r="A557" t="str">
        <f>TableMJRUSCPH1[[#This Row],[Study Package Code]]</f>
        <v>ASTR2000</v>
      </c>
      <c r="B557" s="5">
        <f>TableMJRUSCPH1[[#This Row],[Ver]]</f>
        <v>1</v>
      </c>
      <c r="D557" t="str">
        <f>TableMJRUSCPH1[[#This Row],[Structure Line]]</f>
        <v>Physics of Stars and Galaxies</v>
      </c>
      <c r="E557" s="81">
        <f>TableMJRUSCPH1[[#This Row],[Credit Points]]</f>
        <v>25</v>
      </c>
      <c r="F557">
        <v>13</v>
      </c>
      <c r="G557" t="s">
        <v>1208</v>
      </c>
      <c r="H557">
        <v>3</v>
      </c>
      <c r="I557" t="s">
        <v>1212</v>
      </c>
      <c r="J557" t="s">
        <v>738</v>
      </c>
      <c r="K557">
        <v>1</v>
      </c>
      <c r="L557" t="s">
        <v>825</v>
      </c>
      <c r="M557">
        <v>25</v>
      </c>
      <c r="N557" s="125">
        <v>42005</v>
      </c>
      <c r="O557" s="125"/>
      <c r="R557" t="s">
        <v>1280</v>
      </c>
      <c r="S557">
        <v>1</v>
      </c>
    </row>
    <row r="558" spans="1:19" x14ac:dyDescent="0.25">
      <c r="A558" t="str">
        <f>TableMJRUSCPH1[[#This Row],[Study Package Code]]</f>
        <v>PHYS3009</v>
      </c>
      <c r="B558" s="5">
        <f>TableMJRUSCPH1[[#This Row],[Ver]]</f>
        <v>1</v>
      </c>
      <c r="D558" t="str">
        <f>TableMJRUSCPH1[[#This Row],[Structure Line]]</f>
        <v>Quantum Mechanics</v>
      </c>
      <c r="E558" s="81">
        <f>TableMJRUSCPH1[[#This Row],[Credit Points]]</f>
        <v>25</v>
      </c>
      <c r="F558">
        <v>14</v>
      </c>
      <c r="G558" t="s">
        <v>1208</v>
      </c>
      <c r="H558">
        <v>4</v>
      </c>
      <c r="I558" t="s">
        <v>1209</v>
      </c>
      <c r="J558" t="s">
        <v>535</v>
      </c>
      <c r="K558">
        <v>1</v>
      </c>
      <c r="L558" t="s">
        <v>1102</v>
      </c>
      <c r="M558">
        <v>25</v>
      </c>
      <c r="N558" s="125">
        <v>44562</v>
      </c>
      <c r="O558" s="125"/>
      <c r="R558" t="s">
        <v>487</v>
      </c>
      <c r="S558">
        <v>2</v>
      </c>
    </row>
    <row r="559" spans="1:19" x14ac:dyDescent="0.25">
      <c r="A559" t="str">
        <f>TableMJRUSCPH1[[#This Row],[Study Package Code]]</f>
        <v>AERO3000</v>
      </c>
      <c r="B559" s="5">
        <f>TableMJRUSCPH1[[#This Row],[Ver]]</f>
        <v>1</v>
      </c>
      <c r="D559" t="str">
        <f>TableMJRUSCPH1[[#This Row],[Structure Line]]</f>
        <v>Space Systems Design</v>
      </c>
      <c r="E559" s="81">
        <f>TableMJRUSCPH1[[#This Row],[Credit Points]]</f>
        <v>25</v>
      </c>
      <c r="F559">
        <v>15</v>
      </c>
      <c r="G559" t="s">
        <v>1208</v>
      </c>
      <c r="H559">
        <v>4</v>
      </c>
      <c r="I559" t="s">
        <v>1209</v>
      </c>
      <c r="J559" t="s">
        <v>549</v>
      </c>
      <c r="K559">
        <v>1</v>
      </c>
      <c r="L559" t="s">
        <v>813</v>
      </c>
      <c r="M559">
        <v>25</v>
      </c>
      <c r="N559" s="125">
        <v>44197</v>
      </c>
      <c r="O559" s="125"/>
      <c r="R559" t="s">
        <v>535</v>
      </c>
      <c r="S559">
        <v>1</v>
      </c>
    </row>
    <row r="560" spans="1:19" x14ac:dyDescent="0.25">
      <c r="A560">
        <f>TableMJRUSCPH1[[#This Row],[Study Package Code]]</f>
        <v>0</v>
      </c>
      <c r="B560" s="5">
        <f>TableMJRUSCPH1[[#This Row],[Ver]]</f>
        <v>0</v>
      </c>
      <c r="D560">
        <f>TableMJRUSCPH1[[#This Row],[Structure Line]]</f>
        <v>0</v>
      </c>
      <c r="E560" s="81">
        <f>TableMJRUSCPH1[[#This Row],[Credit Points]]</f>
        <v>0</v>
      </c>
      <c r="N560" s="125"/>
      <c r="O560" s="125"/>
      <c r="R560" t="s">
        <v>1288</v>
      </c>
      <c r="S560">
        <v>1</v>
      </c>
    </row>
    <row r="561" spans="1:19" x14ac:dyDescent="0.25">
      <c r="A561" s="78"/>
      <c r="B561" s="80"/>
      <c r="C561" s="78"/>
      <c r="D561" s="78"/>
      <c r="G561" s="79" t="s">
        <v>1194</v>
      </c>
      <c r="H561" s="272">
        <v>45658</v>
      </c>
      <c r="J561" s="274" t="s">
        <v>349</v>
      </c>
      <c r="K561" s="273">
        <v>1</v>
      </c>
      <c r="L561" s="274" t="s">
        <v>390</v>
      </c>
      <c r="M561" s="78"/>
      <c r="N561" s="198" t="s">
        <v>1195</v>
      </c>
      <c r="O561" s="125">
        <v>45541</v>
      </c>
    </row>
    <row r="562" spans="1:19" ht="31.5" x14ac:dyDescent="0.25">
      <c r="A562" s="97" t="s">
        <v>0</v>
      </c>
      <c r="B562" s="98" t="s">
        <v>1196</v>
      </c>
      <c r="C562" s="97" t="s">
        <v>1197</v>
      </c>
      <c r="D562" s="97" t="s">
        <v>3</v>
      </c>
      <c r="E562" s="99" t="s">
        <v>1198</v>
      </c>
      <c r="F562" s="97" t="s">
        <v>1199</v>
      </c>
      <c r="G562" s="97" t="s">
        <v>1200</v>
      </c>
      <c r="H562" s="97" t="s">
        <v>1201</v>
      </c>
      <c r="I562" s="97" t="s">
        <v>18</v>
      </c>
      <c r="J562" s="97" t="s">
        <v>1202</v>
      </c>
      <c r="K562" s="97" t="s">
        <v>1</v>
      </c>
      <c r="L562" s="97" t="s">
        <v>1203</v>
      </c>
      <c r="M562" s="97" t="s">
        <v>69</v>
      </c>
      <c r="N562" s="97" t="s">
        <v>1204</v>
      </c>
      <c r="O562" s="97" t="s">
        <v>1205</v>
      </c>
      <c r="R562" t="s">
        <v>1206</v>
      </c>
      <c r="S562" t="s">
        <v>1207</v>
      </c>
    </row>
    <row r="563" spans="1:19" x14ac:dyDescent="0.25">
      <c r="A563" t="str">
        <f>TableMJRUSCPS1[[#This Row],[Study Package Code]]</f>
        <v>Opt-SCPS1</v>
      </c>
      <c r="B563" s="5">
        <f>TableMJRUSCPS1[[#This Row],[Ver]]</f>
        <v>0</v>
      </c>
      <c r="D563" t="str">
        <f>TableMJRUSCPS1[[#This Row],[Structure Line]]</f>
        <v>Choose an Option</v>
      </c>
      <c r="E563" s="81">
        <f>TableMJRUSCPS1[[#This Row],[Credit Points]]</f>
        <v>25</v>
      </c>
      <c r="F563">
        <v>1</v>
      </c>
      <c r="G563" t="s">
        <v>140</v>
      </c>
      <c r="H563">
        <v>0</v>
      </c>
      <c r="I563" t="s">
        <v>1221</v>
      </c>
      <c r="J563" t="s">
        <v>563</v>
      </c>
      <c r="K563">
        <v>0</v>
      </c>
      <c r="L563" t="s">
        <v>1219</v>
      </c>
      <c r="M563">
        <v>25</v>
      </c>
      <c r="N563" s="125"/>
      <c r="O563" s="125"/>
      <c r="R563" t="s">
        <v>459</v>
      </c>
      <c r="S563">
        <v>1</v>
      </c>
    </row>
    <row r="564" spans="1:19" x14ac:dyDescent="0.25">
      <c r="A564" t="str">
        <f>TableMJRUSCPS1[[#This Row],[Study Package Code]]</f>
        <v>Stream</v>
      </c>
      <c r="B564" s="5">
        <f>TableMJRUSCPS1[[#This Row],[Ver]]</f>
        <v>0</v>
      </c>
      <c r="D564" t="str">
        <f>TableMJRUSCPS1[[#This Row],[Structure Line]]</f>
        <v>Choose Your Minor Teaching Area Stream</v>
      </c>
      <c r="E564" s="81">
        <f>TableMJRUSCPS1[[#This Row],[Credit Points]]</f>
        <v>150</v>
      </c>
      <c r="F564">
        <v>2</v>
      </c>
      <c r="G564" t="s">
        <v>140</v>
      </c>
      <c r="H564">
        <v>1</v>
      </c>
      <c r="I564" t="s">
        <v>1212</v>
      </c>
      <c r="J564" t="s">
        <v>1157</v>
      </c>
      <c r="K564">
        <v>0</v>
      </c>
      <c r="L564" t="s">
        <v>1158</v>
      </c>
      <c r="M564">
        <v>150</v>
      </c>
      <c r="N564" s="125"/>
      <c r="O564" s="125"/>
      <c r="R564" t="s">
        <v>461</v>
      </c>
      <c r="S564">
        <v>1</v>
      </c>
    </row>
    <row r="565" spans="1:19" x14ac:dyDescent="0.25">
      <c r="A565" t="str">
        <f>TableMJRUSCPS1[[#This Row],[Study Package Code]]</f>
        <v>PSYC1001</v>
      </c>
      <c r="B565" s="5">
        <f>TableMJRUSCPS1[[#This Row],[Ver]]</f>
        <v>1</v>
      </c>
      <c r="D565" t="str">
        <f>TableMJRUSCPS1[[#This Row],[Structure Line]]</f>
        <v>Foundations of Psychology</v>
      </c>
      <c r="E565" s="81">
        <f>TableMJRUSCPS1[[#This Row],[Credit Points]]</f>
        <v>25</v>
      </c>
      <c r="F565">
        <v>3</v>
      </c>
      <c r="G565" t="s">
        <v>1208</v>
      </c>
      <c r="H565">
        <v>1</v>
      </c>
      <c r="I565" t="s">
        <v>1212</v>
      </c>
      <c r="J565" t="s">
        <v>459</v>
      </c>
      <c r="K565">
        <v>1</v>
      </c>
      <c r="L565" t="s">
        <v>1105</v>
      </c>
      <c r="M565">
        <v>25</v>
      </c>
      <c r="N565" s="125">
        <v>42005</v>
      </c>
      <c r="O565" s="125"/>
      <c r="R565" t="s">
        <v>481</v>
      </c>
      <c r="S565">
        <v>1</v>
      </c>
    </row>
    <row r="566" spans="1:19" x14ac:dyDescent="0.25">
      <c r="A566" t="str">
        <f>TableMJRUSCPS1[[#This Row],[Study Package Code]]</f>
        <v>EDSC4022</v>
      </c>
      <c r="B566" s="5">
        <f>TableMJRUSCPS1[[#This Row],[Ver]]</f>
        <v>1</v>
      </c>
      <c r="D566" t="str">
        <f>TableMJRUSCPS1[[#This Row],[Structure Line]]</f>
        <v>Curriculum and Instruction Lower Secondary: Science</v>
      </c>
      <c r="E566" s="81">
        <f>TableMJRUSCPS1[[#This Row],[Credit Points]]</f>
        <v>25</v>
      </c>
      <c r="F566">
        <v>4</v>
      </c>
      <c r="G566" t="s">
        <v>1208</v>
      </c>
      <c r="H566">
        <v>2</v>
      </c>
      <c r="I566" t="s">
        <v>1209</v>
      </c>
      <c r="J566" t="s">
        <v>461</v>
      </c>
      <c r="K566">
        <v>1</v>
      </c>
      <c r="L566" t="s">
        <v>946</v>
      </c>
      <c r="M566">
        <v>25</v>
      </c>
      <c r="N566" s="125">
        <v>43466</v>
      </c>
      <c r="O566" s="125"/>
      <c r="R566" t="s">
        <v>483</v>
      </c>
      <c r="S566">
        <v>2</v>
      </c>
    </row>
    <row r="567" spans="1:19" x14ac:dyDescent="0.25">
      <c r="A567" t="str">
        <f>TableMJRUSCPS1[[#This Row],[Study Package Code]]</f>
        <v>PSYC1000</v>
      </c>
      <c r="B567" s="5">
        <f>TableMJRUSCPS1[[#This Row],[Ver]]</f>
        <v>1</v>
      </c>
      <c r="D567" t="str">
        <f>TableMJRUSCPS1[[#This Row],[Structure Line]]</f>
        <v>Introduction to Psychology</v>
      </c>
      <c r="E567" s="81">
        <f>TableMJRUSCPS1[[#This Row],[Credit Points]]</f>
        <v>25</v>
      </c>
      <c r="F567">
        <v>5</v>
      </c>
      <c r="G567" t="s">
        <v>1208</v>
      </c>
      <c r="H567">
        <v>2</v>
      </c>
      <c r="I567" t="s">
        <v>1209</v>
      </c>
      <c r="J567" t="s">
        <v>481</v>
      </c>
      <c r="K567">
        <v>1</v>
      </c>
      <c r="L567" t="s">
        <v>1104</v>
      </c>
      <c r="M567">
        <v>25</v>
      </c>
      <c r="N567" s="125">
        <v>42005</v>
      </c>
      <c r="O567" s="125"/>
      <c r="R567" t="s">
        <v>614</v>
      </c>
      <c r="S567">
        <v>1</v>
      </c>
    </row>
    <row r="568" spans="1:19" x14ac:dyDescent="0.25">
      <c r="A568" t="str">
        <f>TableMJRUSCPS1[[#This Row],[Study Package Code]]</f>
        <v>PSYC2003</v>
      </c>
      <c r="B568" s="5">
        <f>TableMJRUSCPS1[[#This Row],[Ver]]</f>
        <v>1</v>
      </c>
      <c r="D568" t="str">
        <f>TableMJRUSCPS1[[#This Row],[Structure Line]]</f>
        <v>Child Developmental Psychology</v>
      </c>
      <c r="E568" s="81">
        <f>TableMJRUSCPS1[[#This Row],[Credit Points]]</f>
        <v>25</v>
      </c>
      <c r="F568">
        <v>6</v>
      </c>
      <c r="G568" t="s">
        <v>1208</v>
      </c>
      <c r="H568">
        <v>2</v>
      </c>
      <c r="I568" t="s">
        <v>1212</v>
      </c>
      <c r="J568" t="s">
        <v>490</v>
      </c>
      <c r="K568">
        <v>1</v>
      </c>
      <c r="L568" t="s">
        <v>1112</v>
      </c>
      <c r="M568">
        <v>25</v>
      </c>
      <c r="N568" s="125">
        <v>42005</v>
      </c>
      <c r="O568" s="125"/>
      <c r="R568" t="s">
        <v>1248</v>
      </c>
      <c r="S568">
        <v>1</v>
      </c>
    </row>
    <row r="569" spans="1:19" x14ac:dyDescent="0.25">
      <c r="A569" t="str">
        <f>TableMJRUSCPS1[[#This Row],[Study Package Code]]</f>
        <v>EDSC4023</v>
      </c>
      <c r="B569" s="5">
        <f>TableMJRUSCPS1[[#This Row],[Ver]]</f>
        <v>2</v>
      </c>
      <c r="D569" t="str">
        <f>TableMJRUSCPS1[[#This Row],[Structure Line]]</f>
        <v>Curriculum and Instruction Senior Secondary: Science</v>
      </c>
      <c r="E569" s="81">
        <f>TableMJRUSCPS1[[#This Row],[Credit Points]]</f>
        <v>25</v>
      </c>
      <c r="F569">
        <v>7</v>
      </c>
      <c r="G569" t="s">
        <v>1208</v>
      </c>
      <c r="H569">
        <v>2</v>
      </c>
      <c r="I569" t="s">
        <v>1212</v>
      </c>
      <c r="J569" t="s">
        <v>483</v>
      </c>
      <c r="K569">
        <v>2</v>
      </c>
      <c r="L569" t="s">
        <v>947</v>
      </c>
      <c r="M569">
        <v>25</v>
      </c>
      <c r="N569" s="125">
        <v>43831</v>
      </c>
      <c r="O569" s="125"/>
      <c r="R569" t="s">
        <v>519</v>
      </c>
      <c r="S569">
        <v>1</v>
      </c>
    </row>
    <row r="570" spans="1:19" x14ac:dyDescent="0.25">
      <c r="A570" t="str">
        <f>TableMJRUSCPS1[[#This Row],[Study Package Code]]</f>
        <v>PSYC2001</v>
      </c>
      <c r="B570" s="5">
        <f>TableMJRUSCPS1[[#This Row],[Ver]]</f>
        <v>1</v>
      </c>
      <c r="D570" t="str">
        <f>TableMJRUSCPS1[[#This Row],[Structure Line]]</f>
        <v>Social Psychology</v>
      </c>
      <c r="E570" s="81">
        <f>TableMJRUSCPS1[[#This Row],[Credit Points]]</f>
        <v>25</v>
      </c>
      <c r="F570">
        <v>8</v>
      </c>
      <c r="G570" t="s">
        <v>1208</v>
      </c>
      <c r="H570">
        <v>3</v>
      </c>
      <c r="I570" t="s">
        <v>1209</v>
      </c>
      <c r="J570" t="s">
        <v>519</v>
      </c>
      <c r="K570">
        <v>1</v>
      </c>
      <c r="L570" t="s">
        <v>1107</v>
      </c>
      <c r="M570">
        <v>25</v>
      </c>
      <c r="N570" s="125">
        <v>42005</v>
      </c>
      <c r="O570" s="125"/>
      <c r="R570" t="s">
        <v>534</v>
      </c>
      <c r="S570">
        <v>1</v>
      </c>
    </row>
    <row r="571" spans="1:19" x14ac:dyDescent="0.25">
      <c r="A571" t="str">
        <f>TableMJRUSCPS1[[#This Row],[Study Package Code]]</f>
        <v>PSYC3000</v>
      </c>
      <c r="B571" s="5">
        <f>TableMJRUSCPS1[[#This Row],[Ver]]</f>
        <v>1</v>
      </c>
      <c r="D571" t="str">
        <f>TableMJRUSCPS1[[#This Row],[Structure Line]]</f>
        <v>Indigenous and Cross Cultural Psychology</v>
      </c>
      <c r="E571" s="81">
        <f>TableMJRUSCPS1[[#This Row],[Credit Points]]</f>
        <v>25</v>
      </c>
      <c r="F571">
        <v>9</v>
      </c>
      <c r="G571" t="s">
        <v>1208</v>
      </c>
      <c r="H571">
        <v>3</v>
      </c>
      <c r="I571" t="s">
        <v>1212</v>
      </c>
      <c r="J571" t="s">
        <v>534</v>
      </c>
      <c r="K571">
        <v>1</v>
      </c>
      <c r="L571" t="s">
        <v>1115</v>
      </c>
      <c r="M571">
        <v>25</v>
      </c>
      <c r="N571" s="125">
        <v>42005</v>
      </c>
      <c r="O571" s="125"/>
      <c r="R571" t="s">
        <v>548</v>
      </c>
      <c r="S571">
        <v>1</v>
      </c>
    </row>
    <row r="572" spans="1:19" x14ac:dyDescent="0.25">
      <c r="A572" t="str">
        <f>TableMJRUSCPS1[[#This Row],[Study Package Code]]</f>
        <v>PSYT3000</v>
      </c>
      <c r="B572" s="5">
        <f>TableMJRUSCPS1[[#This Row],[Ver]]</f>
        <v>1</v>
      </c>
      <c r="D572" t="str">
        <f>TableMJRUSCPS1[[#This Row],[Structure Line]]</f>
        <v>Abnormal Psychology</v>
      </c>
      <c r="E572" s="81">
        <f>TableMJRUSCPS1[[#This Row],[Credit Points]]</f>
        <v>25</v>
      </c>
      <c r="F572">
        <v>10</v>
      </c>
      <c r="G572" t="s">
        <v>1208</v>
      </c>
      <c r="H572">
        <v>4</v>
      </c>
      <c r="I572" t="s">
        <v>1209</v>
      </c>
      <c r="J572" t="s">
        <v>548</v>
      </c>
      <c r="K572">
        <v>1</v>
      </c>
      <c r="L572" t="s">
        <v>1121</v>
      </c>
      <c r="M572">
        <v>25</v>
      </c>
      <c r="N572" s="125">
        <v>42005</v>
      </c>
      <c r="O572" s="125"/>
      <c r="R572" t="s">
        <v>102</v>
      </c>
      <c r="S572">
        <v>0</v>
      </c>
    </row>
    <row r="573" spans="1:19" x14ac:dyDescent="0.25">
      <c r="A573" t="str">
        <f>TableMJRUSCPS1[[#This Row],[Study Package Code]]</f>
        <v>MATH1014</v>
      </c>
      <c r="B573" s="5">
        <f>TableMJRUSCPS1[[#This Row],[Ver]]</f>
        <v>1</v>
      </c>
      <c r="D573" t="str">
        <f>TableMJRUSCPS1[[#This Row],[Structure Line]]</f>
        <v>Foundations of Calculus</v>
      </c>
      <c r="E573" s="81">
        <f>TableMJRUSCPS1[[#This Row],[Credit Points]]</f>
        <v>25</v>
      </c>
      <c r="F573">
        <v>1</v>
      </c>
      <c r="G573" t="s">
        <v>140</v>
      </c>
      <c r="H573">
        <v>0</v>
      </c>
      <c r="I573" t="s">
        <v>1221</v>
      </c>
      <c r="J573" t="s">
        <v>588</v>
      </c>
      <c r="K573">
        <v>1</v>
      </c>
      <c r="L573" t="s">
        <v>1051</v>
      </c>
      <c r="M573">
        <v>25</v>
      </c>
      <c r="N573" s="125">
        <v>42736</v>
      </c>
      <c r="O573" s="125"/>
      <c r="R573" t="s">
        <v>1157</v>
      </c>
      <c r="S573">
        <v>0</v>
      </c>
    </row>
    <row r="574" spans="1:19" x14ac:dyDescent="0.25">
      <c r="A574" t="str">
        <f>TableMJRUSCPS1[[#This Row],[Study Package Code]]</f>
        <v>PSYC2000</v>
      </c>
      <c r="B574" s="5">
        <f>TableMJRUSCPS1[[#This Row],[Ver]]</f>
        <v>1</v>
      </c>
      <c r="D574" t="str">
        <f>TableMJRUSCPS1[[#This Row],[Structure Line]]</f>
        <v>Psychology of Learning</v>
      </c>
      <c r="E574" s="81">
        <f>TableMJRUSCPS1[[#This Row],[Credit Points]]</f>
        <v>25</v>
      </c>
      <c r="F574">
        <v>1</v>
      </c>
      <c r="G574" t="s">
        <v>140</v>
      </c>
      <c r="H574">
        <v>0</v>
      </c>
      <c r="I574" t="s">
        <v>1221</v>
      </c>
      <c r="J574" t="s">
        <v>575</v>
      </c>
      <c r="K574">
        <v>1</v>
      </c>
      <c r="L574" t="s">
        <v>1106</v>
      </c>
      <c r="M574">
        <v>25</v>
      </c>
      <c r="N574" s="125">
        <v>42005</v>
      </c>
      <c r="O574" s="125"/>
      <c r="R574" t="s">
        <v>1284</v>
      </c>
      <c r="S574">
        <v>2</v>
      </c>
    </row>
    <row r="575" spans="1:19" x14ac:dyDescent="0.25">
      <c r="A575" t="str">
        <f>TableMJRUSCPS1[[#This Row],[Study Package Code]]</f>
        <v>PSYC2008</v>
      </c>
      <c r="B575" s="5">
        <f>TableMJRUSCPS1[[#This Row],[Ver]]</f>
        <v>1</v>
      </c>
      <c r="D575" t="str">
        <f>TableMJRUSCPS1[[#This Row],[Structure Line]]</f>
        <v>Introduction to Health Psychology</v>
      </c>
      <c r="E575" s="81">
        <f>TableMJRUSCPS1[[#This Row],[Credit Points]]</f>
        <v>25</v>
      </c>
      <c r="F575">
        <v>1</v>
      </c>
      <c r="G575" t="s">
        <v>140</v>
      </c>
      <c r="H575">
        <v>0</v>
      </c>
      <c r="I575" t="s">
        <v>1221</v>
      </c>
      <c r="J575" t="s">
        <v>587</v>
      </c>
      <c r="K575">
        <v>1</v>
      </c>
      <c r="L575" t="s">
        <v>1113</v>
      </c>
      <c r="M575">
        <v>25</v>
      </c>
      <c r="N575" s="125">
        <v>44562</v>
      </c>
      <c r="O575" s="125"/>
      <c r="R575" t="s">
        <v>353</v>
      </c>
      <c r="S575">
        <v>3</v>
      </c>
    </row>
    <row r="576" spans="1:19" x14ac:dyDescent="0.25">
      <c r="A576" t="str">
        <f>TableMJRUSCPS1[[#This Row],[Study Package Code]]</f>
        <v>PSYC3003</v>
      </c>
      <c r="B576" s="5">
        <f>TableMJRUSCPS1[[#This Row],[Ver]]</f>
        <v>1</v>
      </c>
      <c r="D576" t="str">
        <f>TableMJRUSCPS1[[#This Row],[Structure Line]]</f>
        <v>Adult Developmental Psychology</v>
      </c>
      <c r="E576" s="81">
        <f>TableMJRUSCPS1[[#This Row],[Credit Points]]</f>
        <v>25</v>
      </c>
      <c r="F576">
        <v>1</v>
      </c>
      <c r="G576" t="s">
        <v>140</v>
      </c>
      <c r="H576">
        <v>0</v>
      </c>
      <c r="I576" t="s">
        <v>1221</v>
      </c>
      <c r="J576" t="s">
        <v>592</v>
      </c>
      <c r="K576">
        <v>1</v>
      </c>
      <c r="L576" t="s">
        <v>1118</v>
      </c>
      <c r="M576">
        <v>25</v>
      </c>
      <c r="N576" s="125">
        <v>42005</v>
      </c>
      <c r="O576" s="125"/>
      <c r="R576" t="s">
        <v>1251</v>
      </c>
      <c r="S576">
        <v>2</v>
      </c>
    </row>
    <row r="577" spans="1:19" x14ac:dyDescent="0.25">
      <c r="A577" t="str">
        <f>TableMJRUSCPS1[[#This Row],[Study Package Code]]</f>
        <v>STRU-ENGLM</v>
      </c>
      <c r="B577" s="5">
        <f>TableMJRUSCPS1[[#This Row],[Ver]]</f>
        <v>3</v>
      </c>
      <c r="D577" t="str">
        <f>TableMJRUSCPS1[[#This Row],[Structure Line]]</f>
        <v>English Education Minor Teaching Area Stream (BEd Secondary)</v>
      </c>
      <c r="E577" s="81">
        <f>TableMJRUSCPS1[[#This Row],[Credit Points]]</f>
        <v>150</v>
      </c>
      <c r="F577">
        <v>2</v>
      </c>
      <c r="G577" t="s">
        <v>140</v>
      </c>
      <c r="H577">
        <v>1</v>
      </c>
      <c r="I577" t="s">
        <v>1212</v>
      </c>
      <c r="J577" t="s">
        <v>353</v>
      </c>
      <c r="K577">
        <v>3</v>
      </c>
      <c r="L577" t="s">
        <v>413</v>
      </c>
      <c r="M577">
        <v>150</v>
      </c>
      <c r="N577" s="125">
        <v>44562</v>
      </c>
      <c r="O577" s="125"/>
    </row>
    <row r="578" spans="1:19" x14ac:dyDescent="0.25">
      <c r="A578" t="str">
        <f>TableMJRUSCPS1[[#This Row],[Study Package Code]]</f>
        <v>STRU-GEOGM</v>
      </c>
      <c r="B578" s="5">
        <f>TableMJRUSCPS1[[#This Row],[Ver]]</f>
        <v>1</v>
      </c>
      <c r="D578" t="str">
        <f>TableMJRUSCPS1[[#This Row],[Structure Line]]</f>
        <v>Geography Education Minor Teaching Area Stream (BEd Secondary)</v>
      </c>
      <c r="E578" s="81">
        <f>TableMJRUSCPS1[[#This Row],[Credit Points]]</f>
        <v>150</v>
      </c>
      <c r="F578">
        <v>2</v>
      </c>
      <c r="G578" t="s">
        <v>140</v>
      </c>
      <c r="H578">
        <v>1</v>
      </c>
      <c r="I578" t="s">
        <v>1212</v>
      </c>
      <c r="J578" t="s">
        <v>354</v>
      </c>
      <c r="K578">
        <v>1</v>
      </c>
      <c r="L578" t="s">
        <v>414</v>
      </c>
      <c r="M578">
        <v>150</v>
      </c>
      <c r="N578" s="125">
        <v>45658</v>
      </c>
      <c r="O578" s="125"/>
    </row>
    <row r="579" spans="1:19" x14ac:dyDescent="0.25">
      <c r="A579" t="str">
        <f>TableMJRUSCPS1[[#This Row],[Study Package Code]]</f>
        <v>STRU-HISTM</v>
      </c>
      <c r="B579" s="5">
        <f>TableMJRUSCPS1[[#This Row],[Ver]]</f>
        <v>1</v>
      </c>
      <c r="D579" t="str">
        <f>TableMJRUSCPS1[[#This Row],[Structure Line]]</f>
        <v>History Education Minor Teaching Area Stream (BEd Secondary)</v>
      </c>
      <c r="E579" s="81">
        <f>TableMJRUSCPS1[[#This Row],[Credit Points]]</f>
        <v>150</v>
      </c>
      <c r="F579">
        <v>2</v>
      </c>
      <c r="G579" t="s">
        <v>140</v>
      </c>
      <c r="H579">
        <v>1</v>
      </c>
      <c r="I579" t="s">
        <v>1212</v>
      </c>
      <c r="J579" t="s">
        <v>355</v>
      </c>
      <c r="K579">
        <v>1</v>
      </c>
      <c r="L579" t="s">
        <v>445</v>
      </c>
      <c r="M579">
        <v>150</v>
      </c>
      <c r="N579" s="125">
        <v>45658</v>
      </c>
      <c r="O579" s="125"/>
    </row>
    <row r="580" spans="1:19" x14ac:dyDescent="0.25">
      <c r="A580" t="str">
        <f>TableMJRUSCPS1[[#This Row],[Study Package Code]]</f>
        <v>STRU-MARTM</v>
      </c>
      <c r="B580" s="5">
        <f>TableMJRUSCPS1[[#This Row],[Ver]]</f>
        <v>1</v>
      </c>
      <c r="D580" t="str">
        <f>TableMJRUSCPS1[[#This Row],[Structure Line]]</f>
        <v>The Arts - Media Education Minor Teaching Area Stream (BEd Secondary)</v>
      </c>
      <c r="E580" s="81">
        <f>TableMJRUSCPS1[[#This Row],[Credit Points]]</f>
        <v>150</v>
      </c>
      <c r="F580">
        <v>2</v>
      </c>
      <c r="G580" t="s">
        <v>140</v>
      </c>
      <c r="H580">
        <v>1</v>
      </c>
      <c r="I580" t="s">
        <v>1212</v>
      </c>
      <c r="J580" t="s">
        <v>360</v>
      </c>
      <c r="K580">
        <v>1</v>
      </c>
      <c r="L580" t="s">
        <v>491</v>
      </c>
      <c r="M580">
        <v>150</v>
      </c>
      <c r="N580" s="125">
        <v>45658</v>
      </c>
      <c r="O580" s="125"/>
    </row>
    <row r="581" spans="1:19" x14ac:dyDescent="0.25">
      <c r="A581" t="str">
        <f>TableMJRUSCPS1[[#This Row],[Study Package Code]]</f>
        <v>STRU-MATHM</v>
      </c>
      <c r="B581" s="5">
        <f>TableMJRUSCPS1[[#This Row],[Ver]]</f>
        <v>3</v>
      </c>
      <c r="D581" t="str">
        <f>TableMJRUSCPS1[[#This Row],[Structure Line]]</f>
        <v>Mathematics Education Minor Teaching Area Stream (BEd Secondary)</v>
      </c>
      <c r="E581" s="81">
        <f>TableMJRUSCPS1[[#This Row],[Credit Points]]</f>
        <v>150</v>
      </c>
      <c r="F581">
        <v>2</v>
      </c>
      <c r="G581" t="s">
        <v>140</v>
      </c>
      <c r="H581">
        <v>1</v>
      </c>
      <c r="I581" t="s">
        <v>1212</v>
      </c>
      <c r="J581" t="s">
        <v>356</v>
      </c>
      <c r="K581">
        <v>3</v>
      </c>
      <c r="L581" t="s">
        <v>213</v>
      </c>
      <c r="M581">
        <v>150</v>
      </c>
      <c r="N581" s="125">
        <v>45658</v>
      </c>
      <c r="O581" s="125"/>
      <c r="R581" t="s">
        <v>356</v>
      </c>
      <c r="S581">
        <v>2</v>
      </c>
    </row>
    <row r="582" spans="1:19" x14ac:dyDescent="0.25">
      <c r="A582" t="str">
        <f>TableMJRUSCPS1[[#This Row],[Study Package Code]]</f>
        <v>STRU-PARTM</v>
      </c>
      <c r="B582" s="5">
        <f>TableMJRUSCPS1[[#This Row],[Ver]]</f>
        <v>2</v>
      </c>
      <c r="D582" t="str">
        <f>TableMJRUSCPS1[[#This Row],[Structure Line]]</f>
        <v>The Arts - Performing Arts Education Minor Teaching Area Stream (BEd Secondary)</v>
      </c>
      <c r="E582" s="81">
        <f>TableMJRUSCPS1[[#This Row],[Credit Points]]</f>
        <v>150</v>
      </c>
      <c r="F582">
        <v>2</v>
      </c>
      <c r="G582" t="s">
        <v>140</v>
      </c>
      <c r="H582">
        <v>1</v>
      </c>
      <c r="I582" t="s">
        <v>1212</v>
      </c>
      <c r="J582" t="s">
        <v>361</v>
      </c>
      <c r="K582">
        <v>2</v>
      </c>
      <c r="L582" t="s">
        <v>505</v>
      </c>
      <c r="M582">
        <v>150</v>
      </c>
      <c r="N582" s="125">
        <v>43466</v>
      </c>
      <c r="O582" s="125"/>
      <c r="R582" t="s">
        <v>361</v>
      </c>
      <c r="S582">
        <v>2</v>
      </c>
    </row>
    <row r="583" spans="1:19" x14ac:dyDescent="0.25">
      <c r="A583" t="str">
        <f>TableMJRUSCPS1[[#This Row],[Study Package Code]]</f>
        <v>STRU-PSYCB</v>
      </c>
      <c r="B583" s="5">
        <f>TableMJRUSCPS1[[#This Row],[Ver]]</f>
        <v>3</v>
      </c>
      <c r="D583" t="str">
        <f>TableMJRUSCPS1[[#This Row],[Structure Line]]</f>
        <v>Broadening Psychology Teaching Area Stream (BEd Secondary)</v>
      </c>
      <c r="E583" s="81">
        <f>TableMJRUSCPS1[[#This Row],[Credit Points]]</f>
        <v>150</v>
      </c>
      <c r="F583">
        <v>2</v>
      </c>
      <c r="G583" t="s">
        <v>140</v>
      </c>
      <c r="H583">
        <v>1</v>
      </c>
      <c r="I583" t="s">
        <v>1212</v>
      </c>
      <c r="J583" t="s">
        <v>371</v>
      </c>
      <c r="K583">
        <v>3</v>
      </c>
      <c r="L583" t="s">
        <v>411</v>
      </c>
      <c r="M583">
        <v>150</v>
      </c>
      <c r="N583" s="125">
        <v>45658</v>
      </c>
      <c r="O583" s="125"/>
      <c r="R583" t="s">
        <v>371</v>
      </c>
      <c r="S583">
        <v>2</v>
      </c>
    </row>
    <row r="584" spans="1:19" x14ac:dyDescent="0.25">
      <c r="A584" t="str">
        <f>TableMJRUSCPS1[[#This Row],[Study Package Code]]</f>
        <v>STRU-VARTM</v>
      </c>
      <c r="B584" s="5">
        <f>TableMJRUSCPS1[[#This Row],[Ver]]</f>
        <v>3</v>
      </c>
      <c r="D584" t="str">
        <f>TableMJRUSCPS1[[#This Row],[Structure Line]]</f>
        <v>The Arts - Visual Arts Education Minor Teaching Area Stream (BEd Secondary)</v>
      </c>
      <c r="E584" s="81">
        <f>TableMJRUSCPS1[[#This Row],[Credit Points]]</f>
        <v>150</v>
      </c>
      <c r="F584">
        <v>2</v>
      </c>
      <c r="G584" t="s">
        <v>140</v>
      </c>
      <c r="H584">
        <v>1</v>
      </c>
      <c r="I584" t="s">
        <v>1212</v>
      </c>
      <c r="J584" t="s">
        <v>217</v>
      </c>
      <c r="K584">
        <v>3</v>
      </c>
      <c r="L584" t="s">
        <v>520</v>
      </c>
      <c r="M584">
        <v>150</v>
      </c>
      <c r="N584" s="125">
        <v>45658</v>
      </c>
      <c r="O584" s="125"/>
      <c r="R584" t="s">
        <v>217</v>
      </c>
      <c r="S584">
        <v>2</v>
      </c>
    </row>
    <row r="585" spans="1:19" x14ac:dyDescent="0.25">
      <c r="A585" s="200"/>
      <c r="B585" s="201"/>
      <c r="C585" s="200"/>
      <c r="D585" s="200"/>
      <c r="E585" s="201"/>
      <c r="F585" s="200"/>
      <c r="G585" s="200"/>
      <c r="H585" s="200"/>
      <c r="I585" s="200"/>
      <c r="J585" s="200"/>
      <c r="K585" s="200"/>
      <c r="L585" s="202" t="s">
        <v>1289</v>
      </c>
      <c r="M585" s="200"/>
      <c r="N585" s="203"/>
      <c r="O585" s="203"/>
    </row>
    <row r="586" spans="1:19" x14ac:dyDescent="0.25">
      <c r="A586" s="78"/>
      <c r="B586" s="80"/>
      <c r="C586" s="78"/>
      <c r="D586" s="78"/>
      <c r="G586" s="79" t="s">
        <v>1194</v>
      </c>
      <c r="H586" s="272">
        <v>45658</v>
      </c>
      <c r="J586" s="274" t="s">
        <v>368</v>
      </c>
      <c r="K586" s="273" t="s">
        <v>72</v>
      </c>
      <c r="L586" s="274" t="s">
        <v>399</v>
      </c>
      <c r="M586" s="78"/>
      <c r="N586" s="198" t="s">
        <v>1195</v>
      </c>
      <c r="O586" s="125">
        <v>45541</v>
      </c>
    </row>
    <row r="587" spans="1:19" ht="31.5" x14ac:dyDescent="0.25">
      <c r="A587" s="97" t="s">
        <v>0</v>
      </c>
      <c r="B587" s="98" t="s">
        <v>1196</v>
      </c>
      <c r="C587" s="97" t="s">
        <v>1197</v>
      </c>
      <c r="D587" s="97" t="s">
        <v>3</v>
      </c>
      <c r="E587" s="99" t="s">
        <v>1198</v>
      </c>
      <c r="F587" s="97" t="s">
        <v>1199</v>
      </c>
      <c r="G587" s="97" t="s">
        <v>1200</v>
      </c>
      <c r="H587" s="97" t="s">
        <v>1201</v>
      </c>
      <c r="I587" s="97" t="s">
        <v>18</v>
      </c>
      <c r="J587" s="97" t="s">
        <v>1202</v>
      </c>
      <c r="K587" s="97" t="s">
        <v>1</v>
      </c>
      <c r="L587" s="97" t="s">
        <v>1203</v>
      </c>
      <c r="M587" s="97" t="s">
        <v>69</v>
      </c>
      <c r="N587" s="97" t="s">
        <v>1204</v>
      </c>
      <c r="O587" s="97" t="s">
        <v>1205</v>
      </c>
      <c r="R587" t="s">
        <v>1206</v>
      </c>
      <c r="S587" t="s">
        <v>1207</v>
      </c>
    </row>
    <row r="588" spans="1:19" x14ac:dyDescent="0.25">
      <c r="A588" t="str">
        <f>TableSTRUBIOLB[[#This Row],[Study Package Code]]</f>
        <v>Opt-BIOLB</v>
      </c>
      <c r="B588" s="5">
        <f>TableSTRUBIOLB[[#This Row],[Ver]]</f>
        <v>0</v>
      </c>
      <c r="D588" t="str">
        <f>TableSTRUBIOLB[[#This Row],[Structure Line]]</f>
        <v>Choose Option</v>
      </c>
      <c r="E588" s="81">
        <f>TableSTRUBIOLB[[#This Row],[Credit Points]]</f>
        <v>25</v>
      </c>
      <c r="F588">
        <v>1</v>
      </c>
      <c r="G588" t="s">
        <v>140</v>
      </c>
      <c r="H588">
        <v>0</v>
      </c>
      <c r="I588" t="s">
        <v>1221</v>
      </c>
      <c r="J588" t="s">
        <v>724</v>
      </c>
      <c r="K588">
        <v>0</v>
      </c>
      <c r="L588" t="s">
        <v>1290</v>
      </c>
      <c r="M588">
        <v>25</v>
      </c>
      <c r="N588" s="125"/>
      <c r="O588" s="125"/>
      <c r="R588" t="s">
        <v>57</v>
      </c>
      <c r="S588">
        <v>1</v>
      </c>
    </row>
    <row r="589" spans="1:19" x14ac:dyDescent="0.25">
      <c r="A589" t="str">
        <f>TableSTRUBIOLB[[#This Row],[Study Package Code]]</f>
        <v>AC-BIOLB1</v>
      </c>
      <c r="B589" s="5">
        <f>TableSTRUBIOLB[[#This Row],[Ver]]</f>
        <v>0</v>
      </c>
      <c r="D589" t="str">
        <f>TableSTRUBIOLB[[#This Row],[Structure Line]]</f>
        <v>Choose CHEM1000 or CHEM1003. If you have passed ATAR Chemistry or equivalent, choose CHEM1000 in Y1</v>
      </c>
      <c r="E589" s="81">
        <f>TableSTRUBIOLB[[#This Row],[Credit Points]]</f>
        <v>25</v>
      </c>
      <c r="F589">
        <v>2</v>
      </c>
      <c r="G589" t="s">
        <v>1215</v>
      </c>
      <c r="H589">
        <v>1</v>
      </c>
      <c r="I589" t="s">
        <v>1212</v>
      </c>
      <c r="J589" t="s">
        <v>692</v>
      </c>
      <c r="K589">
        <v>0</v>
      </c>
      <c r="L589" t="s">
        <v>1291</v>
      </c>
      <c r="M589">
        <v>25</v>
      </c>
      <c r="N589" s="125"/>
      <c r="O589" s="125"/>
      <c r="R589" t="s">
        <v>476</v>
      </c>
      <c r="S589">
        <v>1</v>
      </c>
    </row>
    <row r="590" spans="1:19" x14ac:dyDescent="0.25">
      <c r="A590" t="str">
        <f>TableSTRUBIOLB[[#This Row],[Study Package Code]]</f>
        <v>AC-BIOLB2</v>
      </c>
      <c r="B590" s="5">
        <f>TableSTRUBIOLB[[#This Row],[Ver]]</f>
        <v>0</v>
      </c>
      <c r="D590" t="str">
        <f>TableSTRUBIOLB[[#This Row],[Structure Line]]</f>
        <v>Choose PHYS1005 or PHYS1006. If you have passed ATAR Physics and ATAR Mathematics Methods or equivalent choose PHYS1005 in Y2</v>
      </c>
      <c r="E590" s="81">
        <f>TableSTRUBIOLB[[#This Row],[Credit Points]]</f>
        <v>25</v>
      </c>
      <c r="F590">
        <v>3</v>
      </c>
      <c r="G590" t="s">
        <v>1215</v>
      </c>
      <c r="H590">
        <v>2</v>
      </c>
      <c r="I590" t="s">
        <v>1209</v>
      </c>
      <c r="J590" t="s">
        <v>703</v>
      </c>
      <c r="K590">
        <v>0</v>
      </c>
      <c r="L590" t="s">
        <v>1292</v>
      </c>
      <c r="M590">
        <v>25</v>
      </c>
      <c r="N590" s="125"/>
      <c r="O590" s="125"/>
      <c r="R590" t="s">
        <v>96</v>
      </c>
      <c r="S590">
        <v>1</v>
      </c>
    </row>
    <row r="591" spans="1:19" x14ac:dyDescent="0.25">
      <c r="A591" t="str">
        <f>TableSTRUBIOLB[[#This Row],[Study Package Code]]</f>
        <v>HUMB1000</v>
      </c>
      <c r="B591" s="5">
        <f>TableSTRUBIOLB[[#This Row],[Ver]]</f>
        <v>1</v>
      </c>
      <c r="D591" t="str">
        <f>TableSTRUBIOLB[[#This Row],[Structure Line]]</f>
        <v>Human Structure and Function</v>
      </c>
      <c r="E591" s="81">
        <f>TableSTRUBIOLB[[#This Row],[Credit Points]]</f>
        <v>25</v>
      </c>
      <c r="F591">
        <v>4</v>
      </c>
      <c r="G591" t="s">
        <v>1208</v>
      </c>
      <c r="H591">
        <v>2</v>
      </c>
      <c r="I591" t="s">
        <v>1212</v>
      </c>
      <c r="J591" t="s">
        <v>458</v>
      </c>
      <c r="K591">
        <v>1</v>
      </c>
      <c r="L591" t="s">
        <v>1023</v>
      </c>
      <c r="M591">
        <v>25</v>
      </c>
      <c r="N591" s="125">
        <v>42005</v>
      </c>
      <c r="O591" s="125"/>
      <c r="R591" t="s">
        <v>615</v>
      </c>
      <c r="S591">
        <v>1</v>
      </c>
    </row>
    <row r="592" spans="1:19" x14ac:dyDescent="0.25">
      <c r="A592" t="str">
        <f>TableSTRUBIOLB[[#This Row],[Study Package Code]]</f>
        <v>ATOC2000</v>
      </c>
      <c r="B592" s="5">
        <f>TableSTRUBIOLB[[#This Row],[Ver]]</f>
        <v>2</v>
      </c>
      <c r="D592" t="str">
        <f>TableSTRUBIOLB[[#This Row],[Structure Line]]</f>
        <v>Atmospheric and Oceanographic Sciences</v>
      </c>
      <c r="E592" s="81">
        <f>TableSTRUBIOLB[[#This Row],[Credit Points]]</f>
        <v>25</v>
      </c>
      <c r="F592">
        <v>5</v>
      </c>
      <c r="G592" t="s">
        <v>1208</v>
      </c>
      <c r="H592">
        <v>3</v>
      </c>
      <c r="I592" t="s">
        <v>1209</v>
      </c>
      <c r="J592" t="s">
        <v>719</v>
      </c>
      <c r="K592">
        <v>2</v>
      </c>
      <c r="L592" t="s">
        <v>826</v>
      </c>
      <c r="M592">
        <v>25</v>
      </c>
      <c r="N592" s="125">
        <v>43831</v>
      </c>
      <c r="O592" s="125"/>
      <c r="R592" t="s">
        <v>739</v>
      </c>
      <c r="S592">
        <v>2</v>
      </c>
    </row>
    <row r="593" spans="1:19" x14ac:dyDescent="0.25">
      <c r="A593" t="str">
        <f>TableSTRUBIOLB[[#This Row],[Study Package Code]]</f>
        <v>ENST2003</v>
      </c>
      <c r="B593" s="5">
        <f>TableSTRUBIOLB[[#This Row],[Ver]]</f>
        <v>2</v>
      </c>
      <c r="D593" t="str">
        <f>TableSTRUBIOLB[[#This Row],[Structure Line]]</f>
        <v>Ecotoxicology and Environmental Monitoring</v>
      </c>
      <c r="E593" s="81">
        <f>TableSTRUBIOLB[[#This Row],[Credit Points]]</f>
        <v>25</v>
      </c>
      <c r="F593">
        <v>6</v>
      </c>
      <c r="G593" t="s">
        <v>1208</v>
      </c>
      <c r="H593">
        <v>3</v>
      </c>
      <c r="I593" t="s">
        <v>1212</v>
      </c>
      <c r="J593" t="s">
        <v>739</v>
      </c>
      <c r="K593">
        <v>2</v>
      </c>
      <c r="L593" t="s">
        <v>1000</v>
      </c>
      <c r="M593">
        <v>25</v>
      </c>
      <c r="N593" s="125">
        <v>43101</v>
      </c>
      <c r="O593" s="125"/>
      <c r="R593" t="s">
        <v>1293</v>
      </c>
      <c r="S593">
        <v>0</v>
      </c>
    </row>
    <row r="594" spans="1:19" x14ac:dyDescent="0.25">
      <c r="A594" t="str">
        <f>TableSTRUBIOLB[[#This Row],[Study Package Code]]</f>
        <v>EDUC4012</v>
      </c>
      <c r="B594" s="5">
        <f>TableSTRUBIOLB[[#This Row],[Ver]]</f>
        <v>2</v>
      </c>
      <c r="D594" t="str">
        <f>TableSTRUBIOLB[[#This Row],[Structure Line]]</f>
        <v>Relationships and Sexuality Education</v>
      </c>
      <c r="E594" s="81">
        <f>TableSTRUBIOLB[[#This Row],[Credit Points]]</f>
        <v>25</v>
      </c>
      <c r="F594">
        <v>1</v>
      </c>
      <c r="G594" t="s">
        <v>140</v>
      </c>
      <c r="H594">
        <v>0</v>
      </c>
      <c r="I594" t="s">
        <v>1221</v>
      </c>
      <c r="J594" t="s">
        <v>194</v>
      </c>
      <c r="K594">
        <v>2</v>
      </c>
      <c r="L594" t="s">
        <v>975</v>
      </c>
      <c r="M594">
        <v>25</v>
      </c>
      <c r="N594" s="125">
        <v>44927</v>
      </c>
      <c r="O594" s="125"/>
      <c r="R594" t="s">
        <v>200</v>
      </c>
      <c r="S594">
        <v>1</v>
      </c>
    </row>
    <row r="595" spans="1:19" x14ac:dyDescent="0.25">
      <c r="A595" t="str">
        <f>TableSTRUBIOLB[[#This Row],[Study Package Code]]</f>
        <v>EDUC4014</v>
      </c>
      <c r="B595" s="5">
        <f>TableSTRUBIOLB[[#This Row],[Ver]]</f>
        <v>1</v>
      </c>
      <c r="D595" t="str">
        <f>TableSTRUBIOLB[[#This Row],[Structure Line]]</f>
        <v>Diverse Abilities and Curriculum Differentiation</v>
      </c>
      <c r="E595" s="81">
        <f>TableSTRUBIOLB[[#This Row],[Credit Points]]</f>
        <v>25</v>
      </c>
      <c r="F595">
        <v>1</v>
      </c>
      <c r="G595" t="s">
        <v>140</v>
      </c>
      <c r="H595">
        <v>0</v>
      </c>
      <c r="I595" t="s">
        <v>1221</v>
      </c>
      <c r="J595" t="s">
        <v>195</v>
      </c>
      <c r="K595">
        <v>1</v>
      </c>
      <c r="L595" t="s">
        <v>976</v>
      </c>
      <c r="M595">
        <v>25</v>
      </c>
      <c r="N595" s="125">
        <v>42005</v>
      </c>
      <c r="O595" s="125"/>
      <c r="R595" t="s">
        <v>174</v>
      </c>
      <c r="S595">
        <v>1</v>
      </c>
    </row>
    <row r="596" spans="1:19" x14ac:dyDescent="0.25">
      <c r="A596" t="str">
        <f>TableSTRUBIOLB[[#This Row],[Study Package Code]]</f>
        <v>EDUC4021</v>
      </c>
      <c r="B596" s="5">
        <f>TableSTRUBIOLB[[#This Row],[Ver]]</f>
        <v>1</v>
      </c>
      <c r="D596" t="str">
        <f>TableSTRUBIOLB[[#This Row],[Structure Line]]</f>
        <v>Project-based iSTEM Education</v>
      </c>
      <c r="E596" s="81">
        <f>TableSTRUBIOLB[[#This Row],[Credit Points]]</f>
        <v>25</v>
      </c>
      <c r="F596">
        <v>1</v>
      </c>
      <c r="G596" t="s">
        <v>140</v>
      </c>
      <c r="H596">
        <v>0</v>
      </c>
      <c r="I596" t="s">
        <v>1221</v>
      </c>
      <c r="J596" t="s">
        <v>170</v>
      </c>
      <c r="K596">
        <v>1</v>
      </c>
      <c r="L596" t="s">
        <v>978</v>
      </c>
      <c r="M596">
        <v>25</v>
      </c>
      <c r="N596" s="125">
        <v>43282</v>
      </c>
      <c r="O596" s="125"/>
      <c r="R596" t="s">
        <v>201</v>
      </c>
      <c r="S596">
        <v>2</v>
      </c>
    </row>
    <row r="597" spans="1:19" x14ac:dyDescent="0.25">
      <c r="A597" t="str">
        <f>TableSTRUBIOLB[[#This Row],[Study Package Code]]</f>
        <v>EDUC4032</v>
      </c>
      <c r="B597" s="5">
        <f>TableSTRUBIOLB[[#This Row],[Ver]]</f>
        <v>1</v>
      </c>
      <c r="D597" t="str">
        <f>TableSTRUBIOLB[[#This Row],[Structure Line]]</f>
        <v>iSTEM Education through Digital Stories</v>
      </c>
      <c r="E597" s="81">
        <f>TableSTRUBIOLB[[#This Row],[Credit Points]]</f>
        <v>25</v>
      </c>
      <c r="F597">
        <v>1</v>
      </c>
      <c r="G597" t="s">
        <v>140</v>
      </c>
      <c r="H597">
        <v>0</v>
      </c>
      <c r="I597" t="s">
        <v>1221</v>
      </c>
      <c r="J597" t="s">
        <v>177</v>
      </c>
      <c r="K597">
        <v>1</v>
      </c>
      <c r="L597" t="s">
        <v>982</v>
      </c>
      <c r="M597">
        <v>25</v>
      </c>
      <c r="N597" s="125">
        <v>43466</v>
      </c>
      <c r="O597" s="125"/>
      <c r="R597" t="s">
        <v>167</v>
      </c>
      <c r="S597">
        <v>1</v>
      </c>
    </row>
    <row r="598" spans="1:19" x14ac:dyDescent="0.25">
      <c r="A598" t="str">
        <f>TableSTRUBIOLB[[#This Row],[Study Package Code]]</f>
        <v>EDUC4034</v>
      </c>
      <c r="B598" s="5">
        <f>TableSTRUBIOLB[[#This Row],[Ver]]</f>
        <v>1</v>
      </c>
      <c r="D598" t="str">
        <f>TableSTRUBIOLB[[#This Row],[Structure Line]]</f>
        <v>iSTEM: Social Issues</v>
      </c>
      <c r="E598" s="81">
        <f>TableSTRUBIOLB[[#This Row],[Credit Points]]</f>
        <v>25</v>
      </c>
      <c r="F598">
        <v>1</v>
      </c>
      <c r="G598" t="s">
        <v>140</v>
      </c>
      <c r="H598">
        <v>0</v>
      </c>
      <c r="I598" t="s">
        <v>1221</v>
      </c>
      <c r="J598" t="s">
        <v>183</v>
      </c>
      <c r="K598">
        <v>1</v>
      </c>
      <c r="L598" t="s">
        <v>983</v>
      </c>
      <c r="M598">
        <v>25</v>
      </c>
      <c r="N598" s="125">
        <v>43466</v>
      </c>
      <c r="O598" s="125"/>
      <c r="R598" t="s">
        <v>180</v>
      </c>
      <c r="S598">
        <v>1</v>
      </c>
    </row>
    <row r="599" spans="1:19" x14ac:dyDescent="0.25">
      <c r="A599" t="str">
        <f>TableSTRUBIOLB[[#This Row],[Study Package Code]]</f>
        <v>EDUC4048</v>
      </c>
      <c r="B599" s="5">
        <f>TableSTRUBIOLB[[#This Row],[Ver]]</f>
        <v>1</v>
      </c>
      <c r="D599" t="str">
        <f>TableSTRUBIOLB[[#This Row],[Structure Line]]</f>
        <v>Mentoring, Coaching and Tutoring</v>
      </c>
      <c r="E599" s="81">
        <f>TableSTRUBIOLB[[#This Row],[Credit Points]]</f>
        <v>25</v>
      </c>
      <c r="F599">
        <v>1</v>
      </c>
      <c r="G599" t="s">
        <v>140</v>
      </c>
      <c r="H599">
        <v>0</v>
      </c>
      <c r="I599" t="s">
        <v>1221</v>
      </c>
      <c r="J599" t="s">
        <v>129</v>
      </c>
      <c r="K599">
        <v>1</v>
      </c>
      <c r="L599" t="s">
        <v>991</v>
      </c>
      <c r="M599">
        <v>25</v>
      </c>
      <c r="N599" s="125">
        <v>43466</v>
      </c>
      <c r="O599" s="125"/>
      <c r="R599" t="s">
        <v>196</v>
      </c>
      <c r="S599">
        <v>1</v>
      </c>
    </row>
    <row r="600" spans="1:19" x14ac:dyDescent="0.25">
      <c r="A600" t="str">
        <f>TableSTRUBIOLB[[#This Row],[Study Package Code]]</f>
        <v>CHEM1000</v>
      </c>
      <c r="B600" s="5">
        <f>TableSTRUBIOLB[[#This Row],[Ver]]</f>
        <v>1</v>
      </c>
      <c r="D600" t="str">
        <f>TableSTRUBIOLB[[#This Row],[Structure Line]]</f>
        <v>Principles and Processes in Chemistry</v>
      </c>
      <c r="E600" s="81">
        <f>TableSTRUBIOLB[[#This Row],[Credit Points]]</f>
        <v>25</v>
      </c>
      <c r="F600">
        <v>2</v>
      </c>
      <c r="G600" t="s">
        <v>1215</v>
      </c>
      <c r="H600">
        <v>1</v>
      </c>
      <c r="I600" t="s">
        <v>1212</v>
      </c>
      <c r="J600" t="s">
        <v>457</v>
      </c>
      <c r="K600">
        <v>1</v>
      </c>
      <c r="L600" t="s">
        <v>832</v>
      </c>
      <c r="M600">
        <v>25</v>
      </c>
      <c r="N600" s="125">
        <v>42005</v>
      </c>
      <c r="O600" s="125"/>
      <c r="R600" t="s">
        <v>198</v>
      </c>
      <c r="S600">
        <v>1</v>
      </c>
    </row>
    <row r="601" spans="1:19" x14ac:dyDescent="0.25">
      <c r="A601" t="str">
        <f>TableSTRUBIOLB[[#This Row],[Study Package Code]]</f>
        <v>CHEM1003</v>
      </c>
      <c r="B601" s="5">
        <f>TableSTRUBIOLB[[#This Row],[Ver]]</f>
        <v>1</v>
      </c>
      <c r="D601" t="str">
        <f>TableSTRUBIOLB[[#This Row],[Structure Line]]</f>
        <v>Introduction to Chemistry</v>
      </c>
      <c r="E601" s="81">
        <f>TableSTRUBIOLB[[#This Row],[Credit Points]]</f>
        <v>25</v>
      </c>
      <c r="F601">
        <v>2</v>
      </c>
      <c r="G601" t="s">
        <v>1215</v>
      </c>
      <c r="H601">
        <v>1</v>
      </c>
      <c r="I601" t="s">
        <v>1212</v>
      </c>
      <c r="J601" t="s">
        <v>749</v>
      </c>
      <c r="K601">
        <v>1</v>
      </c>
      <c r="L601" t="s">
        <v>835</v>
      </c>
      <c r="M601">
        <v>25</v>
      </c>
      <c r="N601" s="125">
        <v>42005</v>
      </c>
      <c r="O601" s="125"/>
      <c r="R601" t="s">
        <v>1224</v>
      </c>
      <c r="S601">
        <v>1</v>
      </c>
    </row>
    <row r="602" spans="1:19" x14ac:dyDescent="0.25">
      <c r="A602" t="str">
        <f>TableSTRUBIOLB[[#This Row],[Study Package Code]]</f>
        <v>PHYS1005</v>
      </c>
      <c r="B602" s="5">
        <f>TableSTRUBIOLB[[#This Row],[Ver]]</f>
        <v>1</v>
      </c>
      <c r="D602" t="str">
        <f>TableSTRUBIOLB[[#This Row],[Structure Line]]</f>
        <v>Physics 1</v>
      </c>
      <c r="E602" s="81">
        <f>TableSTRUBIOLB[[#This Row],[Credit Points]]</f>
        <v>25</v>
      </c>
      <c r="F602">
        <v>3</v>
      </c>
      <c r="G602" t="s">
        <v>1215</v>
      </c>
      <c r="H602">
        <v>2</v>
      </c>
      <c r="I602" t="s">
        <v>1209</v>
      </c>
      <c r="J602" t="s">
        <v>702</v>
      </c>
      <c r="K602">
        <v>1</v>
      </c>
      <c r="L602" t="s">
        <v>1097</v>
      </c>
      <c r="M602">
        <v>25</v>
      </c>
      <c r="N602" s="125">
        <v>42005</v>
      </c>
      <c r="O602" s="125"/>
      <c r="R602" t="s">
        <v>194</v>
      </c>
      <c r="S602">
        <v>2</v>
      </c>
    </row>
    <row r="603" spans="1:19" x14ac:dyDescent="0.25">
      <c r="A603" t="str">
        <f>TableSTRUBIOLB[[#This Row],[Study Package Code]]</f>
        <v>PHYS1006</v>
      </c>
      <c r="B603" s="5">
        <f>TableSTRUBIOLB[[#This Row],[Ver]]</f>
        <v>1</v>
      </c>
      <c r="D603" t="str">
        <f>TableSTRUBIOLB[[#This Row],[Structure Line]]</f>
        <v>Foundations of Physics</v>
      </c>
      <c r="E603" s="81">
        <f>TableSTRUBIOLB[[#This Row],[Credit Points]]</f>
        <v>25</v>
      </c>
      <c r="F603">
        <v>3</v>
      </c>
      <c r="G603" t="s">
        <v>1215</v>
      </c>
      <c r="H603">
        <v>2</v>
      </c>
      <c r="I603" t="s">
        <v>1209</v>
      </c>
      <c r="J603" t="s">
        <v>751</v>
      </c>
      <c r="K603">
        <v>1</v>
      </c>
      <c r="L603" t="s">
        <v>1098</v>
      </c>
      <c r="M603">
        <v>25</v>
      </c>
      <c r="N603" s="125">
        <v>42005</v>
      </c>
      <c r="O603" s="125"/>
      <c r="R603" t="s">
        <v>195</v>
      </c>
      <c r="S603">
        <v>1</v>
      </c>
    </row>
    <row r="604" spans="1:19" x14ac:dyDescent="0.25">
      <c r="A604">
        <f>TableSTRUBIOLB[[#This Row],[Study Package Code]]</f>
        <v>0</v>
      </c>
      <c r="B604" s="5">
        <f>TableSTRUBIOLB[[#This Row],[Ver]]</f>
        <v>0</v>
      </c>
      <c r="D604">
        <f>TableSTRUBIOLB[[#This Row],[Structure Line]]</f>
        <v>0</v>
      </c>
      <c r="E604" s="81">
        <f>TableSTRUBIOLB[[#This Row],[Credit Points]]</f>
        <v>0</v>
      </c>
      <c r="N604" s="125"/>
      <c r="O604" s="125"/>
      <c r="R604" t="s">
        <v>184</v>
      </c>
      <c r="S604">
        <v>1</v>
      </c>
    </row>
    <row r="605" spans="1:19" x14ac:dyDescent="0.25">
      <c r="A605">
        <f>TableSTRUBIOLB[[#This Row],[Study Package Code]]</f>
        <v>0</v>
      </c>
      <c r="B605" s="5">
        <f>TableSTRUBIOLB[[#This Row],[Ver]]</f>
        <v>0</v>
      </c>
      <c r="D605">
        <f>TableSTRUBIOLB[[#This Row],[Structure Line]]</f>
        <v>0</v>
      </c>
      <c r="E605" s="81">
        <f>TableSTRUBIOLB[[#This Row],[Credit Points]]</f>
        <v>0</v>
      </c>
      <c r="N605" s="125"/>
      <c r="O605" s="125"/>
      <c r="R605" t="s">
        <v>170</v>
      </c>
      <c r="S605">
        <v>1</v>
      </c>
    </row>
    <row r="606" spans="1:19" x14ac:dyDescent="0.25">
      <c r="A606">
        <f>TableSTRUBIOLB[[#This Row],[Study Package Code]]</f>
        <v>0</v>
      </c>
      <c r="B606" s="5">
        <f>TableSTRUBIOLB[[#This Row],[Ver]]</f>
        <v>0</v>
      </c>
      <c r="D606">
        <f>TableSTRUBIOLB[[#This Row],[Structure Line]]</f>
        <v>0</v>
      </c>
      <c r="E606" s="81">
        <f>TableSTRUBIOLB[[#This Row],[Credit Points]]</f>
        <v>0</v>
      </c>
      <c r="N606" s="125"/>
      <c r="O606" s="125"/>
      <c r="R606" t="s">
        <v>175</v>
      </c>
      <c r="S606">
        <v>1</v>
      </c>
    </row>
    <row r="607" spans="1:19" x14ac:dyDescent="0.25">
      <c r="A607">
        <f>TableSTRUBIOLB[[#This Row],[Study Package Code]]</f>
        <v>0</v>
      </c>
      <c r="B607" s="5">
        <f>TableSTRUBIOLB[[#This Row],[Ver]]</f>
        <v>0</v>
      </c>
      <c r="D607">
        <f>TableSTRUBIOLB[[#This Row],[Structure Line]]</f>
        <v>0</v>
      </c>
      <c r="E607" s="81">
        <f>TableSTRUBIOLB[[#This Row],[Credit Points]]</f>
        <v>0</v>
      </c>
      <c r="N607" s="125"/>
      <c r="O607" s="125"/>
      <c r="R607" t="s">
        <v>168</v>
      </c>
      <c r="S607">
        <v>1</v>
      </c>
    </row>
    <row r="608" spans="1:19" x14ac:dyDescent="0.25">
      <c r="A608">
        <f>TableSTRUBIOLB[[#This Row],[Study Package Code]]</f>
        <v>0</v>
      </c>
      <c r="B608" s="5">
        <f>TableSTRUBIOLB[[#This Row],[Ver]]</f>
        <v>0</v>
      </c>
      <c r="D608">
        <f>TableSTRUBIOLB[[#This Row],[Structure Line]]</f>
        <v>0</v>
      </c>
      <c r="E608" s="81">
        <f>TableSTRUBIOLB[[#This Row],[Credit Points]]</f>
        <v>0</v>
      </c>
      <c r="N608" s="125"/>
      <c r="O608" s="125"/>
      <c r="R608" t="s">
        <v>172</v>
      </c>
      <c r="S608">
        <v>1</v>
      </c>
    </row>
    <row r="609" spans="1:19" x14ac:dyDescent="0.25">
      <c r="A609">
        <f>TableSTRUBIOLB[[#This Row],[Study Package Code]]</f>
        <v>0</v>
      </c>
      <c r="B609" s="5">
        <f>TableSTRUBIOLB[[#This Row],[Ver]]</f>
        <v>0</v>
      </c>
      <c r="D609">
        <f>TableSTRUBIOLB[[#This Row],[Structure Line]]</f>
        <v>0</v>
      </c>
      <c r="E609" s="81">
        <f>TableSTRUBIOLB[[#This Row],[Credit Points]]</f>
        <v>0</v>
      </c>
      <c r="N609" s="125"/>
      <c r="O609" s="125"/>
      <c r="R609" t="s">
        <v>177</v>
      </c>
      <c r="S609">
        <v>1</v>
      </c>
    </row>
    <row r="610" spans="1:19" x14ac:dyDescent="0.25">
      <c r="A610">
        <f>TableSTRUBIOLB[[#This Row],[Study Package Code]]</f>
        <v>0</v>
      </c>
      <c r="B610" s="5">
        <f>TableSTRUBIOLB[[#This Row],[Ver]]</f>
        <v>0</v>
      </c>
      <c r="D610">
        <f>TableSTRUBIOLB[[#This Row],[Structure Line]]</f>
        <v>0</v>
      </c>
      <c r="E610" s="81">
        <f>TableSTRUBIOLB[[#This Row],[Credit Points]]</f>
        <v>0</v>
      </c>
      <c r="N610" s="125"/>
      <c r="O610" s="125"/>
      <c r="R610" t="s">
        <v>183</v>
      </c>
      <c r="S610">
        <v>1</v>
      </c>
    </row>
    <row r="611" spans="1:19" x14ac:dyDescent="0.25">
      <c r="A611">
        <f>TableSTRUBIOLB[[#This Row],[Study Package Code]]</f>
        <v>0</v>
      </c>
      <c r="B611" s="5">
        <f>TableSTRUBIOLB[[#This Row],[Ver]]</f>
        <v>0</v>
      </c>
      <c r="D611">
        <f>TableSTRUBIOLB[[#This Row],[Structure Line]]</f>
        <v>0</v>
      </c>
      <c r="E611" s="81">
        <f>TableSTRUBIOLB[[#This Row],[Credit Points]]</f>
        <v>0</v>
      </c>
      <c r="N611" s="125"/>
      <c r="O611" s="125"/>
      <c r="R611" t="s">
        <v>181</v>
      </c>
      <c r="S611">
        <v>1</v>
      </c>
    </row>
    <row r="612" spans="1:19" x14ac:dyDescent="0.25">
      <c r="A612">
        <f>TableSTRUBIOLB[[#This Row],[Study Package Code]]</f>
        <v>0</v>
      </c>
      <c r="B612" s="5">
        <f>TableSTRUBIOLB[[#This Row],[Ver]]</f>
        <v>0</v>
      </c>
      <c r="D612">
        <f>TableSTRUBIOLB[[#This Row],[Structure Line]]</f>
        <v>0</v>
      </c>
      <c r="E612" s="81">
        <f>TableSTRUBIOLB[[#This Row],[Credit Points]]</f>
        <v>0</v>
      </c>
      <c r="N612" s="125"/>
      <c r="O612" s="125"/>
      <c r="R612" t="s">
        <v>179</v>
      </c>
      <c r="S612">
        <v>1</v>
      </c>
    </row>
    <row r="613" spans="1:19" x14ac:dyDescent="0.25">
      <c r="A613">
        <f>TableSTRUBIOLB[[#This Row],[Study Package Code]]</f>
        <v>0</v>
      </c>
      <c r="B613" s="5">
        <f>TableSTRUBIOLB[[#This Row],[Ver]]</f>
        <v>0</v>
      </c>
      <c r="D613">
        <f>TableSTRUBIOLB[[#This Row],[Structure Line]]</f>
        <v>0</v>
      </c>
      <c r="E613" s="81">
        <f>TableSTRUBIOLB[[#This Row],[Credit Points]]</f>
        <v>0</v>
      </c>
      <c r="N613" s="125"/>
      <c r="O613" s="125"/>
      <c r="R613" t="s">
        <v>171</v>
      </c>
      <c r="S613">
        <v>1</v>
      </c>
    </row>
    <row r="614" spans="1:19" x14ac:dyDescent="0.25">
      <c r="A614">
        <f>TableSTRUBIOLB[[#This Row],[Study Package Code]]</f>
        <v>0</v>
      </c>
      <c r="B614" s="5">
        <f>TableSTRUBIOLB[[#This Row],[Ver]]</f>
        <v>0</v>
      </c>
      <c r="D614">
        <f>TableSTRUBIOLB[[#This Row],[Structure Line]]</f>
        <v>0</v>
      </c>
      <c r="E614" s="81">
        <f>TableSTRUBIOLB[[#This Row],[Credit Points]]</f>
        <v>0</v>
      </c>
      <c r="N614" s="125"/>
      <c r="O614" s="125"/>
      <c r="R614" t="s">
        <v>178</v>
      </c>
      <c r="S614">
        <v>1</v>
      </c>
    </row>
    <row r="615" spans="1:19" x14ac:dyDescent="0.25">
      <c r="A615">
        <f>TableSTRUBIOLB[[#This Row],[Study Package Code]]</f>
        <v>0</v>
      </c>
      <c r="B615" s="5">
        <f>TableSTRUBIOLB[[#This Row],[Ver]]</f>
        <v>0</v>
      </c>
      <c r="D615">
        <f>TableSTRUBIOLB[[#This Row],[Structure Line]]</f>
        <v>0</v>
      </c>
      <c r="E615" s="81">
        <f>TableSTRUBIOLB[[#This Row],[Credit Points]]</f>
        <v>0</v>
      </c>
      <c r="N615" s="125"/>
      <c r="O615" s="125"/>
      <c r="R615" t="s">
        <v>185</v>
      </c>
      <c r="S615">
        <v>1</v>
      </c>
    </row>
    <row r="616" spans="1:19" x14ac:dyDescent="0.25">
      <c r="A616">
        <f>TableSTRUBIOLB[[#This Row],[Study Package Code]]</f>
        <v>0</v>
      </c>
      <c r="B616" s="5">
        <f>TableSTRUBIOLB[[#This Row],[Ver]]</f>
        <v>0</v>
      </c>
      <c r="D616">
        <f>TableSTRUBIOLB[[#This Row],[Structure Line]]</f>
        <v>0</v>
      </c>
      <c r="E616" s="81">
        <f>TableSTRUBIOLB[[#This Row],[Credit Points]]</f>
        <v>0</v>
      </c>
      <c r="N616" s="125"/>
      <c r="O616" s="125"/>
      <c r="R616" t="s">
        <v>129</v>
      </c>
      <c r="S616">
        <v>1</v>
      </c>
    </row>
    <row r="617" spans="1:19" x14ac:dyDescent="0.25">
      <c r="A617" s="78"/>
      <c r="B617" s="80"/>
      <c r="C617" s="78"/>
      <c r="D617" s="78"/>
      <c r="G617" s="79" t="s">
        <v>1194</v>
      </c>
      <c r="H617" s="272">
        <v>45658</v>
      </c>
      <c r="J617" s="274" t="s">
        <v>350</v>
      </c>
      <c r="K617" s="273" t="s">
        <v>77</v>
      </c>
      <c r="L617" s="274" t="s">
        <v>205</v>
      </c>
      <c r="M617" s="78"/>
      <c r="N617" s="198" t="s">
        <v>1195</v>
      </c>
      <c r="O617" s="125">
        <v>45541</v>
      </c>
    </row>
    <row r="618" spans="1:19" ht="31.5" x14ac:dyDescent="0.25">
      <c r="A618" s="97" t="s">
        <v>0</v>
      </c>
      <c r="B618" s="98" t="s">
        <v>1196</v>
      </c>
      <c r="C618" s="97" t="s">
        <v>1197</v>
      </c>
      <c r="D618" s="97" t="s">
        <v>3</v>
      </c>
      <c r="E618" s="99" t="s">
        <v>1198</v>
      </c>
      <c r="F618" s="97" t="s">
        <v>1199</v>
      </c>
      <c r="G618" s="97" t="s">
        <v>1200</v>
      </c>
      <c r="H618" s="97" t="s">
        <v>1201</v>
      </c>
      <c r="I618" s="97" t="s">
        <v>18</v>
      </c>
      <c r="J618" s="97" t="s">
        <v>1202</v>
      </c>
      <c r="K618" s="97" t="s">
        <v>1</v>
      </c>
      <c r="L618" s="97" t="s">
        <v>1203</v>
      </c>
      <c r="M618" s="97" t="s">
        <v>69</v>
      </c>
      <c r="N618" s="97" t="s">
        <v>1204</v>
      </c>
      <c r="O618" s="97" t="s">
        <v>1205</v>
      </c>
      <c r="R618" t="s">
        <v>1206</v>
      </c>
      <c r="S618" t="s">
        <v>1207</v>
      </c>
    </row>
    <row r="619" spans="1:19" x14ac:dyDescent="0.25">
      <c r="A619" t="str">
        <f>TableSTRUBSCIM[[#This Row],[Study Package Code]]</f>
        <v>AC-BSCIM1</v>
      </c>
      <c r="B619" s="5">
        <f>TableSTRUBSCIM[[#This Row],[Ver]]</f>
        <v>0</v>
      </c>
      <c r="D619" t="str">
        <f>TableSTRUBSCIM[[#This Row],[Structure Line]]</f>
        <v>Choose HUMB1002 or HUMB1000</v>
      </c>
      <c r="E619" s="81">
        <f>TableSTRUBSCIM[[#This Row],[Credit Points]]</f>
        <v>25</v>
      </c>
      <c r="F619">
        <v>1</v>
      </c>
      <c r="G619" t="s">
        <v>1215</v>
      </c>
      <c r="H619">
        <v>1</v>
      </c>
      <c r="I619" t="s">
        <v>1212</v>
      </c>
      <c r="J619" t="s">
        <v>693</v>
      </c>
      <c r="K619">
        <v>0</v>
      </c>
      <c r="L619" t="s">
        <v>1294</v>
      </c>
      <c r="M619">
        <v>25</v>
      </c>
      <c r="N619" s="125"/>
      <c r="O619" s="125"/>
      <c r="R619" t="s">
        <v>458</v>
      </c>
      <c r="S619">
        <v>1</v>
      </c>
    </row>
    <row r="620" spans="1:19" x14ac:dyDescent="0.25">
      <c r="A620" t="str">
        <f>TableSTRUBSCIM[[#This Row],[Study Package Code]]</f>
        <v>AC-BSCIM2</v>
      </c>
      <c r="B620" s="5">
        <f>TableSTRUBSCIM[[#This Row],[Ver]]</f>
        <v>0</v>
      </c>
      <c r="D620" t="str">
        <f>TableSTRUBSCIM[[#This Row],[Structure Line]]</f>
        <v>Choose HUMB2006 or BIOL1005 or HUMB1001</v>
      </c>
      <c r="E620" s="81">
        <f>TableSTRUBSCIM[[#This Row],[Credit Points]]</f>
        <v>25</v>
      </c>
      <c r="F620">
        <v>2</v>
      </c>
      <c r="G620" t="s">
        <v>1215</v>
      </c>
      <c r="H620">
        <v>2</v>
      </c>
      <c r="I620" t="s">
        <v>1209</v>
      </c>
      <c r="J620" t="s">
        <v>704</v>
      </c>
      <c r="K620">
        <v>0</v>
      </c>
      <c r="L620" t="s">
        <v>1295</v>
      </c>
      <c r="M620">
        <v>25</v>
      </c>
      <c r="N620" s="125"/>
      <c r="O620" s="125"/>
      <c r="R620" t="s">
        <v>478</v>
      </c>
      <c r="S620">
        <v>1</v>
      </c>
    </row>
    <row r="621" spans="1:19" x14ac:dyDescent="0.25">
      <c r="A621" t="str">
        <f>TableSTRUBSCIM[[#This Row],[Study Package Code]]</f>
        <v>AC-BSCIM3</v>
      </c>
      <c r="B621" s="5">
        <f>TableSTRUBSCIM[[#This Row],[Ver]]</f>
        <v>0</v>
      </c>
      <c r="D621" t="str">
        <f>TableSTRUBSCIM[[#This Row],[Structure Line]]</f>
        <v>Choose HUMB2012 or BOTA2000</v>
      </c>
      <c r="E621" s="81">
        <f>TableSTRUBSCIM[[#This Row],[Credit Points]]</f>
        <v>25</v>
      </c>
      <c r="F621">
        <v>3</v>
      </c>
      <c r="G621" t="s">
        <v>1215</v>
      </c>
      <c r="H621">
        <v>2</v>
      </c>
      <c r="I621" t="s">
        <v>1212</v>
      </c>
      <c r="J621" t="s">
        <v>711</v>
      </c>
      <c r="K621">
        <v>0</v>
      </c>
      <c r="L621" t="s">
        <v>1296</v>
      </c>
      <c r="M621">
        <v>25</v>
      </c>
      <c r="N621" s="125"/>
      <c r="O621" s="125"/>
      <c r="R621" t="s">
        <v>503</v>
      </c>
      <c r="S621">
        <v>1</v>
      </c>
    </row>
    <row r="622" spans="1:19" x14ac:dyDescent="0.25">
      <c r="A622" t="str">
        <f>TableSTRUBSCIM[[#This Row],[Study Package Code]]</f>
        <v>EDSC4022</v>
      </c>
      <c r="B622" s="5">
        <f>TableSTRUBSCIM[[#This Row],[Ver]]</f>
        <v>1</v>
      </c>
      <c r="D622" t="str">
        <f>TableSTRUBSCIM[[#This Row],[Structure Line]]</f>
        <v>Curriculum and Instruction Lower Secondary: Science</v>
      </c>
      <c r="E622" s="81">
        <f>TableSTRUBSCIM[[#This Row],[Credit Points]]</f>
        <v>25</v>
      </c>
      <c r="F622">
        <v>4</v>
      </c>
      <c r="G622" t="s">
        <v>1208</v>
      </c>
      <c r="H622">
        <v>3</v>
      </c>
      <c r="I622" t="s">
        <v>1209</v>
      </c>
      <c r="J622" t="s">
        <v>461</v>
      </c>
      <c r="K622">
        <v>1</v>
      </c>
      <c r="L622" t="s">
        <v>946</v>
      </c>
      <c r="M622">
        <v>25</v>
      </c>
      <c r="N622" s="125">
        <v>43466</v>
      </c>
      <c r="O622" s="125"/>
      <c r="R622" t="s">
        <v>1297</v>
      </c>
      <c r="S622">
        <v>0</v>
      </c>
    </row>
    <row r="623" spans="1:19" x14ac:dyDescent="0.25">
      <c r="A623" t="str">
        <f>TableSTRUBSCIM[[#This Row],[Study Package Code]]</f>
        <v>AC-BSCIM4</v>
      </c>
      <c r="B623" s="5">
        <f>TableSTRUBSCIM[[#This Row],[Ver]]</f>
        <v>0</v>
      </c>
      <c r="D623" t="str">
        <f>TableSTRUBSCIM[[#This Row],[Structure Line]]</f>
        <v>Choose ZOOL2000 or EDSC3011</v>
      </c>
      <c r="E623" s="81">
        <f>TableSTRUBSCIM[[#This Row],[Credit Points]]</f>
        <v>25</v>
      </c>
      <c r="F623">
        <v>5</v>
      </c>
      <c r="G623" t="s">
        <v>1215</v>
      </c>
      <c r="H623">
        <v>3</v>
      </c>
      <c r="I623" t="s">
        <v>1209</v>
      </c>
      <c r="J623" t="s">
        <v>725</v>
      </c>
      <c r="K623">
        <v>0</v>
      </c>
      <c r="L623" t="s">
        <v>1298</v>
      </c>
      <c r="M623">
        <v>25</v>
      </c>
      <c r="N623" s="125"/>
      <c r="O623" s="125"/>
    </row>
    <row r="624" spans="1:19" x14ac:dyDescent="0.25">
      <c r="A624" t="str">
        <f>TableSTRUBSCIM[[#This Row],[Study Package Code]]</f>
        <v>EDSC4023</v>
      </c>
      <c r="B624" s="5">
        <f>TableSTRUBSCIM[[#This Row],[Ver]]</f>
        <v>2</v>
      </c>
      <c r="D624" t="str">
        <f>TableSTRUBSCIM[[#This Row],[Structure Line]]</f>
        <v>Curriculum and Instruction Senior Secondary: Science</v>
      </c>
      <c r="E624" s="81">
        <f>TableSTRUBSCIM[[#This Row],[Credit Points]]</f>
        <v>25</v>
      </c>
      <c r="F624">
        <v>6</v>
      </c>
      <c r="G624" t="s">
        <v>1208</v>
      </c>
      <c r="H624">
        <v>3</v>
      </c>
      <c r="I624" t="s">
        <v>1212</v>
      </c>
      <c r="J624" t="s">
        <v>483</v>
      </c>
      <c r="K624">
        <v>2</v>
      </c>
      <c r="L624" t="s">
        <v>947</v>
      </c>
      <c r="M624">
        <v>25</v>
      </c>
      <c r="N624" s="125">
        <v>43831</v>
      </c>
      <c r="O624" s="125"/>
    </row>
    <row r="625" spans="1:19" x14ac:dyDescent="0.25">
      <c r="A625" t="str">
        <f>TableSTRUBSCIM[[#This Row],[Study Package Code]]</f>
        <v>HUMB1002</v>
      </c>
      <c r="B625" s="5">
        <f>TableSTRUBSCIM[[#This Row],[Ver]]</f>
        <v>1</v>
      </c>
      <c r="D625" t="str">
        <f>TableSTRUBSCIM[[#This Row],[Structure Line]]</f>
        <v>Functional Anatomy</v>
      </c>
      <c r="E625" s="81">
        <f>TableSTRUBSCIM[[#This Row],[Credit Points]]</f>
        <v>25</v>
      </c>
      <c r="F625">
        <v>1</v>
      </c>
      <c r="G625" t="s">
        <v>1215</v>
      </c>
      <c r="H625">
        <v>1</v>
      </c>
      <c r="I625" t="s">
        <v>1212</v>
      </c>
      <c r="J625" t="s">
        <v>696</v>
      </c>
      <c r="K625">
        <v>1</v>
      </c>
      <c r="L625" t="s">
        <v>1025</v>
      </c>
      <c r="M625">
        <v>25</v>
      </c>
      <c r="N625" s="125">
        <v>42005</v>
      </c>
      <c r="O625" s="125"/>
    </row>
    <row r="626" spans="1:19" x14ac:dyDescent="0.25">
      <c r="A626" t="str">
        <f>TableSTRUBSCIM[[#This Row],[Study Package Code]]</f>
        <v>HUMB1000</v>
      </c>
      <c r="B626" s="5">
        <f>TableSTRUBSCIM[[#This Row],[Ver]]</f>
        <v>1</v>
      </c>
      <c r="D626" t="str">
        <f>TableSTRUBSCIM[[#This Row],[Structure Line]]</f>
        <v>Human Structure and Function</v>
      </c>
      <c r="E626" s="81">
        <f>TableSTRUBSCIM[[#This Row],[Credit Points]]</f>
        <v>25</v>
      </c>
      <c r="F626">
        <v>1</v>
      </c>
      <c r="G626" t="s">
        <v>1215</v>
      </c>
      <c r="H626">
        <v>1</v>
      </c>
      <c r="I626" t="s">
        <v>1212</v>
      </c>
      <c r="J626" t="s">
        <v>458</v>
      </c>
      <c r="K626">
        <v>1</v>
      </c>
      <c r="L626" t="s">
        <v>1023</v>
      </c>
      <c r="M626">
        <v>25</v>
      </c>
      <c r="N626" s="125">
        <v>42005</v>
      </c>
      <c r="O626" s="125"/>
    </row>
    <row r="627" spans="1:19" x14ac:dyDescent="0.25">
      <c r="A627" t="str">
        <f>TableSTRUBSCIM[[#This Row],[Study Package Code]]</f>
        <v>HUMB2006</v>
      </c>
      <c r="B627" s="5">
        <f>TableSTRUBSCIM[[#This Row],[Ver]]</f>
        <v>1</v>
      </c>
      <c r="D627" t="str">
        <f>TableSTRUBSCIM[[#This Row],[Structure Line]]</f>
        <v>Exercise Physiology</v>
      </c>
      <c r="E627" s="81">
        <f>TableSTRUBSCIM[[#This Row],[Credit Points]]</f>
        <v>25</v>
      </c>
      <c r="F627">
        <v>2</v>
      </c>
      <c r="G627" t="s">
        <v>1215</v>
      </c>
      <c r="H627">
        <v>2</v>
      </c>
      <c r="I627" t="s">
        <v>1209</v>
      </c>
      <c r="J627" t="s">
        <v>707</v>
      </c>
      <c r="K627">
        <v>1</v>
      </c>
      <c r="L627" t="s">
        <v>1028</v>
      </c>
      <c r="M627">
        <v>25</v>
      </c>
      <c r="N627" s="125">
        <v>42005</v>
      </c>
      <c r="O627" s="125"/>
    </row>
    <row r="628" spans="1:19" x14ac:dyDescent="0.25">
      <c r="A628" t="str">
        <f>TableSTRUBSCIM[[#This Row],[Study Package Code]]</f>
        <v>BIOL1005</v>
      </c>
      <c r="B628" s="5">
        <f>TableSTRUBSCIM[[#This Row],[Ver]]</f>
        <v>1</v>
      </c>
      <c r="D628" t="str">
        <f>TableSTRUBSCIM[[#This Row],[Structure Line]]</f>
        <v>Foundations of Biology</v>
      </c>
      <c r="E628" s="81">
        <f>TableSTRUBSCIM[[#This Row],[Credit Points]]</f>
        <v>25</v>
      </c>
      <c r="F628">
        <v>2</v>
      </c>
      <c r="G628" t="s">
        <v>1215</v>
      </c>
      <c r="H628">
        <v>2</v>
      </c>
      <c r="I628" t="s">
        <v>1209</v>
      </c>
      <c r="J628" t="s">
        <v>478</v>
      </c>
      <c r="K628">
        <v>1</v>
      </c>
      <c r="L628" t="s">
        <v>827</v>
      </c>
      <c r="M628">
        <v>25</v>
      </c>
      <c r="N628" s="125">
        <v>44562</v>
      </c>
      <c r="O628" s="125"/>
    </row>
    <row r="629" spans="1:19" x14ac:dyDescent="0.25">
      <c r="A629" t="str">
        <f>TableSTRUBSCIM[[#This Row],[Study Package Code]]</f>
        <v>HUMB1001</v>
      </c>
      <c r="B629" s="5">
        <f>TableSTRUBSCIM[[#This Row],[Ver]]</f>
        <v>1</v>
      </c>
      <c r="D629" t="str">
        <f>TableSTRUBSCIM[[#This Row],[Structure Line]]</f>
        <v>Integrated Systems Anatomy and Physiology</v>
      </c>
      <c r="E629" s="81">
        <f>TableSTRUBSCIM[[#This Row],[Credit Points]]</f>
        <v>25</v>
      </c>
      <c r="F629">
        <v>2</v>
      </c>
      <c r="G629" t="s">
        <v>1215</v>
      </c>
      <c r="H629">
        <v>2</v>
      </c>
      <c r="I629" t="s">
        <v>1209</v>
      </c>
      <c r="J629" t="s">
        <v>480</v>
      </c>
      <c r="K629">
        <v>1</v>
      </c>
      <c r="L629" t="s">
        <v>1024</v>
      </c>
      <c r="M629">
        <v>25</v>
      </c>
      <c r="N629" s="125">
        <v>42005</v>
      </c>
      <c r="O629" s="125"/>
    </row>
    <row r="630" spans="1:19" x14ac:dyDescent="0.25">
      <c r="A630" t="str">
        <f>TableSTRUBSCIM[[#This Row],[Study Package Code]]</f>
        <v>HUMB2012</v>
      </c>
      <c r="B630" s="5">
        <f>TableSTRUBSCIM[[#This Row],[Ver]]</f>
        <v>1</v>
      </c>
      <c r="D630" t="str">
        <f>TableSTRUBSCIM[[#This Row],[Structure Line]]</f>
        <v>Physiological Processes</v>
      </c>
      <c r="E630" s="81">
        <f>TableSTRUBSCIM[[#This Row],[Credit Points]]</f>
        <v>25</v>
      </c>
      <c r="F630">
        <v>3</v>
      </c>
      <c r="G630" t="s">
        <v>1215</v>
      </c>
      <c r="H630">
        <v>2</v>
      </c>
      <c r="I630" t="s">
        <v>1212</v>
      </c>
      <c r="J630" t="s">
        <v>504</v>
      </c>
      <c r="K630">
        <v>1</v>
      </c>
      <c r="L630" t="s">
        <v>1032</v>
      </c>
      <c r="M630">
        <v>25</v>
      </c>
      <c r="N630" s="125">
        <v>44197</v>
      </c>
      <c r="O630" s="125"/>
      <c r="R630" t="s">
        <v>461</v>
      </c>
      <c r="S630">
        <v>1</v>
      </c>
    </row>
    <row r="631" spans="1:19" x14ac:dyDescent="0.25">
      <c r="A631" t="str">
        <f>TableSTRUBSCIM[[#This Row],[Study Package Code]]</f>
        <v>BOTA2000</v>
      </c>
      <c r="B631" s="5">
        <f>TableSTRUBSCIM[[#This Row],[Ver]]</f>
        <v>1</v>
      </c>
      <c r="D631" t="str">
        <f>TableSTRUBSCIM[[#This Row],[Structure Line]]</f>
        <v>Plant Diversity and Adaptation</v>
      </c>
      <c r="E631" s="81">
        <f>TableSTRUBSCIM[[#This Row],[Credit Points]]</f>
        <v>25</v>
      </c>
      <c r="F631">
        <v>3</v>
      </c>
      <c r="G631" t="s">
        <v>1215</v>
      </c>
      <c r="H631">
        <v>2</v>
      </c>
      <c r="I631" t="s">
        <v>1212</v>
      </c>
      <c r="J631" t="s">
        <v>503</v>
      </c>
      <c r="K631">
        <v>1</v>
      </c>
      <c r="L631" t="s">
        <v>831</v>
      </c>
      <c r="M631">
        <v>25</v>
      </c>
      <c r="N631" s="125">
        <v>42005</v>
      </c>
      <c r="O631" s="125"/>
      <c r="R631" t="s">
        <v>483</v>
      </c>
      <c r="S631">
        <v>2</v>
      </c>
    </row>
    <row r="632" spans="1:19" x14ac:dyDescent="0.25">
      <c r="A632" t="str">
        <f>TableSTRUBSCIM[[#This Row],[Study Package Code]]</f>
        <v>ZOOL2000</v>
      </c>
      <c r="B632" s="5">
        <f>TableSTRUBSCIM[[#This Row],[Ver]]</f>
        <v>2</v>
      </c>
      <c r="D632" t="str">
        <f>TableSTRUBSCIM[[#This Row],[Structure Line]]</f>
        <v>Animal Diversity and Evolution</v>
      </c>
      <c r="E632" s="81">
        <f>TableSTRUBSCIM[[#This Row],[Credit Points]]</f>
        <v>25</v>
      </c>
      <c r="F632">
        <v>5</v>
      </c>
      <c r="G632" t="s">
        <v>1215</v>
      </c>
      <c r="H632">
        <v>3</v>
      </c>
      <c r="I632" t="s">
        <v>1209</v>
      </c>
      <c r="J632" t="s">
        <v>516</v>
      </c>
      <c r="K632">
        <v>2</v>
      </c>
      <c r="L632" t="s">
        <v>1192</v>
      </c>
      <c r="M632">
        <v>25</v>
      </c>
      <c r="N632" s="125">
        <v>43101</v>
      </c>
      <c r="O632" s="125"/>
      <c r="R632" t="s">
        <v>608</v>
      </c>
      <c r="S632">
        <v>1</v>
      </c>
    </row>
    <row r="633" spans="1:19" x14ac:dyDescent="0.25">
      <c r="A633" t="str">
        <f>TableSTRUBSCIM[[#This Row],[Study Package Code]]</f>
        <v>EDSC3011</v>
      </c>
      <c r="B633" s="5">
        <f>TableSTRUBSCIM[[#This Row],[Ver]]</f>
        <v>1</v>
      </c>
      <c r="D633" t="str">
        <f>TableSTRUBSCIM[[#This Row],[Structure Line]]</f>
        <v>Species Evolution Over Time</v>
      </c>
      <c r="E633" s="81">
        <f>TableSTRUBSCIM[[#This Row],[Credit Points]]</f>
        <v>25</v>
      </c>
      <c r="F633">
        <v>5</v>
      </c>
      <c r="G633" t="s">
        <v>1215</v>
      </c>
      <c r="H633">
        <v>3</v>
      </c>
      <c r="I633" t="s">
        <v>1209</v>
      </c>
      <c r="J633" t="s">
        <v>546</v>
      </c>
      <c r="K633">
        <v>1</v>
      </c>
      <c r="L633" t="s">
        <v>938</v>
      </c>
      <c r="M633">
        <v>25</v>
      </c>
      <c r="N633" s="125">
        <v>44927</v>
      </c>
      <c r="O633" s="125"/>
      <c r="R633" t="s">
        <v>516</v>
      </c>
      <c r="S633">
        <v>2</v>
      </c>
    </row>
    <row r="634" spans="1:19" x14ac:dyDescent="0.25">
      <c r="A634" s="78"/>
      <c r="B634" s="80"/>
      <c r="C634" s="78"/>
      <c r="D634" s="78"/>
      <c r="G634" s="79" t="s">
        <v>1194</v>
      </c>
      <c r="H634" s="272">
        <v>45658</v>
      </c>
      <c r="J634" s="274" t="s">
        <v>369</v>
      </c>
      <c r="K634" s="273" t="s">
        <v>77</v>
      </c>
      <c r="L634" s="274" t="s">
        <v>401</v>
      </c>
      <c r="M634" s="78"/>
      <c r="N634" s="198" t="s">
        <v>1195</v>
      </c>
      <c r="O634" s="125">
        <v>45622</v>
      </c>
    </row>
    <row r="635" spans="1:19" ht="31.5" x14ac:dyDescent="0.25">
      <c r="A635" s="97" t="s">
        <v>0</v>
      </c>
      <c r="B635" s="98" t="s">
        <v>1196</v>
      </c>
      <c r="C635" s="97" t="s">
        <v>1197</v>
      </c>
      <c r="D635" s="97" t="s">
        <v>3</v>
      </c>
      <c r="E635" s="99" t="s">
        <v>1198</v>
      </c>
      <c r="F635" s="97" t="s">
        <v>1199</v>
      </c>
      <c r="G635" s="97" t="s">
        <v>1200</v>
      </c>
      <c r="H635" s="97" t="s">
        <v>1201</v>
      </c>
      <c r="I635" s="97" t="s">
        <v>18</v>
      </c>
      <c r="J635" s="97" t="s">
        <v>1202</v>
      </c>
      <c r="K635" s="97" t="s">
        <v>1</v>
      </c>
      <c r="L635" s="97" t="s">
        <v>1203</v>
      </c>
      <c r="M635" s="97" t="s">
        <v>69</v>
      </c>
      <c r="N635" s="97" t="s">
        <v>1204</v>
      </c>
      <c r="O635" s="97" t="s">
        <v>1205</v>
      </c>
      <c r="R635" t="s">
        <v>1206</v>
      </c>
      <c r="S635" t="s">
        <v>1207</v>
      </c>
    </row>
    <row r="636" spans="1:19" x14ac:dyDescent="0.25">
      <c r="A636" t="str">
        <f>TableSTRUCHEMB[[#This Row],[Study Package Code]]</f>
        <v>AC-CHEMB2</v>
      </c>
      <c r="B636" s="5">
        <f>TableSTRUCHEMB[[#This Row],[Ver]]</f>
        <v>0</v>
      </c>
      <c r="D636" t="str">
        <f>TableSTRUCHEMB[[#This Row],[Structure Line]]</f>
        <v>Choose PHYS1005 or PHYS1006</v>
      </c>
      <c r="E636" s="81">
        <f>TableSTRUCHEMB[[#This Row],[Credit Points]]</f>
        <v>25</v>
      </c>
      <c r="F636" s="126">
        <v>1</v>
      </c>
      <c r="G636" s="126" t="s">
        <v>1215</v>
      </c>
      <c r="H636" s="126">
        <v>2</v>
      </c>
      <c r="I636" s="126" t="s">
        <v>1209</v>
      </c>
      <c r="J636" s="126" t="s">
        <v>705</v>
      </c>
      <c r="K636" s="126">
        <v>0</v>
      </c>
      <c r="L636" s="126" t="s">
        <v>1299</v>
      </c>
      <c r="M636" s="126">
        <v>25</v>
      </c>
      <c r="N636" s="374"/>
      <c r="O636" s="374"/>
      <c r="R636" t="s">
        <v>57</v>
      </c>
      <c r="S636">
        <v>1</v>
      </c>
    </row>
    <row r="637" spans="1:19" x14ac:dyDescent="0.25">
      <c r="A637" t="str">
        <f>TableSTRUCHEMB[[#This Row],[Study Package Code]]</f>
        <v>HUMB1000</v>
      </c>
      <c r="B637" s="5">
        <f>TableSTRUCHEMB[[#This Row],[Ver]]</f>
        <v>2</v>
      </c>
      <c r="D637" t="str">
        <f>TableSTRUCHEMB[[#This Row],[Structure Line]]</f>
        <v>Human Structure and Function</v>
      </c>
      <c r="E637" s="81">
        <f>TableSTRUCHEMB[[#This Row],[Credit Points]]</f>
        <v>25</v>
      </c>
      <c r="F637" s="126">
        <v>2</v>
      </c>
      <c r="G637" s="126" t="s">
        <v>1208</v>
      </c>
      <c r="H637" s="126">
        <v>2</v>
      </c>
      <c r="I637" s="126" t="s">
        <v>1212</v>
      </c>
      <c r="J637" s="126" t="s">
        <v>458</v>
      </c>
      <c r="K637" s="126">
        <v>2</v>
      </c>
      <c r="L637" s="126" t="s">
        <v>1023</v>
      </c>
      <c r="M637" s="126">
        <v>25</v>
      </c>
      <c r="N637" s="374">
        <v>45658</v>
      </c>
      <c r="O637" s="374"/>
      <c r="R637" t="s">
        <v>1300</v>
      </c>
      <c r="S637">
        <v>1</v>
      </c>
    </row>
    <row r="638" spans="1:19" x14ac:dyDescent="0.25">
      <c r="A638" t="str">
        <f>TableSTRUCHEMB[[#This Row],[Study Package Code]]</f>
        <v>AC-CHEMB3</v>
      </c>
      <c r="B638" s="5">
        <f>TableSTRUCHEMB[[#This Row],[Ver]]</f>
        <v>0</v>
      </c>
      <c r="D638" t="str">
        <f>TableSTRUCHEMB[[#This Row],[Structure Line]]</f>
        <v>Choose ATOC2000 or BIOL1005</v>
      </c>
      <c r="E638" s="81">
        <f>TableSTRUCHEMB[[#This Row],[Credit Points]]</f>
        <v>25</v>
      </c>
      <c r="F638" s="126">
        <v>3</v>
      </c>
      <c r="G638" s="126" t="s">
        <v>1215</v>
      </c>
      <c r="H638" s="126">
        <v>3</v>
      </c>
      <c r="I638" s="126" t="s">
        <v>1209</v>
      </c>
      <c r="J638" s="126" t="s">
        <v>720</v>
      </c>
      <c r="K638" s="126">
        <v>0</v>
      </c>
      <c r="L638" s="126" t="s">
        <v>1302</v>
      </c>
      <c r="M638" s="126">
        <v>25</v>
      </c>
      <c r="N638" s="374"/>
      <c r="O638" s="374"/>
      <c r="R638" t="s">
        <v>96</v>
      </c>
      <c r="S638">
        <v>1</v>
      </c>
    </row>
    <row r="639" spans="1:19" x14ac:dyDescent="0.25">
      <c r="A639" t="str">
        <f>TableSTRUCHEMB[[#This Row],[Study Package Code]]</f>
        <v>Opt-CHEMB</v>
      </c>
      <c r="B639" s="5">
        <f>TableSTRUCHEMB[[#This Row],[Ver]]</f>
        <v>0</v>
      </c>
      <c r="D639" t="str">
        <f>TableSTRUCHEMB[[#This Row],[Structure Line]]</f>
        <v>Choose an Option</v>
      </c>
      <c r="E639" s="81">
        <f>TableSTRUCHEMB[[#This Row],[Credit Points]]</f>
        <v>25</v>
      </c>
      <c r="F639" s="126">
        <v>4</v>
      </c>
      <c r="G639" s="126" t="s">
        <v>140</v>
      </c>
      <c r="H639" s="126">
        <v>0</v>
      </c>
      <c r="I639" s="126" t="s">
        <v>1221</v>
      </c>
      <c r="J639" s="126" t="s">
        <v>726</v>
      </c>
      <c r="K639" s="126">
        <v>0</v>
      </c>
      <c r="L639" s="126" t="s">
        <v>1219</v>
      </c>
      <c r="M639" s="126">
        <v>25</v>
      </c>
      <c r="N639" s="374"/>
      <c r="O639" s="374"/>
      <c r="R639" t="s">
        <v>1301</v>
      </c>
      <c r="S639">
        <v>1</v>
      </c>
    </row>
    <row r="640" spans="1:19" x14ac:dyDescent="0.25">
      <c r="A640" t="str">
        <f>TableSTRUCHEMB[[#This Row],[Study Package Code]]</f>
        <v>CHEM2006</v>
      </c>
      <c r="B640" s="5">
        <f>TableSTRUCHEMB[[#This Row],[Ver]]</f>
        <v>1</v>
      </c>
      <c r="D640" t="str">
        <f>TableSTRUCHEMB[[#This Row],[Structure Line]]</f>
        <v>Chemical Reactions and Mechanisms</v>
      </c>
      <c r="E640" s="81">
        <f>TableSTRUCHEMB[[#This Row],[Credit Points]]</f>
        <v>25</v>
      </c>
      <c r="F640" s="126">
        <v>5</v>
      </c>
      <c r="G640" s="126" t="s">
        <v>1208</v>
      </c>
      <c r="H640" s="126">
        <v>3</v>
      </c>
      <c r="I640" s="126" t="s">
        <v>1212</v>
      </c>
      <c r="J640" s="126" t="s">
        <v>740</v>
      </c>
      <c r="K640" s="126">
        <v>1</v>
      </c>
      <c r="L640" s="126" t="s">
        <v>840</v>
      </c>
      <c r="M640" s="126">
        <v>25</v>
      </c>
      <c r="N640" s="374">
        <v>42005</v>
      </c>
      <c r="O640" s="374"/>
      <c r="R640" t="s">
        <v>740</v>
      </c>
      <c r="S640">
        <v>1</v>
      </c>
    </row>
    <row r="641" spans="1:19" x14ac:dyDescent="0.25">
      <c r="A641" t="str">
        <f>TableSTRUCHEMB[[#This Row],[Study Package Code]]</f>
        <v>AC-CHEMB1</v>
      </c>
      <c r="B641" s="5">
        <f>TableSTRUCHEMB[[#This Row],[Ver]]</f>
        <v>0</v>
      </c>
      <c r="D641" t="str">
        <f>TableSTRUCHEMB[[#This Row],[Structure Line]]</f>
        <v>Choose GEOL1007 or GEOL1005</v>
      </c>
      <c r="E641" s="81">
        <f>TableSTRUCHEMB[[#This Row],[Credit Points]]</f>
        <v>25</v>
      </c>
      <c r="F641" s="126">
        <v>6</v>
      </c>
      <c r="G641" s="126" t="s">
        <v>1215</v>
      </c>
      <c r="H641" s="126">
        <v>1</v>
      </c>
      <c r="I641" s="126" t="s">
        <v>1212</v>
      </c>
      <c r="J641" s="126" t="s">
        <v>694</v>
      </c>
      <c r="K641" s="126">
        <v>0</v>
      </c>
      <c r="L641" s="126" t="s">
        <v>1470</v>
      </c>
      <c r="M641" s="126">
        <v>25</v>
      </c>
      <c r="N641" s="374"/>
      <c r="O641" s="374"/>
      <c r="R641" t="s">
        <v>1293</v>
      </c>
      <c r="S641">
        <v>0</v>
      </c>
    </row>
    <row r="642" spans="1:19" x14ac:dyDescent="0.25">
      <c r="A642" t="str">
        <f>TableSTRUCHEMB[[#This Row],[Study Package Code]]</f>
        <v>PHYS1005</v>
      </c>
      <c r="B642" s="5">
        <f>TableSTRUCHEMB[[#This Row],[Ver]]</f>
        <v>1</v>
      </c>
      <c r="D642" t="str">
        <f>TableSTRUCHEMB[[#This Row],[Structure Line]]</f>
        <v>Physics 1</v>
      </c>
      <c r="E642" s="81">
        <f>TableSTRUCHEMB[[#This Row],[Credit Points]]</f>
        <v>25</v>
      </c>
      <c r="F642" s="126">
        <v>1</v>
      </c>
      <c r="G642" s="126" t="s">
        <v>1215</v>
      </c>
      <c r="H642" s="126">
        <v>2</v>
      </c>
      <c r="I642" s="126" t="s">
        <v>1209</v>
      </c>
      <c r="J642" t="s">
        <v>702</v>
      </c>
      <c r="K642">
        <v>1</v>
      </c>
      <c r="L642" t="s">
        <v>1097</v>
      </c>
      <c r="M642">
        <v>25</v>
      </c>
      <c r="N642" s="125">
        <v>42005</v>
      </c>
      <c r="O642" s="125"/>
      <c r="R642" t="s">
        <v>200</v>
      </c>
      <c r="S642">
        <v>1</v>
      </c>
    </row>
    <row r="643" spans="1:19" x14ac:dyDescent="0.25">
      <c r="A643" t="str">
        <f>TableSTRUCHEMB[[#This Row],[Study Package Code]]</f>
        <v>PHYS1006</v>
      </c>
      <c r="B643" s="5">
        <f>TableSTRUCHEMB[[#This Row],[Ver]]</f>
        <v>1</v>
      </c>
      <c r="D643" t="str">
        <f>TableSTRUCHEMB[[#This Row],[Structure Line]]</f>
        <v>Foundations of Physics</v>
      </c>
      <c r="E643" s="81">
        <f>TableSTRUCHEMB[[#This Row],[Credit Points]]</f>
        <v>25</v>
      </c>
      <c r="F643" s="126">
        <v>1</v>
      </c>
      <c r="G643" s="126" t="s">
        <v>1215</v>
      </c>
      <c r="H643" s="126">
        <v>2</v>
      </c>
      <c r="I643" s="126" t="s">
        <v>1209</v>
      </c>
      <c r="J643" t="s">
        <v>751</v>
      </c>
      <c r="K643">
        <v>1</v>
      </c>
      <c r="L643" t="s">
        <v>1098</v>
      </c>
      <c r="M643">
        <v>25</v>
      </c>
      <c r="N643" s="125">
        <v>42005</v>
      </c>
      <c r="O643" s="125"/>
      <c r="R643" t="s">
        <v>174</v>
      </c>
      <c r="S643">
        <v>1</v>
      </c>
    </row>
    <row r="644" spans="1:19" x14ac:dyDescent="0.25">
      <c r="A644" t="str">
        <f>TableSTRUCHEMB[[#This Row],[Study Package Code]]</f>
        <v>ATOC2000</v>
      </c>
      <c r="B644" s="5">
        <f>TableSTRUCHEMB[[#This Row],[Ver]]</f>
        <v>2</v>
      </c>
      <c r="D644" t="str">
        <f>TableSTRUCHEMB[[#This Row],[Structure Line]]</f>
        <v>Atmospheric and Oceanographic Sciences</v>
      </c>
      <c r="E644" s="81">
        <f>TableSTRUCHEMB[[#This Row],[Credit Points]]</f>
        <v>25</v>
      </c>
      <c r="F644" s="126">
        <v>3</v>
      </c>
      <c r="G644" s="126" t="s">
        <v>1215</v>
      </c>
      <c r="H644" s="126">
        <v>3</v>
      </c>
      <c r="I644" s="126" t="s">
        <v>1209</v>
      </c>
      <c r="J644" t="s">
        <v>719</v>
      </c>
      <c r="K644">
        <v>2</v>
      </c>
      <c r="L644" t="s">
        <v>826</v>
      </c>
      <c r="M644">
        <v>25</v>
      </c>
      <c r="N644" s="125">
        <v>43831</v>
      </c>
      <c r="O644" s="125"/>
      <c r="R644" t="s">
        <v>201</v>
      </c>
      <c r="S644">
        <v>2</v>
      </c>
    </row>
    <row r="645" spans="1:19" x14ac:dyDescent="0.25">
      <c r="A645" t="str">
        <f>TableSTRUCHEMB[[#This Row],[Study Package Code]]</f>
        <v>BIOL1005</v>
      </c>
      <c r="B645" s="5">
        <f>TableSTRUCHEMB[[#This Row],[Ver]]</f>
        <v>1</v>
      </c>
      <c r="D645" t="str">
        <f>TableSTRUCHEMB[[#This Row],[Structure Line]]</f>
        <v>Foundations of Biology</v>
      </c>
      <c r="E645" s="81">
        <f>TableSTRUCHEMB[[#This Row],[Credit Points]]</f>
        <v>25</v>
      </c>
      <c r="F645" s="126">
        <v>3</v>
      </c>
      <c r="G645" s="126" t="s">
        <v>1215</v>
      </c>
      <c r="H645" s="126">
        <v>3</v>
      </c>
      <c r="I645" s="126" t="s">
        <v>1209</v>
      </c>
      <c r="J645" t="s">
        <v>478</v>
      </c>
      <c r="K645">
        <v>1</v>
      </c>
      <c r="L645" t="s">
        <v>827</v>
      </c>
      <c r="M645">
        <v>25</v>
      </c>
      <c r="N645" s="125">
        <v>44562</v>
      </c>
      <c r="O645" s="125"/>
      <c r="R645" t="s">
        <v>167</v>
      </c>
      <c r="S645">
        <v>1</v>
      </c>
    </row>
    <row r="646" spans="1:19" x14ac:dyDescent="0.25">
      <c r="A646" t="str">
        <f>TableSTRUCHEMB[[#This Row],[Study Package Code]]</f>
        <v>EDUC4012</v>
      </c>
      <c r="B646" s="5">
        <f>TableSTRUCHEMB[[#This Row],[Ver]]</f>
        <v>2</v>
      </c>
      <c r="D646" t="str">
        <f>TableSTRUCHEMB[[#This Row],[Structure Line]]</f>
        <v>Relationships and Sexuality Education</v>
      </c>
      <c r="E646" s="81">
        <f>TableSTRUCHEMB[[#This Row],[Credit Points]]</f>
        <v>25</v>
      </c>
      <c r="F646" s="126">
        <v>4</v>
      </c>
      <c r="G646" s="126" t="s">
        <v>140</v>
      </c>
      <c r="H646" s="126">
        <v>0</v>
      </c>
      <c r="I646" s="126" t="s">
        <v>1221</v>
      </c>
      <c r="J646" t="s">
        <v>194</v>
      </c>
      <c r="K646">
        <v>2</v>
      </c>
      <c r="L646" t="s">
        <v>975</v>
      </c>
      <c r="M646">
        <v>25</v>
      </c>
      <c r="N646" s="125">
        <v>44927</v>
      </c>
      <c r="O646" s="125"/>
      <c r="R646" t="s">
        <v>180</v>
      </c>
      <c r="S646">
        <v>1</v>
      </c>
    </row>
    <row r="647" spans="1:19" x14ac:dyDescent="0.25">
      <c r="A647" t="str">
        <f>TableSTRUCHEMB[[#This Row],[Study Package Code]]</f>
        <v>EDUC4014</v>
      </c>
      <c r="B647" s="5">
        <f>TableSTRUCHEMB[[#This Row],[Ver]]</f>
        <v>1</v>
      </c>
      <c r="D647" t="str">
        <f>TableSTRUCHEMB[[#This Row],[Structure Line]]</f>
        <v>Diverse Abilities and Curriculum Differentiation</v>
      </c>
      <c r="E647" s="81">
        <f>TableSTRUCHEMB[[#This Row],[Credit Points]]</f>
        <v>25</v>
      </c>
      <c r="F647" s="126">
        <v>4</v>
      </c>
      <c r="G647" s="126" t="s">
        <v>140</v>
      </c>
      <c r="H647" s="126">
        <v>0</v>
      </c>
      <c r="I647" s="126" t="s">
        <v>1221</v>
      </c>
      <c r="J647" t="s">
        <v>195</v>
      </c>
      <c r="K647">
        <v>1</v>
      </c>
      <c r="L647" t="s">
        <v>976</v>
      </c>
      <c r="M647">
        <v>25</v>
      </c>
      <c r="N647" s="125">
        <v>42005</v>
      </c>
      <c r="O647" s="125"/>
      <c r="R647" t="s">
        <v>196</v>
      </c>
      <c r="S647">
        <v>1</v>
      </c>
    </row>
    <row r="648" spans="1:19" x14ac:dyDescent="0.25">
      <c r="A648" t="str">
        <f>TableSTRUCHEMB[[#This Row],[Study Package Code]]</f>
        <v>EDUC4021</v>
      </c>
      <c r="B648" s="5">
        <f>TableSTRUCHEMB[[#This Row],[Ver]]</f>
        <v>1</v>
      </c>
      <c r="D648" t="str">
        <f>TableSTRUCHEMB[[#This Row],[Structure Line]]</f>
        <v>Project-based iSTEM Education</v>
      </c>
      <c r="E648" s="81">
        <f>TableSTRUCHEMB[[#This Row],[Credit Points]]</f>
        <v>25</v>
      </c>
      <c r="F648" s="126">
        <v>4</v>
      </c>
      <c r="G648" s="126" t="s">
        <v>140</v>
      </c>
      <c r="H648" s="126">
        <v>0</v>
      </c>
      <c r="I648" s="126" t="s">
        <v>1221</v>
      </c>
      <c r="J648" t="s">
        <v>170</v>
      </c>
      <c r="K648">
        <v>1</v>
      </c>
      <c r="L648" t="s">
        <v>978</v>
      </c>
      <c r="M648">
        <v>25</v>
      </c>
      <c r="N648" s="125">
        <v>43282</v>
      </c>
      <c r="O648" s="125"/>
      <c r="R648" t="s">
        <v>198</v>
      </c>
      <c r="S648">
        <v>1</v>
      </c>
    </row>
    <row r="649" spans="1:19" x14ac:dyDescent="0.25">
      <c r="A649" t="str">
        <f>TableSTRUCHEMB[[#This Row],[Study Package Code]]</f>
        <v>EDUC4032</v>
      </c>
      <c r="B649" s="5">
        <f>TableSTRUCHEMB[[#This Row],[Ver]]</f>
        <v>1</v>
      </c>
      <c r="D649" t="str">
        <f>TableSTRUCHEMB[[#This Row],[Structure Line]]</f>
        <v>iSTEM Education through Digital Stories</v>
      </c>
      <c r="E649" s="81">
        <f>TableSTRUCHEMB[[#This Row],[Credit Points]]</f>
        <v>25</v>
      </c>
      <c r="F649" s="126">
        <v>4</v>
      </c>
      <c r="G649" s="126" t="s">
        <v>140</v>
      </c>
      <c r="H649" s="126">
        <v>0</v>
      </c>
      <c r="I649" s="126" t="s">
        <v>1221</v>
      </c>
      <c r="J649" t="s">
        <v>177</v>
      </c>
      <c r="K649">
        <v>1</v>
      </c>
      <c r="L649" t="s">
        <v>982</v>
      </c>
      <c r="M649">
        <v>25</v>
      </c>
      <c r="N649" s="125">
        <v>43466</v>
      </c>
      <c r="O649" s="125"/>
      <c r="R649" t="s">
        <v>1224</v>
      </c>
      <c r="S649">
        <v>1</v>
      </c>
    </row>
    <row r="650" spans="1:19" x14ac:dyDescent="0.25">
      <c r="A650" t="str">
        <f>TableSTRUCHEMB[[#This Row],[Study Package Code]]</f>
        <v>EDUC4034</v>
      </c>
      <c r="B650" s="5">
        <f>TableSTRUCHEMB[[#This Row],[Ver]]</f>
        <v>1</v>
      </c>
      <c r="D650" t="str">
        <f>TableSTRUCHEMB[[#This Row],[Structure Line]]</f>
        <v>iSTEM: Social Issues</v>
      </c>
      <c r="E650" s="81">
        <f>TableSTRUCHEMB[[#This Row],[Credit Points]]</f>
        <v>25</v>
      </c>
      <c r="F650" s="126">
        <v>4</v>
      </c>
      <c r="G650" s="126" t="s">
        <v>140</v>
      </c>
      <c r="H650" s="126">
        <v>0</v>
      </c>
      <c r="I650" s="126" t="s">
        <v>1221</v>
      </c>
      <c r="J650" t="s">
        <v>183</v>
      </c>
      <c r="K650">
        <v>1</v>
      </c>
      <c r="L650" t="s">
        <v>983</v>
      </c>
      <c r="M650">
        <v>25</v>
      </c>
      <c r="N650" s="125">
        <v>43466</v>
      </c>
      <c r="O650" s="125"/>
      <c r="R650" t="s">
        <v>194</v>
      </c>
      <c r="S650">
        <v>2</v>
      </c>
    </row>
    <row r="651" spans="1:19" x14ac:dyDescent="0.25">
      <c r="A651" t="str">
        <f>TableSTRUCHEMB[[#This Row],[Study Package Code]]</f>
        <v>EDUC4048</v>
      </c>
      <c r="B651" s="5">
        <f>TableSTRUCHEMB[[#This Row],[Ver]]</f>
        <v>1</v>
      </c>
      <c r="D651" t="str">
        <f>TableSTRUCHEMB[[#This Row],[Structure Line]]</f>
        <v>Mentoring, Coaching and Tutoring</v>
      </c>
      <c r="E651" s="81">
        <f>TableSTRUCHEMB[[#This Row],[Credit Points]]</f>
        <v>25</v>
      </c>
      <c r="F651" s="126">
        <v>4</v>
      </c>
      <c r="G651" s="126" t="s">
        <v>140</v>
      </c>
      <c r="H651" s="126">
        <v>0</v>
      </c>
      <c r="I651" s="126" t="s">
        <v>1221</v>
      </c>
      <c r="J651" t="s">
        <v>129</v>
      </c>
      <c r="K651">
        <v>1</v>
      </c>
      <c r="L651" t="s">
        <v>991</v>
      </c>
      <c r="M651">
        <v>25</v>
      </c>
      <c r="N651" s="125">
        <v>43466</v>
      </c>
      <c r="O651" s="125"/>
      <c r="R651" t="s">
        <v>195</v>
      </c>
      <c r="S651">
        <v>1</v>
      </c>
    </row>
    <row r="652" spans="1:19" x14ac:dyDescent="0.25">
      <c r="A652" t="str">
        <f>TableSTRUCHEMB[[#This Row],[Study Package Code]]</f>
        <v>GEOL1005</v>
      </c>
      <c r="B652" s="5">
        <f>TableSTRUCHEMB[[#This Row],[Ver]]</f>
        <v>2</v>
      </c>
      <c r="D652" t="str">
        <f>TableSTRUCHEMB[[#This Row],[Structure Line]]</f>
        <v>Fundamentals of Geology</v>
      </c>
      <c r="E652" s="81">
        <f>TableSTRUCHEMB[[#This Row],[Credit Points]]</f>
        <v>25</v>
      </c>
      <c r="F652" s="126">
        <v>6</v>
      </c>
      <c r="G652" s="126" t="s">
        <v>1215</v>
      </c>
      <c r="H652" s="126">
        <v>1</v>
      </c>
      <c r="I652" s="126" t="s">
        <v>1212</v>
      </c>
      <c r="J652" t="s">
        <v>747</v>
      </c>
      <c r="K652">
        <v>2</v>
      </c>
      <c r="L652" t="s">
        <v>1013</v>
      </c>
      <c r="M652">
        <v>25</v>
      </c>
      <c r="N652" s="125">
        <v>44562</v>
      </c>
      <c r="O652" s="125"/>
      <c r="R652" t="s">
        <v>184</v>
      </c>
      <c r="S652">
        <v>1</v>
      </c>
    </row>
    <row r="653" spans="1:19" x14ac:dyDescent="0.25">
      <c r="A653" t="str">
        <f>TableSTRUCHEMB[[#This Row],[Study Package Code]]</f>
        <v>GEOL1007</v>
      </c>
      <c r="B653" s="5">
        <f>TableSTRUCHEMB[[#This Row],[Ver]]</f>
        <v>1</v>
      </c>
      <c r="D653" t="str">
        <f>TableSTRUCHEMB[[#This Row],[Structure Line]]</f>
        <v>Planetary Science</v>
      </c>
      <c r="E653" s="81">
        <f>TableSTRUCHEMB[[#This Row],[Credit Points]]</f>
        <v>25</v>
      </c>
      <c r="F653" s="126">
        <v>6</v>
      </c>
      <c r="G653" s="126" t="s">
        <v>1215</v>
      </c>
      <c r="H653" s="126">
        <v>1</v>
      </c>
      <c r="I653" s="126" t="s">
        <v>1212</v>
      </c>
      <c r="J653" t="s">
        <v>750</v>
      </c>
      <c r="K653">
        <v>1</v>
      </c>
      <c r="L653" t="s">
        <v>1014</v>
      </c>
      <c r="M653">
        <v>25</v>
      </c>
      <c r="N653" s="125">
        <v>43831</v>
      </c>
      <c r="O653" s="125"/>
      <c r="R653" t="s">
        <v>170</v>
      </c>
      <c r="S653">
        <v>1</v>
      </c>
    </row>
    <row r="654" spans="1:19" x14ac:dyDescent="0.25">
      <c r="A654">
        <f>TableSTRUCHEMB[[#This Row],[Study Package Code]]</f>
        <v>0</v>
      </c>
      <c r="B654" s="5">
        <f>TableSTRUCHEMB[[#This Row],[Ver]]</f>
        <v>0</v>
      </c>
      <c r="D654">
        <f>TableSTRUCHEMB[[#This Row],[Structure Line]]</f>
        <v>0</v>
      </c>
      <c r="E654" s="81">
        <f>TableSTRUCHEMB[[#This Row],[Credit Points]]</f>
        <v>0</v>
      </c>
      <c r="N654" s="125"/>
      <c r="O654" s="125"/>
      <c r="R654" t="s">
        <v>175</v>
      </c>
      <c r="S654">
        <v>1</v>
      </c>
    </row>
    <row r="655" spans="1:19" x14ac:dyDescent="0.25">
      <c r="A655">
        <f>TableSTRUCHEMB[[#This Row],[Study Package Code]]</f>
        <v>0</v>
      </c>
      <c r="B655" s="5">
        <f>TableSTRUCHEMB[[#This Row],[Ver]]</f>
        <v>0</v>
      </c>
      <c r="D655">
        <f>TableSTRUCHEMB[[#This Row],[Structure Line]]</f>
        <v>0</v>
      </c>
      <c r="E655" s="81">
        <f>TableSTRUCHEMB[[#This Row],[Credit Points]]</f>
        <v>0</v>
      </c>
      <c r="N655" s="125"/>
      <c r="O655" s="125"/>
      <c r="R655" t="s">
        <v>168</v>
      </c>
      <c r="S655">
        <v>1</v>
      </c>
    </row>
    <row r="656" spans="1:19" x14ac:dyDescent="0.25">
      <c r="A656">
        <f>TableSTRUCHEMB[[#This Row],[Study Package Code]]</f>
        <v>0</v>
      </c>
      <c r="B656" s="5">
        <f>TableSTRUCHEMB[[#This Row],[Ver]]</f>
        <v>0</v>
      </c>
      <c r="D656">
        <f>TableSTRUCHEMB[[#This Row],[Structure Line]]</f>
        <v>0</v>
      </c>
      <c r="E656" s="81">
        <f>TableSTRUCHEMB[[#This Row],[Credit Points]]</f>
        <v>0</v>
      </c>
      <c r="N656" s="125"/>
      <c r="O656" s="125"/>
      <c r="R656" t="s">
        <v>172</v>
      </c>
      <c r="S656">
        <v>1</v>
      </c>
    </row>
    <row r="657" spans="1:19" x14ac:dyDescent="0.25">
      <c r="A657">
        <f>TableSTRUCHEMB[[#This Row],[Study Package Code]]</f>
        <v>0</v>
      </c>
      <c r="B657" s="5">
        <f>TableSTRUCHEMB[[#This Row],[Ver]]</f>
        <v>0</v>
      </c>
      <c r="D657">
        <f>TableSTRUCHEMB[[#This Row],[Structure Line]]</f>
        <v>0</v>
      </c>
      <c r="E657" s="81">
        <f>TableSTRUCHEMB[[#This Row],[Credit Points]]</f>
        <v>0</v>
      </c>
      <c r="N657" s="125"/>
      <c r="O657" s="125"/>
      <c r="R657" t="s">
        <v>199</v>
      </c>
      <c r="S657">
        <v>1</v>
      </c>
    </row>
    <row r="658" spans="1:19" x14ac:dyDescent="0.25">
      <c r="A658">
        <f>TableSTRUCHEMB[[#This Row],[Study Package Code]]</f>
        <v>0</v>
      </c>
      <c r="B658" s="5">
        <f>TableSTRUCHEMB[[#This Row],[Ver]]</f>
        <v>0</v>
      </c>
      <c r="D658">
        <f>TableSTRUCHEMB[[#This Row],[Structure Line]]</f>
        <v>0</v>
      </c>
      <c r="E658" s="81">
        <f>TableSTRUCHEMB[[#This Row],[Credit Points]]</f>
        <v>0</v>
      </c>
      <c r="N658" s="125"/>
      <c r="O658" s="125"/>
      <c r="R658" t="s">
        <v>177</v>
      </c>
      <c r="S658">
        <v>1</v>
      </c>
    </row>
    <row r="659" spans="1:19" x14ac:dyDescent="0.25">
      <c r="A659">
        <f>TableSTRUCHEMB[[#This Row],[Study Package Code]]</f>
        <v>0</v>
      </c>
      <c r="B659" s="5">
        <f>TableSTRUCHEMB[[#This Row],[Ver]]</f>
        <v>0</v>
      </c>
      <c r="D659">
        <f>TableSTRUCHEMB[[#This Row],[Structure Line]]</f>
        <v>0</v>
      </c>
      <c r="E659" s="81">
        <f>TableSTRUCHEMB[[#This Row],[Credit Points]]</f>
        <v>0</v>
      </c>
      <c r="N659" s="125"/>
      <c r="O659" s="125"/>
      <c r="R659" t="s">
        <v>183</v>
      </c>
      <c r="S659">
        <v>1</v>
      </c>
    </row>
    <row r="660" spans="1:19" x14ac:dyDescent="0.25">
      <c r="A660">
        <f>TableSTRUCHEMB[[#This Row],[Study Package Code]]</f>
        <v>0</v>
      </c>
      <c r="B660" s="5">
        <f>TableSTRUCHEMB[[#This Row],[Ver]]</f>
        <v>0</v>
      </c>
      <c r="D660">
        <f>TableSTRUCHEMB[[#This Row],[Structure Line]]</f>
        <v>0</v>
      </c>
      <c r="E660" s="81">
        <f>TableSTRUCHEMB[[#This Row],[Credit Points]]</f>
        <v>0</v>
      </c>
      <c r="K660" s="126"/>
      <c r="L660" s="126"/>
      <c r="M660" s="126"/>
      <c r="N660" s="125"/>
      <c r="O660" s="125"/>
      <c r="R660" t="s">
        <v>181</v>
      </c>
      <c r="S660">
        <v>1</v>
      </c>
    </row>
    <row r="661" spans="1:19" x14ac:dyDescent="0.25">
      <c r="A661">
        <f>TableSTRUCHEMB[[#This Row],[Study Package Code]]</f>
        <v>0</v>
      </c>
      <c r="B661" s="5">
        <f>TableSTRUCHEMB[[#This Row],[Ver]]</f>
        <v>0</v>
      </c>
      <c r="D661">
        <f>TableSTRUCHEMB[[#This Row],[Structure Line]]</f>
        <v>0</v>
      </c>
      <c r="E661" s="81">
        <f>TableSTRUCHEMB[[#This Row],[Credit Points]]</f>
        <v>0</v>
      </c>
      <c r="N661" s="125"/>
      <c r="O661" s="125"/>
      <c r="R661" t="s">
        <v>179</v>
      </c>
      <c r="S661">
        <v>1</v>
      </c>
    </row>
    <row r="662" spans="1:19" x14ac:dyDescent="0.25">
      <c r="A662">
        <f>TableSTRUCHEMB[[#This Row],[Study Package Code]]</f>
        <v>0</v>
      </c>
      <c r="B662" s="5">
        <f>TableSTRUCHEMB[[#This Row],[Ver]]</f>
        <v>0</v>
      </c>
      <c r="D662">
        <f>TableSTRUCHEMB[[#This Row],[Structure Line]]</f>
        <v>0</v>
      </c>
      <c r="E662" s="81">
        <f>TableSTRUCHEMB[[#This Row],[Credit Points]]</f>
        <v>0</v>
      </c>
      <c r="N662" s="125"/>
      <c r="O662" s="125"/>
      <c r="R662" t="s">
        <v>171</v>
      </c>
      <c r="S662">
        <v>1</v>
      </c>
    </row>
    <row r="663" spans="1:19" x14ac:dyDescent="0.25">
      <c r="A663">
        <f>TableSTRUCHEMB[[#This Row],[Study Package Code]]</f>
        <v>0</v>
      </c>
      <c r="B663" s="5">
        <f>TableSTRUCHEMB[[#This Row],[Ver]]</f>
        <v>0</v>
      </c>
      <c r="D663">
        <f>TableSTRUCHEMB[[#This Row],[Structure Line]]</f>
        <v>0</v>
      </c>
      <c r="E663" s="81">
        <f>TableSTRUCHEMB[[#This Row],[Credit Points]]</f>
        <v>0</v>
      </c>
      <c r="N663" s="125"/>
      <c r="O663" s="125"/>
      <c r="R663" t="s">
        <v>178</v>
      </c>
      <c r="S663">
        <v>1</v>
      </c>
    </row>
    <row r="664" spans="1:19" x14ac:dyDescent="0.25">
      <c r="A664">
        <f>TableSTRUCHEMB[[#This Row],[Study Package Code]]</f>
        <v>0</v>
      </c>
      <c r="B664" s="5">
        <f>TableSTRUCHEMB[[#This Row],[Ver]]</f>
        <v>0</v>
      </c>
      <c r="D664">
        <f>TableSTRUCHEMB[[#This Row],[Structure Line]]</f>
        <v>0</v>
      </c>
      <c r="E664" s="81">
        <f>TableSTRUCHEMB[[#This Row],[Credit Points]]</f>
        <v>0</v>
      </c>
      <c r="N664" s="125"/>
      <c r="O664" s="125"/>
      <c r="R664" t="s">
        <v>185</v>
      </c>
      <c r="S664">
        <v>1</v>
      </c>
    </row>
    <row r="665" spans="1:19" x14ac:dyDescent="0.25">
      <c r="A665">
        <f>TableSTRUCHEMB[[#This Row],[Study Package Code]]</f>
        <v>0</v>
      </c>
      <c r="B665" s="5">
        <f>TableSTRUCHEMB[[#This Row],[Ver]]</f>
        <v>0</v>
      </c>
      <c r="D665">
        <f>TableSTRUCHEMB[[#This Row],[Structure Line]]</f>
        <v>0</v>
      </c>
      <c r="E665" s="81">
        <f>TableSTRUCHEMB[[#This Row],[Credit Points]]</f>
        <v>0</v>
      </c>
      <c r="N665" s="125"/>
      <c r="O665" s="125"/>
      <c r="R665" t="s">
        <v>129</v>
      </c>
      <c r="S665">
        <v>1</v>
      </c>
    </row>
    <row r="666" spans="1:19" x14ac:dyDescent="0.25">
      <c r="A666" s="78"/>
      <c r="B666" s="80"/>
      <c r="C666" s="78"/>
      <c r="D666" s="78"/>
      <c r="G666" s="79" t="s">
        <v>1194</v>
      </c>
      <c r="H666" s="272">
        <v>45658</v>
      </c>
      <c r="J666" s="274" t="s">
        <v>362</v>
      </c>
      <c r="K666" s="273" t="s">
        <v>404</v>
      </c>
      <c r="L666" s="274" t="s">
        <v>1159</v>
      </c>
      <c r="M666" s="78"/>
      <c r="N666" s="198" t="s">
        <v>1195</v>
      </c>
      <c r="O666" s="125">
        <v>45544</v>
      </c>
    </row>
    <row r="667" spans="1:19" ht="31.5" x14ac:dyDescent="0.25">
      <c r="A667" s="97" t="s">
        <v>0</v>
      </c>
      <c r="B667" s="98" t="s">
        <v>1196</v>
      </c>
      <c r="C667" s="97" t="s">
        <v>1197</v>
      </c>
      <c r="D667" s="97" t="s">
        <v>3</v>
      </c>
      <c r="E667" s="99" t="s">
        <v>1198</v>
      </c>
      <c r="F667" s="97" t="s">
        <v>1199</v>
      </c>
      <c r="G667" s="97" t="s">
        <v>1200</v>
      </c>
      <c r="H667" s="97" t="s">
        <v>1201</v>
      </c>
      <c r="I667" s="97" t="s">
        <v>18</v>
      </c>
      <c r="J667" s="97" t="s">
        <v>1202</v>
      </c>
      <c r="K667" s="97" t="s">
        <v>1</v>
      </c>
      <c r="L667" s="97" t="s">
        <v>1203</v>
      </c>
      <c r="M667" s="97" t="s">
        <v>69</v>
      </c>
      <c r="N667" s="97" t="s">
        <v>1204</v>
      </c>
      <c r="O667" s="97" t="s">
        <v>1205</v>
      </c>
      <c r="R667" t="s">
        <v>1206</v>
      </c>
      <c r="S667" t="s">
        <v>1207</v>
      </c>
    </row>
    <row r="668" spans="1:19" x14ac:dyDescent="0.25">
      <c r="A668" t="str">
        <f>TableSTRUECOB1[[#This Row],[Study Package Code]]</f>
        <v>Opt-ECOB1</v>
      </c>
      <c r="B668" s="5">
        <f>TableSTRUECOB1[[#This Row],[Ver]]</f>
        <v>0</v>
      </c>
      <c r="D668" t="str">
        <f>TableSTRUECOB1[[#This Row],[Structure Line]]</f>
        <v>Choose an Option</v>
      </c>
      <c r="E668" s="81">
        <f>TableSTRUECOB1[[#This Row],[Credit Points]]</f>
        <v>25</v>
      </c>
      <c r="F668">
        <v>1</v>
      </c>
      <c r="G668" t="s">
        <v>140</v>
      </c>
      <c r="H668">
        <v>0</v>
      </c>
      <c r="I668" t="s">
        <v>1221</v>
      </c>
      <c r="J668" t="s">
        <v>727</v>
      </c>
      <c r="K668">
        <v>0</v>
      </c>
      <c r="L668" t="s">
        <v>1219</v>
      </c>
      <c r="M668">
        <v>25</v>
      </c>
      <c r="N668" s="125"/>
      <c r="O668" s="125"/>
      <c r="R668" t="s">
        <v>57</v>
      </c>
      <c r="S668">
        <v>1</v>
      </c>
    </row>
    <row r="669" spans="1:19" x14ac:dyDescent="0.25">
      <c r="A669" t="str">
        <f>TableSTRUECOB1[[#This Row],[Study Package Code]]</f>
        <v>INDS2001</v>
      </c>
      <c r="B669" s="5">
        <f>TableSTRUECOB1[[#This Row],[Ver]]</f>
        <v>1</v>
      </c>
      <c r="D669" t="str">
        <f>TableSTRUECOB1[[#This Row],[Structure Line]]</f>
        <v>Indigenous Australian Land and Environments</v>
      </c>
      <c r="E669" s="81">
        <f>TableSTRUECOB1[[#This Row],[Credit Points]]</f>
        <v>25</v>
      </c>
      <c r="F669">
        <v>2</v>
      </c>
      <c r="G669" t="s">
        <v>1208</v>
      </c>
      <c r="H669">
        <v>1</v>
      </c>
      <c r="I669" t="s">
        <v>1212</v>
      </c>
      <c r="J669" t="s">
        <v>640</v>
      </c>
      <c r="K669">
        <v>1</v>
      </c>
      <c r="L669" t="s">
        <v>1039</v>
      </c>
      <c r="M669">
        <v>25</v>
      </c>
      <c r="N669" s="125">
        <v>42005</v>
      </c>
      <c r="O669" s="125"/>
      <c r="R669" t="s">
        <v>473</v>
      </c>
      <c r="S669">
        <v>1</v>
      </c>
    </row>
    <row r="670" spans="1:19" x14ac:dyDescent="0.25">
      <c r="A670" t="str">
        <f>TableSTRUECOB1[[#This Row],[Study Package Code]]</f>
        <v>HIST1000</v>
      </c>
      <c r="B670" s="5">
        <f>TableSTRUECOB1[[#This Row],[Ver]]</f>
        <v>2</v>
      </c>
      <c r="D670" t="str">
        <f>TableSTRUECOB1[[#This Row],[Structure Line]]</f>
        <v>Legacies of Empire</v>
      </c>
      <c r="E670" s="81">
        <f>TableSTRUECOB1[[#This Row],[Credit Points]]</f>
        <v>25</v>
      </c>
      <c r="F670">
        <v>3</v>
      </c>
      <c r="G670" t="s">
        <v>1208</v>
      </c>
      <c r="H670">
        <v>2</v>
      </c>
      <c r="I670" t="s">
        <v>1209</v>
      </c>
      <c r="J670" t="s">
        <v>474</v>
      </c>
      <c r="K670">
        <v>2</v>
      </c>
      <c r="L670" t="s">
        <v>1015</v>
      </c>
      <c r="M670">
        <v>25</v>
      </c>
      <c r="N670" s="125">
        <v>45658</v>
      </c>
      <c r="O670" s="125"/>
      <c r="R670" t="s">
        <v>569</v>
      </c>
      <c r="S670">
        <v>2</v>
      </c>
    </row>
    <row r="671" spans="1:19" x14ac:dyDescent="0.25">
      <c r="A671" t="str">
        <f>TableSTRUECOB1[[#This Row],[Study Package Code]]</f>
        <v>HIST2000</v>
      </c>
      <c r="B671" s="5">
        <f>TableSTRUECOB1[[#This Row],[Ver]]</f>
        <v>2</v>
      </c>
      <c r="D671" t="str">
        <f>TableSTRUECOB1[[#This Row],[Structure Line]]</f>
        <v>Social Change in Contemporary Australian History</v>
      </c>
      <c r="E671" s="81">
        <f>TableSTRUECOB1[[#This Row],[Credit Points]]</f>
        <v>25</v>
      </c>
      <c r="F671">
        <v>4</v>
      </c>
      <c r="G671" t="s">
        <v>1208</v>
      </c>
      <c r="H671">
        <v>2</v>
      </c>
      <c r="I671" t="s">
        <v>1212</v>
      </c>
      <c r="J671" t="s">
        <v>569</v>
      </c>
      <c r="K671" s="122">
        <v>2</v>
      </c>
      <c r="L671" s="122" t="s">
        <v>1273</v>
      </c>
      <c r="M671">
        <v>25</v>
      </c>
      <c r="N671" s="125">
        <v>44562</v>
      </c>
      <c r="O671" s="125"/>
      <c r="R671" t="s">
        <v>1303</v>
      </c>
      <c r="S671">
        <v>0</v>
      </c>
    </row>
    <row r="672" spans="1:19" x14ac:dyDescent="0.25">
      <c r="A672" t="str">
        <f>TableSTRUECOB1[[#This Row],[Study Package Code]]</f>
        <v>HIST2001</v>
      </c>
      <c r="B672" s="5">
        <f>TableSTRUECOB1[[#This Row],[Ver]]</f>
        <v>3</v>
      </c>
      <c r="D672" t="str">
        <f>TableSTRUECOB1[[#This Row],[Structure Line]]</f>
        <v>Democracy and Dictatorship</v>
      </c>
      <c r="E672" s="81">
        <f>TableSTRUECOB1[[#This Row],[Credit Points]]</f>
        <v>25</v>
      </c>
      <c r="F672">
        <v>5</v>
      </c>
      <c r="G672" t="s">
        <v>1208</v>
      </c>
      <c r="H672">
        <v>3</v>
      </c>
      <c r="I672" t="s">
        <v>1209</v>
      </c>
      <c r="J672" t="s">
        <v>595</v>
      </c>
      <c r="K672">
        <v>3</v>
      </c>
      <c r="L672" t="s">
        <v>1017</v>
      </c>
      <c r="M672">
        <v>25</v>
      </c>
      <c r="N672" s="125">
        <v>45658</v>
      </c>
      <c r="O672" s="125"/>
      <c r="R672" t="s">
        <v>1293</v>
      </c>
      <c r="S672">
        <v>0</v>
      </c>
    </row>
    <row r="673" spans="1:19" x14ac:dyDescent="0.25">
      <c r="A673" t="str">
        <f>TableSTRUECOB1[[#This Row],[Study Package Code]]</f>
        <v>INDS2004</v>
      </c>
      <c r="B673" s="5">
        <f>TableSTRUECOB1[[#This Row],[Ver]]</f>
        <v>2</v>
      </c>
      <c r="D673" t="str">
        <f>TableSTRUECOB1[[#This Row],[Structure Line]]</f>
        <v>Listening to Country: First Nations’ Perspectives</v>
      </c>
      <c r="E673" s="81">
        <f>TableSTRUECOB1[[#This Row],[Credit Points]]</f>
        <v>25</v>
      </c>
      <c r="F673">
        <v>6</v>
      </c>
      <c r="G673" t="s">
        <v>1208</v>
      </c>
      <c r="H673">
        <v>3</v>
      </c>
      <c r="I673" t="s">
        <v>1212</v>
      </c>
      <c r="J673" t="s">
        <v>582</v>
      </c>
      <c r="K673">
        <v>2</v>
      </c>
      <c r="L673" t="s">
        <v>1041</v>
      </c>
      <c r="M673">
        <v>25</v>
      </c>
      <c r="N673" s="125">
        <v>44562</v>
      </c>
      <c r="O673" s="125"/>
      <c r="R673" t="s">
        <v>124</v>
      </c>
      <c r="S673">
        <v>2</v>
      </c>
    </row>
    <row r="674" spans="1:19" x14ac:dyDescent="0.25">
      <c r="A674" t="str">
        <f>TableSTRUECOB1[[#This Row],[Study Package Code]]</f>
        <v>EDUC4012</v>
      </c>
      <c r="B674" s="5">
        <f>TableSTRUECOB1[[#This Row],[Ver]]</f>
        <v>2</v>
      </c>
      <c r="D674" t="str">
        <f>TableSTRUECOB1[[#This Row],[Structure Line]]</f>
        <v>Relationships and Sexuality Education</v>
      </c>
      <c r="E674" s="81">
        <f>TableSTRUECOB1[[#This Row],[Credit Points]]</f>
        <v>25</v>
      </c>
      <c r="F674">
        <v>1</v>
      </c>
      <c r="G674" t="s">
        <v>140</v>
      </c>
      <c r="H674">
        <v>0</v>
      </c>
      <c r="I674" t="s">
        <v>1221</v>
      </c>
      <c r="J674" t="s">
        <v>194</v>
      </c>
      <c r="K674">
        <v>2</v>
      </c>
      <c r="L674" t="s">
        <v>975</v>
      </c>
      <c r="M674">
        <v>25</v>
      </c>
      <c r="N674" s="125">
        <v>44927</v>
      </c>
      <c r="O674" s="125"/>
      <c r="R674" t="s">
        <v>640</v>
      </c>
      <c r="S674">
        <v>1</v>
      </c>
    </row>
    <row r="675" spans="1:19" x14ac:dyDescent="0.25">
      <c r="A675" t="str">
        <f>TableSTRUECOB1[[#This Row],[Study Package Code]]</f>
        <v>EDUC4014</v>
      </c>
      <c r="B675" s="5">
        <f>TableSTRUECOB1[[#This Row],[Ver]]</f>
        <v>1</v>
      </c>
      <c r="D675" t="str">
        <f>TableSTRUECOB1[[#This Row],[Structure Line]]</f>
        <v>Diverse Abilities and Curriculum Differentiation</v>
      </c>
      <c r="E675" s="81">
        <f>TableSTRUECOB1[[#This Row],[Credit Points]]</f>
        <v>25</v>
      </c>
      <c r="F675">
        <v>1</v>
      </c>
      <c r="G675" t="s">
        <v>140</v>
      </c>
      <c r="H675">
        <v>0</v>
      </c>
      <c r="I675" t="s">
        <v>1221</v>
      </c>
      <c r="J675" t="s">
        <v>195</v>
      </c>
      <c r="K675">
        <v>1</v>
      </c>
      <c r="L675" t="s">
        <v>976</v>
      </c>
      <c r="M675">
        <v>25</v>
      </c>
      <c r="N675" s="125">
        <v>42005</v>
      </c>
      <c r="O675" s="125"/>
      <c r="R675" t="s">
        <v>582</v>
      </c>
      <c r="S675">
        <v>2</v>
      </c>
    </row>
    <row r="676" spans="1:19" x14ac:dyDescent="0.25">
      <c r="A676" t="str">
        <f>TableSTRUECOB1[[#This Row],[Study Package Code]]</f>
        <v>EDUC4020</v>
      </c>
      <c r="B676" s="5">
        <f>TableSTRUECOB1[[#This Row],[Ver]]</f>
        <v>1</v>
      </c>
      <c r="D676" t="str">
        <f>TableSTRUECOB1[[#This Row],[Structure Line]]</f>
        <v>Supporting Literacy and Numeracy Development for Diverse Learners</v>
      </c>
      <c r="E676" s="81">
        <f>TableSTRUECOB1[[#This Row],[Credit Points]]</f>
        <v>25</v>
      </c>
      <c r="F676">
        <v>1</v>
      </c>
      <c r="G676" t="s">
        <v>140</v>
      </c>
      <c r="H676">
        <v>0</v>
      </c>
      <c r="I676" t="s">
        <v>1221</v>
      </c>
      <c r="J676" t="s">
        <v>184</v>
      </c>
      <c r="K676">
        <v>1</v>
      </c>
      <c r="L676" t="s">
        <v>977</v>
      </c>
      <c r="M676">
        <v>25</v>
      </c>
      <c r="N676" s="125">
        <v>43282</v>
      </c>
      <c r="O676" s="125"/>
      <c r="R676" t="s">
        <v>200</v>
      </c>
      <c r="S676">
        <v>1</v>
      </c>
    </row>
    <row r="677" spans="1:19" x14ac:dyDescent="0.25">
      <c r="A677" t="str">
        <f>TableSTRUECOB1[[#This Row],[Study Package Code]]</f>
        <v>EDUC4042</v>
      </c>
      <c r="B677" s="5">
        <f>TableSTRUECOB1[[#This Row],[Ver]]</f>
        <v>1</v>
      </c>
      <c r="D677" t="str">
        <f>TableSTRUECOB1[[#This Row],[Structure Line]]</f>
        <v>Alternative Approaches to Teaching Literacy and Numeracy</v>
      </c>
      <c r="E677" s="81">
        <f>TableSTRUECOB1[[#This Row],[Credit Points]]</f>
        <v>25</v>
      </c>
      <c r="F677">
        <v>1</v>
      </c>
      <c r="G677" t="s">
        <v>140</v>
      </c>
      <c r="H677">
        <v>0</v>
      </c>
      <c r="I677" t="s">
        <v>1221</v>
      </c>
      <c r="J677" t="s">
        <v>171</v>
      </c>
      <c r="K677">
        <v>1</v>
      </c>
      <c r="L677" t="s">
        <v>988</v>
      </c>
      <c r="M677">
        <v>25</v>
      </c>
      <c r="N677" s="125">
        <v>43466</v>
      </c>
      <c r="O677" s="125"/>
      <c r="R677" t="s">
        <v>174</v>
      </c>
      <c r="S677">
        <v>1</v>
      </c>
    </row>
    <row r="678" spans="1:19" x14ac:dyDescent="0.25">
      <c r="A678" t="str">
        <f>TableSTRUECOB1[[#This Row],[Study Package Code]]</f>
        <v>EDUC4044</v>
      </c>
      <c r="B678" s="5">
        <f>TableSTRUECOB1[[#This Row],[Ver]]</f>
        <v>2</v>
      </c>
      <c r="D678" t="str">
        <f>TableSTRUECOB1[[#This Row],[Structure Line]]</f>
        <v>Literacy and Numeracy for First Nations Peoples of Australia</v>
      </c>
      <c r="E678" s="81">
        <f>TableSTRUECOB1[[#This Row],[Credit Points]]</f>
        <v>25</v>
      </c>
      <c r="F678">
        <v>1</v>
      </c>
      <c r="G678" t="s">
        <v>140</v>
      </c>
      <c r="H678">
        <v>0</v>
      </c>
      <c r="I678" t="s">
        <v>1221</v>
      </c>
      <c r="J678" t="s">
        <v>178</v>
      </c>
      <c r="K678">
        <v>2</v>
      </c>
      <c r="L678" t="s">
        <v>989</v>
      </c>
      <c r="M678">
        <v>25</v>
      </c>
      <c r="N678" s="125">
        <v>44927</v>
      </c>
      <c r="O678" s="125"/>
      <c r="R678" t="s">
        <v>201</v>
      </c>
      <c r="S678">
        <v>2</v>
      </c>
    </row>
    <row r="679" spans="1:19" x14ac:dyDescent="0.25">
      <c r="A679" t="str">
        <f>TableSTRUECOB1[[#This Row],[Study Package Code]]</f>
        <v>EDUC4048</v>
      </c>
      <c r="B679" s="5">
        <f>TableSTRUECOB1[[#This Row],[Ver]]</f>
        <v>1</v>
      </c>
      <c r="D679" t="str">
        <f>TableSTRUECOB1[[#This Row],[Structure Line]]</f>
        <v>Mentoring, Coaching and Tutoring</v>
      </c>
      <c r="E679" s="81">
        <f>TableSTRUECOB1[[#This Row],[Credit Points]]</f>
        <v>25</v>
      </c>
      <c r="F679">
        <v>1</v>
      </c>
      <c r="G679" t="s">
        <v>140</v>
      </c>
      <c r="H679">
        <v>0</v>
      </c>
      <c r="I679" t="s">
        <v>1221</v>
      </c>
      <c r="J679" t="s">
        <v>129</v>
      </c>
      <c r="K679">
        <v>1</v>
      </c>
      <c r="L679" t="s">
        <v>991</v>
      </c>
      <c r="M679">
        <v>25</v>
      </c>
      <c r="N679" s="125">
        <v>43466</v>
      </c>
      <c r="O679" s="125"/>
      <c r="R679" t="s">
        <v>167</v>
      </c>
      <c r="S679">
        <v>1</v>
      </c>
    </row>
    <row r="680" spans="1:19" x14ac:dyDescent="0.25">
      <c r="A680">
        <f>TableSTRUECOB1[[#This Row],[Study Package Code]]</f>
        <v>0</v>
      </c>
      <c r="B680" s="5">
        <f>TableSTRUECOB1[[#This Row],[Ver]]</f>
        <v>0</v>
      </c>
      <c r="D680">
        <f>TableSTRUECOB1[[#This Row],[Structure Line]]</f>
        <v>0</v>
      </c>
      <c r="E680" s="81">
        <f>TableSTRUECOB1[[#This Row],[Credit Points]]</f>
        <v>0</v>
      </c>
      <c r="N680" s="125"/>
      <c r="O680" s="125"/>
      <c r="R680" t="s">
        <v>180</v>
      </c>
      <c r="S680">
        <v>1</v>
      </c>
    </row>
    <row r="681" spans="1:19" x14ac:dyDescent="0.25">
      <c r="A681">
        <f>TableSTRUECOB1[[#This Row],[Study Package Code]]</f>
        <v>0</v>
      </c>
      <c r="B681" s="5">
        <f>TableSTRUECOB1[[#This Row],[Ver]]</f>
        <v>0</v>
      </c>
      <c r="D681">
        <f>TableSTRUECOB1[[#This Row],[Structure Line]]</f>
        <v>0</v>
      </c>
      <c r="E681" s="81">
        <f>TableSTRUECOB1[[#This Row],[Credit Points]]</f>
        <v>0</v>
      </c>
      <c r="N681" s="125"/>
      <c r="O681" s="125"/>
      <c r="R681" t="s">
        <v>196</v>
      </c>
      <c r="S681">
        <v>1</v>
      </c>
    </row>
    <row r="682" spans="1:19" x14ac:dyDescent="0.25">
      <c r="A682">
        <f>TableSTRUECOB1[[#This Row],[Study Package Code]]</f>
        <v>0</v>
      </c>
      <c r="B682" s="5">
        <f>TableSTRUECOB1[[#This Row],[Ver]]</f>
        <v>0</v>
      </c>
      <c r="D682">
        <f>TableSTRUECOB1[[#This Row],[Structure Line]]</f>
        <v>0</v>
      </c>
      <c r="E682" s="81">
        <f>TableSTRUECOB1[[#This Row],[Credit Points]]</f>
        <v>0</v>
      </c>
      <c r="N682" s="125"/>
      <c r="O682" s="125"/>
      <c r="R682" t="s">
        <v>198</v>
      </c>
      <c r="S682">
        <v>1</v>
      </c>
    </row>
    <row r="683" spans="1:19" x14ac:dyDescent="0.25">
      <c r="A683">
        <f>TableSTRUECOB1[[#This Row],[Study Package Code]]</f>
        <v>0</v>
      </c>
      <c r="B683" s="5">
        <f>TableSTRUECOB1[[#This Row],[Ver]]</f>
        <v>0</v>
      </c>
      <c r="D683">
        <f>TableSTRUECOB1[[#This Row],[Structure Line]]</f>
        <v>0</v>
      </c>
      <c r="E683" s="81">
        <f>TableSTRUECOB1[[#This Row],[Credit Points]]</f>
        <v>0</v>
      </c>
      <c r="N683" s="125"/>
      <c r="O683" s="125"/>
      <c r="R683" t="s">
        <v>1224</v>
      </c>
      <c r="S683">
        <v>1</v>
      </c>
    </row>
    <row r="684" spans="1:19" x14ac:dyDescent="0.25">
      <c r="A684">
        <f>TableSTRUECOB1[[#This Row],[Study Package Code]]</f>
        <v>0</v>
      </c>
      <c r="B684" s="5">
        <f>TableSTRUECOB1[[#This Row],[Ver]]</f>
        <v>0</v>
      </c>
      <c r="D684">
        <f>TableSTRUECOB1[[#This Row],[Structure Line]]</f>
        <v>0</v>
      </c>
      <c r="E684" s="81">
        <f>TableSTRUECOB1[[#This Row],[Credit Points]]</f>
        <v>0</v>
      </c>
      <c r="N684" s="125"/>
      <c r="O684" s="125"/>
      <c r="R684" t="s">
        <v>194</v>
      </c>
      <c r="S684">
        <v>2</v>
      </c>
    </row>
    <row r="685" spans="1:19" x14ac:dyDescent="0.25">
      <c r="A685">
        <f>TableSTRUECOB1[[#This Row],[Study Package Code]]</f>
        <v>0</v>
      </c>
      <c r="B685" s="5">
        <f>TableSTRUECOB1[[#This Row],[Ver]]</f>
        <v>0</v>
      </c>
      <c r="D685">
        <f>TableSTRUECOB1[[#This Row],[Structure Line]]</f>
        <v>0</v>
      </c>
      <c r="E685" s="81">
        <f>TableSTRUECOB1[[#This Row],[Credit Points]]</f>
        <v>0</v>
      </c>
      <c r="N685" s="125"/>
      <c r="O685" s="125"/>
      <c r="R685" t="s">
        <v>195</v>
      </c>
      <c r="S685">
        <v>1</v>
      </c>
    </row>
    <row r="686" spans="1:19" x14ac:dyDescent="0.25">
      <c r="A686">
        <f>TableSTRUECOB1[[#This Row],[Study Package Code]]</f>
        <v>0</v>
      </c>
      <c r="B686" s="5">
        <f>TableSTRUECOB1[[#This Row],[Ver]]</f>
        <v>0</v>
      </c>
      <c r="D686">
        <f>TableSTRUECOB1[[#This Row],[Structure Line]]</f>
        <v>0</v>
      </c>
      <c r="E686" s="81">
        <f>TableSTRUECOB1[[#This Row],[Credit Points]]</f>
        <v>0</v>
      </c>
      <c r="N686" s="125"/>
      <c r="O686" s="125"/>
      <c r="R686" t="s">
        <v>184</v>
      </c>
      <c r="S686">
        <v>1</v>
      </c>
    </row>
    <row r="687" spans="1:19" x14ac:dyDescent="0.25">
      <c r="A687">
        <f>TableSTRUECOB1[[#This Row],[Study Package Code]]</f>
        <v>0</v>
      </c>
      <c r="B687" s="5">
        <f>TableSTRUECOB1[[#This Row],[Ver]]</f>
        <v>0</v>
      </c>
      <c r="D687">
        <f>TableSTRUECOB1[[#This Row],[Structure Line]]</f>
        <v>0</v>
      </c>
      <c r="E687" s="81">
        <f>TableSTRUECOB1[[#This Row],[Credit Points]]</f>
        <v>0</v>
      </c>
      <c r="N687" s="125"/>
      <c r="O687" s="125"/>
      <c r="R687" t="s">
        <v>170</v>
      </c>
      <c r="S687">
        <v>1</v>
      </c>
    </row>
    <row r="688" spans="1:19" x14ac:dyDescent="0.25">
      <c r="A688">
        <f>TableSTRUECOB1[[#This Row],[Study Package Code]]</f>
        <v>0</v>
      </c>
      <c r="B688" s="5">
        <f>TableSTRUECOB1[[#This Row],[Ver]]</f>
        <v>0</v>
      </c>
      <c r="D688">
        <f>TableSTRUECOB1[[#This Row],[Structure Line]]</f>
        <v>0</v>
      </c>
      <c r="E688" s="81">
        <f>TableSTRUECOB1[[#This Row],[Credit Points]]</f>
        <v>0</v>
      </c>
      <c r="N688" s="125"/>
      <c r="O688" s="125"/>
      <c r="R688" t="s">
        <v>175</v>
      </c>
      <c r="S688">
        <v>1</v>
      </c>
    </row>
    <row r="689" spans="1:19" x14ac:dyDescent="0.25">
      <c r="A689">
        <f>TableSTRUECOB1[[#This Row],[Study Package Code]]</f>
        <v>0</v>
      </c>
      <c r="B689" s="5">
        <f>TableSTRUECOB1[[#This Row],[Ver]]</f>
        <v>0</v>
      </c>
      <c r="D689">
        <f>TableSTRUECOB1[[#This Row],[Structure Line]]</f>
        <v>0</v>
      </c>
      <c r="E689" s="81">
        <f>TableSTRUECOB1[[#This Row],[Credit Points]]</f>
        <v>0</v>
      </c>
      <c r="N689" s="125"/>
      <c r="O689" s="125"/>
      <c r="R689" t="s">
        <v>168</v>
      </c>
      <c r="S689">
        <v>1</v>
      </c>
    </row>
    <row r="690" spans="1:19" x14ac:dyDescent="0.25">
      <c r="A690">
        <f>TableSTRUECOB1[[#This Row],[Study Package Code]]</f>
        <v>0</v>
      </c>
      <c r="B690" s="5">
        <f>TableSTRUECOB1[[#This Row],[Ver]]</f>
        <v>0</v>
      </c>
      <c r="D690">
        <f>TableSTRUECOB1[[#This Row],[Structure Line]]</f>
        <v>0</v>
      </c>
      <c r="E690" s="81">
        <f>TableSTRUECOB1[[#This Row],[Credit Points]]</f>
        <v>0</v>
      </c>
      <c r="N690" s="125"/>
      <c r="O690" s="125"/>
      <c r="R690" t="s">
        <v>172</v>
      </c>
      <c r="S690">
        <v>1</v>
      </c>
    </row>
    <row r="691" spans="1:19" x14ac:dyDescent="0.25">
      <c r="A691">
        <f>TableSTRUECOB1[[#This Row],[Study Package Code]]</f>
        <v>0</v>
      </c>
      <c r="B691" s="5">
        <f>TableSTRUECOB1[[#This Row],[Ver]]</f>
        <v>0</v>
      </c>
      <c r="D691">
        <f>TableSTRUECOB1[[#This Row],[Structure Line]]</f>
        <v>0</v>
      </c>
      <c r="E691" s="81">
        <f>TableSTRUECOB1[[#This Row],[Credit Points]]</f>
        <v>0</v>
      </c>
      <c r="N691" s="125"/>
      <c r="O691" s="125"/>
      <c r="R691" t="s">
        <v>199</v>
      </c>
      <c r="S691">
        <v>1</v>
      </c>
    </row>
    <row r="692" spans="1:19" x14ac:dyDescent="0.25">
      <c r="A692">
        <f>TableSTRUECOB1[[#This Row],[Study Package Code]]</f>
        <v>0</v>
      </c>
      <c r="B692" s="5">
        <f>TableSTRUECOB1[[#This Row],[Ver]]</f>
        <v>0</v>
      </c>
      <c r="D692">
        <f>TableSTRUECOB1[[#This Row],[Structure Line]]</f>
        <v>0</v>
      </c>
      <c r="E692" s="81">
        <f>TableSTRUECOB1[[#This Row],[Credit Points]]</f>
        <v>0</v>
      </c>
      <c r="N692" s="125"/>
      <c r="O692" s="125"/>
      <c r="R692" t="s">
        <v>177</v>
      </c>
      <c r="S692">
        <v>1</v>
      </c>
    </row>
    <row r="693" spans="1:19" x14ac:dyDescent="0.25">
      <c r="A693">
        <f>TableSTRUECOB1[[#This Row],[Study Package Code]]</f>
        <v>0</v>
      </c>
      <c r="B693" s="5">
        <f>TableSTRUECOB1[[#This Row],[Ver]]</f>
        <v>0</v>
      </c>
      <c r="D693">
        <f>TableSTRUECOB1[[#This Row],[Structure Line]]</f>
        <v>0</v>
      </c>
      <c r="E693" s="81">
        <f>TableSTRUECOB1[[#This Row],[Credit Points]]</f>
        <v>0</v>
      </c>
      <c r="K693" s="126"/>
      <c r="L693" s="126"/>
      <c r="M693" s="126"/>
      <c r="N693" s="125"/>
      <c r="O693" s="125"/>
      <c r="R693" t="s">
        <v>183</v>
      </c>
      <c r="S693">
        <v>1</v>
      </c>
    </row>
    <row r="694" spans="1:19" x14ac:dyDescent="0.25">
      <c r="A694">
        <f>TableSTRUECOB1[[#This Row],[Study Package Code]]</f>
        <v>0</v>
      </c>
      <c r="B694" s="5">
        <f>TableSTRUECOB1[[#This Row],[Ver]]</f>
        <v>0</v>
      </c>
      <c r="D694">
        <f>TableSTRUECOB1[[#This Row],[Structure Line]]</f>
        <v>0</v>
      </c>
      <c r="E694" s="81">
        <f>TableSTRUECOB1[[#This Row],[Credit Points]]</f>
        <v>0</v>
      </c>
      <c r="N694" s="125"/>
      <c r="O694" s="125"/>
      <c r="R694" t="s">
        <v>181</v>
      </c>
      <c r="S694">
        <v>1</v>
      </c>
    </row>
    <row r="695" spans="1:19" x14ac:dyDescent="0.25">
      <c r="A695">
        <f>TableSTRUECOB1[[#This Row],[Study Package Code]]</f>
        <v>0</v>
      </c>
      <c r="B695" s="5">
        <f>TableSTRUECOB1[[#This Row],[Ver]]</f>
        <v>0</v>
      </c>
      <c r="D695">
        <f>TableSTRUECOB1[[#This Row],[Structure Line]]</f>
        <v>0</v>
      </c>
      <c r="E695" s="81">
        <f>TableSTRUECOB1[[#This Row],[Credit Points]]</f>
        <v>0</v>
      </c>
      <c r="N695" s="125"/>
      <c r="O695" s="125"/>
      <c r="R695" t="s">
        <v>179</v>
      </c>
      <c r="S695">
        <v>1</v>
      </c>
    </row>
    <row r="696" spans="1:19" x14ac:dyDescent="0.25">
      <c r="A696">
        <f>TableSTRUECOB1[[#This Row],[Study Package Code]]</f>
        <v>0</v>
      </c>
      <c r="B696" s="5">
        <f>TableSTRUECOB1[[#This Row],[Ver]]</f>
        <v>0</v>
      </c>
      <c r="D696">
        <f>TableSTRUECOB1[[#This Row],[Structure Line]]</f>
        <v>0</v>
      </c>
      <c r="E696" s="81">
        <f>TableSTRUECOB1[[#This Row],[Credit Points]]</f>
        <v>0</v>
      </c>
      <c r="N696" s="125"/>
      <c r="O696" s="125"/>
      <c r="R696" t="s">
        <v>171</v>
      </c>
      <c r="S696">
        <v>1</v>
      </c>
    </row>
    <row r="697" spans="1:19" x14ac:dyDescent="0.25">
      <c r="A697">
        <f>TableSTRUECOB1[[#This Row],[Study Package Code]]</f>
        <v>0</v>
      </c>
      <c r="B697" s="5">
        <f>TableSTRUECOB1[[#This Row],[Ver]]</f>
        <v>0</v>
      </c>
      <c r="D697">
        <f>TableSTRUECOB1[[#This Row],[Structure Line]]</f>
        <v>0</v>
      </c>
      <c r="E697" s="81">
        <f>TableSTRUECOB1[[#This Row],[Credit Points]]</f>
        <v>0</v>
      </c>
      <c r="N697" s="125"/>
      <c r="O697" s="125"/>
      <c r="R697" t="s">
        <v>178</v>
      </c>
      <c r="S697">
        <v>1</v>
      </c>
    </row>
    <row r="698" spans="1:19" x14ac:dyDescent="0.25">
      <c r="A698">
        <f>TableSTRUECOB1[[#This Row],[Study Package Code]]</f>
        <v>0</v>
      </c>
      <c r="B698" s="5">
        <f>TableSTRUECOB1[[#This Row],[Ver]]</f>
        <v>0</v>
      </c>
      <c r="D698">
        <f>TableSTRUECOB1[[#This Row],[Structure Line]]</f>
        <v>0</v>
      </c>
      <c r="E698" s="81">
        <f>TableSTRUECOB1[[#This Row],[Credit Points]]</f>
        <v>0</v>
      </c>
      <c r="N698" s="125"/>
      <c r="O698" s="125"/>
      <c r="R698" t="s">
        <v>185</v>
      </c>
      <c r="S698">
        <v>1</v>
      </c>
    </row>
    <row r="699" spans="1:19" x14ac:dyDescent="0.25">
      <c r="A699">
        <f>TableSTRUECOB1[[#This Row],[Study Package Code]]</f>
        <v>0</v>
      </c>
      <c r="B699" s="5">
        <f>TableSTRUECOB1[[#This Row],[Ver]]</f>
        <v>0</v>
      </c>
      <c r="D699">
        <f>TableSTRUECOB1[[#This Row],[Structure Line]]</f>
        <v>0</v>
      </c>
      <c r="E699" s="81">
        <f>TableSTRUECOB1[[#This Row],[Credit Points]]</f>
        <v>0</v>
      </c>
      <c r="N699" s="125"/>
      <c r="O699" s="125"/>
      <c r="R699" t="s">
        <v>129</v>
      </c>
      <c r="S699">
        <v>1</v>
      </c>
    </row>
    <row r="700" spans="1:19" x14ac:dyDescent="0.25">
      <c r="A700" s="78"/>
      <c r="B700" s="80"/>
      <c r="C700" s="78"/>
      <c r="G700" s="79" t="s">
        <v>1194</v>
      </c>
      <c r="H700" s="272">
        <v>45658</v>
      </c>
      <c r="J700" s="274" t="s">
        <v>359</v>
      </c>
      <c r="K700" s="273" t="s">
        <v>72</v>
      </c>
      <c r="L700" s="274" t="s">
        <v>402</v>
      </c>
      <c r="M700" s="78"/>
      <c r="N700" s="198" t="s">
        <v>1195</v>
      </c>
      <c r="O700" s="125">
        <v>45544</v>
      </c>
    </row>
    <row r="701" spans="1:19" ht="31.5" x14ac:dyDescent="0.25">
      <c r="A701" s="97" t="s">
        <v>0</v>
      </c>
      <c r="B701" s="98" t="s">
        <v>1196</v>
      </c>
      <c r="C701" s="97" t="s">
        <v>1197</v>
      </c>
      <c r="D701" s="97" t="s">
        <v>3</v>
      </c>
      <c r="E701" s="99" t="s">
        <v>1198</v>
      </c>
      <c r="F701" s="97" t="s">
        <v>1199</v>
      </c>
      <c r="G701" s="97" t="s">
        <v>1200</v>
      </c>
      <c r="H701" s="97" t="s">
        <v>1201</v>
      </c>
      <c r="I701" s="97" t="s">
        <v>18</v>
      </c>
      <c r="J701" s="97" t="s">
        <v>1202</v>
      </c>
      <c r="K701" s="97" t="s">
        <v>1</v>
      </c>
      <c r="L701" s="97" t="s">
        <v>1203</v>
      </c>
      <c r="M701" s="97" t="s">
        <v>69</v>
      </c>
      <c r="N701" s="97" t="s">
        <v>1204</v>
      </c>
      <c r="O701" s="97" t="s">
        <v>1205</v>
      </c>
      <c r="R701" t="s">
        <v>1206</v>
      </c>
      <c r="S701" t="s">
        <v>1207</v>
      </c>
    </row>
    <row r="702" spans="1:19" x14ac:dyDescent="0.25">
      <c r="A702" t="str">
        <f>TableSTRUENGLB[[#This Row],[Study Package Code]]</f>
        <v>COMS1010</v>
      </c>
      <c r="B702" s="5">
        <f>TableSTRUENGLB[[#This Row],[Ver]]</f>
        <v>2</v>
      </c>
      <c r="D702" t="str">
        <f>TableSTRUENGLB[[#This Row],[Structure Line]]</f>
        <v>Academic and Professional Communications</v>
      </c>
      <c r="E702" s="81">
        <f>TableSTRUENGLB[[#This Row],[Credit Points]]</f>
        <v>25</v>
      </c>
      <c r="F702">
        <v>1</v>
      </c>
      <c r="G702" t="s">
        <v>1208</v>
      </c>
      <c r="H702">
        <v>1</v>
      </c>
      <c r="I702" t="s">
        <v>1212</v>
      </c>
      <c r="J702" t="s">
        <v>695</v>
      </c>
      <c r="K702">
        <v>2</v>
      </c>
      <c r="L702" t="s">
        <v>853</v>
      </c>
      <c r="M702">
        <v>25</v>
      </c>
      <c r="N702" s="125">
        <v>42917</v>
      </c>
      <c r="O702" s="125"/>
      <c r="R702" t="s">
        <v>695</v>
      </c>
      <c r="S702">
        <v>2</v>
      </c>
    </row>
    <row r="703" spans="1:19" x14ac:dyDescent="0.25">
      <c r="A703" t="str">
        <f>TableSTRUENGLB[[#This Row],[Study Package Code]]</f>
        <v>CWRI2001</v>
      </c>
      <c r="B703" s="5">
        <f>TableSTRUENGLB[[#This Row],[Ver]]</f>
        <v>1</v>
      </c>
      <c r="D703" t="str">
        <f>TableSTRUENGLB[[#This Row],[Structure Line]]</f>
        <v>Writing Poetry</v>
      </c>
      <c r="E703" s="81">
        <f>TableSTRUENGLB[[#This Row],[Credit Points]]</f>
        <v>25</v>
      </c>
      <c r="F703">
        <v>2</v>
      </c>
      <c r="G703" t="s">
        <v>1208</v>
      </c>
      <c r="H703">
        <v>2</v>
      </c>
      <c r="I703" t="s">
        <v>1209</v>
      </c>
      <c r="J703" t="s">
        <v>706</v>
      </c>
      <c r="K703">
        <v>1</v>
      </c>
      <c r="L703" t="s">
        <v>862</v>
      </c>
      <c r="M703">
        <v>25</v>
      </c>
      <c r="N703" s="125">
        <v>42005</v>
      </c>
      <c r="O703" s="125"/>
      <c r="R703" t="s">
        <v>706</v>
      </c>
      <c r="S703">
        <v>1</v>
      </c>
    </row>
    <row r="704" spans="1:19" x14ac:dyDescent="0.25">
      <c r="A704" t="str">
        <f>TableSTRUENGLB[[#This Row],[Study Package Code]]</f>
        <v>CWRI2016</v>
      </c>
      <c r="B704" s="5">
        <f>TableSTRUENGLB[[#This Row],[Ver]]</f>
        <v>1</v>
      </c>
      <c r="D704" t="str">
        <f>TableSTRUENGLB[[#This Row],[Structure Line]]</f>
        <v>Writing Genre Fiction</v>
      </c>
      <c r="E704" s="81">
        <f>TableSTRUENGLB[[#This Row],[Credit Points]]</f>
        <v>25</v>
      </c>
      <c r="F704">
        <v>3</v>
      </c>
      <c r="G704" t="s">
        <v>1208</v>
      </c>
      <c r="H704">
        <v>2</v>
      </c>
      <c r="I704" t="s">
        <v>1212</v>
      </c>
      <c r="J704" t="s">
        <v>712</v>
      </c>
      <c r="K704">
        <v>1</v>
      </c>
      <c r="L704" t="s">
        <v>864</v>
      </c>
      <c r="M704">
        <v>25</v>
      </c>
      <c r="N704" s="125">
        <v>43831</v>
      </c>
      <c r="O704" s="125"/>
      <c r="R704" t="s">
        <v>712</v>
      </c>
      <c r="S704">
        <v>1</v>
      </c>
    </row>
    <row r="705" spans="1:19" x14ac:dyDescent="0.25">
      <c r="A705" t="str">
        <f>TableSTRUENGLB[[#This Row],[Study Package Code]]</f>
        <v>PWRP3010</v>
      </c>
      <c r="B705" s="5">
        <f>TableSTRUENGLB[[#This Row],[Ver]]</f>
        <v>2</v>
      </c>
      <c r="D705" t="str">
        <f>TableSTRUENGLB[[#This Row],[Structure Line]]</f>
        <v>Advanced Narrative Nonfiction</v>
      </c>
      <c r="E705" s="81">
        <f>TableSTRUENGLB[[#This Row],[Credit Points]]</f>
        <v>25</v>
      </c>
      <c r="F705">
        <v>4</v>
      </c>
      <c r="G705" t="s">
        <v>1208</v>
      </c>
      <c r="H705">
        <v>3</v>
      </c>
      <c r="I705" t="s">
        <v>1209</v>
      </c>
      <c r="J705" t="s">
        <v>721</v>
      </c>
      <c r="K705">
        <v>2</v>
      </c>
      <c r="L705" t="s">
        <v>1126</v>
      </c>
      <c r="M705">
        <v>25</v>
      </c>
      <c r="N705" s="125">
        <v>45292</v>
      </c>
      <c r="O705" s="125"/>
      <c r="R705" t="s">
        <v>91</v>
      </c>
      <c r="S705">
        <v>1</v>
      </c>
    </row>
    <row r="706" spans="1:19" x14ac:dyDescent="0.25">
      <c r="A706" t="str">
        <f>TableSTRUENGLB[[#This Row],[Study Package Code]]</f>
        <v>COMS2000</v>
      </c>
      <c r="B706" s="5">
        <f>TableSTRUENGLB[[#This Row],[Ver]]</f>
        <v>2</v>
      </c>
      <c r="D706" t="str">
        <f>TableSTRUENGLB[[#This Row],[Structure Line]]</f>
        <v>Media, Culture and Consumption</v>
      </c>
      <c r="E706" s="81">
        <f>TableSTRUENGLB[[#This Row],[Credit Points]]</f>
        <v>25</v>
      </c>
      <c r="F706">
        <v>5</v>
      </c>
      <c r="G706" t="s">
        <v>1208</v>
      </c>
      <c r="H706">
        <v>3</v>
      </c>
      <c r="I706" t="s">
        <v>1212</v>
      </c>
      <c r="J706" t="s">
        <v>600</v>
      </c>
      <c r="K706">
        <v>2</v>
      </c>
      <c r="L706" t="s">
        <v>854</v>
      </c>
      <c r="M706">
        <v>25</v>
      </c>
      <c r="N706" s="125">
        <v>44927</v>
      </c>
      <c r="O706" s="125"/>
      <c r="R706" t="s">
        <v>132</v>
      </c>
      <c r="S706">
        <v>2</v>
      </c>
    </row>
    <row r="707" spans="1:19" x14ac:dyDescent="0.25">
      <c r="A707" t="str">
        <f>TableSTRUENGLB[[#This Row],[Study Package Code]]</f>
        <v>Opt-ENGLB</v>
      </c>
      <c r="B707" s="5">
        <f>TableSTRUENGLB[[#This Row],[Ver]]</f>
        <v>0</v>
      </c>
      <c r="D707" t="str">
        <f>TableSTRUENGLB[[#This Row],[Structure Line]]</f>
        <v>Choose an Option</v>
      </c>
      <c r="E707" s="81">
        <f>TableSTRUENGLB[[#This Row],[Credit Points]]</f>
        <v>25</v>
      </c>
      <c r="F707">
        <v>6</v>
      </c>
      <c r="G707" t="s">
        <v>140</v>
      </c>
      <c r="H707">
        <v>0</v>
      </c>
      <c r="I707" t="s">
        <v>1221</v>
      </c>
      <c r="J707" t="s">
        <v>728</v>
      </c>
      <c r="K707">
        <v>0</v>
      </c>
      <c r="L707" t="s">
        <v>1219</v>
      </c>
      <c r="M707">
        <v>25</v>
      </c>
      <c r="N707" s="125"/>
      <c r="O707" s="125"/>
      <c r="R707" t="s">
        <v>1293</v>
      </c>
      <c r="S707">
        <v>0</v>
      </c>
    </row>
    <row r="708" spans="1:19" x14ac:dyDescent="0.25">
      <c r="A708" t="str">
        <f>TableSTRUENGLB[[#This Row],[Study Package Code]]</f>
        <v>EDUC4012</v>
      </c>
      <c r="B708" s="5">
        <f>TableSTRUENGLB[[#This Row],[Ver]]</f>
        <v>2</v>
      </c>
      <c r="D708" t="str">
        <f>TableSTRUENGLB[[#This Row],[Structure Line]]</f>
        <v>Relationships and Sexuality Education</v>
      </c>
      <c r="E708" s="81">
        <f>TableSTRUENGLB[[#This Row],[Credit Points]]</f>
        <v>25</v>
      </c>
      <c r="F708">
        <v>6</v>
      </c>
      <c r="G708" t="s">
        <v>140</v>
      </c>
      <c r="H708">
        <v>0</v>
      </c>
      <c r="I708" t="s">
        <v>1221</v>
      </c>
      <c r="J708" t="s">
        <v>194</v>
      </c>
      <c r="K708">
        <v>2</v>
      </c>
      <c r="L708" t="s">
        <v>975</v>
      </c>
      <c r="M708">
        <v>25</v>
      </c>
      <c r="N708" s="125">
        <v>44927</v>
      </c>
      <c r="O708" s="125"/>
      <c r="R708" t="s">
        <v>200</v>
      </c>
      <c r="S708">
        <v>1</v>
      </c>
    </row>
    <row r="709" spans="1:19" x14ac:dyDescent="0.25">
      <c r="A709" t="str">
        <f>TableSTRUENGLB[[#This Row],[Study Package Code]]</f>
        <v>EDUC4014</v>
      </c>
      <c r="B709" s="5">
        <f>TableSTRUENGLB[[#This Row],[Ver]]</f>
        <v>1</v>
      </c>
      <c r="D709" t="str">
        <f>TableSTRUENGLB[[#This Row],[Structure Line]]</f>
        <v>Diverse Abilities and Curriculum Differentiation</v>
      </c>
      <c r="E709" s="81">
        <f>TableSTRUENGLB[[#This Row],[Credit Points]]</f>
        <v>25</v>
      </c>
      <c r="F709">
        <v>6</v>
      </c>
      <c r="G709" t="s">
        <v>140</v>
      </c>
      <c r="H709">
        <v>0</v>
      </c>
      <c r="I709" t="s">
        <v>1221</v>
      </c>
      <c r="J709" t="s">
        <v>195</v>
      </c>
      <c r="K709">
        <v>1</v>
      </c>
      <c r="L709" t="s">
        <v>976</v>
      </c>
      <c r="M709">
        <v>25</v>
      </c>
      <c r="N709" s="125">
        <v>42005</v>
      </c>
      <c r="O709" s="125"/>
      <c r="R709" t="s">
        <v>174</v>
      </c>
      <c r="S709">
        <v>2</v>
      </c>
    </row>
    <row r="710" spans="1:19" x14ac:dyDescent="0.25">
      <c r="A710" t="str">
        <f>TableSTRUENGLB[[#This Row],[Study Package Code]]</f>
        <v>EDUC4020</v>
      </c>
      <c r="B710" s="5">
        <f>TableSTRUENGLB[[#This Row],[Ver]]</f>
        <v>1</v>
      </c>
      <c r="D710" t="str">
        <f>TableSTRUENGLB[[#This Row],[Structure Line]]</f>
        <v>Supporting Literacy and Numeracy Development for Diverse Learners</v>
      </c>
      <c r="E710" s="81">
        <f>TableSTRUENGLB[[#This Row],[Credit Points]]</f>
        <v>25</v>
      </c>
      <c r="F710">
        <v>6</v>
      </c>
      <c r="G710" t="s">
        <v>140</v>
      </c>
      <c r="H710">
        <v>0</v>
      </c>
      <c r="I710" t="s">
        <v>1221</v>
      </c>
      <c r="J710" t="s">
        <v>184</v>
      </c>
      <c r="K710">
        <v>1</v>
      </c>
      <c r="L710" t="s">
        <v>977</v>
      </c>
      <c r="M710">
        <v>25</v>
      </c>
      <c r="N710" s="125">
        <v>43282</v>
      </c>
      <c r="O710" s="125"/>
      <c r="R710" t="s">
        <v>201</v>
      </c>
      <c r="S710">
        <v>2</v>
      </c>
    </row>
    <row r="711" spans="1:19" x14ac:dyDescent="0.25">
      <c r="A711" t="str">
        <f>TableSTRUENGLB[[#This Row],[Study Package Code]]</f>
        <v>EDUC4022</v>
      </c>
      <c r="B711" s="5">
        <f>TableSTRUENGLB[[#This Row],[Ver]]</f>
        <v>1</v>
      </c>
      <c r="D711" t="str">
        <f>TableSTRUENGLB[[#This Row],[Structure Line]]</f>
        <v>Creative Literacies</v>
      </c>
      <c r="E711" s="81">
        <f>TableSTRUENGLB[[#This Row],[Credit Points]]</f>
        <v>25</v>
      </c>
      <c r="F711">
        <v>6</v>
      </c>
      <c r="G711" t="s">
        <v>140</v>
      </c>
      <c r="H711">
        <v>0</v>
      </c>
      <c r="I711" t="s">
        <v>1221</v>
      </c>
      <c r="J711" t="s">
        <v>175</v>
      </c>
      <c r="K711">
        <v>1</v>
      </c>
      <c r="L711" t="s">
        <v>979</v>
      </c>
      <c r="M711">
        <v>25</v>
      </c>
      <c r="N711" s="125">
        <v>43282</v>
      </c>
      <c r="O711" s="125"/>
      <c r="R711" t="s">
        <v>167</v>
      </c>
      <c r="S711">
        <v>1</v>
      </c>
    </row>
    <row r="712" spans="1:19" x14ac:dyDescent="0.25">
      <c r="A712" t="str">
        <f>TableSTRUENGLB[[#This Row],[Study Package Code]]</f>
        <v>EDUC4023</v>
      </c>
      <c r="B712" s="5">
        <f>TableSTRUENGLB[[#This Row],[Ver]]</f>
        <v>1</v>
      </c>
      <c r="D712" t="str">
        <f>TableSTRUENGLB[[#This Row],[Structure Line]]</f>
        <v>Creating and Responding to Literature</v>
      </c>
      <c r="E712" s="81">
        <f>TableSTRUENGLB[[#This Row],[Credit Points]]</f>
        <v>25</v>
      </c>
      <c r="F712">
        <v>6</v>
      </c>
      <c r="G712" t="s">
        <v>140</v>
      </c>
      <c r="H712">
        <v>0</v>
      </c>
      <c r="I712" t="s">
        <v>1221</v>
      </c>
      <c r="J712" t="s">
        <v>168</v>
      </c>
      <c r="K712">
        <v>1</v>
      </c>
      <c r="L712" t="s">
        <v>980</v>
      </c>
      <c r="M712">
        <v>25</v>
      </c>
      <c r="N712" s="125">
        <v>43282</v>
      </c>
      <c r="O712" s="125"/>
      <c r="R712" t="s">
        <v>180</v>
      </c>
      <c r="S712">
        <v>1</v>
      </c>
    </row>
    <row r="713" spans="1:19" x14ac:dyDescent="0.25">
      <c r="A713" t="str">
        <f>TableSTRUENGLB[[#This Row],[Study Package Code]]</f>
        <v>EDUC4036</v>
      </c>
      <c r="B713" s="5">
        <f>TableSTRUENGLB[[#This Row],[Ver]]</f>
        <v>1</v>
      </c>
      <c r="D713" t="str">
        <f>TableSTRUENGLB[[#This Row],[Structure Line]]</f>
        <v>Language and Diversity</v>
      </c>
      <c r="E713" s="81">
        <f>TableSTRUENGLB[[#This Row],[Credit Points]]</f>
        <v>25</v>
      </c>
      <c r="F713">
        <v>6</v>
      </c>
      <c r="G713" t="s">
        <v>140</v>
      </c>
      <c r="H713">
        <v>0</v>
      </c>
      <c r="I713" t="s">
        <v>1221</v>
      </c>
      <c r="J713" t="s">
        <v>181</v>
      </c>
      <c r="K713">
        <v>1</v>
      </c>
      <c r="L713" t="s">
        <v>984</v>
      </c>
      <c r="M713">
        <v>25</v>
      </c>
      <c r="N713" s="125">
        <v>43466</v>
      </c>
      <c r="O713" s="125"/>
      <c r="R713" t="s">
        <v>196</v>
      </c>
      <c r="S713">
        <v>1</v>
      </c>
    </row>
    <row r="714" spans="1:19" x14ac:dyDescent="0.25">
      <c r="A714" t="str">
        <f>TableSTRUENGLB[[#This Row],[Study Package Code]]</f>
        <v>EDUC4042</v>
      </c>
      <c r="B714" s="5">
        <f>TableSTRUENGLB[[#This Row],[Ver]]</f>
        <v>1</v>
      </c>
      <c r="D714" t="str">
        <f>TableSTRUENGLB[[#This Row],[Structure Line]]</f>
        <v>Alternative Approaches to Teaching Literacy and Numeracy</v>
      </c>
      <c r="E714" s="81">
        <f>TableSTRUENGLB[[#This Row],[Credit Points]]</f>
        <v>25</v>
      </c>
      <c r="F714">
        <v>6</v>
      </c>
      <c r="G714" t="s">
        <v>140</v>
      </c>
      <c r="H714">
        <v>0</v>
      </c>
      <c r="I714" t="s">
        <v>1221</v>
      </c>
      <c r="J714" t="s">
        <v>171</v>
      </c>
      <c r="K714">
        <v>1</v>
      </c>
      <c r="L714" t="s">
        <v>988</v>
      </c>
      <c r="M714">
        <v>25</v>
      </c>
      <c r="N714" s="125">
        <v>43466</v>
      </c>
      <c r="O714" s="125"/>
      <c r="R714" t="s">
        <v>198</v>
      </c>
      <c r="S714">
        <v>1</v>
      </c>
    </row>
    <row r="715" spans="1:19" x14ac:dyDescent="0.25">
      <c r="A715" t="str">
        <f>TableSTRUENGLB[[#This Row],[Study Package Code]]</f>
        <v>EDUC4044</v>
      </c>
      <c r="B715" s="5">
        <f>TableSTRUENGLB[[#This Row],[Ver]]</f>
        <v>2</v>
      </c>
      <c r="D715" t="str">
        <f>TableSTRUENGLB[[#This Row],[Structure Line]]</f>
        <v>Literacy and Numeracy for First Nations Peoples of Australia</v>
      </c>
      <c r="E715" s="81">
        <f>TableSTRUENGLB[[#This Row],[Credit Points]]</f>
        <v>25</v>
      </c>
      <c r="F715">
        <v>6</v>
      </c>
      <c r="G715" t="s">
        <v>140</v>
      </c>
      <c r="H715">
        <v>0</v>
      </c>
      <c r="I715" t="s">
        <v>1221</v>
      </c>
      <c r="J715" t="s">
        <v>178</v>
      </c>
      <c r="K715">
        <v>2</v>
      </c>
      <c r="L715" t="s">
        <v>989</v>
      </c>
      <c r="M715">
        <v>25</v>
      </c>
      <c r="N715" s="125">
        <v>44927</v>
      </c>
      <c r="O715" s="125"/>
      <c r="R715" t="s">
        <v>1224</v>
      </c>
      <c r="S715">
        <v>1</v>
      </c>
    </row>
    <row r="716" spans="1:19" x14ac:dyDescent="0.25">
      <c r="A716" t="str">
        <f>TableSTRUENGLB[[#This Row],[Study Package Code]]</f>
        <v>EDUC4048</v>
      </c>
      <c r="B716" s="5">
        <f>TableSTRUENGLB[[#This Row],[Ver]]</f>
        <v>1</v>
      </c>
      <c r="D716" t="str">
        <f>TableSTRUENGLB[[#This Row],[Structure Line]]</f>
        <v>Mentoring, Coaching and Tutoring</v>
      </c>
      <c r="E716" s="81">
        <f>TableSTRUENGLB[[#This Row],[Credit Points]]</f>
        <v>25</v>
      </c>
      <c r="F716">
        <v>6</v>
      </c>
      <c r="G716" t="s">
        <v>140</v>
      </c>
      <c r="H716">
        <v>0</v>
      </c>
      <c r="I716" t="s">
        <v>1221</v>
      </c>
      <c r="J716" t="s">
        <v>129</v>
      </c>
      <c r="K716">
        <v>1</v>
      </c>
      <c r="L716" t="s">
        <v>991</v>
      </c>
      <c r="M716">
        <v>25</v>
      </c>
      <c r="N716" s="125">
        <v>43466</v>
      </c>
      <c r="O716" s="125"/>
      <c r="R716" t="s">
        <v>194</v>
      </c>
      <c r="S716">
        <v>2</v>
      </c>
    </row>
    <row r="717" spans="1:19" x14ac:dyDescent="0.25">
      <c r="A717">
        <f>TableSTRUENGLB[[#This Row],[Study Package Code]]</f>
        <v>0</v>
      </c>
      <c r="B717" s="5">
        <f>TableSTRUENGLB[[#This Row],[Ver]]</f>
        <v>0</v>
      </c>
      <c r="D717">
        <f>TableSTRUENGLB[[#This Row],[Structure Line]]</f>
        <v>0</v>
      </c>
      <c r="E717" s="81">
        <f>TableSTRUENGLB[[#This Row],[Credit Points]]</f>
        <v>0</v>
      </c>
      <c r="N717" s="125"/>
      <c r="O717" s="125"/>
      <c r="R717" t="s">
        <v>195</v>
      </c>
      <c r="S717">
        <v>1</v>
      </c>
    </row>
    <row r="718" spans="1:19" x14ac:dyDescent="0.25">
      <c r="A718">
        <f>TableSTRUENGLB[[#This Row],[Study Package Code]]</f>
        <v>0</v>
      </c>
      <c r="B718" s="5">
        <f>TableSTRUENGLB[[#This Row],[Ver]]</f>
        <v>0</v>
      </c>
      <c r="D718">
        <f>TableSTRUENGLB[[#This Row],[Structure Line]]</f>
        <v>0</v>
      </c>
      <c r="E718" s="81">
        <f>TableSTRUENGLB[[#This Row],[Credit Points]]</f>
        <v>0</v>
      </c>
      <c r="N718" s="125"/>
      <c r="O718" s="125"/>
      <c r="R718" t="s">
        <v>184</v>
      </c>
      <c r="S718">
        <v>1</v>
      </c>
    </row>
    <row r="719" spans="1:19" x14ac:dyDescent="0.25">
      <c r="A719">
        <f>TableSTRUENGLB[[#This Row],[Study Package Code]]</f>
        <v>0</v>
      </c>
      <c r="B719" s="5">
        <f>TableSTRUENGLB[[#This Row],[Ver]]</f>
        <v>0</v>
      </c>
      <c r="D719">
        <f>TableSTRUENGLB[[#This Row],[Structure Line]]</f>
        <v>0</v>
      </c>
      <c r="E719" s="81">
        <f>TableSTRUENGLB[[#This Row],[Credit Points]]</f>
        <v>0</v>
      </c>
      <c r="N719" s="125"/>
      <c r="O719" s="125"/>
      <c r="R719" t="s">
        <v>170</v>
      </c>
      <c r="S719">
        <v>1</v>
      </c>
    </row>
    <row r="720" spans="1:19" x14ac:dyDescent="0.25">
      <c r="A720">
        <f>TableSTRUENGLB[[#This Row],[Study Package Code]]</f>
        <v>0</v>
      </c>
      <c r="B720" s="5">
        <f>TableSTRUENGLB[[#This Row],[Ver]]</f>
        <v>0</v>
      </c>
      <c r="D720">
        <f>TableSTRUENGLB[[#This Row],[Structure Line]]</f>
        <v>0</v>
      </c>
      <c r="E720" s="81">
        <f>TableSTRUENGLB[[#This Row],[Credit Points]]</f>
        <v>0</v>
      </c>
      <c r="N720" s="125"/>
      <c r="O720" s="125"/>
      <c r="R720" t="s">
        <v>175</v>
      </c>
      <c r="S720">
        <v>1</v>
      </c>
    </row>
    <row r="721" spans="1:19" x14ac:dyDescent="0.25">
      <c r="A721">
        <f>TableSTRUENGLB[[#This Row],[Study Package Code]]</f>
        <v>0</v>
      </c>
      <c r="B721" s="5">
        <f>TableSTRUENGLB[[#This Row],[Ver]]</f>
        <v>0</v>
      </c>
      <c r="D721">
        <f>TableSTRUENGLB[[#This Row],[Structure Line]]</f>
        <v>0</v>
      </c>
      <c r="E721" s="81">
        <f>TableSTRUENGLB[[#This Row],[Credit Points]]</f>
        <v>0</v>
      </c>
      <c r="N721" s="125"/>
      <c r="O721" s="125"/>
      <c r="R721" t="s">
        <v>168</v>
      </c>
      <c r="S721">
        <v>1</v>
      </c>
    </row>
    <row r="722" spans="1:19" x14ac:dyDescent="0.25">
      <c r="A722">
        <f>TableSTRUENGLB[[#This Row],[Study Package Code]]</f>
        <v>0</v>
      </c>
      <c r="B722" s="5">
        <f>TableSTRUENGLB[[#This Row],[Ver]]</f>
        <v>0</v>
      </c>
      <c r="D722">
        <f>TableSTRUENGLB[[#This Row],[Structure Line]]</f>
        <v>0</v>
      </c>
      <c r="E722" s="81">
        <f>TableSTRUENGLB[[#This Row],[Credit Points]]</f>
        <v>0</v>
      </c>
      <c r="N722" s="125"/>
      <c r="O722" s="125"/>
      <c r="R722" t="s">
        <v>172</v>
      </c>
      <c r="S722">
        <v>1</v>
      </c>
    </row>
    <row r="723" spans="1:19" x14ac:dyDescent="0.25">
      <c r="A723">
        <f>TableSTRUENGLB[[#This Row],[Study Package Code]]</f>
        <v>0</v>
      </c>
      <c r="B723" s="5">
        <f>TableSTRUENGLB[[#This Row],[Ver]]</f>
        <v>0</v>
      </c>
      <c r="D723">
        <f>TableSTRUENGLB[[#This Row],[Structure Line]]</f>
        <v>0</v>
      </c>
      <c r="E723" s="81">
        <f>TableSTRUENGLB[[#This Row],[Credit Points]]</f>
        <v>0</v>
      </c>
      <c r="N723" s="125"/>
      <c r="O723" s="125"/>
      <c r="R723" t="s">
        <v>199</v>
      </c>
      <c r="S723">
        <v>1</v>
      </c>
    </row>
    <row r="724" spans="1:19" x14ac:dyDescent="0.25">
      <c r="A724">
        <f>TableSTRUENGLB[[#This Row],[Study Package Code]]</f>
        <v>0</v>
      </c>
      <c r="B724" s="5">
        <f>TableSTRUENGLB[[#This Row],[Ver]]</f>
        <v>0</v>
      </c>
      <c r="D724">
        <f>TableSTRUENGLB[[#This Row],[Structure Line]]</f>
        <v>0</v>
      </c>
      <c r="E724" s="81">
        <f>TableSTRUENGLB[[#This Row],[Credit Points]]</f>
        <v>0</v>
      </c>
      <c r="N724" s="125"/>
      <c r="O724" s="125"/>
      <c r="R724" t="s">
        <v>177</v>
      </c>
      <c r="S724">
        <v>1</v>
      </c>
    </row>
    <row r="725" spans="1:19" x14ac:dyDescent="0.25">
      <c r="A725">
        <f>TableSTRUENGLB[[#This Row],[Study Package Code]]</f>
        <v>0</v>
      </c>
      <c r="B725" s="5">
        <f>TableSTRUENGLB[[#This Row],[Ver]]</f>
        <v>0</v>
      </c>
      <c r="D725">
        <f>TableSTRUENGLB[[#This Row],[Structure Line]]</f>
        <v>0</v>
      </c>
      <c r="E725" s="81">
        <f>TableSTRUENGLB[[#This Row],[Credit Points]]</f>
        <v>0</v>
      </c>
      <c r="N725" s="125"/>
      <c r="O725" s="125"/>
      <c r="R725" t="s">
        <v>183</v>
      </c>
      <c r="S725">
        <v>1</v>
      </c>
    </row>
    <row r="726" spans="1:19" x14ac:dyDescent="0.25">
      <c r="A726">
        <f>TableSTRUENGLB[[#This Row],[Study Package Code]]</f>
        <v>0</v>
      </c>
      <c r="B726" s="5">
        <f>TableSTRUENGLB[[#This Row],[Ver]]</f>
        <v>0</v>
      </c>
      <c r="D726">
        <f>TableSTRUENGLB[[#This Row],[Structure Line]]</f>
        <v>0</v>
      </c>
      <c r="E726" s="81">
        <f>TableSTRUENGLB[[#This Row],[Credit Points]]</f>
        <v>0</v>
      </c>
      <c r="N726" s="125"/>
      <c r="O726" s="125"/>
      <c r="R726" t="s">
        <v>181</v>
      </c>
      <c r="S726">
        <v>1</v>
      </c>
    </row>
    <row r="727" spans="1:19" x14ac:dyDescent="0.25">
      <c r="A727">
        <f>TableSTRUENGLB[[#This Row],[Study Package Code]]</f>
        <v>0</v>
      </c>
      <c r="B727" s="5">
        <f>TableSTRUENGLB[[#This Row],[Ver]]</f>
        <v>0</v>
      </c>
      <c r="D727">
        <f>TableSTRUENGLB[[#This Row],[Structure Line]]</f>
        <v>0</v>
      </c>
      <c r="E727" s="81">
        <f>TableSTRUENGLB[[#This Row],[Credit Points]]</f>
        <v>0</v>
      </c>
      <c r="K727" s="126"/>
      <c r="L727" s="126"/>
      <c r="M727" s="126"/>
      <c r="N727" s="125"/>
      <c r="O727" s="125"/>
      <c r="R727" t="s">
        <v>179</v>
      </c>
      <c r="S727">
        <v>1</v>
      </c>
    </row>
    <row r="728" spans="1:19" x14ac:dyDescent="0.25">
      <c r="A728">
        <f>TableSTRUENGLB[[#This Row],[Study Package Code]]</f>
        <v>0</v>
      </c>
      <c r="B728" s="5">
        <f>TableSTRUENGLB[[#This Row],[Ver]]</f>
        <v>0</v>
      </c>
      <c r="D728">
        <f>TableSTRUENGLB[[#This Row],[Structure Line]]</f>
        <v>0</v>
      </c>
      <c r="E728" s="81">
        <f>TableSTRUENGLB[[#This Row],[Credit Points]]</f>
        <v>0</v>
      </c>
      <c r="N728" s="125"/>
      <c r="O728" s="125"/>
      <c r="R728" t="s">
        <v>171</v>
      </c>
      <c r="S728">
        <v>1</v>
      </c>
    </row>
    <row r="729" spans="1:19" x14ac:dyDescent="0.25">
      <c r="A729">
        <f>TableSTRUENGLB[[#This Row],[Study Package Code]]</f>
        <v>0</v>
      </c>
      <c r="B729" s="5">
        <f>TableSTRUENGLB[[#This Row],[Ver]]</f>
        <v>0</v>
      </c>
      <c r="D729">
        <f>TableSTRUENGLB[[#This Row],[Structure Line]]</f>
        <v>0</v>
      </c>
      <c r="E729" s="81">
        <f>TableSTRUENGLB[[#This Row],[Credit Points]]</f>
        <v>0</v>
      </c>
      <c r="N729" s="125"/>
      <c r="O729" s="125"/>
      <c r="R729" t="s">
        <v>178</v>
      </c>
      <c r="S729">
        <v>2</v>
      </c>
    </row>
    <row r="730" spans="1:19" x14ac:dyDescent="0.25">
      <c r="A730">
        <f>TableSTRUENGLB[[#This Row],[Study Package Code]]</f>
        <v>0</v>
      </c>
      <c r="B730" s="5">
        <f>TableSTRUENGLB[[#This Row],[Ver]]</f>
        <v>0</v>
      </c>
      <c r="D730">
        <f>TableSTRUENGLB[[#This Row],[Structure Line]]</f>
        <v>0</v>
      </c>
      <c r="E730" s="81">
        <f>TableSTRUENGLB[[#This Row],[Credit Points]]</f>
        <v>0</v>
      </c>
      <c r="N730" s="125"/>
      <c r="O730" s="125"/>
      <c r="R730" t="s">
        <v>185</v>
      </c>
      <c r="S730">
        <v>1</v>
      </c>
    </row>
    <row r="731" spans="1:19" x14ac:dyDescent="0.25">
      <c r="A731">
        <f>TableSTRUENGLB[[#This Row],[Study Package Code]]</f>
        <v>0</v>
      </c>
      <c r="B731" s="5">
        <f>TableSTRUENGLB[[#This Row],[Ver]]</f>
        <v>0</v>
      </c>
      <c r="D731">
        <f>TableSTRUENGLB[[#This Row],[Structure Line]]</f>
        <v>0</v>
      </c>
      <c r="E731" s="81">
        <f>TableSTRUENGLB[[#This Row],[Credit Points]]</f>
        <v>0</v>
      </c>
      <c r="N731" s="125"/>
      <c r="O731" s="125"/>
      <c r="R731" t="s">
        <v>129</v>
      </c>
      <c r="S731">
        <v>1</v>
      </c>
    </row>
    <row r="732" spans="1:19" x14ac:dyDescent="0.25">
      <c r="A732" s="78"/>
      <c r="B732" s="80"/>
      <c r="C732" s="78"/>
      <c r="G732" s="79" t="s">
        <v>1194</v>
      </c>
      <c r="H732" s="278">
        <v>44562</v>
      </c>
      <c r="J732" s="279" t="s">
        <v>353</v>
      </c>
      <c r="K732" s="280" t="s">
        <v>77</v>
      </c>
      <c r="L732" s="78" t="s">
        <v>413</v>
      </c>
      <c r="M732" s="78"/>
      <c r="N732" s="198" t="s">
        <v>1195</v>
      </c>
      <c r="O732" s="125">
        <v>45544</v>
      </c>
    </row>
    <row r="733" spans="1:19" ht="31.5" x14ac:dyDescent="0.25">
      <c r="A733" s="97" t="s">
        <v>0</v>
      </c>
      <c r="B733" s="98" t="s">
        <v>1196</v>
      </c>
      <c r="C733" s="97" t="s">
        <v>1197</v>
      </c>
      <c r="D733" s="97" t="s">
        <v>3</v>
      </c>
      <c r="E733" s="99" t="s">
        <v>1198</v>
      </c>
      <c r="F733" s="97" t="s">
        <v>1199</v>
      </c>
      <c r="G733" s="97" t="s">
        <v>1200</v>
      </c>
      <c r="H733" s="97" t="s">
        <v>1201</v>
      </c>
      <c r="I733" s="97" t="s">
        <v>18</v>
      </c>
      <c r="J733" s="97" t="s">
        <v>1202</v>
      </c>
      <c r="K733" s="97" t="s">
        <v>1</v>
      </c>
      <c r="L733" s="97" t="s">
        <v>1203</v>
      </c>
      <c r="M733" s="97" t="s">
        <v>69</v>
      </c>
      <c r="N733" s="97" t="s">
        <v>1204</v>
      </c>
      <c r="O733" s="97" t="s">
        <v>1205</v>
      </c>
      <c r="R733" t="s">
        <v>1206</v>
      </c>
      <c r="S733" t="s">
        <v>1207</v>
      </c>
    </row>
    <row r="734" spans="1:19" x14ac:dyDescent="0.25">
      <c r="A734" t="str">
        <f>TableSTRUENGLM[[#This Row],[Study Package Code]]</f>
        <v>CWRI1003</v>
      </c>
      <c r="B734" s="5">
        <f>TableSTRUENGLM[[#This Row],[Ver]]</f>
        <v>2</v>
      </c>
      <c r="D734" t="str">
        <f>TableSTRUENGLM[[#This Row],[Structure Line]]</f>
        <v>Engaging Narrative</v>
      </c>
      <c r="E734" s="81">
        <f>TableSTRUENGLM[[#This Row],[Credit Points]]</f>
        <v>25</v>
      </c>
      <c r="F734">
        <v>1</v>
      </c>
      <c r="G734" t="s">
        <v>1208</v>
      </c>
      <c r="H734">
        <v>1</v>
      </c>
      <c r="I734" t="s">
        <v>1212</v>
      </c>
      <c r="J734" t="s">
        <v>451</v>
      </c>
      <c r="K734">
        <v>2</v>
      </c>
      <c r="L734" t="s">
        <v>861</v>
      </c>
      <c r="M734">
        <v>25</v>
      </c>
      <c r="N734" s="125">
        <v>43831</v>
      </c>
      <c r="O734" s="125"/>
      <c r="R734" t="s">
        <v>451</v>
      </c>
      <c r="S734">
        <v>2</v>
      </c>
    </row>
    <row r="735" spans="1:19" x14ac:dyDescent="0.25">
      <c r="A735" t="str">
        <f>TableSTRUENGLM[[#This Row],[Study Package Code]]</f>
        <v>LCST1004</v>
      </c>
      <c r="B735" s="5">
        <f>TableSTRUENGLM[[#This Row],[Ver]]</f>
        <v>1</v>
      </c>
      <c r="D735" t="str">
        <f>TableSTRUENGLM[[#This Row],[Structure Line]]</f>
        <v>Introduction to Cultural Studies</v>
      </c>
      <c r="E735" s="81">
        <f>TableSTRUENGLM[[#This Row],[Credit Points]]</f>
        <v>25</v>
      </c>
      <c r="F735">
        <v>2</v>
      </c>
      <c r="G735" t="s">
        <v>1208</v>
      </c>
      <c r="H735">
        <v>2</v>
      </c>
      <c r="I735" t="s">
        <v>1209</v>
      </c>
      <c r="J735" t="s">
        <v>566</v>
      </c>
      <c r="K735">
        <v>1</v>
      </c>
      <c r="L735" t="s">
        <v>1046</v>
      </c>
      <c r="M735">
        <v>25</v>
      </c>
      <c r="N735" s="125">
        <v>42370</v>
      </c>
      <c r="O735" s="125"/>
      <c r="R735" t="s">
        <v>566</v>
      </c>
      <c r="S735">
        <v>1</v>
      </c>
    </row>
    <row r="736" spans="1:19" x14ac:dyDescent="0.25">
      <c r="A736" t="str">
        <f>TableSTRUENGLM[[#This Row],[Study Package Code]]</f>
        <v>LCST2007</v>
      </c>
      <c r="B736" s="5">
        <f>TableSTRUENGLM[[#This Row],[Ver]]</f>
        <v>1</v>
      </c>
      <c r="D736" t="str">
        <f>TableSTRUENGLM[[#This Row],[Structure Line]]</f>
        <v>Reading Gender</v>
      </c>
      <c r="E736" s="81">
        <f>TableSTRUENGLM[[#This Row],[Credit Points]]</f>
        <v>25</v>
      </c>
      <c r="F736">
        <v>3</v>
      </c>
      <c r="G736" t="s">
        <v>1208</v>
      </c>
      <c r="H736">
        <v>2</v>
      </c>
      <c r="I736" t="s">
        <v>1212</v>
      </c>
      <c r="J736" t="s">
        <v>496</v>
      </c>
      <c r="K736">
        <v>1</v>
      </c>
      <c r="L736" t="s">
        <v>1048</v>
      </c>
      <c r="M736">
        <v>25</v>
      </c>
      <c r="N736" s="125">
        <v>44562</v>
      </c>
      <c r="O736" s="125"/>
      <c r="R736" t="s">
        <v>496</v>
      </c>
      <c r="S736">
        <v>1</v>
      </c>
    </row>
    <row r="737" spans="1:19" x14ac:dyDescent="0.25">
      <c r="A737" t="str">
        <f>TableSTRUENGLM[[#This Row],[Study Package Code]]</f>
        <v>LCST2006</v>
      </c>
      <c r="B737" s="5">
        <f>TableSTRUENGLM[[#This Row],[Ver]]</f>
        <v>2</v>
      </c>
      <c r="D737" t="str">
        <f>TableSTRUENGLM[[#This Row],[Structure Line]]</f>
        <v>Genre and Classic Texts</v>
      </c>
      <c r="E737" s="81">
        <f>TableSTRUENGLM[[#This Row],[Credit Points]]</f>
        <v>25</v>
      </c>
      <c r="F737">
        <v>4</v>
      </c>
      <c r="G737" t="s">
        <v>1208</v>
      </c>
      <c r="H737">
        <v>3</v>
      </c>
      <c r="I737" t="s">
        <v>1209</v>
      </c>
      <c r="J737" t="s">
        <v>509</v>
      </c>
      <c r="K737">
        <v>2</v>
      </c>
      <c r="L737" t="s">
        <v>1047</v>
      </c>
      <c r="M737">
        <v>25</v>
      </c>
      <c r="N737" s="125">
        <v>45292</v>
      </c>
      <c r="O737" s="125"/>
      <c r="R737" t="s">
        <v>509</v>
      </c>
      <c r="S737">
        <v>2</v>
      </c>
    </row>
    <row r="738" spans="1:19" x14ac:dyDescent="0.25">
      <c r="A738" t="str">
        <f>TableSTRUENGLM[[#This Row],[Study Package Code]]</f>
        <v>EDSC4030</v>
      </c>
      <c r="B738" s="5">
        <f>TableSTRUENGLM[[#This Row],[Ver]]</f>
        <v>1</v>
      </c>
      <c r="D738" t="str">
        <f>TableSTRUENGLM[[#This Row],[Structure Line]]</f>
        <v>Curriculum and Instruction Lower Secondary: English</v>
      </c>
      <c r="E738" s="81">
        <f>TableSTRUENGLM[[#This Row],[Credit Points]]</f>
        <v>25</v>
      </c>
      <c r="F738">
        <v>5</v>
      </c>
      <c r="G738" t="s">
        <v>1208</v>
      </c>
      <c r="H738">
        <v>3</v>
      </c>
      <c r="I738" t="s">
        <v>1209</v>
      </c>
      <c r="J738" t="s">
        <v>464</v>
      </c>
      <c r="K738">
        <v>1</v>
      </c>
      <c r="L738" t="s">
        <v>952</v>
      </c>
      <c r="M738">
        <v>25</v>
      </c>
      <c r="N738" s="125">
        <v>43466</v>
      </c>
      <c r="O738" s="125"/>
      <c r="R738" t="s">
        <v>464</v>
      </c>
      <c r="S738">
        <v>1</v>
      </c>
    </row>
    <row r="739" spans="1:19" x14ac:dyDescent="0.25">
      <c r="A739" t="str">
        <f>TableSTRUENGLM[[#This Row],[Study Package Code]]</f>
        <v>EDSC4018</v>
      </c>
      <c r="B739" s="5">
        <f>TableSTRUENGLM[[#This Row],[Ver]]</f>
        <v>2</v>
      </c>
      <c r="D739" t="str">
        <f>TableSTRUENGLM[[#This Row],[Structure Line]]</f>
        <v>Curriculum and Instruction Senior Secondary: English</v>
      </c>
      <c r="E739" s="81">
        <f>TableSTRUENGLM[[#This Row],[Credit Points]]</f>
        <v>25</v>
      </c>
      <c r="F739">
        <v>6</v>
      </c>
      <c r="G739" t="s">
        <v>1208</v>
      </c>
      <c r="H739">
        <v>3</v>
      </c>
      <c r="I739" t="s">
        <v>1212</v>
      </c>
      <c r="J739" t="s">
        <v>485</v>
      </c>
      <c r="K739">
        <v>2</v>
      </c>
      <c r="L739" t="s">
        <v>942</v>
      </c>
      <c r="M739">
        <v>25</v>
      </c>
      <c r="N739" s="125">
        <v>43831</v>
      </c>
      <c r="O739" s="125"/>
      <c r="R739" t="s">
        <v>485</v>
      </c>
      <c r="S739">
        <v>2</v>
      </c>
    </row>
    <row r="740" spans="1:19" x14ac:dyDescent="0.25">
      <c r="A740" s="78"/>
      <c r="B740" s="80"/>
      <c r="C740" s="78"/>
      <c r="G740" s="79" t="s">
        <v>1194</v>
      </c>
      <c r="H740" s="272">
        <v>45658</v>
      </c>
      <c r="J740" s="274" t="s">
        <v>363</v>
      </c>
      <c r="K740" s="273" t="s">
        <v>404</v>
      </c>
      <c r="L740" s="274" t="s">
        <v>1160</v>
      </c>
      <c r="M740" s="78"/>
      <c r="N740" s="198" t="s">
        <v>1195</v>
      </c>
      <c r="O740" s="125">
        <v>45544</v>
      </c>
    </row>
    <row r="741" spans="1:19" ht="31.5" x14ac:dyDescent="0.25">
      <c r="A741" s="97" t="s">
        <v>0</v>
      </c>
      <c r="B741" s="98" t="s">
        <v>1196</v>
      </c>
      <c r="C741" s="97" t="s">
        <v>1197</v>
      </c>
      <c r="D741" s="97" t="s">
        <v>3</v>
      </c>
      <c r="E741" s="99" t="s">
        <v>1198</v>
      </c>
      <c r="F741" s="97" t="s">
        <v>1199</v>
      </c>
      <c r="G741" s="97" t="s">
        <v>1200</v>
      </c>
      <c r="H741" s="97" t="s">
        <v>1201</v>
      </c>
      <c r="I741" s="97" t="s">
        <v>18</v>
      </c>
      <c r="J741" s="97" t="s">
        <v>1202</v>
      </c>
      <c r="K741" s="97" t="s">
        <v>1</v>
      </c>
      <c r="L741" s="97" t="s">
        <v>1203</v>
      </c>
      <c r="M741" s="97" t="s">
        <v>69</v>
      </c>
      <c r="N741" s="97" t="s">
        <v>1204</v>
      </c>
      <c r="O741" s="97" t="s">
        <v>1205</v>
      </c>
      <c r="R741" t="s">
        <v>1206</v>
      </c>
      <c r="S741" t="s">
        <v>1207</v>
      </c>
    </row>
    <row r="742" spans="1:19" x14ac:dyDescent="0.25">
      <c r="A742" t="str">
        <f>TableSTRUGEOB1[[#This Row],[Study Package Code]]</f>
        <v>Opt-GEOB1</v>
      </c>
      <c r="B742" s="5">
        <f>TableSTRUGEOB1[[#This Row],[Ver]]</f>
        <v>0</v>
      </c>
      <c r="D742" t="str">
        <f>TableSTRUGEOB1[[#This Row],[Structure Line]]</f>
        <v>Choose an Option</v>
      </c>
      <c r="E742" s="81">
        <f>TableSTRUGEOB1[[#This Row],[Credit Points]]</f>
        <v>25</v>
      </c>
      <c r="F742">
        <v>1</v>
      </c>
      <c r="G742" t="s">
        <v>140</v>
      </c>
      <c r="H742">
        <v>0</v>
      </c>
      <c r="I742" t="s">
        <v>1221</v>
      </c>
      <c r="J742" t="s">
        <v>729</v>
      </c>
      <c r="K742">
        <v>0</v>
      </c>
      <c r="L742" t="s">
        <v>1219</v>
      </c>
      <c r="M742">
        <v>25</v>
      </c>
      <c r="N742" s="125"/>
      <c r="O742" s="125"/>
      <c r="R742" t="s">
        <v>57</v>
      </c>
      <c r="S742">
        <v>1</v>
      </c>
    </row>
    <row r="743" spans="1:19" x14ac:dyDescent="0.25">
      <c r="A743" t="str">
        <f>TableSTRUGEOB1[[#This Row],[Study Package Code]]</f>
        <v>INDS2001</v>
      </c>
      <c r="B743" s="5">
        <f>TableSTRUGEOB1[[#This Row],[Ver]]</f>
        <v>1</v>
      </c>
      <c r="D743" t="str">
        <f>TableSTRUGEOB1[[#This Row],[Structure Line]]</f>
        <v>Indigenous Australian Land and Environments</v>
      </c>
      <c r="E743" s="81">
        <f>TableSTRUGEOB1[[#This Row],[Credit Points]]</f>
        <v>25</v>
      </c>
      <c r="F743">
        <v>2</v>
      </c>
      <c r="G743" t="s">
        <v>1208</v>
      </c>
      <c r="H743">
        <v>1</v>
      </c>
      <c r="I743" t="s">
        <v>1212</v>
      </c>
      <c r="J743" t="s">
        <v>640</v>
      </c>
      <c r="K743">
        <v>1</v>
      </c>
      <c r="L743" t="s">
        <v>1039</v>
      </c>
      <c r="M743">
        <v>25</v>
      </c>
      <c r="N743" s="125">
        <v>42005</v>
      </c>
      <c r="O743" s="125"/>
      <c r="R743" t="s">
        <v>452</v>
      </c>
      <c r="S743">
        <v>1</v>
      </c>
    </row>
    <row r="744" spans="1:19" x14ac:dyDescent="0.25">
      <c r="A744" t="str">
        <f>TableSTRUGEOB1[[#This Row],[Study Package Code]]</f>
        <v>ECON1000</v>
      </c>
      <c r="B744" s="5">
        <f>TableSTRUGEOB1[[#This Row],[Ver]]</f>
        <v>1</v>
      </c>
      <c r="D744" t="str">
        <f>TableSTRUGEOB1[[#This Row],[Structure Line]]</f>
        <v>Introductory Economics</v>
      </c>
      <c r="E744" s="81">
        <f>TableSTRUGEOB1[[#This Row],[Credit Points]]</f>
        <v>25</v>
      </c>
      <c r="F744">
        <v>3</v>
      </c>
      <c r="G744" t="s">
        <v>1208</v>
      </c>
      <c r="H744">
        <v>2</v>
      </c>
      <c r="I744" t="s">
        <v>1209</v>
      </c>
      <c r="J744" t="s">
        <v>452</v>
      </c>
      <c r="K744">
        <v>1</v>
      </c>
      <c r="L744" t="s">
        <v>869</v>
      </c>
      <c r="M744">
        <v>25</v>
      </c>
      <c r="N744" s="125">
        <v>42005</v>
      </c>
      <c r="O744" s="125"/>
      <c r="R744" t="s">
        <v>569</v>
      </c>
      <c r="S744">
        <v>2</v>
      </c>
    </row>
    <row r="745" spans="1:19" x14ac:dyDescent="0.25">
      <c r="A745" t="str">
        <f>TableSTRUGEOB1[[#This Row],[Study Package Code]]</f>
        <v>HIST2000</v>
      </c>
      <c r="B745" s="5">
        <f>TableSTRUGEOB1[[#This Row],[Ver]]</f>
        <v>3</v>
      </c>
      <c r="D745" t="str">
        <f>TableSTRUGEOB1[[#This Row],[Structure Line]]</f>
        <v>Social Change in Australian History</v>
      </c>
      <c r="E745" s="81">
        <f>TableSTRUGEOB1[[#This Row],[Credit Points]]</f>
        <v>25</v>
      </c>
      <c r="F745">
        <v>4</v>
      </c>
      <c r="G745" t="s">
        <v>1208</v>
      </c>
      <c r="H745">
        <v>2</v>
      </c>
      <c r="I745" t="s">
        <v>1212</v>
      </c>
      <c r="J745" t="s">
        <v>569</v>
      </c>
      <c r="K745">
        <v>3</v>
      </c>
      <c r="L745" t="s">
        <v>1016</v>
      </c>
      <c r="M745">
        <v>25</v>
      </c>
      <c r="N745" s="125">
        <v>45658</v>
      </c>
      <c r="O745" s="125"/>
      <c r="R745" t="s">
        <v>1304</v>
      </c>
      <c r="S745">
        <v>0</v>
      </c>
    </row>
    <row r="746" spans="1:19" x14ac:dyDescent="0.25">
      <c r="A746" t="str">
        <f>TableSTRUGEOB1[[#This Row],[Study Package Code]]</f>
        <v>HIST2001</v>
      </c>
      <c r="B746" s="5">
        <f>TableSTRUGEOB1[[#This Row],[Ver]]</f>
        <v>3</v>
      </c>
      <c r="D746" t="str">
        <f>TableSTRUGEOB1[[#This Row],[Structure Line]]</f>
        <v>Democracy and Dictatorship</v>
      </c>
      <c r="E746" s="81">
        <f>TableSTRUGEOB1[[#This Row],[Credit Points]]</f>
        <v>25</v>
      </c>
      <c r="F746">
        <v>5</v>
      </c>
      <c r="G746" t="s">
        <v>1208</v>
      </c>
      <c r="H746">
        <v>3</v>
      </c>
      <c r="I746" t="s">
        <v>1209</v>
      </c>
      <c r="J746" t="s">
        <v>595</v>
      </c>
      <c r="K746">
        <v>3</v>
      </c>
      <c r="L746" t="s">
        <v>1017</v>
      </c>
      <c r="M746">
        <v>25</v>
      </c>
      <c r="N746" s="125">
        <v>45658</v>
      </c>
      <c r="O746" s="125"/>
      <c r="R746" t="s">
        <v>1293</v>
      </c>
      <c r="S746">
        <v>0</v>
      </c>
    </row>
    <row r="747" spans="1:19" x14ac:dyDescent="0.25">
      <c r="A747" t="str">
        <f>TableSTRUGEOB1[[#This Row],[Study Package Code]]</f>
        <v>INDS2004</v>
      </c>
      <c r="B747" s="5">
        <f>TableSTRUGEOB1[[#This Row],[Ver]]</f>
        <v>2</v>
      </c>
      <c r="D747" t="str">
        <f>TableSTRUGEOB1[[#This Row],[Structure Line]]</f>
        <v>Listening to Country: First Nations’ Perspectives</v>
      </c>
      <c r="E747" s="81">
        <f>TableSTRUGEOB1[[#This Row],[Credit Points]]</f>
        <v>25</v>
      </c>
      <c r="F747">
        <v>6</v>
      </c>
      <c r="G747" t="s">
        <v>1208</v>
      </c>
      <c r="H747">
        <v>3</v>
      </c>
      <c r="I747" t="s">
        <v>1212</v>
      </c>
      <c r="J747" t="s">
        <v>582</v>
      </c>
      <c r="K747">
        <v>2</v>
      </c>
      <c r="L747" t="s">
        <v>1041</v>
      </c>
      <c r="M747">
        <v>25</v>
      </c>
      <c r="N747" s="125">
        <v>44562</v>
      </c>
      <c r="O747" s="125"/>
      <c r="R747" t="s">
        <v>124</v>
      </c>
      <c r="S747">
        <v>2</v>
      </c>
    </row>
    <row r="748" spans="1:19" x14ac:dyDescent="0.25">
      <c r="A748" t="str">
        <f>TableSTRUGEOB1[[#This Row],[Study Package Code]]</f>
        <v>EDUC4012</v>
      </c>
      <c r="B748" s="5">
        <f>TableSTRUGEOB1[[#This Row],[Ver]]</f>
        <v>2</v>
      </c>
      <c r="D748" t="str">
        <f>TableSTRUGEOB1[[#This Row],[Structure Line]]</f>
        <v>Relationships and Sexuality Education</v>
      </c>
      <c r="E748" s="81">
        <f>TableSTRUGEOB1[[#This Row],[Credit Points]]</f>
        <v>25</v>
      </c>
      <c r="F748">
        <v>1</v>
      </c>
      <c r="G748" t="s">
        <v>140</v>
      </c>
      <c r="H748">
        <v>0</v>
      </c>
      <c r="I748" t="s">
        <v>1221</v>
      </c>
      <c r="J748" t="s">
        <v>194</v>
      </c>
      <c r="K748">
        <v>2</v>
      </c>
      <c r="L748" t="s">
        <v>975</v>
      </c>
      <c r="M748">
        <v>25</v>
      </c>
      <c r="N748" s="125">
        <v>44927</v>
      </c>
      <c r="O748" s="125"/>
      <c r="R748" t="s">
        <v>640</v>
      </c>
      <c r="S748">
        <v>1</v>
      </c>
    </row>
    <row r="749" spans="1:19" x14ac:dyDescent="0.25">
      <c r="A749" t="str">
        <f>TableSTRUGEOB1[[#This Row],[Study Package Code]]</f>
        <v>EDUC4014</v>
      </c>
      <c r="B749" s="5">
        <f>TableSTRUGEOB1[[#This Row],[Ver]]</f>
        <v>1</v>
      </c>
      <c r="D749" t="str">
        <f>TableSTRUGEOB1[[#This Row],[Structure Line]]</f>
        <v>Diverse Abilities and Curriculum Differentiation</v>
      </c>
      <c r="E749" s="81">
        <f>TableSTRUGEOB1[[#This Row],[Credit Points]]</f>
        <v>25</v>
      </c>
      <c r="F749">
        <v>1</v>
      </c>
      <c r="G749" t="s">
        <v>140</v>
      </c>
      <c r="H749">
        <v>0</v>
      </c>
      <c r="I749" t="s">
        <v>1221</v>
      </c>
      <c r="J749" t="s">
        <v>195</v>
      </c>
      <c r="K749">
        <v>1</v>
      </c>
      <c r="L749" t="s">
        <v>976</v>
      </c>
      <c r="M749">
        <v>25</v>
      </c>
      <c r="N749" s="125">
        <v>42005</v>
      </c>
      <c r="O749" s="125"/>
      <c r="R749" t="s">
        <v>582</v>
      </c>
      <c r="S749">
        <v>2</v>
      </c>
    </row>
    <row r="750" spans="1:19" x14ac:dyDescent="0.25">
      <c r="A750" t="str">
        <f>TableSTRUGEOB1[[#This Row],[Study Package Code]]</f>
        <v>EDUC4020</v>
      </c>
      <c r="B750" s="5">
        <f>TableSTRUGEOB1[[#This Row],[Ver]]</f>
        <v>1</v>
      </c>
      <c r="D750" t="str">
        <f>TableSTRUGEOB1[[#This Row],[Structure Line]]</f>
        <v>Supporting Literacy and Numeracy Development for Diverse Learners</v>
      </c>
      <c r="E750" s="81">
        <f>TableSTRUGEOB1[[#This Row],[Credit Points]]</f>
        <v>25</v>
      </c>
      <c r="F750">
        <v>1</v>
      </c>
      <c r="G750" t="s">
        <v>140</v>
      </c>
      <c r="H750">
        <v>0</v>
      </c>
      <c r="I750" t="s">
        <v>1221</v>
      </c>
      <c r="J750" t="s">
        <v>184</v>
      </c>
      <c r="K750">
        <v>1</v>
      </c>
      <c r="L750" t="s">
        <v>977</v>
      </c>
      <c r="M750">
        <v>25</v>
      </c>
      <c r="N750" s="125">
        <v>43282</v>
      </c>
      <c r="O750" s="125"/>
      <c r="R750" t="s">
        <v>200</v>
      </c>
      <c r="S750">
        <v>1</v>
      </c>
    </row>
    <row r="751" spans="1:19" x14ac:dyDescent="0.25">
      <c r="A751" t="str">
        <f>TableSTRUGEOB1[[#This Row],[Study Package Code]]</f>
        <v>EDUC4042</v>
      </c>
      <c r="B751" s="5">
        <f>TableSTRUGEOB1[[#This Row],[Ver]]</f>
        <v>1</v>
      </c>
      <c r="D751" t="str">
        <f>TableSTRUGEOB1[[#This Row],[Structure Line]]</f>
        <v>Alternative Approaches to Teaching Literacy and Numeracy</v>
      </c>
      <c r="E751" s="81">
        <f>TableSTRUGEOB1[[#This Row],[Credit Points]]</f>
        <v>25</v>
      </c>
      <c r="F751">
        <v>1</v>
      </c>
      <c r="G751" t="s">
        <v>140</v>
      </c>
      <c r="H751">
        <v>0</v>
      </c>
      <c r="I751" t="s">
        <v>1221</v>
      </c>
      <c r="J751" t="s">
        <v>171</v>
      </c>
      <c r="K751">
        <v>1</v>
      </c>
      <c r="L751" t="s">
        <v>988</v>
      </c>
      <c r="M751">
        <v>25</v>
      </c>
      <c r="N751" s="125">
        <v>43466</v>
      </c>
      <c r="O751" s="125"/>
      <c r="R751" t="s">
        <v>174</v>
      </c>
      <c r="S751">
        <v>1</v>
      </c>
    </row>
    <row r="752" spans="1:19" x14ac:dyDescent="0.25">
      <c r="A752" t="str">
        <f>TableSTRUGEOB1[[#This Row],[Study Package Code]]</f>
        <v>EDUC4044</v>
      </c>
      <c r="B752" s="5">
        <f>TableSTRUGEOB1[[#This Row],[Ver]]</f>
        <v>2</v>
      </c>
      <c r="D752" t="str">
        <f>TableSTRUGEOB1[[#This Row],[Structure Line]]</f>
        <v>Literacy and Numeracy for First Nations Peoples of Australia</v>
      </c>
      <c r="E752" s="81">
        <f>TableSTRUGEOB1[[#This Row],[Credit Points]]</f>
        <v>25</v>
      </c>
      <c r="F752">
        <v>1</v>
      </c>
      <c r="G752" t="s">
        <v>140</v>
      </c>
      <c r="H752">
        <v>0</v>
      </c>
      <c r="I752" t="s">
        <v>1221</v>
      </c>
      <c r="J752" t="s">
        <v>178</v>
      </c>
      <c r="K752">
        <v>2</v>
      </c>
      <c r="L752" t="s">
        <v>989</v>
      </c>
      <c r="M752">
        <v>25</v>
      </c>
      <c r="N752" s="125">
        <v>44927</v>
      </c>
      <c r="O752" s="125"/>
      <c r="R752" t="s">
        <v>174</v>
      </c>
      <c r="S752">
        <v>2</v>
      </c>
    </row>
    <row r="753" spans="1:19" x14ac:dyDescent="0.25">
      <c r="A753" t="str">
        <f>TableSTRUGEOB1[[#This Row],[Study Package Code]]</f>
        <v>EDUC4048</v>
      </c>
      <c r="B753" s="5">
        <f>TableSTRUGEOB1[[#This Row],[Ver]]</f>
        <v>1</v>
      </c>
      <c r="D753" t="str">
        <f>TableSTRUGEOB1[[#This Row],[Structure Line]]</f>
        <v>Mentoring, Coaching and Tutoring</v>
      </c>
      <c r="E753" s="81">
        <f>TableSTRUGEOB1[[#This Row],[Credit Points]]</f>
        <v>25</v>
      </c>
      <c r="F753">
        <v>1</v>
      </c>
      <c r="G753" t="s">
        <v>140</v>
      </c>
      <c r="H753">
        <v>0</v>
      </c>
      <c r="I753" t="s">
        <v>1221</v>
      </c>
      <c r="J753" t="s">
        <v>129</v>
      </c>
      <c r="K753">
        <v>1</v>
      </c>
      <c r="L753" t="s">
        <v>991</v>
      </c>
      <c r="M753">
        <v>25</v>
      </c>
      <c r="N753" s="125">
        <v>43466</v>
      </c>
      <c r="O753" s="125"/>
      <c r="R753" t="s">
        <v>201</v>
      </c>
      <c r="S753">
        <v>2</v>
      </c>
    </row>
    <row r="754" spans="1:19" x14ac:dyDescent="0.25">
      <c r="A754">
        <f>TableSTRUGEOB1[[#This Row],[Study Package Code]]</f>
        <v>0</v>
      </c>
      <c r="B754" s="5">
        <f>TableSTRUGEOB1[[#This Row],[Ver]]</f>
        <v>0</v>
      </c>
      <c r="D754">
        <f>TableSTRUGEOB1[[#This Row],[Structure Line]]</f>
        <v>0</v>
      </c>
      <c r="E754" s="81">
        <f>TableSTRUGEOB1[[#This Row],[Credit Points]]</f>
        <v>0</v>
      </c>
      <c r="N754" s="125"/>
      <c r="O754" s="125"/>
      <c r="R754" t="s">
        <v>167</v>
      </c>
      <c r="S754">
        <v>1</v>
      </c>
    </row>
    <row r="755" spans="1:19" x14ac:dyDescent="0.25">
      <c r="A755">
        <f>TableSTRUGEOB1[[#This Row],[Study Package Code]]</f>
        <v>0</v>
      </c>
      <c r="B755" s="5">
        <f>TableSTRUGEOB1[[#This Row],[Ver]]</f>
        <v>0</v>
      </c>
      <c r="D755">
        <f>TableSTRUGEOB1[[#This Row],[Structure Line]]</f>
        <v>0</v>
      </c>
      <c r="E755" s="81">
        <f>TableSTRUGEOB1[[#This Row],[Credit Points]]</f>
        <v>0</v>
      </c>
      <c r="N755" s="125"/>
      <c r="O755" s="125"/>
      <c r="R755" t="s">
        <v>180</v>
      </c>
      <c r="S755">
        <v>1</v>
      </c>
    </row>
    <row r="756" spans="1:19" x14ac:dyDescent="0.25">
      <c r="A756">
        <f>TableSTRUGEOB1[[#This Row],[Study Package Code]]</f>
        <v>0</v>
      </c>
      <c r="B756" s="5">
        <f>TableSTRUGEOB1[[#This Row],[Ver]]</f>
        <v>0</v>
      </c>
      <c r="D756">
        <f>TableSTRUGEOB1[[#This Row],[Structure Line]]</f>
        <v>0</v>
      </c>
      <c r="E756" s="81">
        <f>TableSTRUGEOB1[[#This Row],[Credit Points]]</f>
        <v>0</v>
      </c>
      <c r="N756" s="125"/>
      <c r="O756" s="125"/>
      <c r="R756" t="s">
        <v>196</v>
      </c>
      <c r="S756">
        <v>1</v>
      </c>
    </row>
    <row r="757" spans="1:19" x14ac:dyDescent="0.25">
      <c r="A757">
        <f>TableSTRUGEOB1[[#This Row],[Study Package Code]]</f>
        <v>0</v>
      </c>
      <c r="B757" s="5">
        <f>TableSTRUGEOB1[[#This Row],[Ver]]</f>
        <v>0</v>
      </c>
      <c r="D757">
        <f>TableSTRUGEOB1[[#This Row],[Structure Line]]</f>
        <v>0</v>
      </c>
      <c r="E757" s="81">
        <f>TableSTRUGEOB1[[#This Row],[Credit Points]]</f>
        <v>0</v>
      </c>
      <c r="N757" s="125"/>
      <c r="O757" s="125"/>
      <c r="R757" t="s">
        <v>198</v>
      </c>
      <c r="S757">
        <v>1</v>
      </c>
    </row>
    <row r="758" spans="1:19" x14ac:dyDescent="0.25">
      <c r="A758">
        <f>TableSTRUGEOB1[[#This Row],[Study Package Code]]</f>
        <v>0</v>
      </c>
      <c r="B758" s="5">
        <f>TableSTRUGEOB1[[#This Row],[Ver]]</f>
        <v>0</v>
      </c>
      <c r="D758">
        <f>TableSTRUGEOB1[[#This Row],[Structure Line]]</f>
        <v>0</v>
      </c>
      <c r="E758" s="81">
        <f>TableSTRUGEOB1[[#This Row],[Credit Points]]</f>
        <v>0</v>
      </c>
      <c r="N758" s="125"/>
      <c r="O758" s="125"/>
      <c r="R758" t="s">
        <v>1224</v>
      </c>
      <c r="S758">
        <v>1</v>
      </c>
    </row>
    <row r="759" spans="1:19" x14ac:dyDescent="0.25">
      <c r="A759">
        <f>TableSTRUGEOB1[[#This Row],[Study Package Code]]</f>
        <v>0</v>
      </c>
      <c r="B759" s="5">
        <f>TableSTRUGEOB1[[#This Row],[Ver]]</f>
        <v>0</v>
      </c>
      <c r="D759">
        <f>TableSTRUGEOB1[[#This Row],[Structure Line]]</f>
        <v>0</v>
      </c>
      <c r="E759" s="81">
        <f>TableSTRUGEOB1[[#This Row],[Credit Points]]</f>
        <v>0</v>
      </c>
      <c r="N759" s="125"/>
      <c r="O759" s="125"/>
      <c r="R759" t="s">
        <v>194</v>
      </c>
      <c r="S759">
        <v>2</v>
      </c>
    </row>
    <row r="760" spans="1:19" x14ac:dyDescent="0.25">
      <c r="A760">
        <f>TableSTRUGEOB1[[#This Row],[Study Package Code]]</f>
        <v>0</v>
      </c>
      <c r="B760" s="5">
        <f>TableSTRUGEOB1[[#This Row],[Ver]]</f>
        <v>0</v>
      </c>
      <c r="D760">
        <f>TableSTRUGEOB1[[#This Row],[Structure Line]]</f>
        <v>0</v>
      </c>
      <c r="E760" s="81">
        <f>TableSTRUGEOB1[[#This Row],[Credit Points]]</f>
        <v>0</v>
      </c>
      <c r="N760" s="125"/>
      <c r="O760" s="125"/>
      <c r="R760" t="s">
        <v>195</v>
      </c>
      <c r="S760">
        <v>1</v>
      </c>
    </row>
    <row r="761" spans="1:19" x14ac:dyDescent="0.25">
      <c r="A761">
        <f>TableSTRUGEOB1[[#This Row],[Study Package Code]]</f>
        <v>0</v>
      </c>
      <c r="B761" s="5">
        <f>TableSTRUGEOB1[[#This Row],[Ver]]</f>
        <v>0</v>
      </c>
      <c r="D761">
        <f>TableSTRUGEOB1[[#This Row],[Structure Line]]</f>
        <v>0</v>
      </c>
      <c r="E761" s="81">
        <f>TableSTRUGEOB1[[#This Row],[Credit Points]]</f>
        <v>0</v>
      </c>
      <c r="N761" s="125"/>
      <c r="O761" s="125"/>
      <c r="R761" t="s">
        <v>184</v>
      </c>
      <c r="S761">
        <v>1</v>
      </c>
    </row>
    <row r="762" spans="1:19" x14ac:dyDescent="0.25">
      <c r="A762">
        <f>TableSTRUGEOB1[[#This Row],[Study Package Code]]</f>
        <v>0</v>
      </c>
      <c r="B762" s="5">
        <f>TableSTRUGEOB1[[#This Row],[Ver]]</f>
        <v>0</v>
      </c>
      <c r="D762">
        <f>TableSTRUGEOB1[[#This Row],[Structure Line]]</f>
        <v>0</v>
      </c>
      <c r="E762" s="81">
        <f>TableSTRUGEOB1[[#This Row],[Credit Points]]</f>
        <v>0</v>
      </c>
      <c r="N762" s="125"/>
      <c r="O762" s="125"/>
      <c r="R762" t="s">
        <v>170</v>
      </c>
      <c r="S762">
        <v>1</v>
      </c>
    </row>
    <row r="763" spans="1:19" x14ac:dyDescent="0.25">
      <c r="A763">
        <f>TableSTRUGEOB1[[#This Row],[Study Package Code]]</f>
        <v>0</v>
      </c>
      <c r="B763" s="5">
        <f>TableSTRUGEOB1[[#This Row],[Ver]]</f>
        <v>0</v>
      </c>
      <c r="D763">
        <f>TableSTRUGEOB1[[#This Row],[Structure Line]]</f>
        <v>0</v>
      </c>
      <c r="E763" s="81">
        <f>TableSTRUGEOB1[[#This Row],[Credit Points]]</f>
        <v>0</v>
      </c>
      <c r="N763" s="125"/>
      <c r="O763" s="125"/>
      <c r="R763" t="s">
        <v>175</v>
      </c>
      <c r="S763">
        <v>1</v>
      </c>
    </row>
    <row r="764" spans="1:19" x14ac:dyDescent="0.25">
      <c r="A764">
        <f>TableSTRUGEOB1[[#This Row],[Study Package Code]]</f>
        <v>0</v>
      </c>
      <c r="B764" s="5">
        <f>TableSTRUGEOB1[[#This Row],[Ver]]</f>
        <v>0</v>
      </c>
      <c r="D764">
        <f>TableSTRUGEOB1[[#This Row],[Structure Line]]</f>
        <v>0</v>
      </c>
      <c r="E764" s="81">
        <f>TableSTRUGEOB1[[#This Row],[Credit Points]]</f>
        <v>0</v>
      </c>
      <c r="N764" s="125"/>
      <c r="O764" s="125"/>
      <c r="R764" t="s">
        <v>168</v>
      </c>
      <c r="S764">
        <v>1</v>
      </c>
    </row>
    <row r="765" spans="1:19" x14ac:dyDescent="0.25">
      <c r="A765">
        <f>TableSTRUGEOB1[[#This Row],[Study Package Code]]</f>
        <v>0</v>
      </c>
      <c r="B765" s="5">
        <f>TableSTRUGEOB1[[#This Row],[Ver]]</f>
        <v>0</v>
      </c>
      <c r="D765">
        <f>TableSTRUGEOB1[[#This Row],[Structure Line]]</f>
        <v>0</v>
      </c>
      <c r="E765" s="81">
        <f>TableSTRUGEOB1[[#This Row],[Credit Points]]</f>
        <v>0</v>
      </c>
      <c r="N765" s="125"/>
      <c r="O765" s="125"/>
      <c r="R765" t="s">
        <v>172</v>
      </c>
      <c r="S765">
        <v>1</v>
      </c>
    </row>
    <row r="766" spans="1:19" x14ac:dyDescent="0.25">
      <c r="A766">
        <f>TableSTRUGEOB1[[#This Row],[Study Package Code]]</f>
        <v>0</v>
      </c>
      <c r="B766" s="5">
        <f>TableSTRUGEOB1[[#This Row],[Ver]]</f>
        <v>0</v>
      </c>
      <c r="D766">
        <f>TableSTRUGEOB1[[#This Row],[Structure Line]]</f>
        <v>0</v>
      </c>
      <c r="E766" s="81">
        <f>TableSTRUGEOB1[[#This Row],[Credit Points]]</f>
        <v>0</v>
      </c>
      <c r="N766" s="125"/>
      <c r="O766" s="125"/>
      <c r="R766" t="s">
        <v>199</v>
      </c>
      <c r="S766">
        <v>1</v>
      </c>
    </row>
    <row r="767" spans="1:19" x14ac:dyDescent="0.25">
      <c r="A767">
        <f>TableSTRUGEOB1[[#This Row],[Study Package Code]]</f>
        <v>0</v>
      </c>
      <c r="B767" s="5">
        <f>TableSTRUGEOB1[[#This Row],[Ver]]</f>
        <v>0</v>
      </c>
      <c r="D767">
        <f>TableSTRUGEOB1[[#This Row],[Structure Line]]</f>
        <v>0</v>
      </c>
      <c r="E767" s="81">
        <f>TableSTRUGEOB1[[#This Row],[Credit Points]]</f>
        <v>0</v>
      </c>
      <c r="K767" s="126"/>
      <c r="L767" s="126"/>
      <c r="M767" s="126"/>
      <c r="N767" s="125"/>
      <c r="O767" s="125"/>
      <c r="R767" t="s">
        <v>177</v>
      </c>
      <c r="S767">
        <v>1</v>
      </c>
    </row>
    <row r="768" spans="1:19" x14ac:dyDescent="0.25">
      <c r="A768">
        <f>TableSTRUGEOB1[[#This Row],[Study Package Code]]</f>
        <v>0</v>
      </c>
      <c r="B768" s="5">
        <f>TableSTRUGEOB1[[#This Row],[Ver]]</f>
        <v>0</v>
      </c>
      <c r="D768">
        <f>TableSTRUGEOB1[[#This Row],[Structure Line]]</f>
        <v>0</v>
      </c>
      <c r="E768" s="81">
        <f>TableSTRUGEOB1[[#This Row],[Credit Points]]</f>
        <v>0</v>
      </c>
      <c r="N768" s="125"/>
      <c r="O768" s="125"/>
      <c r="R768" t="s">
        <v>183</v>
      </c>
      <c r="S768">
        <v>1</v>
      </c>
    </row>
    <row r="769" spans="1:19" x14ac:dyDescent="0.25">
      <c r="A769">
        <f>TableSTRUGEOB1[[#This Row],[Study Package Code]]</f>
        <v>0</v>
      </c>
      <c r="B769" s="5">
        <f>TableSTRUGEOB1[[#This Row],[Ver]]</f>
        <v>0</v>
      </c>
      <c r="D769">
        <f>TableSTRUGEOB1[[#This Row],[Structure Line]]</f>
        <v>0</v>
      </c>
      <c r="E769" s="81">
        <f>TableSTRUGEOB1[[#This Row],[Credit Points]]</f>
        <v>0</v>
      </c>
      <c r="N769" s="125"/>
      <c r="O769" s="125"/>
      <c r="R769" t="s">
        <v>181</v>
      </c>
      <c r="S769">
        <v>1</v>
      </c>
    </row>
    <row r="770" spans="1:19" x14ac:dyDescent="0.25">
      <c r="A770">
        <f>TableSTRUGEOB1[[#This Row],[Study Package Code]]</f>
        <v>0</v>
      </c>
      <c r="B770" s="5">
        <f>TableSTRUGEOB1[[#This Row],[Ver]]</f>
        <v>0</v>
      </c>
      <c r="D770">
        <f>TableSTRUGEOB1[[#This Row],[Structure Line]]</f>
        <v>0</v>
      </c>
      <c r="E770" s="81">
        <f>TableSTRUGEOB1[[#This Row],[Credit Points]]</f>
        <v>0</v>
      </c>
      <c r="N770" s="125"/>
      <c r="O770" s="125"/>
      <c r="R770" t="s">
        <v>179</v>
      </c>
      <c r="S770">
        <v>1</v>
      </c>
    </row>
    <row r="771" spans="1:19" x14ac:dyDescent="0.25">
      <c r="A771">
        <f>TableSTRUGEOB1[[#This Row],[Study Package Code]]</f>
        <v>0</v>
      </c>
      <c r="B771" s="5">
        <f>TableSTRUGEOB1[[#This Row],[Ver]]</f>
        <v>0</v>
      </c>
      <c r="D771">
        <f>TableSTRUGEOB1[[#This Row],[Structure Line]]</f>
        <v>0</v>
      </c>
      <c r="E771" s="81">
        <f>TableSTRUGEOB1[[#This Row],[Credit Points]]</f>
        <v>0</v>
      </c>
      <c r="N771" s="125"/>
      <c r="O771" s="125"/>
      <c r="R771" t="s">
        <v>171</v>
      </c>
      <c r="S771">
        <v>1</v>
      </c>
    </row>
    <row r="772" spans="1:19" x14ac:dyDescent="0.25">
      <c r="A772">
        <f>TableSTRUGEOB1[[#This Row],[Study Package Code]]</f>
        <v>0</v>
      </c>
      <c r="B772" s="5">
        <f>TableSTRUGEOB1[[#This Row],[Ver]]</f>
        <v>0</v>
      </c>
      <c r="D772">
        <f>TableSTRUGEOB1[[#This Row],[Structure Line]]</f>
        <v>0</v>
      </c>
      <c r="E772" s="81">
        <f>TableSTRUGEOB1[[#This Row],[Credit Points]]</f>
        <v>0</v>
      </c>
      <c r="N772" s="125"/>
      <c r="O772" s="125"/>
      <c r="R772" t="s">
        <v>178</v>
      </c>
      <c r="S772">
        <v>1</v>
      </c>
    </row>
    <row r="773" spans="1:19" x14ac:dyDescent="0.25">
      <c r="A773">
        <f>TableSTRUGEOB1[[#This Row],[Study Package Code]]</f>
        <v>0</v>
      </c>
      <c r="B773" s="5">
        <f>TableSTRUGEOB1[[#This Row],[Ver]]</f>
        <v>0</v>
      </c>
      <c r="D773">
        <f>TableSTRUGEOB1[[#This Row],[Structure Line]]</f>
        <v>0</v>
      </c>
      <c r="E773" s="81">
        <f>TableSTRUGEOB1[[#This Row],[Credit Points]]</f>
        <v>0</v>
      </c>
      <c r="N773" s="125"/>
      <c r="O773" s="125"/>
      <c r="R773" t="s">
        <v>178</v>
      </c>
      <c r="S773">
        <v>2</v>
      </c>
    </row>
    <row r="774" spans="1:19" x14ac:dyDescent="0.25">
      <c r="A774">
        <f>TableSTRUGEOB1[[#This Row],[Study Package Code]]</f>
        <v>0</v>
      </c>
      <c r="B774" s="5">
        <f>TableSTRUGEOB1[[#This Row],[Ver]]</f>
        <v>0</v>
      </c>
      <c r="D774">
        <f>TableSTRUGEOB1[[#This Row],[Structure Line]]</f>
        <v>0</v>
      </c>
      <c r="E774" s="81">
        <f>TableSTRUGEOB1[[#This Row],[Credit Points]]</f>
        <v>0</v>
      </c>
      <c r="N774" s="125"/>
      <c r="O774" s="125"/>
      <c r="R774" t="s">
        <v>185</v>
      </c>
      <c r="S774">
        <v>1</v>
      </c>
    </row>
    <row r="775" spans="1:19" x14ac:dyDescent="0.25">
      <c r="A775">
        <f>TableSTRUGEOB1[[#This Row],[Study Package Code]]</f>
        <v>0</v>
      </c>
      <c r="B775" s="5">
        <f>TableSTRUGEOB1[[#This Row],[Ver]]</f>
        <v>0</v>
      </c>
      <c r="D775">
        <f>TableSTRUGEOB1[[#This Row],[Structure Line]]</f>
        <v>0</v>
      </c>
      <c r="E775" s="81">
        <f>TableSTRUGEOB1[[#This Row],[Credit Points]]</f>
        <v>0</v>
      </c>
      <c r="N775" s="125"/>
      <c r="O775" s="125"/>
      <c r="R775" t="s">
        <v>129</v>
      </c>
      <c r="S775">
        <v>1</v>
      </c>
    </row>
    <row r="776" spans="1:19" x14ac:dyDescent="0.25">
      <c r="A776" s="78"/>
      <c r="B776" s="80"/>
      <c r="C776" s="78"/>
      <c r="G776" s="79" t="s">
        <v>1194</v>
      </c>
      <c r="H776" s="272">
        <v>45658</v>
      </c>
      <c r="J776" s="274" t="s">
        <v>354</v>
      </c>
      <c r="K776" s="273" t="s">
        <v>100</v>
      </c>
      <c r="L776" s="274" t="s">
        <v>414</v>
      </c>
      <c r="M776" s="78"/>
      <c r="N776" s="198" t="s">
        <v>1195</v>
      </c>
      <c r="O776" s="125">
        <v>45544</v>
      </c>
    </row>
    <row r="777" spans="1:19" ht="31.5" x14ac:dyDescent="0.25">
      <c r="A777" s="97" t="s">
        <v>0</v>
      </c>
      <c r="B777" s="98" t="s">
        <v>1196</v>
      </c>
      <c r="C777" s="97" t="s">
        <v>1197</v>
      </c>
      <c r="D777" s="97" t="s">
        <v>3</v>
      </c>
      <c r="E777" s="99" t="s">
        <v>1198</v>
      </c>
      <c r="F777" s="97" t="s">
        <v>1199</v>
      </c>
      <c r="G777" s="97" t="s">
        <v>1200</v>
      </c>
      <c r="H777" s="97" t="s">
        <v>1201</v>
      </c>
      <c r="I777" s="97" t="s">
        <v>18</v>
      </c>
      <c r="J777" s="97" t="s">
        <v>1202</v>
      </c>
      <c r="K777" s="97" t="s">
        <v>1</v>
      </c>
      <c r="L777" s="97" t="s">
        <v>1203</v>
      </c>
      <c r="M777" s="97" t="s">
        <v>69</v>
      </c>
      <c r="N777" s="97" t="s">
        <v>1204</v>
      </c>
      <c r="O777" s="97" t="s">
        <v>1205</v>
      </c>
      <c r="R777" t="s">
        <v>1206</v>
      </c>
      <c r="S777" t="s">
        <v>1207</v>
      </c>
    </row>
    <row r="778" spans="1:19" x14ac:dyDescent="0.25">
      <c r="A778" t="str">
        <f>TableSTRUGEOGM[[#This Row],[Study Package Code]]</f>
        <v>PHGY1000</v>
      </c>
      <c r="B778" s="5">
        <f>TableSTRUGEOGM[[#This Row],[Ver]]</f>
        <v>0</v>
      </c>
      <c r="D778" t="str">
        <f>TableSTRUGEOGM[[#This Row],[Structure Line]]</f>
        <v>Physical Geography</v>
      </c>
      <c r="E778" s="81">
        <f>TableSTRUGEOGM[[#This Row],[Credit Points]]</f>
        <v>25</v>
      </c>
      <c r="F778">
        <v>1</v>
      </c>
      <c r="G778" t="s">
        <v>1208</v>
      </c>
      <c r="H778">
        <v>1</v>
      </c>
      <c r="I778" t="s">
        <v>1212</v>
      </c>
      <c r="J778" t="s">
        <v>568</v>
      </c>
      <c r="K778" s="122">
        <v>0</v>
      </c>
      <c r="L778" t="s">
        <v>1093</v>
      </c>
      <c r="M778">
        <v>25</v>
      </c>
      <c r="N778" s="125">
        <v>42005</v>
      </c>
      <c r="O778" s="125"/>
    </row>
    <row r="779" spans="1:19" x14ac:dyDescent="0.25">
      <c r="A779" t="str">
        <f>TableSTRUGEOGM[[#This Row],[Study Package Code]]</f>
        <v>GEOG1000</v>
      </c>
      <c r="B779" s="5">
        <f>TableSTRUGEOGM[[#This Row],[Ver]]</f>
        <v>0</v>
      </c>
      <c r="D779" t="str">
        <f>TableSTRUGEOGM[[#This Row],[Structure Line]]</f>
        <v>Human Geography</v>
      </c>
      <c r="E779" s="81">
        <f>TableSTRUGEOGM[[#This Row],[Credit Points]]</f>
        <v>25</v>
      </c>
      <c r="F779">
        <v>2</v>
      </c>
      <c r="G779" t="s">
        <v>1208</v>
      </c>
      <c r="H779">
        <v>2</v>
      </c>
      <c r="I779" t="s">
        <v>1209</v>
      </c>
      <c r="J779" t="s">
        <v>473</v>
      </c>
      <c r="K779" s="122">
        <v>0</v>
      </c>
      <c r="L779" t="s">
        <v>1007</v>
      </c>
      <c r="M779">
        <v>25</v>
      </c>
      <c r="N779" s="125">
        <v>42005</v>
      </c>
      <c r="O779" s="125"/>
    </row>
    <row r="780" spans="1:19" x14ac:dyDescent="0.25">
      <c r="A780" t="str">
        <f>TableSTRUGEOGM[[#This Row],[Study Package Code]]</f>
        <v>GEOG2000</v>
      </c>
      <c r="B780" s="5">
        <f>TableSTRUGEOGM[[#This Row],[Ver]]</f>
        <v>0</v>
      </c>
      <c r="D780" t="str">
        <f>TableSTRUGEOGM[[#This Row],[Structure Line]]</f>
        <v>Geographies of Migration</v>
      </c>
      <c r="E780" s="81">
        <f>TableSTRUGEOGM[[#This Row],[Credit Points]]</f>
        <v>25</v>
      </c>
      <c r="F780">
        <v>3</v>
      </c>
      <c r="G780" t="s">
        <v>1208</v>
      </c>
      <c r="H780">
        <v>2</v>
      </c>
      <c r="I780" t="s">
        <v>1212</v>
      </c>
      <c r="J780" t="s">
        <v>594</v>
      </c>
      <c r="K780" s="122">
        <v>0</v>
      </c>
      <c r="L780" t="s">
        <v>1008</v>
      </c>
      <c r="M780">
        <v>25</v>
      </c>
      <c r="N780" s="125">
        <v>42005</v>
      </c>
      <c r="O780" s="125"/>
    </row>
    <row r="781" spans="1:19" x14ac:dyDescent="0.25">
      <c r="A781" t="str">
        <f>TableSTRUGEOGM[[#This Row],[Study Package Code]]</f>
        <v>EDSC4024</v>
      </c>
      <c r="B781" s="5">
        <f>TableSTRUGEOGM[[#This Row],[Ver]]</f>
        <v>0</v>
      </c>
      <c r="D781" t="str">
        <f>TableSTRUGEOGM[[#This Row],[Structure Line]]</f>
        <v>Curriculum and Instruction Lower Secondary: Humanities and Social Sciences</v>
      </c>
      <c r="E781" s="81">
        <f>TableSTRUGEOGM[[#This Row],[Credit Points]]</f>
        <v>25</v>
      </c>
      <c r="F781">
        <v>4</v>
      </c>
      <c r="G781" t="s">
        <v>1208</v>
      </c>
      <c r="H781">
        <v>3</v>
      </c>
      <c r="I781" t="s">
        <v>1209</v>
      </c>
      <c r="J781" t="s">
        <v>465</v>
      </c>
      <c r="K781" s="122">
        <v>0</v>
      </c>
      <c r="L781" t="s">
        <v>948</v>
      </c>
      <c r="M781">
        <v>25</v>
      </c>
      <c r="N781" s="125">
        <v>43466</v>
      </c>
      <c r="O781" s="125"/>
    </row>
    <row r="782" spans="1:19" x14ac:dyDescent="0.25">
      <c r="A782" t="str">
        <f>TableSTRUGEOGM[[#This Row],[Study Package Code]]</f>
        <v>GEOG2001</v>
      </c>
      <c r="B782" s="5">
        <f>TableSTRUGEOGM[[#This Row],[Ver]]</f>
        <v>0</v>
      </c>
      <c r="D782" t="str">
        <f>TableSTRUGEOGM[[#This Row],[Structure Line]]</f>
        <v>Geographies of Food Security</v>
      </c>
      <c r="E782" s="81">
        <f>TableSTRUGEOGM[[#This Row],[Credit Points]]</f>
        <v>25</v>
      </c>
      <c r="F782">
        <v>5</v>
      </c>
      <c r="G782" t="s">
        <v>1208</v>
      </c>
      <c r="H782">
        <v>3</v>
      </c>
      <c r="I782" t="s">
        <v>1209</v>
      </c>
      <c r="J782" t="s">
        <v>612</v>
      </c>
      <c r="K782" s="122">
        <v>0</v>
      </c>
      <c r="L782" t="s">
        <v>1009</v>
      </c>
      <c r="M782">
        <v>25</v>
      </c>
      <c r="N782" s="125">
        <v>42005</v>
      </c>
      <c r="O782" s="125"/>
    </row>
    <row r="783" spans="1:19" x14ac:dyDescent="0.25">
      <c r="A783" t="str">
        <f>TableSTRUGEOGM[[#This Row],[Study Package Code]]</f>
        <v>EDSC4026</v>
      </c>
      <c r="B783" s="5">
        <f>TableSTRUGEOGM[[#This Row],[Ver]]</f>
        <v>0</v>
      </c>
      <c r="D783" t="str">
        <f>TableSTRUGEOGM[[#This Row],[Structure Line]]</f>
        <v>Curriculum and Instruction Senior Secondary: Humanities and Social Sciences</v>
      </c>
      <c r="E783" s="81">
        <f>TableSTRUGEOGM[[#This Row],[Credit Points]]</f>
        <v>25</v>
      </c>
      <c r="F783">
        <v>6</v>
      </c>
      <c r="G783" t="s">
        <v>1208</v>
      </c>
      <c r="H783">
        <v>3</v>
      </c>
      <c r="I783" t="s">
        <v>1212</v>
      </c>
      <c r="J783" t="s">
        <v>486</v>
      </c>
      <c r="K783" s="122">
        <v>0</v>
      </c>
      <c r="L783" t="s">
        <v>950</v>
      </c>
      <c r="M783">
        <v>25</v>
      </c>
      <c r="N783" s="125">
        <v>43831</v>
      </c>
      <c r="O783" s="125"/>
    </row>
    <row r="784" spans="1:19" x14ac:dyDescent="0.25">
      <c r="A784" s="78"/>
      <c r="B784" s="80"/>
      <c r="C784" s="78"/>
      <c r="G784" s="79" t="s">
        <v>1194</v>
      </c>
      <c r="H784" s="272">
        <v>45658</v>
      </c>
      <c r="J784" s="274" t="s">
        <v>364</v>
      </c>
      <c r="K784" s="273" t="s">
        <v>404</v>
      </c>
      <c r="L784" s="274" t="s">
        <v>1161</v>
      </c>
      <c r="M784" s="78"/>
      <c r="N784" s="198" t="s">
        <v>1195</v>
      </c>
      <c r="O784" s="125">
        <v>45544</v>
      </c>
    </row>
    <row r="785" spans="1:19" ht="31.5" x14ac:dyDescent="0.25">
      <c r="A785" s="97" t="s">
        <v>0</v>
      </c>
      <c r="B785" s="98" t="s">
        <v>1196</v>
      </c>
      <c r="C785" s="97" t="s">
        <v>1197</v>
      </c>
      <c r="D785" s="97" t="s">
        <v>3</v>
      </c>
      <c r="E785" s="99" t="s">
        <v>1198</v>
      </c>
      <c r="F785" s="97" t="s">
        <v>1199</v>
      </c>
      <c r="G785" s="97" t="s">
        <v>1200</v>
      </c>
      <c r="H785" s="97" t="s">
        <v>1201</v>
      </c>
      <c r="I785" s="97" t="s">
        <v>18</v>
      </c>
      <c r="J785" s="97" t="s">
        <v>1202</v>
      </c>
      <c r="K785" s="97" t="s">
        <v>1</v>
      </c>
      <c r="L785" s="97" t="s">
        <v>1203</v>
      </c>
      <c r="M785" s="97" t="s">
        <v>69</v>
      </c>
      <c r="N785" s="97" t="s">
        <v>1204</v>
      </c>
      <c r="O785" s="97" t="s">
        <v>1205</v>
      </c>
      <c r="R785" t="s">
        <v>1206</v>
      </c>
      <c r="S785" t="s">
        <v>1207</v>
      </c>
    </row>
    <row r="786" spans="1:19" x14ac:dyDescent="0.25">
      <c r="A786" t="str">
        <f>TableSTRUHISB1[[#This Row],[Study Package Code]]</f>
        <v>Opt-HISB1</v>
      </c>
      <c r="B786" s="5">
        <f>TableSTRUHISB1[[#This Row],[Ver]]</f>
        <v>0</v>
      </c>
      <c r="D786" t="str">
        <f>TableSTRUHISB1[[#This Row],[Structure Line]]</f>
        <v>Choose an Option</v>
      </c>
      <c r="E786" s="81">
        <f>TableSTRUHISB1[[#This Row],[Credit Points]]</f>
        <v>25</v>
      </c>
      <c r="F786">
        <v>1</v>
      </c>
      <c r="G786" t="s">
        <v>140</v>
      </c>
      <c r="H786">
        <v>0</v>
      </c>
      <c r="I786" t="s">
        <v>1221</v>
      </c>
      <c r="J786" t="s">
        <v>730</v>
      </c>
      <c r="K786" s="122">
        <v>0</v>
      </c>
      <c r="L786" t="s">
        <v>1219</v>
      </c>
      <c r="M786">
        <v>25</v>
      </c>
      <c r="N786" s="125"/>
      <c r="O786" s="125"/>
      <c r="R786" t="s">
        <v>57</v>
      </c>
      <c r="S786">
        <v>1</v>
      </c>
    </row>
    <row r="787" spans="1:19" x14ac:dyDescent="0.25">
      <c r="A787" t="str">
        <f>TableSTRUHISB1[[#This Row],[Study Package Code]]</f>
        <v>PHGY1000</v>
      </c>
      <c r="B787" s="5">
        <f>TableSTRUHISB1[[#This Row],[Ver]]</f>
        <v>0</v>
      </c>
      <c r="D787" t="str">
        <f>TableSTRUHISB1[[#This Row],[Structure Line]]</f>
        <v>Physical Geography</v>
      </c>
      <c r="E787" s="81">
        <f>TableSTRUHISB1[[#This Row],[Credit Points]]</f>
        <v>25</v>
      </c>
      <c r="F787">
        <v>2</v>
      </c>
      <c r="G787" t="s">
        <v>1208</v>
      </c>
      <c r="H787" s="126">
        <v>1</v>
      </c>
      <c r="I787" s="126" t="s">
        <v>1212</v>
      </c>
      <c r="J787" s="126" t="s">
        <v>568</v>
      </c>
      <c r="K787" s="122">
        <v>0</v>
      </c>
      <c r="L787" s="126" t="s">
        <v>1093</v>
      </c>
      <c r="M787">
        <v>25</v>
      </c>
      <c r="N787" s="125">
        <v>42005</v>
      </c>
      <c r="O787" s="125"/>
      <c r="R787" t="s">
        <v>452</v>
      </c>
      <c r="S787">
        <v>1</v>
      </c>
    </row>
    <row r="788" spans="1:19" x14ac:dyDescent="0.25">
      <c r="A788" t="str">
        <f>TableSTRUHISB1[[#This Row],[Study Package Code]]</f>
        <v>ECON1000</v>
      </c>
      <c r="B788" s="5">
        <f>TableSTRUHISB1[[#This Row],[Ver]]</f>
        <v>0</v>
      </c>
      <c r="D788" t="str">
        <f>TableSTRUHISB1[[#This Row],[Structure Line]]</f>
        <v>Introductory Economics</v>
      </c>
      <c r="E788" s="81">
        <f>TableSTRUHISB1[[#This Row],[Credit Points]]</f>
        <v>25</v>
      </c>
      <c r="F788">
        <v>3</v>
      </c>
      <c r="G788" t="s">
        <v>1208</v>
      </c>
      <c r="H788">
        <v>2</v>
      </c>
      <c r="I788" t="s">
        <v>1209</v>
      </c>
      <c r="J788" t="s">
        <v>452</v>
      </c>
      <c r="K788" s="122">
        <v>0</v>
      </c>
      <c r="L788" t="s">
        <v>869</v>
      </c>
      <c r="M788">
        <v>25</v>
      </c>
      <c r="N788" s="125">
        <v>42005</v>
      </c>
      <c r="O788" s="125"/>
      <c r="R788" t="s">
        <v>602</v>
      </c>
      <c r="S788">
        <v>1</v>
      </c>
    </row>
    <row r="789" spans="1:19" x14ac:dyDescent="0.25">
      <c r="A789" t="str">
        <f>TableSTRUHISB1[[#This Row],[Study Package Code]]</f>
        <v>ANTH2002</v>
      </c>
      <c r="B789" s="5">
        <f>TableSTRUHISB1[[#This Row],[Ver]]</f>
        <v>0</v>
      </c>
      <c r="D789" t="str">
        <f>TableSTRUHISB1[[#This Row],[Structure Line]]</f>
        <v>Private Lives and Public Issues</v>
      </c>
      <c r="E789" s="81">
        <f>TableSTRUHISB1[[#This Row],[Credit Points]]</f>
        <v>25</v>
      </c>
      <c r="F789">
        <v>4</v>
      </c>
      <c r="G789" t="s">
        <v>1208</v>
      </c>
      <c r="H789" s="126">
        <v>2</v>
      </c>
      <c r="I789" s="126" t="s">
        <v>1212</v>
      </c>
      <c r="J789" s="126" t="s">
        <v>583</v>
      </c>
      <c r="K789" s="122">
        <v>0</v>
      </c>
      <c r="L789" s="126" t="s">
        <v>821</v>
      </c>
      <c r="M789">
        <v>25</v>
      </c>
      <c r="N789" s="125">
        <v>42005</v>
      </c>
      <c r="O789" s="125"/>
      <c r="R789" t="s">
        <v>1305</v>
      </c>
      <c r="S789">
        <v>0</v>
      </c>
    </row>
    <row r="790" spans="1:19" x14ac:dyDescent="0.25">
      <c r="A790" t="str">
        <f>TableSTRUHISB1[[#This Row],[Study Package Code]]</f>
        <v>INDS2001</v>
      </c>
      <c r="B790" s="5">
        <f>TableSTRUHISB1[[#This Row],[Ver]]</f>
        <v>0</v>
      </c>
      <c r="D790" t="str">
        <f>TableSTRUHISB1[[#This Row],[Structure Line]]</f>
        <v>Indigenous Australian Land and Environments</v>
      </c>
      <c r="E790" s="81">
        <f>TableSTRUHISB1[[#This Row],[Credit Points]]</f>
        <v>25</v>
      </c>
      <c r="F790">
        <v>5</v>
      </c>
      <c r="G790" t="s">
        <v>1208</v>
      </c>
      <c r="H790">
        <v>3</v>
      </c>
      <c r="I790" t="s">
        <v>1209</v>
      </c>
      <c r="J790" t="s">
        <v>640</v>
      </c>
      <c r="K790" s="122">
        <v>0</v>
      </c>
      <c r="L790" t="s">
        <v>1039</v>
      </c>
      <c r="M790">
        <v>25</v>
      </c>
      <c r="N790" s="125">
        <v>42005</v>
      </c>
      <c r="O790" s="125"/>
      <c r="R790" t="s">
        <v>1293</v>
      </c>
      <c r="S790">
        <v>0</v>
      </c>
    </row>
    <row r="791" spans="1:19" x14ac:dyDescent="0.25">
      <c r="A791" t="str">
        <f>TableSTRUHISB1[[#This Row],[Study Package Code]]</f>
        <v>ANTH3003</v>
      </c>
      <c r="B791" s="5">
        <f>TableSTRUHISB1[[#This Row],[Ver]]</f>
        <v>0</v>
      </c>
      <c r="D791" t="str">
        <f>TableSTRUHISB1[[#This Row],[Structure Line]]</f>
        <v>Human Rights and Social Justice</v>
      </c>
      <c r="E791" s="81">
        <f>TableSTRUHISB1[[#This Row],[Credit Points]]</f>
        <v>25</v>
      </c>
      <c r="F791">
        <v>6</v>
      </c>
      <c r="G791" t="s">
        <v>1208</v>
      </c>
      <c r="H791">
        <v>3</v>
      </c>
      <c r="I791" t="s">
        <v>1212</v>
      </c>
      <c r="J791" t="s">
        <v>614</v>
      </c>
      <c r="K791" s="122">
        <v>0</v>
      </c>
      <c r="L791" t="s">
        <v>822</v>
      </c>
      <c r="M791">
        <v>25</v>
      </c>
      <c r="N791" s="125">
        <v>42005</v>
      </c>
      <c r="O791" s="125"/>
      <c r="R791" t="s">
        <v>124</v>
      </c>
      <c r="S791">
        <v>2</v>
      </c>
    </row>
    <row r="792" spans="1:19" x14ac:dyDescent="0.25">
      <c r="A792" t="str">
        <f>TableSTRUHISB1[[#This Row],[Study Package Code]]</f>
        <v>EDUC4012</v>
      </c>
      <c r="B792" s="5">
        <f>TableSTRUHISB1[[#This Row],[Ver]]</f>
        <v>2</v>
      </c>
      <c r="D792" t="str">
        <f>TableSTRUHISB1[[#This Row],[Structure Line]]</f>
        <v>Relationships and Sexuality Education</v>
      </c>
      <c r="E792" s="81">
        <f>TableSTRUHISB1[[#This Row],[Credit Points]]</f>
        <v>25</v>
      </c>
      <c r="F792">
        <v>1</v>
      </c>
      <c r="G792" t="s">
        <v>140</v>
      </c>
      <c r="H792">
        <v>0</v>
      </c>
      <c r="I792" t="s">
        <v>1221</v>
      </c>
      <c r="J792" t="s">
        <v>194</v>
      </c>
      <c r="K792">
        <v>2</v>
      </c>
      <c r="L792" t="s">
        <v>975</v>
      </c>
      <c r="M792">
        <v>25</v>
      </c>
      <c r="N792" s="125">
        <v>44927</v>
      </c>
      <c r="O792" s="125"/>
      <c r="R792" t="s">
        <v>640</v>
      </c>
      <c r="S792">
        <v>1</v>
      </c>
    </row>
    <row r="793" spans="1:19" x14ac:dyDescent="0.25">
      <c r="A793" t="str">
        <f>TableSTRUHISB1[[#This Row],[Study Package Code]]</f>
        <v>EDUC4014</v>
      </c>
      <c r="B793" s="5">
        <f>TableSTRUHISB1[[#This Row],[Ver]]</f>
        <v>1</v>
      </c>
      <c r="D793" t="str">
        <f>TableSTRUHISB1[[#This Row],[Structure Line]]</f>
        <v>Diverse Abilities and Curriculum Differentiation</v>
      </c>
      <c r="E793" s="81">
        <f>TableSTRUHISB1[[#This Row],[Credit Points]]</f>
        <v>25</v>
      </c>
      <c r="F793">
        <v>1</v>
      </c>
      <c r="G793" t="s">
        <v>140</v>
      </c>
      <c r="H793">
        <v>0</v>
      </c>
      <c r="I793" t="s">
        <v>1221</v>
      </c>
      <c r="J793" t="s">
        <v>195</v>
      </c>
      <c r="K793">
        <v>1</v>
      </c>
      <c r="L793" t="s">
        <v>976</v>
      </c>
      <c r="M793">
        <v>25</v>
      </c>
      <c r="N793" s="125">
        <v>42005</v>
      </c>
      <c r="O793" s="125"/>
      <c r="R793" t="s">
        <v>582</v>
      </c>
      <c r="S793">
        <v>2</v>
      </c>
    </row>
    <row r="794" spans="1:19" x14ac:dyDescent="0.25">
      <c r="A794" t="str">
        <f>TableSTRUHISB1[[#This Row],[Study Package Code]]</f>
        <v>EDUC4020</v>
      </c>
      <c r="B794" s="5">
        <f>TableSTRUHISB1[[#This Row],[Ver]]</f>
        <v>1</v>
      </c>
      <c r="D794" t="str">
        <f>TableSTRUHISB1[[#This Row],[Structure Line]]</f>
        <v>Supporting Literacy and Numeracy Development for Diverse Learners</v>
      </c>
      <c r="E794" s="81">
        <f>TableSTRUHISB1[[#This Row],[Credit Points]]</f>
        <v>25</v>
      </c>
      <c r="F794">
        <v>1</v>
      </c>
      <c r="G794" t="s">
        <v>140</v>
      </c>
      <c r="H794">
        <v>0</v>
      </c>
      <c r="I794" t="s">
        <v>1221</v>
      </c>
      <c r="J794" t="s">
        <v>184</v>
      </c>
      <c r="K794">
        <v>1</v>
      </c>
      <c r="L794" t="s">
        <v>977</v>
      </c>
      <c r="M794">
        <v>25</v>
      </c>
      <c r="N794" s="125">
        <v>43282</v>
      </c>
      <c r="O794" s="125"/>
      <c r="R794" t="s">
        <v>200</v>
      </c>
      <c r="S794">
        <v>1</v>
      </c>
    </row>
    <row r="795" spans="1:19" x14ac:dyDescent="0.25">
      <c r="A795" t="str">
        <f>TableSTRUHISB1[[#This Row],[Study Package Code]]</f>
        <v>EDUC4042</v>
      </c>
      <c r="B795" s="5">
        <f>TableSTRUHISB1[[#This Row],[Ver]]</f>
        <v>1</v>
      </c>
      <c r="D795" t="str">
        <f>TableSTRUHISB1[[#This Row],[Structure Line]]</f>
        <v>Alternative Approaches to Teaching Literacy and Numeracy</v>
      </c>
      <c r="E795" s="81">
        <f>TableSTRUHISB1[[#This Row],[Credit Points]]</f>
        <v>25</v>
      </c>
      <c r="F795">
        <v>1</v>
      </c>
      <c r="G795" t="s">
        <v>140</v>
      </c>
      <c r="H795">
        <v>0</v>
      </c>
      <c r="I795" t="s">
        <v>1221</v>
      </c>
      <c r="J795" t="s">
        <v>171</v>
      </c>
      <c r="K795">
        <v>1</v>
      </c>
      <c r="L795" t="s">
        <v>988</v>
      </c>
      <c r="M795">
        <v>25</v>
      </c>
      <c r="N795" s="125">
        <v>43466</v>
      </c>
      <c r="O795" s="125"/>
      <c r="R795" t="s">
        <v>174</v>
      </c>
      <c r="S795">
        <v>2</v>
      </c>
    </row>
    <row r="796" spans="1:19" x14ac:dyDescent="0.25">
      <c r="A796" t="str">
        <f>TableSTRUHISB1[[#This Row],[Study Package Code]]</f>
        <v>EDUC4044</v>
      </c>
      <c r="B796" s="5">
        <f>TableSTRUHISB1[[#This Row],[Ver]]</f>
        <v>2</v>
      </c>
      <c r="D796" t="str">
        <f>TableSTRUHISB1[[#This Row],[Structure Line]]</f>
        <v>Literacy and Numeracy for First Nations Peoples of Australia</v>
      </c>
      <c r="E796" s="81">
        <f>TableSTRUHISB1[[#This Row],[Credit Points]]</f>
        <v>25</v>
      </c>
      <c r="F796">
        <v>1</v>
      </c>
      <c r="G796" t="s">
        <v>140</v>
      </c>
      <c r="H796">
        <v>0</v>
      </c>
      <c r="I796" t="s">
        <v>1221</v>
      </c>
      <c r="J796" t="s">
        <v>178</v>
      </c>
      <c r="K796">
        <v>2</v>
      </c>
      <c r="L796" t="s">
        <v>989</v>
      </c>
      <c r="M796">
        <v>25</v>
      </c>
      <c r="N796" s="125">
        <v>44927</v>
      </c>
      <c r="O796" s="125"/>
      <c r="R796" t="s">
        <v>201</v>
      </c>
      <c r="S796">
        <v>2</v>
      </c>
    </row>
    <row r="797" spans="1:19" x14ac:dyDescent="0.25">
      <c r="A797" t="str">
        <f>TableSTRUHISB1[[#This Row],[Study Package Code]]</f>
        <v>EDUC4048</v>
      </c>
      <c r="B797" s="5">
        <f>TableSTRUHISB1[[#This Row],[Ver]]</f>
        <v>1</v>
      </c>
      <c r="D797" t="str">
        <f>TableSTRUHISB1[[#This Row],[Structure Line]]</f>
        <v>Mentoring, Coaching and Tutoring</v>
      </c>
      <c r="E797" s="81">
        <f>TableSTRUHISB1[[#This Row],[Credit Points]]</f>
        <v>25</v>
      </c>
      <c r="F797">
        <v>1</v>
      </c>
      <c r="G797" t="s">
        <v>140</v>
      </c>
      <c r="H797">
        <v>0</v>
      </c>
      <c r="I797" t="s">
        <v>1221</v>
      </c>
      <c r="J797" t="s">
        <v>129</v>
      </c>
      <c r="K797">
        <v>1</v>
      </c>
      <c r="L797" t="s">
        <v>991</v>
      </c>
      <c r="M797">
        <v>25</v>
      </c>
      <c r="N797" s="125">
        <v>43466</v>
      </c>
      <c r="O797" s="125"/>
      <c r="R797" t="s">
        <v>167</v>
      </c>
      <c r="S797">
        <v>1</v>
      </c>
    </row>
    <row r="798" spans="1:19" x14ac:dyDescent="0.25">
      <c r="A798">
        <f>TableSTRUHISB1[[#This Row],[Study Package Code]]</f>
        <v>0</v>
      </c>
      <c r="B798" s="5">
        <f>TableSTRUHISB1[[#This Row],[Ver]]</f>
        <v>0</v>
      </c>
      <c r="D798">
        <f>TableSTRUHISB1[[#This Row],[Structure Line]]</f>
        <v>0</v>
      </c>
      <c r="E798" s="81">
        <f>TableSTRUHISB1[[#This Row],[Credit Points]]</f>
        <v>0</v>
      </c>
      <c r="N798" s="125"/>
      <c r="O798" s="125"/>
      <c r="R798" t="s">
        <v>180</v>
      </c>
      <c r="S798">
        <v>1</v>
      </c>
    </row>
    <row r="799" spans="1:19" x14ac:dyDescent="0.25">
      <c r="A799">
        <f>TableSTRUHISB1[[#This Row],[Study Package Code]]</f>
        <v>0</v>
      </c>
      <c r="B799" s="5">
        <f>TableSTRUHISB1[[#This Row],[Ver]]</f>
        <v>0</v>
      </c>
      <c r="D799">
        <f>TableSTRUHISB1[[#This Row],[Structure Line]]</f>
        <v>0</v>
      </c>
      <c r="E799" s="81">
        <f>TableSTRUHISB1[[#This Row],[Credit Points]]</f>
        <v>0</v>
      </c>
      <c r="N799" s="125"/>
      <c r="O799" s="125"/>
      <c r="R799" t="s">
        <v>196</v>
      </c>
      <c r="S799">
        <v>1</v>
      </c>
    </row>
    <row r="800" spans="1:19" x14ac:dyDescent="0.25">
      <c r="A800">
        <f>TableSTRUHISB1[[#This Row],[Study Package Code]]</f>
        <v>0</v>
      </c>
      <c r="B800" s="5">
        <f>TableSTRUHISB1[[#This Row],[Ver]]</f>
        <v>0</v>
      </c>
      <c r="D800">
        <f>TableSTRUHISB1[[#This Row],[Structure Line]]</f>
        <v>0</v>
      </c>
      <c r="E800" s="81">
        <f>TableSTRUHISB1[[#This Row],[Credit Points]]</f>
        <v>0</v>
      </c>
      <c r="N800" s="125"/>
      <c r="O800" s="125"/>
      <c r="R800" t="s">
        <v>198</v>
      </c>
      <c r="S800">
        <v>1</v>
      </c>
    </row>
    <row r="801" spans="1:19" x14ac:dyDescent="0.25">
      <c r="A801">
        <f>TableSTRUHISB1[[#This Row],[Study Package Code]]</f>
        <v>0</v>
      </c>
      <c r="B801" s="5">
        <f>TableSTRUHISB1[[#This Row],[Ver]]</f>
        <v>0</v>
      </c>
      <c r="D801">
        <f>TableSTRUHISB1[[#This Row],[Structure Line]]</f>
        <v>0</v>
      </c>
      <c r="E801" s="81">
        <f>TableSTRUHISB1[[#This Row],[Credit Points]]</f>
        <v>0</v>
      </c>
      <c r="N801" s="125"/>
      <c r="O801" s="125"/>
      <c r="R801" t="s">
        <v>1224</v>
      </c>
      <c r="S801">
        <v>1</v>
      </c>
    </row>
    <row r="802" spans="1:19" x14ac:dyDescent="0.25">
      <c r="A802">
        <f>TableSTRUHISB1[[#This Row],[Study Package Code]]</f>
        <v>0</v>
      </c>
      <c r="B802" s="5">
        <f>TableSTRUHISB1[[#This Row],[Ver]]</f>
        <v>0</v>
      </c>
      <c r="D802">
        <f>TableSTRUHISB1[[#This Row],[Structure Line]]</f>
        <v>0</v>
      </c>
      <c r="E802" s="81">
        <f>TableSTRUHISB1[[#This Row],[Credit Points]]</f>
        <v>0</v>
      </c>
      <c r="N802" s="125"/>
      <c r="O802" s="125"/>
      <c r="R802" t="s">
        <v>194</v>
      </c>
      <c r="S802">
        <v>2</v>
      </c>
    </row>
    <row r="803" spans="1:19" x14ac:dyDescent="0.25">
      <c r="A803">
        <f>TableSTRUHISB1[[#This Row],[Study Package Code]]</f>
        <v>0</v>
      </c>
      <c r="B803" s="5">
        <f>TableSTRUHISB1[[#This Row],[Ver]]</f>
        <v>0</v>
      </c>
      <c r="D803">
        <f>TableSTRUHISB1[[#This Row],[Structure Line]]</f>
        <v>0</v>
      </c>
      <c r="E803" s="81">
        <f>TableSTRUHISB1[[#This Row],[Credit Points]]</f>
        <v>0</v>
      </c>
      <c r="N803" s="125"/>
      <c r="O803" s="125"/>
      <c r="R803" t="s">
        <v>195</v>
      </c>
      <c r="S803">
        <v>1</v>
      </c>
    </row>
    <row r="804" spans="1:19" x14ac:dyDescent="0.25">
      <c r="A804">
        <f>TableSTRUHISB1[[#This Row],[Study Package Code]]</f>
        <v>0</v>
      </c>
      <c r="B804" s="5">
        <f>TableSTRUHISB1[[#This Row],[Ver]]</f>
        <v>0</v>
      </c>
      <c r="D804">
        <f>TableSTRUHISB1[[#This Row],[Structure Line]]</f>
        <v>0</v>
      </c>
      <c r="E804" s="81">
        <f>TableSTRUHISB1[[#This Row],[Credit Points]]</f>
        <v>0</v>
      </c>
      <c r="N804" s="125"/>
      <c r="O804" s="125"/>
      <c r="R804" t="s">
        <v>184</v>
      </c>
      <c r="S804">
        <v>1</v>
      </c>
    </row>
    <row r="805" spans="1:19" x14ac:dyDescent="0.25">
      <c r="A805">
        <f>TableSTRUHISB1[[#This Row],[Study Package Code]]</f>
        <v>0</v>
      </c>
      <c r="B805" s="5">
        <f>TableSTRUHISB1[[#This Row],[Ver]]</f>
        <v>0</v>
      </c>
      <c r="D805">
        <f>TableSTRUHISB1[[#This Row],[Structure Line]]</f>
        <v>0</v>
      </c>
      <c r="E805" s="81">
        <f>TableSTRUHISB1[[#This Row],[Credit Points]]</f>
        <v>0</v>
      </c>
      <c r="N805" s="125"/>
      <c r="O805" s="125"/>
      <c r="R805" t="s">
        <v>170</v>
      </c>
      <c r="S805">
        <v>1</v>
      </c>
    </row>
    <row r="806" spans="1:19" x14ac:dyDescent="0.25">
      <c r="A806">
        <f>TableSTRUHISB1[[#This Row],[Study Package Code]]</f>
        <v>0</v>
      </c>
      <c r="B806" s="5">
        <f>TableSTRUHISB1[[#This Row],[Ver]]</f>
        <v>0</v>
      </c>
      <c r="D806">
        <f>TableSTRUHISB1[[#This Row],[Structure Line]]</f>
        <v>0</v>
      </c>
      <c r="E806" s="81">
        <f>TableSTRUHISB1[[#This Row],[Credit Points]]</f>
        <v>0</v>
      </c>
      <c r="N806" s="125"/>
      <c r="O806" s="125"/>
      <c r="R806" t="s">
        <v>175</v>
      </c>
      <c r="S806">
        <v>1</v>
      </c>
    </row>
    <row r="807" spans="1:19" x14ac:dyDescent="0.25">
      <c r="A807">
        <f>TableSTRUHISB1[[#This Row],[Study Package Code]]</f>
        <v>0</v>
      </c>
      <c r="B807" s="5">
        <f>TableSTRUHISB1[[#This Row],[Ver]]</f>
        <v>0</v>
      </c>
      <c r="D807">
        <f>TableSTRUHISB1[[#This Row],[Structure Line]]</f>
        <v>0</v>
      </c>
      <c r="E807" s="81">
        <f>TableSTRUHISB1[[#This Row],[Credit Points]]</f>
        <v>0</v>
      </c>
      <c r="N807" s="125"/>
      <c r="O807" s="125"/>
      <c r="R807" t="s">
        <v>168</v>
      </c>
      <c r="S807">
        <v>1</v>
      </c>
    </row>
    <row r="808" spans="1:19" x14ac:dyDescent="0.25">
      <c r="A808">
        <f>TableSTRUHISB1[[#This Row],[Study Package Code]]</f>
        <v>0</v>
      </c>
      <c r="B808" s="5">
        <f>TableSTRUHISB1[[#This Row],[Ver]]</f>
        <v>0</v>
      </c>
      <c r="D808">
        <f>TableSTRUHISB1[[#This Row],[Structure Line]]</f>
        <v>0</v>
      </c>
      <c r="E808" s="81">
        <f>TableSTRUHISB1[[#This Row],[Credit Points]]</f>
        <v>0</v>
      </c>
      <c r="N808" s="125"/>
      <c r="O808" s="125"/>
      <c r="R808" t="s">
        <v>172</v>
      </c>
      <c r="S808">
        <v>1</v>
      </c>
    </row>
    <row r="809" spans="1:19" x14ac:dyDescent="0.25">
      <c r="A809">
        <f>TableSTRUHISB1[[#This Row],[Study Package Code]]</f>
        <v>0</v>
      </c>
      <c r="B809" s="5">
        <f>TableSTRUHISB1[[#This Row],[Ver]]</f>
        <v>0</v>
      </c>
      <c r="D809">
        <f>TableSTRUHISB1[[#This Row],[Structure Line]]</f>
        <v>0</v>
      </c>
      <c r="E809" s="81">
        <f>TableSTRUHISB1[[#This Row],[Credit Points]]</f>
        <v>0</v>
      </c>
      <c r="N809" s="125"/>
      <c r="O809" s="125"/>
      <c r="R809" t="s">
        <v>199</v>
      </c>
      <c r="S809">
        <v>1</v>
      </c>
    </row>
    <row r="810" spans="1:19" x14ac:dyDescent="0.25">
      <c r="A810">
        <f>TableSTRUHISB1[[#This Row],[Study Package Code]]</f>
        <v>0</v>
      </c>
      <c r="B810" s="5">
        <f>TableSTRUHISB1[[#This Row],[Ver]]</f>
        <v>0</v>
      </c>
      <c r="D810">
        <f>TableSTRUHISB1[[#This Row],[Structure Line]]</f>
        <v>0</v>
      </c>
      <c r="E810" s="81">
        <f>TableSTRUHISB1[[#This Row],[Credit Points]]</f>
        <v>0</v>
      </c>
      <c r="N810" s="125"/>
      <c r="O810" s="125"/>
      <c r="R810" t="s">
        <v>177</v>
      </c>
      <c r="S810">
        <v>1</v>
      </c>
    </row>
    <row r="811" spans="1:19" x14ac:dyDescent="0.25">
      <c r="A811">
        <f>TableSTRUHISB1[[#This Row],[Study Package Code]]</f>
        <v>0</v>
      </c>
      <c r="B811" s="5">
        <f>TableSTRUHISB1[[#This Row],[Ver]]</f>
        <v>0</v>
      </c>
      <c r="D811">
        <f>TableSTRUHISB1[[#This Row],[Structure Line]]</f>
        <v>0</v>
      </c>
      <c r="E811" s="81">
        <f>TableSTRUHISB1[[#This Row],[Credit Points]]</f>
        <v>0</v>
      </c>
      <c r="K811" s="126"/>
      <c r="L811" s="126"/>
      <c r="M811" s="126"/>
      <c r="N811" s="125"/>
      <c r="O811" s="125"/>
      <c r="R811" t="s">
        <v>183</v>
      </c>
      <c r="S811">
        <v>1</v>
      </c>
    </row>
    <row r="812" spans="1:19" x14ac:dyDescent="0.25">
      <c r="A812">
        <f>TableSTRUHISB1[[#This Row],[Study Package Code]]</f>
        <v>0</v>
      </c>
      <c r="B812" s="5">
        <f>TableSTRUHISB1[[#This Row],[Ver]]</f>
        <v>0</v>
      </c>
      <c r="D812">
        <f>TableSTRUHISB1[[#This Row],[Structure Line]]</f>
        <v>0</v>
      </c>
      <c r="E812" s="81">
        <f>TableSTRUHISB1[[#This Row],[Credit Points]]</f>
        <v>0</v>
      </c>
      <c r="N812" s="125"/>
      <c r="O812" s="125"/>
      <c r="R812" t="s">
        <v>181</v>
      </c>
      <c r="S812">
        <v>1</v>
      </c>
    </row>
    <row r="813" spans="1:19" x14ac:dyDescent="0.25">
      <c r="A813">
        <f>TableSTRUHISB1[[#This Row],[Study Package Code]]</f>
        <v>0</v>
      </c>
      <c r="B813" s="5">
        <f>TableSTRUHISB1[[#This Row],[Ver]]</f>
        <v>0</v>
      </c>
      <c r="D813">
        <f>TableSTRUHISB1[[#This Row],[Structure Line]]</f>
        <v>0</v>
      </c>
      <c r="E813" s="81">
        <f>TableSTRUHISB1[[#This Row],[Credit Points]]</f>
        <v>0</v>
      </c>
      <c r="N813" s="125"/>
      <c r="O813" s="125"/>
      <c r="R813" t="s">
        <v>179</v>
      </c>
      <c r="S813">
        <v>1</v>
      </c>
    </row>
    <row r="814" spans="1:19" x14ac:dyDescent="0.25">
      <c r="A814">
        <f>TableSTRUHISB1[[#This Row],[Study Package Code]]</f>
        <v>0</v>
      </c>
      <c r="B814" s="5">
        <f>TableSTRUHISB1[[#This Row],[Ver]]</f>
        <v>0</v>
      </c>
      <c r="D814">
        <f>TableSTRUHISB1[[#This Row],[Structure Line]]</f>
        <v>0</v>
      </c>
      <c r="E814" s="81">
        <f>TableSTRUHISB1[[#This Row],[Credit Points]]</f>
        <v>0</v>
      </c>
      <c r="N814" s="125"/>
      <c r="O814" s="125"/>
      <c r="R814" t="s">
        <v>171</v>
      </c>
      <c r="S814">
        <v>1</v>
      </c>
    </row>
    <row r="815" spans="1:19" x14ac:dyDescent="0.25">
      <c r="A815">
        <f>TableSTRUHISB1[[#This Row],[Study Package Code]]</f>
        <v>0</v>
      </c>
      <c r="B815" s="5">
        <f>TableSTRUHISB1[[#This Row],[Ver]]</f>
        <v>0</v>
      </c>
      <c r="D815">
        <f>TableSTRUHISB1[[#This Row],[Structure Line]]</f>
        <v>0</v>
      </c>
      <c r="E815" s="81">
        <f>TableSTRUHISB1[[#This Row],[Credit Points]]</f>
        <v>0</v>
      </c>
      <c r="N815" s="125"/>
      <c r="O815" s="125"/>
      <c r="R815" t="s">
        <v>178</v>
      </c>
      <c r="S815">
        <v>2</v>
      </c>
    </row>
    <row r="816" spans="1:19" x14ac:dyDescent="0.25">
      <c r="A816">
        <f>TableSTRUHISB1[[#This Row],[Study Package Code]]</f>
        <v>0</v>
      </c>
      <c r="B816" s="5">
        <f>TableSTRUHISB1[[#This Row],[Ver]]</f>
        <v>0</v>
      </c>
      <c r="D816">
        <f>TableSTRUHISB1[[#This Row],[Structure Line]]</f>
        <v>0</v>
      </c>
      <c r="E816" s="81">
        <f>TableSTRUHISB1[[#This Row],[Credit Points]]</f>
        <v>0</v>
      </c>
      <c r="N816" s="125"/>
      <c r="O816" s="125"/>
      <c r="R816" t="s">
        <v>185</v>
      </c>
      <c r="S816">
        <v>1</v>
      </c>
    </row>
    <row r="817" spans="1:19" x14ac:dyDescent="0.25">
      <c r="A817">
        <f>TableSTRUHISB1[[#This Row],[Study Package Code]]</f>
        <v>0</v>
      </c>
      <c r="B817" s="5">
        <f>TableSTRUHISB1[[#This Row],[Ver]]</f>
        <v>0</v>
      </c>
      <c r="D817">
        <f>TableSTRUHISB1[[#This Row],[Structure Line]]</f>
        <v>0</v>
      </c>
      <c r="E817" s="81">
        <f>TableSTRUHISB1[[#This Row],[Credit Points]]</f>
        <v>0</v>
      </c>
      <c r="N817" s="125"/>
      <c r="O817" s="125"/>
      <c r="R817" t="s">
        <v>129</v>
      </c>
      <c r="S817">
        <v>1</v>
      </c>
    </row>
    <row r="818" spans="1:19" x14ac:dyDescent="0.25">
      <c r="A818" s="78"/>
      <c r="B818" s="80"/>
      <c r="C818" s="78"/>
      <c r="G818" s="79" t="s">
        <v>1194</v>
      </c>
      <c r="H818" s="272">
        <v>45658</v>
      </c>
      <c r="J818" s="274" t="s">
        <v>355</v>
      </c>
      <c r="K818" s="273" t="s">
        <v>100</v>
      </c>
      <c r="L818" s="274" t="s">
        <v>445</v>
      </c>
      <c r="M818" s="78"/>
      <c r="N818" s="198" t="s">
        <v>1195</v>
      </c>
      <c r="O818" s="125">
        <v>45544</v>
      </c>
    </row>
    <row r="819" spans="1:19" ht="31.5" x14ac:dyDescent="0.25">
      <c r="A819" s="97" t="s">
        <v>0</v>
      </c>
      <c r="B819" s="98" t="s">
        <v>1196</v>
      </c>
      <c r="C819" s="97" t="s">
        <v>1197</v>
      </c>
      <c r="D819" s="97" t="s">
        <v>3</v>
      </c>
      <c r="E819" s="99" t="s">
        <v>1198</v>
      </c>
      <c r="F819" s="97" t="s">
        <v>1199</v>
      </c>
      <c r="G819" s="97" t="s">
        <v>1200</v>
      </c>
      <c r="H819" s="97" t="s">
        <v>1201</v>
      </c>
      <c r="I819" s="97" t="s">
        <v>18</v>
      </c>
      <c r="J819" s="97" t="s">
        <v>1202</v>
      </c>
      <c r="K819" s="97" t="s">
        <v>1</v>
      </c>
      <c r="L819" s="97" t="s">
        <v>1203</v>
      </c>
      <c r="M819" s="97" t="s">
        <v>69</v>
      </c>
      <c r="N819" s="97" t="s">
        <v>1204</v>
      </c>
      <c r="O819" s="97" t="s">
        <v>1205</v>
      </c>
      <c r="R819" t="s">
        <v>1206</v>
      </c>
      <c r="S819" t="s">
        <v>1207</v>
      </c>
    </row>
    <row r="820" spans="1:19" x14ac:dyDescent="0.25">
      <c r="A820" t="str">
        <f>TableSTRUHISTM[[#This Row],[Study Package Code]]</f>
        <v>ANTH1001</v>
      </c>
      <c r="B820" s="5">
        <f>TableSTRUHISTM[[#This Row],[Ver]]</f>
        <v>0</v>
      </c>
      <c r="D820" t="str">
        <f>TableSTRUHISTM[[#This Row],[Structure Line]]</f>
        <v>Society and Culture in a Globalising World</v>
      </c>
      <c r="E820" s="81">
        <f>TableSTRUHISTM[[#This Row],[Credit Points]]</f>
        <v>25</v>
      </c>
      <c r="F820">
        <v>1</v>
      </c>
      <c r="G820" t="s">
        <v>1208</v>
      </c>
      <c r="H820">
        <v>1</v>
      </c>
      <c r="I820" t="s">
        <v>1212</v>
      </c>
      <c r="J820" t="s">
        <v>454</v>
      </c>
      <c r="K820" s="122">
        <v>0</v>
      </c>
      <c r="L820" t="s">
        <v>819</v>
      </c>
      <c r="M820">
        <v>25</v>
      </c>
      <c r="N820" s="125">
        <v>42736</v>
      </c>
      <c r="O820" s="125"/>
    </row>
    <row r="821" spans="1:19" x14ac:dyDescent="0.25">
      <c r="A821" t="str">
        <f>TableSTRUHISTM[[#This Row],[Study Package Code]]</f>
        <v>HIST1000</v>
      </c>
      <c r="B821" s="5">
        <f>TableSTRUHISTM[[#This Row],[Ver]]</f>
        <v>0</v>
      </c>
      <c r="D821" t="str">
        <f>TableSTRUHISTM[[#This Row],[Structure Line]]</f>
        <v>Legacies of Empire</v>
      </c>
      <c r="E821" s="81">
        <f>TableSTRUHISTM[[#This Row],[Credit Points]]</f>
        <v>25</v>
      </c>
      <c r="F821">
        <v>2</v>
      </c>
      <c r="G821" t="s">
        <v>1208</v>
      </c>
      <c r="H821">
        <v>2</v>
      </c>
      <c r="I821" t="s">
        <v>1209</v>
      </c>
      <c r="J821" t="s">
        <v>474</v>
      </c>
      <c r="K821" s="122">
        <v>0</v>
      </c>
      <c r="L821" t="s">
        <v>1015</v>
      </c>
      <c r="M821">
        <v>25</v>
      </c>
      <c r="N821" s="125">
        <v>45658</v>
      </c>
      <c r="O821" s="125"/>
    </row>
    <row r="822" spans="1:19" x14ac:dyDescent="0.25">
      <c r="A822" t="str">
        <f>TableSTRUHISTM[[#This Row],[Study Package Code]]</f>
        <v>HIST2000</v>
      </c>
      <c r="B822" s="5">
        <f>TableSTRUHISTM[[#This Row],[Ver]]</f>
        <v>0</v>
      </c>
      <c r="D822" t="str">
        <f>TableSTRUHISTM[[#This Row],[Structure Line]]</f>
        <v>Social Change in Contemporary Australian History</v>
      </c>
      <c r="E822" s="81">
        <f>TableSTRUHISTM[[#This Row],[Credit Points]]</f>
        <v>25</v>
      </c>
      <c r="F822">
        <v>3</v>
      </c>
      <c r="G822" t="s">
        <v>1208</v>
      </c>
      <c r="H822">
        <v>2</v>
      </c>
      <c r="I822" t="s">
        <v>1212</v>
      </c>
      <c r="J822" t="s">
        <v>569</v>
      </c>
      <c r="K822" s="122">
        <v>0</v>
      </c>
      <c r="L822" s="122" t="s">
        <v>1273</v>
      </c>
      <c r="M822">
        <v>25</v>
      </c>
      <c r="N822" s="125">
        <v>44562</v>
      </c>
      <c r="O822" s="125"/>
    </row>
    <row r="823" spans="1:19" x14ac:dyDescent="0.25">
      <c r="A823" t="str">
        <f>TableSTRUHISTM[[#This Row],[Study Package Code]]</f>
        <v>EDSC4024</v>
      </c>
      <c r="B823" s="5">
        <f>TableSTRUHISTM[[#This Row],[Ver]]</f>
        <v>0</v>
      </c>
      <c r="D823" t="str">
        <f>TableSTRUHISTM[[#This Row],[Structure Line]]</f>
        <v>Curriculum and Instruction Lower Secondary: Humanities and Social Sciences</v>
      </c>
      <c r="E823" s="81">
        <f>TableSTRUHISTM[[#This Row],[Credit Points]]</f>
        <v>25</v>
      </c>
      <c r="F823">
        <v>4</v>
      </c>
      <c r="G823" t="s">
        <v>1208</v>
      </c>
      <c r="H823">
        <v>3</v>
      </c>
      <c r="I823" t="s">
        <v>1209</v>
      </c>
      <c r="J823" t="s">
        <v>465</v>
      </c>
      <c r="K823" s="122">
        <v>0</v>
      </c>
      <c r="L823" t="s">
        <v>948</v>
      </c>
      <c r="M823">
        <v>25</v>
      </c>
      <c r="N823" s="125">
        <v>43466</v>
      </c>
      <c r="O823" s="125"/>
    </row>
    <row r="824" spans="1:19" x14ac:dyDescent="0.25">
      <c r="A824" t="str">
        <f>TableSTRUHISTM[[#This Row],[Study Package Code]]</f>
        <v>HIST2001</v>
      </c>
      <c r="B824" s="5">
        <f>TableSTRUHISTM[[#This Row],[Ver]]</f>
        <v>0</v>
      </c>
      <c r="D824" t="str">
        <f>TableSTRUHISTM[[#This Row],[Structure Line]]</f>
        <v>Democracy and Dictatorship</v>
      </c>
      <c r="E824" s="81">
        <f>TableSTRUHISTM[[#This Row],[Credit Points]]</f>
        <v>25</v>
      </c>
      <c r="F824">
        <v>5</v>
      </c>
      <c r="G824" t="s">
        <v>1208</v>
      </c>
      <c r="H824">
        <v>3</v>
      </c>
      <c r="I824" t="s">
        <v>1209</v>
      </c>
      <c r="J824" t="s">
        <v>595</v>
      </c>
      <c r="K824" s="122">
        <v>0</v>
      </c>
      <c r="L824" t="s">
        <v>1017</v>
      </c>
      <c r="M824">
        <v>25</v>
      </c>
      <c r="N824" s="125">
        <v>45658</v>
      </c>
      <c r="O824" s="125"/>
    </row>
    <row r="825" spans="1:19" x14ac:dyDescent="0.25">
      <c r="A825" t="str">
        <f>TableSTRUHISTM[[#This Row],[Study Package Code]]</f>
        <v>EDSC4026</v>
      </c>
      <c r="B825" s="5">
        <f>TableSTRUHISTM[[#This Row],[Ver]]</f>
        <v>0</v>
      </c>
      <c r="D825" t="str">
        <f>TableSTRUHISTM[[#This Row],[Structure Line]]</f>
        <v>Curriculum and Instruction Senior Secondary: Humanities and Social Sciences</v>
      </c>
      <c r="E825" s="81">
        <f>TableSTRUHISTM[[#This Row],[Credit Points]]</f>
        <v>25</v>
      </c>
      <c r="F825">
        <v>6</v>
      </c>
      <c r="G825" t="s">
        <v>1208</v>
      </c>
      <c r="H825">
        <v>3</v>
      </c>
      <c r="I825" t="s">
        <v>1212</v>
      </c>
      <c r="J825" t="s">
        <v>486</v>
      </c>
      <c r="K825" s="122">
        <v>0</v>
      </c>
      <c r="L825" t="s">
        <v>950</v>
      </c>
      <c r="M825">
        <v>25</v>
      </c>
      <c r="N825" s="125">
        <v>43831</v>
      </c>
      <c r="O825" s="125"/>
    </row>
    <row r="826" spans="1:19" x14ac:dyDescent="0.25">
      <c r="A826" s="78"/>
      <c r="B826" s="80"/>
      <c r="C826" s="78"/>
      <c r="G826" s="79" t="s">
        <v>1194</v>
      </c>
      <c r="H826" s="272">
        <v>45658</v>
      </c>
      <c r="J826" s="274" t="s">
        <v>367</v>
      </c>
      <c r="K826" s="273" t="s">
        <v>100</v>
      </c>
      <c r="L826" s="274" t="s">
        <v>208</v>
      </c>
      <c r="M826" s="78"/>
      <c r="N826" s="198" t="s">
        <v>1195</v>
      </c>
      <c r="O826" s="125">
        <v>45544</v>
      </c>
    </row>
    <row r="827" spans="1:19" ht="31.5" x14ac:dyDescent="0.25">
      <c r="A827" s="97" t="s">
        <v>0</v>
      </c>
      <c r="B827" s="98" t="s">
        <v>1196</v>
      </c>
      <c r="C827" s="97" t="s">
        <v>1197</v>
      </c>
      <c r="D827" s="97" t="s">
        <v>3</v>
      </c>
      <c r="E827" s="99" t="s">
        <v>1198</v>
      </c>
      <c r="F827" s="97" t="s">
        <v>1199</v>
      </c>
      <c r="G827" s="97" t="s">
        <v>1200</v>
      </c>
      <c r="H827" s="97" t="s">
        <v>1201</v>
      </c>
      <c r="I827" s="97" t="s">
        <v>18</v>
      </c>
      <c r="J827" s="97" t="s">
        <v>1202</v>
      </c>
      <c r="K827" s="97" t="s">
        <v>1</v>
      </c>
      <c r="L827" s="97" t="s">
        <v>1203</v>
      </c>
      <c r="M827" s="97" t="s">
        <v>69</v>
      </c>
      <c r="N827" s="97" t="s">
        <v>1204</v>
      </c>
      <c r="O827" s="97" t="s">
        <v>1205</v>
      </c>
      <c r="R827" t="s">
        <v>1206</v>
      </c>
      <c r="S827" t="s">
        <v>1207</v>
      </c>
    </row>
    <row r="828" spans="1:19" x14ac:dyDescent="0.25">
      <c r="A828" t="str">
        <f>TableSTRUHPEB1[[#This Row],[Study Package Code]]</f>
        <v>Opt-HPEB1</v>
      </c>
      <c r="B828" s="5">
        <f>TableSTRUHPEB1[[#This Row],[Ver]]</f>
        <v>0</v>
      </c>
      <c r="D828" t="str">
        <f>TableSTRUHPEB1[[#This Row],[Structure Line]]</f>
        <v>Choose an Option</v>
      </c>
      <c r="E828" s="81">
        <f>TableSTRUHPEB1[[#This Row],[Credit Points]]</f>
        <v>25</v>
      </c>
      <c r="F828">
        <v>1</v>
      </c>
      <c r="G828" t="s">
        <v>140</v>
      </c>
      <c r="H828">
        <v>0</v>
      </c>
      <c r="I828" t="s">
        <v>1221</v>
      </c>
      <c r="J828" t="s">
        <v>731</v>
      </c>
      <c r="K828" s="122">
        <v>0</v>
      </c>
      <c r="L828" t="s">
        <v>1219</v>
      </c>
      <c r="M828">
        <v>25</v>
      </c>
      <c r="N828" s="125"/>
      <c r="O828" s="125"/>
    </row>
    <row r="829" spans="1:19" x14ac:dyDescent="0.25">
      <c r="A829" t="str">
        <f>TableSTRUHPEB1[[#This Row],[Study Package Code]]</f>
        <v>HUMB1002</v>
      </c>
      <c r="B829" s="5">
        <f>TableSTRUHPEB1[[#This Row],[Ver]]</f>
        <v>0</v>
      </c>
      <c r="D829" t="str">
        <f>TableSTRUHPEB1[[#This Row],[Structure Line]]</f>
        <v>Functional Anatomy</v>
      </c>
      <c r="E829" s="81">
        <f>TableSTRUHPEB1[[#This Row],[Credit Points]]</f>
        <v>25</v>
      </c>
      <c r="F829">
        <v>2</v>
      </c>
      <c r="G829" t="s">
        <v>1208</v>
      </c>
      <c r="H829">
        <v>1</v>
      </c>
      <c r="I829" t="s">
        <v>1212</v>
      </c>
      <c r="J829" t="s">
        <v>696</v>
      </c>
      <c r="K829" s="122">
        <v>0</v>
      </c>
      <c r="L829" t="s">
        <v>1025</v>
      </c>
      <c r="M829">
        <v>25</v>
      </c>
      <c r="N829" s="125">
        <v>42005</v>
      </c>
      <c r="O829" s="125"/>
    </row>
    <row r="830" spans="1:19" x14ac:dyDescent="0.25">
      <c r="A830" t="str">
        <f>TableSTRUHPEB1[[#This Row],[Study Package Code]]</f>
        <v>HUMB2006</v>
      </c>
      <c r="B830" s="5">
        <f>TableSTRUHPEB1[[#This Row],[Ver]]</f>
        <v>0</v>
      </c>
      <c r="D830" t="str">
        <f>TableSTRUHPEB1[[#This Row],[Structure Line]]</f>
        <v>Exercise Physiology</v>
      </c>
      <c r="E830" s="81">
        <f>TableSTRUHPEB1[[#This Row],[Credit Points]]</f>
        <v>25</v>
      </c>
      <c r="F830">
        <v>3</v>
      </c>
      <c r="G830" t="s">
        <v>1208</v>
      </c>
      <c r="H830">
        <v>2</v>
      </c>
      <c r="I830" t="s">
        <v>1209</v>
      </c>
      <c r="J830" t="s">
        <v>707</v>
      </c>
      <c r="K830" s="122">
        <v>0</v>
      </c>
      <c r="L830" t="s">
        <v>1028</v>
      </c>
      <c r="M830">
        <v>25</v>
      </c>
      <c r="N830" s="125">
        <v>42005</v>
      </c>
      <c r="O830" s="125"/>
    </row>
    <row r="831" spans="1:19" x14ac:dyDescent="0.25">
      <c r="A831" t="str">
        <f>TableSTRUHPEB1[[#This Row],[Study Package Code]]</f>
        <v>PUBH1000</v>
      </c>
      <c r="B831" s="5">
        <f>TableSTRUHPEB1[[#This Row],[Ver]]</f>
        <v>0</v>
      </c>
      <c r="D831" t="str">
        <f>TableSTRUHPEB1[[#This Row],[Structure Line]]</f>
        <v>Introduction to Public Health</v>
      </c>
      <c r="E831" s="81">
        <f>TableSTRUHPEB1[[#This Row],[Credit Points]]</f>
        <v>25</v>
      </c>
      <c r="F831">
        <v>4</v>
      </c>
      <c r="G831" t="s">
        <v>1208</v>
      </c>
      <c r="H831">
        <v>2</v>
      </c>
      <c r="I831" t="s">
        <v>1212</v>
      </c>
      <c r="J831" t="s">
        <v>713</v>
      </c>
      <c r="K831" s="122">
        <v>0</v>
      </c>
      <c r="L831" t="s">
        <v>1124</v>
      </c>
      <c r="M831">
        <v>25</v>
      </c>
      <c r="N831" s="125">
        <v>42005</v>
      </c>
      <c r="O831" s="125"/>
    </row>
    <row r="832" spans="1:19" x14ac:dyDescent="0.25">
      <c r="A832" t="str">
        <f>TableSTRUHPEB1[[#This Row],[Study Package Code]]</f>
        <v>EDUC4012</v>
      </c>
      <c r="B832" s="5">
        <f>TableSTRUHPEB1[[#This Row],[Ver]]</f>
        <v>0</v>
      </c>
      <c r="D832" t="str">
        <f>TableSTRUHPEB1[[#This Row],[Structure Line]]</f>
        <v>Relationships and Sexuality Education</v>
      </c>
      <c r="E832" s="81">
        <f>TableSTRUHPEB1[[#This Row],[Credit Points]]</f>
        <v>25</v>
      </c>
      <c r="F832">
        <v>5</v>
      </c>
      <c r="G832" t="s">
        <v>1208</v>
      </c>
      <c r="H832">
        <v>3</v>
      </c>
      <c r="I832" t="s">
        <v>1209</v>
      </c>
      <c r="J832" t="s">
        <v>194</v>
      </c>
      <c r="K832" s="122">
        <v>0</v>
      </c>
      <c r="L832" t="s">
        <v>975</v>
      </c>
      <c r="M832">
        <v>25</v>
      </c>
      <c r="N832" s="125">
        <v>44927</v>
      </c>
      <c r="O832" s="125"/>
    </row>
    <row r="833" spans="1:15" x14ac:dyDescent="0.25">
      <c r="A833" t="str">
        <f>TableSTRUHPEB1[[#This Row],[Study Package Code]]</f>
        <v>HLPR2003</v>
      </c>
      <c r="B833" s="5">
        <f>TableSTRUHPEB1[[#This Row],[Ver]]</f>
        <v>0</v>
      </c>
      <c r="D833" t="str">
        <f>TableSTRUHPEB1[[#This Row],[Structure Line]]</f>
        <v>Promoting Mental Health and Social Inclusion</v>
      </c>
      <c r="E833" s="81">
        <f>TableSTRUHPEB1[[#This Row],[Credit Points]]</f>
        <v>25</v>
      </c>
      <c r="F833">
        <v>6</v>
      </c>
      <c r="G833" t="s">
        <v>1208</v>
      </c>
      <c r="H833">
        <v>3</v>
      </c>
      <c r="I833" t="s">
        <v>1212</v>
      </c>
      <c r="J833" t="s">
        <v>741</v>
      </c>
      <c r="K833" s="122">
        <v>0</v>
      </c>
      <c r="L833" t="s">
        <v>1022</v>
      </c>
      <c r="M833">
        <v>25</v>
      </c>
      <c r="N833" s="125">
        <v>42005</v>
      </c>
      <c r="O833" s="125"/>
    </row>
    <row r="834" spans="1:15" x14ac:dyDescent="0.25">
      <c r="A834" t="str">
        <f>TableSTRUHPEB1[[#This Row],[Study Package Code]]</f>
        <v>CTED4001</v>
      </c>
      <c r="B834" s="5">
        <f>TableSTRUHPEB1[[#This Row],[Ver]]</f>
        <v>0</v>
      </c>
      <c r="D834" t="str">
        <f>TableSTRUHPEB1[[#This Row],[Structure Line]]</f>
        <v>Teaching About Sacraments in Catholic Schools</v>
      </c>
      <c r="E834" s="81">
        <f>TableSTRUHPEB1[[#This Row],[Credit Points]]</f>
        <v>25</v>
      </c>
      <c r="F834">
        <v>1</v>
      </c>
      <c r="G834" t="s">
        <v>140</v>
      </c>
      <c r="H834">
        <v>0</v>
      </c>
      <c r="I834" t="s">
        <v>1221</v>
      </c>
      <c r="J834" t="s">
        <v>174</v>
      </c>
      <c r="K834" s="122">
        <v>0</v>
      </c>
      <c r="L834" t="s">
        <v>858</v>
      </c>
      <c r="M834">
        <v>25</v>
      </c>
      <c r="N834" s="125">
        <v>45292</v>
      </c>
      <c r="O834" s="125"/>
    </row>
    <row r="835" spans="1:15" x14ac:dyDescent="0.25">
      <c r="A835" t="str">
        <f>TableSTRUHPEB1[[#This Row],[Study Package Code]]</f>
        <v>CTED4006</v>
      </c>
      <c r="B835" s="5">
        <f>TableSTRUHPEB1[[#This Row],[Ver]]</f>
        <v>0</v>
      </c>
      <c r="D835" t="str">
        <f>TableSTRUHPEB1[[#This Row],[Structure Line]]</f>
        <v>Teaching About Jesus in Catholic Schools</v>
      </c>
      <c r="E835" s="81">
        <f>TableSTRUHPEB1[[#This Row],[Credit Points]]</f>
        <v>25</v>
      </c>
      <c r="F835">
        <v>1</v>
      </c>
      <c r="G835" t="s">
        <v>140</v>
      </c>
      <c r="H835">
        <v>0</v>
      </c>
      <c r="I835" t="s">
        <v>1221</v>
      </c>
      <c r="J835" t="s">
        <v>167</v>
      </c>
      <c r="K835" s="122">
        <v>0</v>
      </c>
      <c r="L835" t="s">
        <v>859</v>
      </c>
      <c r="M835">
        <v>25</v>
      </c>
      <c r="N835" s="125">
        <v>45292</v>
      </c>
      <c r="O835" s="125"/>
    </row>
    <row r="836" spans="1:15" x14ac:dyDescent="0.25">
      <c r="A836" t="str">
        <f>TableSTRUHPEB1[[#This Row],[Study Package Code]]</f>
        <v>CTED4008</v>
      </c>
      <c r="B836" s="5">
        <f>TableSTRUHPEB1[[#This Row],[Ver]]</f>
        <v>0</v>
      </c>
      <c r="D836" t="str">
        <f>TableSTRUHPEB1[[#This Row],[Structure Line]]</f>
        <v>Teaching About the Gospels in Catholic Schools</v>
      </c>
      <c r="E836" s="81">
        <f>TableSTRUHPEB1[[#This Row],[Credit Points]]</f>
        <v>25</v>
      </c>
      <c r="F836">
        <v>1</v>
      </c>
      <c r="G836" t="s">
        <v>140</v>
      </c>
      <c r="H836">
        <v>0</v>
      </c>
      <c r="I836" t="s">
        <v>1221</v>
      </c>
      <c r="J836" t="s">
        <v>180</v>
      </c>
      <c r="K836" s="122">
        <v>0</v>
      </c>
      <c r="L836" t="s">
        <v>860</v>
      </c>
      <c r="M836">
        <v>25</v>
      </c>
      <c r="N836" s="125">
        <v>45292</v>
      </c>
      <c r="O836" s="125"/>
    </row>
    <row r="837" spans="1:15" x14ac:dyDescent="0.25">
      <c r="A837" t="str">
        <f>TableSTRUHPEB1[[#This Row],[Study Package Code]]</f>
        <v>EDUC4014</v>
      </c>
      <c r="B837" s="5">
        <f>TableSTRUHPEB1[[#This Row],[Ver]]</f>
        <v>0</v>
      </c>
      <c r="D837" t="str">
        <f>TableSTRUHPEB1[[#This Row],[Structure Line]]</f>
        <v>Diverse Abilities and Curriculum Differentiation</v>
      </c>
      <c r="E837" s="81">
        <f>TableSTRUHPEB1[[#This Row],[Credit Points]]</f>
        <v>25</v>
      </c>
      <c r="F837">
        <v>1</v>
      </c>
      <c r="G837" t="s">
        <v>140</v>
      </c>
      <c r="H837">
        <v>0</v>
      </c>
      <c r="I837" t="s">
        <v>1221</v>
      </c>
      <c r="J837" t="s">
        <v>195</v>
      </c>
      <c r="K837" s="122">
        <v>0</v>
      </c>
      <c r="L837" t="s">
        <v>976</v>
      </c>
      <c r="M837">
        <v>25</v>
      </c>
      <c r="N837" s="125">
        <v>42005</v>
      </c>
      <c r="O837" s="125"/>
    </row>
    <row r="838" spans="1:15" x14ac:dyDescent="0.25">
      <c r="A838" t="str">
        <f>TableSTRUHPEB1[[#This Row],[Study Package Code]]</f>
        <v>EDUC4020</v>
      </c>
      <c r="B838" s="5">
        <f>TableSTRUHPEB1[[#This Row],[Ver]]</f>
        <v>0</v>
      </c>
      <c r="D838" t="str">
        <f>TableSTRUHPEB1[[#This Row],[Structure Line]]</f>
        <v>Supporting Literacy and Numeracy Development for Diverse Learners</v>
      </c>
      <c r="E838" s="81">
        <f>TableSTRUHPEB1[[#This Row],[Credit Points]]</f>
        <v>25</v>
      </c>
      <c r="F838">
        <v>1</v>
      </c>
      <c r="G838" t="s">
        <v>140</v>
      </c>
      <c r="H838">
        <v>0</v>
      </c>
      <c r="I838" t="s">
        <v>1221</v>
      </c>
      <c r="J838" t="s">
        <v>184</v>
      </c>
      <c r="K838" s="122">
        <v>0</v>
      </c>
      <c r="L838" t="s">
        <v>977</v>
      </c>
      <c r="M838">
        <v>25</v>
      </c>
      <c r="N838" s="125">
        <v>43282</v>
      </c>
      <c r="O838" s="125"/>
    </row>
    <row r="839" spans="1:15" x14ac:dyDescent="0.25">
      <c r="A839" t="str">
        <f>TableSTRUHPEB1[[#This Row],[Study Package Code]]</f>
        <v>EDUC4021</v>
      </c>
      <c r="B839" s="5">
        <f>TableSTRUHPEB1[[#This Row],[Ver]]</f>
        <v>0</v>
      </c>
      <c r="D839" t="str">
        <f>TableSTRUHPEB1[[#This Row],[Structure Line]]</f>
        <v>Project-based iSTEM Education</v>
      </c>
      <c r="E839" s="81">
        <f>TableSTRUHPEB1[[#This Row],[Credit Points]]</f>
        <v>25</v>
      </c>
      <c r="F839">
        <v>1</v>
      </c>
      <c r="G839" t="s">
        <v>140</v>
      </c>
      <c r="H839">
        <v>0</v>
      </c>
      <c r="I839" t="s">
        <v>1221</v>
      </c>
      <c r="J839" t="s">
        <v>170</v>
      </c>
      <c r="K839" s="122">
        <v>0</v>
      </c>
      <c r="L839" t="s">
        <v>978</v>
      </c>
      <c r="M839">
        <v>25</v>
      </c>
      <c r="N839" s="125">
        <v>43282</v>
      </c>
      <c r="O839" s="125"/>
    </row>
    <row r="840" spans="1:15" x14ac:dyDescent="0.25">
      <c r="A840" t="str">
        <f>TableSTRUHPEB1[[#This Row],[Study Package Code]]</f>
        <v>EDUC4022</v>
      </c>
      <c r="B840" s="5">
        <f>TableSTRUHPEB1[[#This Row],[Ver]]</f>
        <v>0</v>
      </c>
      <c r="D840" t="str">
        <f>TableSTRUHPEB1[[#This Row],[Structure Line]]</f>
        <v>Creative Literacies</v>
      </c>
      <c r="E840" s="81">
        <f>TableSTRUHPEB1[[#This Row],[Credit Points]]</f>
        <v>25</v>
      </c>
      <c r="F840">
        <v>1</v>
      </c>
      <c r="G840" t="s">
        <v>140</v>
      </c>
      <c r="H840">
        <v>0</v>
      </c>
      <c r="I840" t="s">
        <v>1221</v>
      </c>
      <c r="J840" t="s">
        <v>175</v>
      </c>
      <c r="K840" s="122">
        <v>0</v>
      </c>
      <c r="L840" t="s">
        <v>979</v>
      </c>
      <c r="M840">
        <v>25</v>
      </c>
      <c r="N840" s="125">
        <v>43282</v>
      </c>
      <c r="O840" s="125"/>
    </row>
    <row r="841" spans="1:15" x14ac:dyDescent="0.25">
      <c r="A841" t="str">
        <f>TableSTRUHPEB1[[#This Row],[Study Package Code]]</f>
        <v>EDUC4023</v>
      </c>
      <c r="B841" s="5">
        <f>TableSTRUHPEB1[[#This Row],[Ver]]</f>
        <v>0</v>
      </c>
      <c r="D841" t="str">
        <f>TableSTRUHPEB1[[#This Row],[Structure Line]]</f>
        <v>Creating and Responding to Literature</v>
      </c>
      <c r="E841" s="81">
        <f>TableSTRUHPEB1[[#This Row],[Credit Points]]</f>
        <v>25</v>
      </c>
      <c r="F841">
        <v>1</v>
      </c>
      <c r="G841" t="s">
        <v>140</v>
      </c>
      <c r="H841">
        <v>0</v>
      </c>
      <c r="I841" t="s">
        <v>1221</v>
      </c>
      <c r="J841" t="s">
        <v>168</v>
      </c>
      <c r="K841" s="122">
        <v>0</v>
      </c>
      <c r="L841" t="s">
        <v>980</v>
      </c>
      <c r="M841">
        <v>25</v>
      </c>
      <c r="N841" s="125">
        <v>43282</v>
      </c>
      <c r="O841" s="125"/>
    </row>
    <row r="842" spans="1:15" x14ac:dyDescent="0.25">
      <c r="A842" t="str">
        <f>TableSTRUHPEB1[[#This Row],[Study Package Code]]</f>
        <v>EDUC4029</v>
      </c>
      <c r="B842" s="5">
        <f>TableSTRUHPEB1[[#This Row],[Ver]]</f>
        <v>0</v>
      </c>
      <c r="D842" t="str">
        <f>TableSTRUHPEB1[[#This Row],[Structure Line]]</f>
        <v>Technologies: Coding for Teachers</v>
      </c>
      <c r="E842" s="81">
        <f>TableSTRUHPEB1[[#This Row],[Credit Points]]</f>
        <v>25</v>
      </c>
      <c r="F842">
        <v>1</v>
      </c>
      <c r="G842" t="s">
        <v>140</v>
      </c>
      <c r="H842">
        <v>0</v>
      </c>
      <c r="I842" t="s">
        <v>1221</v>
      </c>
      <c r="J842" t="s">
        <v>172</v>
      </c>
      <c r="K842" s="122">
        <v>0</v>
      </c>
      <c r="L842" t="s">
        <v>981</v>
      </c>
      <c r="M842">
        <v>25</v>
      </c>
      <c r="N842" s="125">
        <v>43282</v>
      </c>
      <c r="O842" s="125"/>
    </row>
    <row r="843" spans="1:15" x14ac:dyDescent="0.25">
      <c r="A843" t="str">
        <f>TableSTRUHPEB1[[#This Row],[Study Package Code]]</f>
        <v>EDUC4032</v>
      </c>
      <c r="B843" s="5">
        <f>TableSTRUHPEB1[[#This Row],[Ver]]</f>
        <v>0</v>
      </c>
      <c r="D843" t="str">
        <f>TableSTRUHPEB1[[#This Row],[Structure Line]]</f>
        <v>iSTEM Education through Digital Stories</v>
      </c>
      <c r="E843" s="81">
        <f>TableSTRUHPEB1[[#This Row],[Credit Points]]</f>
        <v>25</v>
      </c>
      <c r="F843">
        <v>1</v>
      </c>
      <c r="G843" t="s">
        <v>140</v>
      </c>
      <c r="H843">
        <v>0</v>
      </c>
      <c r="I843" t="s">
        <v>1221</v>
      </c>
      <c r="J843" t="s">
        <v>177</v>
      </c>
      <c r="K843" s="122">
        <v>0</v>
      </c>
      <c r="L843" t="s">
        <v>982</v>
      </c>
      <c r="M843">
        <v>25</v>
      </c>
      <c r="N843" s="125">
        <v>43466</v>
      </c>
      <c r="O843" s="125"/>
    </row>
    <row r="844" spans="1:15" x14ac:dyDescent="0.25">
      <c r="A844" t="str">
        <f>TableSTRUHPEB1[[#This Row],[Study Package Code]]</f>
        <v>EDUC4034</v>
      </c>
      <c r="B844" s="5">
        <f>TableSTRUHPEB1[[#This Row],[Ver]]</f>
        <v>0</v>
      </c>
      <c r="D844" t="str">
        <f>TableSTRUHPEB1[[#This Row],[Structure Line]]</f>
        <v>iSTEM: Social Issues</v>
      </c>
      <c r="E844" s="81">
        <f>TableSTRUHPEB1[[#This Row],[Credit Points]]</f>
        <v>25</v>
      </c>
      <c r="F844">
        <v>1</v>
      </c>
      <c r="G844" t="s">
        <v>140</v>
      </c>
      <c r="H844">
        <v>0</v>
      </c>
      <c r="I844" t="s">
        <v>1221</v>
      </c>
      <c r="J844" t="s">
        <v>183</v>
      </c>
      <c r="K844" s="122">
        <v>0</v>
      </c>
      <c r="L844" t="s">
        <v>983</v>
      </c>
      <c r="M844">
        <v>25</v>
      </c>
      <c r="N844" s="125">
        <v>43466</v>
      </c>
      <c r="O844" s="125"/>
    </row>
    <row r="845" spans="1:15" x14ac:dyDescent="0.25">
      <c r="A845" t="str">
        <f>TableSTRUHPEB1[[#This Row],[Study Package Code]]</f>
        <v>EDUC4036</v>
      </c>
      <c r="B845" s="5">
        <f>TableSTRUHPEB1[[#This Row],[Ver]]</f>
        <v>0</v>
      </c>
      <c r="D845" t="str">
        <f>TableSTRUHPEB1[[#This Row],[Structure Line]]</f>
        <v>Language and Diversity</v>
      </c>
      <c r="E845" s="81">
        <f>TableSTRUHPEB1[[#This Row],[Credit Points]]</f>
        <v>25</v>
      </c>
      <c r="F845">
        <v>1</v>
      </c>
      <c r="G845" t="s">
        <v>140</v>
      </c>
      <c r="H845">
        <v>0</v>
      </c>
      <c r="I845" t="s">
        <v>1221</v>
      </c>
      <c r="J845" t="s">
        <v>181</v>
      </c>
      <c r="K845" s="122">
        <v>0</v>
      </c>
      <c r="L845" t="s">
        <v>984</v>
      </c>
      <c r="M845">
        <v>25</v>
      </c>
      <c r="N845" s="125">
        <v>43466</v>
      </c>
      <c r="O845" s="125"/>
    </row>
    <row r="846" spans="1:15" x14ac:dyDescent="0.25">
      <c r="A846" t="str">
        <f>TableSTRUHPEB1[[#This Row],[Study Package Code]]</f>
        <v>EDUC4038</v>
      </c>
      <c r="B846" s="5">
        <f>TableSTRUHPEB1[[#This Row],[Ver]]</f>
        <v>0</v>
      </c>
      <c r="D846" t="str">
        <f>TableSTRUHPEB1[[#This Row],[Structure Line]]</f>
        <v>Technologies: Design Solutions</v>
      </c>
      <c r="E846" s="81">
        <f>TableSTRUHPEB1[[#This Row],[Credit Points]]</f>
        <v>25</v>
      </c>
      <c r="F846">
        <v>1</v>
      </c>
      <c r="G846" t="s">
        <v>140</v>
      </c>
      <c r="H846">
        <v>0</v>
      </c>
      <c r="I846" t="s">
        <v>1221</v>
      </c>
      <c r="J846" t="s">
        <v>179</v>
      </c>
      <c r="K846" s="122">
        <v>0</v>
      </c>
      <c r="L846" t="s">
        <v>985</v>
      </c>
      <c r="M846">
        <v>25</v>
      </c>
      <c r="N846" s="125">
        <v>43466</v>
      </c>
      <c r="O846" s="125"/>
    </row>
    <row r="847" spans="1:15" x14ac:dyDescent="0.25">
      <c r="A847" t="str">
        <f>TableSTRUHPEB1[[#This Row],[Study Package Code]]</f>
        <v>EDUC4042</v>
      </c>
      <c r="B847" s="5">
        <f>TableSTRUHPEB1[[#This Row],[Ver]]</f>
        <v>0</v>
      </c>
      <c r="D847" t="str">
        <f>TableSTRUHPEB1[[#This Row],[Structure Line]]</f>
        <v>Alternative Approaches to Teaching Literacy and Numeracy</v>
      </c>
      <c r="E847" s="81">
        <f>TableSTRUHPEB1[[#This Row],[Credit Points]]</f>
        <v>25</v>
      </c>
      <c r="F847">
        <v>1</v>
      </c>
      <c r="G847" t="s">
        <v>140</v>
      </c>
      <c r="H847">
        <v>0</v>
      </c>
      <c r="I847" t="s">
        <v>1221</v>
      </c>
      <c r="J847" t="s">
        <v>171</v>
      </c>
      <c r="K847" s="122">
        <v>0</v>
      </c>
      <c r="L847" t="s">
        <v>988</v>
      </c>
      <c r="M847">
        <v>25</v>
      </c>
      <c r="N847" s="125">
        <v>43466</v>
      </c>
      <c r="O847" s="125"/>
    </row>
    <row r="848" spans="1:15" x14ac:dyDescent="0.25">
      <c r="A848" t="str">
        <f>TableSTRUHPEB1[[#This Row],[Study Package Code]]</f>
        <v>EDUC4044</v>
      </c>
      <c r="B848" s="5">
        <f>TableSTRUHPEB1[[#This Row],[Ver]]</f>
        <v>0</v>
      </c>
      <c r="D848" t="str">
        <f>TableSTRUHPEB1[[#This Row],[Structure Line]]</f>
        <v>Literacy and Numeracy for First Nations Peoples of Australia</v>
      </c>
      <c r="E848" s="81">
        <f>TableSTRUHPEB1[[#This Row],[Credit Points]]</f>
        <v>25</v>
      </c>
      <c r="F848">
        <v>1</v>
      </c>
      <c r="G848" t="s">
        <v>140</v>
      </c>
      <c r="H848">
        <v>0</v>
      </c>
      <c r="I848" t="s">
        <v>1221</v>
      </c>
      <c r="J848" t="s">
        <v>178</v>
      </c>
      <c r="K848" s="122">
        <v>0</v>
      </c>
      <c r="L848" t="s">
        <v>989</v>
      </c>
      <c r="M848">
        <v>25</v>
      </c>
      <c r="N848" s="125">
        <v>44927</v>
      </c>
      <c r="O848" s="125"/>
    </row>
    <row r="849" spans="1:19" x14ac:dyDescent="0.25">
      <c r="A849" t="str">
        <f>TableSTRUHPEB1[[#This Row],[Study Package Code]]</f>
        <v>EDUC4046</v>
      </c>
      <c r="B849" s="5">
        <f>TableSTRUHPEB1[[#This Row],[Ver]]</f>
        <v>0</v>
      </c>
      <c r="D849" t="str">
        <f>TableSTRUHPEB1[[#This Row],[Structure Line]]</f>
        <v>Technologies: Digital Solutions</v>
      </c>
      <c r="E849" s="81">
        <f>TableSTRUHPEB1[[#This Row],[Credit Points]]</f>
        <v>25</v>
      </c>
      <c r="F849">
        <v>1</v>
      </c>
      <c r="G849" t="s">
        <v>140</v>
      </c>
      <c r="H849">
        <v>0</v>
      </c>
      <c r="I849" t="s">
        <v>1221</v>
      </c>
      <c r="J849" t="s">
        <v>185</v>
      </c>
      <c r="K849" s="122">
        <v>0</v>
      </c>
      <c r="L849" t="s">
        <v>990</v>
      </c>
      <c r="M849">
        <v>25</v>
      </c>
      <c r="N849" s="125">
        <v>43466</v>
      </c>
      <c r="O849" s="125"/>
    </row>
    <row r="850" spans="1:19" x14ac:dyDescent="0.25">
      <c r="A850" t="str">
        <f>TableSTRUHPEB1[[#This Row],[Study Package Code]]</f>
        <v>EDUC4048</v>
      </c>
      <c r="B850" s="5">
        <f>TableSTRUHPEB1[[#This Row],[Ver]]</f>
        <v>0</v>
      </c>
      <c r="D850" t="str">
        <f>TableSTRUHPEB1[[#This Row],[Structure Line]]</f>
        <v>Mentoring, Coaching and Tutoring</v>
      </c>
      <c r="E850" s="81">
        <f>TableSTRUHPEB1[[#This Row],[Credit Points]]</f>
        <v>25</v>
      </c>
      <c r="F850">
        <v>1</v>
      </c>
      <c r="G850" t="s">
        <v>140</v>
      </c>
      <c r="H850">
        <v>0</v>
      </c>
      <c r="I850" t="s">
        <v>1221</v>
      </c>
      <c r="J850" t="s">
        <v>129</v>
      </c>
      <c r="K850" s="122">
        <v>0</v>
      </c>
      <c r="L850" t="s">
        <v>991</v>
      </c>
      <c r="M850">
        <v>25</v>
      </c>
      <c r="N850" s="125">
        <v>43466</v>
      </c>
      <c r="O850" s="125"/>
    </row>
    <row r="851" spans="1:19" x14ac:dyDescent="0.25">
      <c r="A851" s="78"/>
      <c r="B851" s="80"/>
      <c r="C851" s="78"/>
      <c r="G851" s="79" t="s">
        <v>1194</v>
      </c>
      <c r="H851" s="272">
        <v>45658</v>
      </c>
      <c r="J851" s="274" t="s">
        <v>370</v>
      </c>
      <c r="K851" s="273" t="s">
        <v>77</v>
      </c>
      <c r="L851" s="274" t="s">
        <v>408</v>
      </c>
      <c r="M851" s="78"/>
      <c r="N851" s="198" t="s">
        <v>1195</v>
      </c>
      <c r="O851" s="125">
        <v>45544</v>
      </c>
    </row>
    <row r="852" spans="1:19" ht="31.5" x14ac:dyDescent="0.25">
      <c r="A852" s="97" t="s">
        <v>0</v>
      </c>
      <c r="B852" s="98" t="s">
        <v>1196</v>
      </c>
      <c r="C852" s="97" t="s">
        <v>1197</v>
      </c>
      <c r="D852" s="97" t="s">
        <v>3</v>
      </c>
      <c r="E852" s="99" t="s">
        <v>1198</v>
      </c>
      <c r="F852" s="97" t="s">
        <v>1199</v>
      </c>
      <c r="G852" s="97" t="s">
        <v>1200</v>
      </c>
      <c r="H852" s="97" t="s">
        <v>1201</v>
      </c>
      <c r="I852" s="97" t="s">
        <v>18</v>
      </c>
      <c r="J852" s="97" t="s">
        <v>1202</v>
      </c>
      <c r="K852" s="97" t="s">
        <v>1</v>
      </c>
      <c r="L852" s="97" t="s">
        <v>1203</v>
      </c>
      <c r="M852" s="97" t="s">
        <v>69</v>
      </c>
      <c r="N852" s="97" t="s">
        <v>1204</v>
      </c>
      <c r="O852" s="97" t="s">
        <v>1205</v>
      </c>
      <c r="R852" t="s">
        <v>1206</v>
      </c>
      <c r="S852" t="s">
        <v>1207</v>
      </c>
    </row>
    <row r="853" spans="1:19" x14ac:dyDescent="0.25">
      <c r="A853" t="str">
        <f>TableSTRUHUMBB[[#This Row],[Study Package Code]]</f>
        <v>Opt-HUMBB</v>
      </c>
      <c r="B853" s="5">
        <f>TableSTRUHUMBB[[#This Row],[Ver]]</f>
        <v>0</v>
      </c>
      <c r="D853" t="str">
        <f>TableSTRUHUMBB[[#This Row],[Structure Line]]</f>
        <v>Choose an Option</v>
      </c>
      <c r="E853" s="81">
        <f>TableSTRUHUMBB[[#This Row],[Credit Points]]</f>
        <v>25</v>
      </c>
      <c r="F853">
        <v>1</v>
      </c>
      <c r="G853" t="s">
        <v>140</v>
      </c>
      <c r="H853">
        <v>3</v>
      </c>
      <c r="I853" t="s">
        <v>1221</v>
      </c>
      <c r="J853" t="s">
        <v>732</v>
      </c>
      <c r="K853">
        <v>0</v>
      </c>
      <c r="L853" t="s">
        <v>1219</v>
      </c>
      <c r="M853">
        <v>25</v>
      </c>
      <c r="N853" s="125"/>
      <c r="O853" s="125"/>
      <c r="R853" t="s">
        <v>57</v>
      </c>
      <c r="S853">
        <v>1</v>
      </c>
    </row>
    <row r="854" spans="1:19" x14ac:dyDescent="0.25">
      <c r="A854" t="str">
        <f>TableSTRUHUMBB[[#This Row],[Study Package Code]]</f>
        <v>AC-HUMBB1</v>
      </c>
      <c r="B854" s="5">
        <f>TableSTRUHUMBB[[#This Row],[Ver]]</f>
        <v>0</v>
      </c>
      <c r="D854" t="str">
        <f>TableSTRUHUMBB[[#This Row],[Structure Line]]</f>
        <v>Choose CHEM1003 or CHEM1000</v>
      </c>
      <c r="E854" s="81">
        <f>TableSTRUHUMBB[[#This Row],[Credit Points]]</f>
        <v>25</v>
      </c>
      <c r="F854">
        <v>2</v>
      </c>
      <c r="G854" t="s">
        <v>1215</v>
      </c>
      <c r="H854">
        <v>1</v>
      </c>
      <c r="I854" t="s">
        <v>1212</v>
      </c>
      <c r="J854" t="s">
        <v>697</v>
      </c>
      <c r="K854">
        <v>0</v>
      </c>
      <c r="L854" t="s">
        <v>1306</v>
      </c>
      <c r="M854">
        <v>25</v>
      </c>
      <c r="N854" s="125"/>
      <c r="O854" s="125"/>
      <c r="R854" t="s">
        <v>1307</v>
      </c>
      <c r="S854">
        <v>1</v>
      </c>
    </row>
    <row r="855" spans="1:19" x14ac:dyDescent="0.25">
      <c r="A855" t="str">
        <f>TableSTRUHUMBB[[#This Row],[Study Package Code]]</f>
        <v>BIOL1005</v>
      </c>
      <c r="B855" s="5">
        <f>TableSTRUHUMBB[[#This Row],[Ver]]</f>
        <v>1</v>
      </c>
      <c r="D855" t="str">
        <f>TableSTRUHUMBB[[#This Row],[Structure Line]]</f>
        <v>Foundations of Biology</v>
      </c>
      <c r="E855" s="81">
        <f>TableSTRUHUMBB[[#This Row],[Credit Points]]</f>
        <v>25</v>
      </c>
      <c r="F855">
        <v>3</v>
      </c>
      <c r="G855" t="s">
        <v>1208</v>
      </c>
      <c r="H855">
        <v>2</v>
      </c>
      <c r="I855" t="s">
        <v>1209</v>
      </c>
      <c r="J855" t="s">
        <v>478</v>
      </c>
      <c r="K855">
        <v>1</v>
      </c>
      <c r="L855" t="s">
        <v>827</v>
      </c>
      <c r="M855">
        <v>25</v>
      </c>
      <c r="N855" s="125">
        <v>44562</v>
      </c>
      <c r="O855" s="125"/>
      <c r="R855" t="s">
        <v>96</v>
      </c>
      <c r="S855">
        <v>1</v>
      </c>
    </row>
    <row r="856" spans="1:19" x14ac:dyDescent="0.25">
      <c r="A856" t="str">
        <f>TableSTRUHUMBB[[#This Row],[Study Package Code]]</f>
        <v>AC-HUMBB2</v>
      </c>
      <c r="B856" s="5">
        <f>TableSTRUHUMBB[[#This Row],[Ver]]</f>
        <v>0</v>
      </c>
      <c r="D856" t="str">
        <f>TableSTRUHUMBB[[#This Row],[Structure Line]]</f>
        <v>Choose ENST2003 or BOTA2000</v>
      </c>
      <c r="E856" s="81">
        <f>TableSTRUHUMBB[[#This Row],[Credit Points]]</f>
        <v>25</v>
      </c>
      <c r="F856">
        <v>4</v>
      </c>
      <c r="G856" t="s">
        <v>1215</v>
      </c>
      <c r="H856">
        <v>2</v>
      </c>
      <c r="I856" t="s">
        <v>1212</v>
      </c>
      <c r="J856" t="s">
        <v>714</v>
      </c>
      <c r="K856">
        <v>0</v>
      </c>
      <c r="L856" t="s">
        <v>1308</v>
      </c>
      <c r="M856">
        <v>25</v>
      </c>
      <c r="N856" s="125"/>
      <c r="O856" s="125"/>
      <c r="R856" t="s">
        <v>586</v>
      </c>
      <c r="S856">
        <v>1</v>
      </c>
    </row>
    <row r="857" spans="1:19" x14ac:dyDescent="0.25">
      <c r="A857" t="str">
        <f>TableSTRUHUMBB[[#This Row],[Study Package Code]]</f>
        <v>AC-HUMBB3</v>
      </c>
      <c r="B857" s="5">
        <f>TableSTRUHUMBB[[#This Row],[Ver]]</f>
        <v>0</v>
      </c>
      <c r="D857" t="str">
        <f>TableSTRUHUMBB[[#This Row],[Structure Line]]</f>
        <v>Choose PHYS1006 or PHYS1005</v>
      </c>
      <c r="E857" s="81">
        <f>TableSTRUHUMBB[[#This Row],[Credit Points]]</f>
        <v>25</v>
      </c>
      <c r="F857">
        <v>5</v>
      </c>
      <c r="G857" t="s">
        <v>1215</v>
      </c>
      <c r="H857">
        <v>3</v>
      </c>
      <c r="I857" t="s">
        <v>1209</v>
      </c>
      <c r="J857" t="s">
        <v>722</v>
      </c>
      <c r="K857">
        <v>0</v>
      </c>
      <c r="L857" t="s">
        <v>1309</v>
      </c>
      <c r="M857">
        <v>25</v>
      </c>
      <c r="N857" s="125"/>
      <c r="O857" s="125"/>
      <c r="R857" t="s">
        <v>742</v>
      </c>
      <c r="S857">
        <v>1</v>
      </c>
    </row>
    <row r="858" spans="1:19" x14ac:dyDescent="0.25">
      <c r="A858" t="str">
        <f>TableSTRUHUMBB[[#This Row],[Study Package Code]]</f>
        <v>MEDI2000</v>
      </c>
      <c r="B858" s="5">
        <f>TableSTRUHUMBB[[#This Row],[Ver]]</f>
        <v>1</v>
      </c>
      <c r="D858" t="str">
        <f>TableSTRUHUMBB[[#This Row],[Structure Line]]</f>
        <v>Foundations of Immunobiology</v>
      </c>
      <c r="E858" s="81">
        <f>TableSTRUHUMBB[[#This Row],[Credit Points]]</f>
        <v>25</v>
      </c>
      <c r="F858">
        <v>6</v>
      </c>
      <c r="G858" t="s">
        <v>1208</v>
      </c>
      <c r="H858">
        <v>3</v>
      </c>
      <c r="I858" t="s">
        <v>1212</v>
      </c>
      <c r="J858" t="s">
        <v>742</v>
      </c>
      <c r="K858">
        <v>1</v>
      </c>
      <c r="L858" t="s">
        <v>1063</v>
      </c>
      <c r="M858">
        <v>25</v>
      </c>
      <c r="N858" s="125">
        <v>42005</v>
      </c>
      <c r="O858" s="125"/>
      <c r="R858" t="s">
        <v>1293</v>
      </c>
      <c r="S858">
        <v>0</v>
      </c>
    </row>
    <row r="859" spans="1:19" x14ac:dyDescent="0.25">
      <c r="A859" t="str">
        <f>TableSTRUHUMBB[[#This Row],[Study Package Code]]</f>
        <v>EDUC4012</v>
      </c>
      <c r="B859" s="5">
        <f>TableSTRUHUMBB[[#This Row],[Ver]]</f>
        <v>2</v>
      </c>
      <c r="D859" t="str">
        <f>TableSTRUHUMBB[[#This Row],[Structure Line]]</f>
        <v>Relationships and Sexuality Education</v>
      </c>
      <c r="E859" s="81">
        <f>TableSTRUHUMBB[[#This Row],[Credit Points]]</f>
        <v>25</v>
      </c>
      <c r="F859">
        <v>1</v>
      </c>
      <c r="G859" t="s">
        <v>140</v>
      </c>
      <c r="H859">
        <v>3</v>
      </c>
      <c r="I859" t="s">
        <v>1221</v>
      </c>
      <c r="J859" t="s">
        <v>194</v>
      </c>
      <c r="K859">
        <v>2</v>
      </c>
      <c r="L859" t="s">
        <v>975</v>
      </c>
      <c r="M859">
        <v>25</v>
      </c>
      <c r="N859" s="125">
        <v>44927</v>
      </c>
      <c r="O859" s="125"/>
      <c r="R859" t="s">
        <v>200</v>
      </c>
      <c r="S859">
        <v>1</v>
      </c>
    </row>
    <row r="860" spans="1:19" x14ac:dyDescent="0.25">
      <c r="A860" t="str">
        <f>TableSTRUHUMBB[[#This Row],[Study Package Code]]</f>
        <v>EDUC4014</v>
      </c>
      <c r="B860" s="5">
        <f>TableSTRUHUMBB[[#This Row],[Ver]]</f>
        <v>1</v>
      </c>
      <c r="D860" t="str">
        <f>TableSTRUHUMBB[[#This Row],[Structure Line]]</f>
        <v>Diverse Abilities and Curriculum Differentiation</v>
      </c>
      <c r="E860" s="81">
        <f>TableSTRUHUMBB[[#This Row],[Credit Points]]</f>
        <v>25</v>
      </c>
      <c r="F860">
        <v>1</v>
      </c>
      <c r="G860" t="s">
        <v>140</v>
      </c>
      <c r="H860">
        <v>3</v>
      </c>
      <c r="I860" t="s">
        <v>1221</v>
      </c>
      <c r="J860" t="s">
        <v>195</v>
      </c>
      <c r="K860">
        <v>1</v>
      </c>
      <c r="L860" t="s">
        <v>976</v>
      </c>
      <c r="M860">
        <v>25</v>
      </c>
      <c r="N860" s="125">
        <v>42005</v>
      </c>
      <c r="O860" s="125"/>
      <c r="R860" t="s">
        <v>174</v>
      </c>
      <c r="S860">
        <v>2</v>
      </c>
    </row>
    <row r="861" spans="1:19" x14ac:dyDescent="0.25">
      <c r="A861" t="str">
        <f>TableSTRUHUMBB[[#This Row],[Study Package Code]]</f>
        <v>EDUC4021</v>
      </c>
      <c r="B861" s="5">
        <f>TableSTRUHUMBB[[#This Row],[Ver]]</f>
        <v>1</v>
      </c>
      <c r="D861" t="str">
        <f>TableSTRUHUMBB[[#This Row],[Structure Line]]</f>
        <v>Project-based iSTEM Education</v>
      </c>
      <c r="E861" s="81">
        <f>TableSTRUHUMBB[[#This Row],[Credit Points]]</f>
        <v>25</v>
      </c>
      <c r="F861">
        <v>1</v>
      </c>
      <c r="G861" t="s">
        <v>140</v>
      </c>
      <c r="H861">
        <v>3</v>
      </c>
      <c r="I861" t="s">
        <v>1221</v>
      </c>
      <c r="J861" t="s">
        <v>170</v>
      </c>
      <c r="K861">
        <v>1</v>
      </c>
      <c r="L861" t="s">
        <v>978</v>
      </c>
      <c r="M861">
        <v>25</v>
      </c>
      <c r="N861" s="125">
        <v>43282</v>
      </c>
      <c r="O861" s="125"/>
      <c r="R861" t="s">
        <v>201</v>
      </c>
      <c r="S861">
        <v>2</v>
      </c>
    </row>
    <row r="862" spans="1:19" x14ac:dyDescent="0.25">
      <c r="A862" t="str">
        <f>TableSTRUHUMBB[[#This Row],[Study Package Code]]</f>
        <v>EDUC4032</v>
      </c>
      <c r="B862" s="5">
        <f>TableSTRUHUMBB[[#This Row],[Ver]]</f>
        <v>1</v>
      </c>
      <c r="D862" t="str">
        <f>TableSTRUHUMBB[[#This Row],[Structure Line]]</f>
        <v>iSTEM Education through Digital Stories</v>
      </c>
      <c r="E862" s="81">
        <f>TableSTRUHUMBB[[#This Row],[Credit Points]]</f>
        <v>25</v>
      </c>
      <c r="F862">
        <v>1</v>
      </c>
      <c r="G862" t="s">
        <v>140</v>
      </c>
      <c r="H862">
        <v>3</v>
      </c>
      <c r="I862" t="s">
        <v>1221</v>
      </c>
      <c r="J862" t="s">
        <v>177</v>
      </c>
      <c r="K862">
        <v>1</v>
      </c>
      <c r="L862" t="s">
        <v>982</v>
      </c>
      <c r="M862">
        <v>25</v>
      </c>
      <c r="N862" s="125">
        <v>43466</v>
      </c>
      <c r="O862" s="125"/>
      <c r="R862" t="s">
        <v>167</v>
      </c>
      <c r="S862">
        <v>1</v>
      </c>
    </row>
    <row r="863" spans="1:19" x14ac:dyDescent="0.25">
      <c r="A863" t="str">
        <f>TableSTRUHUMBB[[#This Row],[Study Package Code]]</f>
        <v>EDUC4034</v>
      </c>
      <c r="B863" s="5">
        <f>TableSTRUHUMBB[[#This Row],[Ver]]</f>
        <v>1</v>
      </c>
      <c r="D863" t="str">
        <f>TableSTRUHUMBB[[#This Row],[Structure Line]]</f>
        <v>iSTEM: Social Issues</v>
      </c>
      <c r="E863" s="81">
        <f>TableSTRUHUMBB[[#This Row],[Credit Points]]</f>
        <v>25</v>
      </c>
      <c r="F863">
        <v>1</v>
      </c>
      <c r="G863" t="s">
        <v>140</v>
      </c>
      <c r="H863">
        <v>3</v>
      </c>
      <c r="I863" t="s">
        <v>1221</v>
      </c>
      <c r="J863" t="s">
        <v>183</v>
      </c>
      <c r="K863">
        <v>1</v>
      </c>
      <c r="L863" t="s">
        <v>983</v>
      </c>
      <c r="M863">
        <v>25</v>
      </c>
      <c r="N863" s="125">
        <v>43466</v>
      </c>
      <c r="O863" s="125"/>
      <c r="R863" t="s">
        <v>180</v>
      </c>
      <c r="S863">
        <v>1</v>
      </c>
    </row>
    <row r="864" spans="1:19" x14ac:dyDescent="0.25">
      <c r="A864" t="str">
        <f>TableSTRUHUMBB[[#This Row],[Study Package Code]]</f>
        <v>EDUC4048</v>
      </c>
      <c r="B864" s="5">
        <f>TableSTRUHUMBB[[#This Row],[Ver]]</f>
        <v>1</v>
      </c>
      <c r="D864" t="str">
        <f>TableSTRUHUMBB[[#This Row],[Structure Line]]</f>
        <v>Mentoring, Coaching and Tutoring</v>
      </c>
      <c r="E864" s="81">
        <f>TableSTRUHUMBB[[#This Row],[Credit Points]]</f>
        <v>25</v>
      </c>
      <c r="F864">
        <v>1</v>
      </c>
      <c r="G864" t="s">
        <v>140</v>
      </c>
      <c r="H864">
        <v>3</v>
      </c>
      <c r="I864" t="s">
        <v>1221</v>
      </c>
      <c r="J864" t="s">
        <v>129</v>
      </c>
      <c r="K864">
        <v>1</v>
      </c>
      <c r="L864" t="s">
        <v>991</v>
      </c>
      <c r="M864">
        <v>25</v>
      </c>
      <c r="N864" s="125">
        <v>43466</v>
      </c>
      <c r="O864" s="125"/>
      <c r="R864" t="s">
        <v>196</v>
      </c>
      <c r="S864">
        <v>1</v>
      </c>
    </row>
    <row r="865" spans="1:19" x14ac:dyDescent="0.25">
      <c r="A865" t="str">
        <f>TableSTRUHUMBB[[#This Row],[Study Package Code]]</f>
        <v>CHEM1000</v>
      </c>
      <c r="B865" s="5">
        <f>TableSTRUHUMBB[[#This Row],[Ver]]</f>
        <v>1</v>
      </c>
      <c r="D865" t="str">
        <f>TableSTRUHUMBB[[#This Row],[Structure Line]]</f>
        <v>Principles and Processes in Chemistry</v>
      </c>
      <c r="E865" s="81">
        <f>TableSTRUHUMBB[[#This Row],[Credit Points]]</f>
        <v>25</v>
      </c>
      <c r="F865">
        <v>2</v>
      </c>
      <c r="G865" t="s">
        <v>1215</v>
      </c>
      <c r="H865">
        <v>1</v>
      </c>
      <c r="I865" t="s">
        <v>1212</v>
      </c>
      <c r="J865" t="s">
        <v>457</v>
      </c>
      <c r="K865">
        <v>1</v>
      </c>
      <c r="L865" t="s">
        <v>832</v>
      </c>
      <c r="M865">
        <v>25</v>
      </c>
      <c r="N865" s="125">
        <v>42005</v>
      </c>
      <c r="O865" s="125"/>
      <c r="R865" t="s">
        <v>198</v>
      </c>
      <c r="S865">
        <v>1</v>
      </c>
    </row>
    <row r="866" spans="1:19" x14ac:dyDescent="0.25">
      <c r="A866" t="str">
        <f>TableSTRUHUMBB[[#This Row],[Study Package Code]]</f>
        <v>CHEM1003</v>
      </c>
      <c r="B866" s="5">
        <f>TableSTRUHUMBB[[#This Row],[Ver]]</f>
        <v>1</v>
      </c>
      <c r="D866" t="str">
        <f>TableSTRUHUMBB[[#This Row],[Structure Line]]</f>
        <v>Introduction to Chemistry</v>
      </c>
      <c r="E866" s="81">
        <f>TableSTRUHUMBB[[#This Row],[Credit Points]]</f>
        <v>25</v>
      </c>
      <c r="F866">
        <v>2</v>
      </c>
      <c r="G866" t="s">
        <v>1215</v>
      </c>
      <c r="H866">
        <v>1</v>
      </c>
      <c r="I866" t="s">
        <v>1212</v>
      </c>
      <c r="J866" t="s">
        <v>749</v>
      </c>
      <c r="K866">
        <v>1</v>
      </c>
      <c r="L866" t="s">
        <v>835</v>
      </c>
      <c r="M866">
        <v>25</v>
      </c>
      <c r="N866" s="125">
        <v>42005</v>
      </c>
      <c r="O866" s="125"/>
      <c r="R866" t="s">
        <v>1224</v>
      </c>
      <c r="S866">
        <v>1</v>
      </c>
    </row>
    <row r="867" spans="1:19" x14ac:dyDescent="0.25">
      <c r="A867" t="str">
        <f>TableSTRUHUMBB[[#This Row],[Study Package Code]]</f>
        <v>BOTA2000</v>
      </c>
      <c r="B867" s="5">
        <f>TableSTRUHUMBB[[#This Row],[Ver]]</f>
        <v>1</v>
      </c>
      <c r="D867" t="str">
        <f>TableSTRUHUMBB[[#This Row],[Structure Line]]</f>
        <v>Plant Diversity and Adaptation</v>
      </c>
      <c r="E867" s="81">
        <f>TableSTRUHUMBB[[#This Row],[Credit Points]]</f>
        <v>25</v>
      </c>
      <c r="F867">
        <v>4</v>
      </c>
      <c r="G867" t="s">
        <v>1215</v>
      </c>
      <c r="H867">
        <v>2</v>
      </c>
      <c r="I867" t="s">
        <v>1212</v>
      </c>
      <c r="J867" t="s">
        <v>503</v>
      </c>
      <c r="K867">
        <v>1</v>
      </c>
      <c r="L867" t="s">
        <v>831</v>
      </c>
      <c r="M867">
        <v>25</v>
      </c>
      <c r="N867" s="125">
        <v>42005</v>
      </c>
      <c r="O867" s="125"/>
      <c r="R867" t="s">
        <v>194</v>
      </c>
      <c r="S867">
        <v>2</v>
      </c>
    </row>
    <row r="868" spans="1:19" x14ac:dyDescent="0.25">
      <c r="A868" t="str">
        <f>TableSTRUHUMBB[[#This Row],[Study Package Code]]</f>
        <v>ENST2003</v>
      </c>
      <c r="B868" s="5">
        <f>TableSTRUHUMBB[[#This Row],[Ver]]</f>
        <v>2</v>
      </c>
      <c r="D868" t="str">
        <f>TableSTRUHUMBB[[#This Row],[Structure Line]]</f>
        <v>Ecotoxicology and Environmental Monitoring</v>
      </c>
      <c r="E868" s="81">
        <f>TableSTRUHUMBB[[#This Row],[Credit Points]]</f>
        <v>25</v>
      </c>
      <c r="F868">
        <v>4</v>
      </c>
      <c r="G868" t="s">
        <v>1215</v>
      </c>
      <c r="H868">
        <v>2</v>
      </c>
      <c r="I868" t="s">
        <v>1212</v>
      </c>
      <c r="J868" t="s">
        <v>739</v>
      </c>
      <c r="K868">
        <v>2</v>
      </c>
      <c r="L868" t="s">
        <v>1000</v>
      </c>
      <c r="M868">
        <v>25</v>
      </c>
      <c r="N868" s="125">
        <v>43101</v>
      </c>
      <c r="O868" s="125"/>
      <c r="R868" t="s">
        <v>195</v>
      </c>
      <c r="S868">
        <v>1</v>
      </c>
    </row>
    <row r="869" spans="1:19" x14ac:dyDescent="0.25">
      <c r="A869" t="str">
        <f>TableSTRUHUMBB[[#This Row],[Study Package Code]]</f>
        <v>PHYS1005</v>
      </c>
      <c r="B869" s="5">
        <f>TableSTRUHUMBB[[#This Row],[Ver]]</f>
        <v>1</v>
      </c>
      <c r="D869" t="str">
        <f>TableSTRUHUMBB[[#This Row],[Structure Line]]</f>
        <v>Physics 1</v>
      </c>
      <c r="E869" s="81">
        <f>TableSTRUHUMBB[[#This Row],[Credit Points]]</f>
        <v>25</v>
      </c>
      <c r="F869">
        <v>5</v>
      </c>
      <c r="G869" t="s">
        <v>1215</v>
      </c>
      <c r="H869">
        <v>3</v>
      </c>
      <c r="I869" t="s">
        <v>1209</v>
      </c>
      <c r="J869" t="s">
        <v>702</v>
      </c>
      <c r="K869">
        <v>1</v>
      </c>
      <c r="L869" t="s">
        <v>1097</v>
      </c>
      <c r="M869">
        <v>25</v>
      </c>
      <c r="N869" s="125">
        <v>42005</v>
      </c>
      <c r="O869" s="125"/>
      <c r="R869" t="s">
        <v>184</v>
      </c>
      <c r="S869">
        <v>1</v>
      </c>
    </row>
    <row r="870" spans="1:19" x14ac:dyDescent="0.25">
      <c r="A870" t="str">
        <f>TableSTRUHUMBB[[#This Row],[Study Package Code]]</f>
        <v>PHYS1006</v>
      </c>
      <c r="B870" s="5">
        <f>TableSTRUHUMBB[[#This Row],[Ver]]</f>
        <v>1</v>
      </c>
      <c r="D870" t="str">
        <f>TableSTRUHUMBB[[#This Row],[Structure Line]]</f>
        <v>Foundations of Physics</v>
      </c>
      <c r="E870" s="81">
        <f>TableSTRUHUMBB[[#This Row],[Credit Points]]</f>
        <v>25</v>
      </c>
      <c r="F870">
        <v>5</v>
      </c>
      <c r="G870" t="s">
        <v>1215</v>
      </c>
      <c r="H870">
        <v>3</v>
      </c>
      <c r="I870" t="s">
        <v>1209</v>
      </c>
      <c r="J870" t="s">
        <v>751</v>
      </c>
      <c r="K870">
        <v>1</v>
      </c>
      <c r="L870" t="s">
        <v>1098</v>
      </c>
      <c r="M870">
        <v>25</v>
      </c>
      <c r="N870" s="125">
        <v>42005</v>
      </c>
      <c r="O870" s="125"/>
      <c r="R870" t="s">
        <v>170</v>
      </c>
      <c r="S870">
        <v>1</v>
      </c>
    </row>
    <row r="871" spans="1:19" x14ac:dyDescent="0.25">
      <c r="A871">
        <f>TableSTRUHUMBB[[#This Row],[Study Package Code]]</f>
        <v>0</v>
      </c>
      <c r="B871" s="5">
        <f>TableSTRUHUMBB[[#This Row],[Ver]]</f>
        <v>0</v>
      </c>
      <c r="D871">
        <f>TableSTRUHUMBB[[#This Row],[Structure Line]]</f>
        <v>0</v>
      </c>
      <c r="E871" s="81">
        <f>TableSTRUHUMBB[[#This Row],[Credit Points]]</f>
        <v>0</v>
      </c>
      <c r="N871" s="125"/>
      <c r="O871" s="125"/>
      <c r="R871" t="s">
        <v>175</v>
      </c>
      <c r="S871">
        <v>1</v>
      </c>
    </row>
    <row r="872" spans="1:19" x14ac:dyDescent="0.25">
      <c r="A872">
        <f>TableSTRUHUMBB[[#This Row],[Study Package Code]]</f>
        <v>0</v>
      </c>
      <c r="B872" s="5">
        <f>TableSTRUHUMBB[[#This Row],[Ver]]</f>
        <v>0</v>
      </c>
      <c r="D872">
        <f>TableSTRUHUMBB[[#This Row],[Structure Line]]</f>
        <v>0</v>
      </c>
      <c r="E872" s="81">
        <f>TableSTRUHUMBB[[#This Row],[Credit Points]]</f>
        <v>0</v>
      </c>
      <c r="N872" s="125"/>
      <c r="O872" s="125"/>
      <c r="R872" t="s">
        <v>168</v>
      </c>
      <c r="S872">
        <v>1</v>
      </c>
    </row>
    <row r="873" spans="1:19" x14ac:dyDescent="0.25">
      <c r="A873">
        <f>TableSTRUHUMBB[[#This Row],[Study Package Code]]</f>
        <v>0</v>
      </c>
      <c r="B873" s="5">
        <f>TableSTRUHUMBB[[#This Row],[Ver]]</f>
        <v>0</v>
      </c>
      <c r="D873">
        <f>TableSTRUHUMBB[[#This Row],[Structure Line]]</f>
        <v>0</v>
      </c>
      <c r="E873" s="81">
        <f>TableSTRUHUMBB[[#This Row],[Credit Points]]</f>
        <v>0</v>
      </c>
      <c r="N873" s="125"/>
      <c r="O873" s="125"/>
      <c r="R873" t="s">
        <v>172</v>
      </c>
      <c r="S873">
        <v>1</v>
      </c>
    </row>
    <row r="874" spans="1:19" x14ac:dyDescent="0.25">
      <c r="A874">
        <f>TableSTRUHUMBB[[#This Row],[Study Package Code]]</f>
        <v>0</v>
      </c>
      <c r="B874" s="5">
        <f>TableSTRUHUMBB[[#This Row],[Ver]]</f>
        <v>0</v>
      </c>
      <c r="D874">
        <f>TableSTRUHUMBB[[#This Row],[Structure Line]]</f>
        <v>0</v>
      </c>
      <c r="E874" s="81">
        <f>TableSTRUHUMBB[[#This Row],[Credit Points]]</f>
        <v>0</v>
      </c>
      <c r="N874" s="125"/>
      <c r="O874" s="125"/>
      <c r="R874" t="s">
        <v>199</v>
      </c>
      <c r="S874">
        <v>1</v>
      </c>
    </row>
    <row r="875" spans="1:19" x14ac:dyDescent="0.25">
      <c r="A875">
        <f>TableSTRUHUMBB[[#This Row],[Study Package Code]]</f>
        <v>0</v>
      </c>
      <c r="B875" s="5">
        <f>TableSTRUHUMBB[[#This Row],[Ver]]</f>
        <v>0</v>
      </c>
      <c r="D875">
        <f>TableSTRUHUMBB[[#This Row],[Structure Line]]</f>
        <v>0</v>
      </c>
      <c r="E875" s="81">
        <f>TableSTRUHUMBB[[#This Row],[Credit Points]]</f>
        <v>0</v>
      </c>
      <c r="N875" s="125"/>
      <c r="O875" s="125"/>
      <c r="R875" t="s">
        <v>177</v>
      </c>
      <c r="S875">
        <v>1</v>
      </c>
    </row>
    <row r="876" spans="1:19" x14ac:dyDescent="0.25">
      <c r="A876">
        <f>TableSTRUHUMBB[[#This Row],[Study Package Code]]</f>
        <v>0</v>
      </c>
      <c r="B876" s="5">
        <f>TableSTRUHUMBB[[#This Row],[Ver]]</f>
        <v>0</v>
      </c>
      <c r="D876">
        <f>TableSTRUHUMBB[[#This Row],[Structure Line]]</f>
        <v>0</v>
      </c>
      <c r="E876" s="81">
        <f>TableSTRUHUMBB[[#This Row],[Credit Points]]</f>
        <v>0</v>
      </c>
      <c r="N876" s="125"/>
      <c r="O876" s="125"/>
      <c r="R876" t="s">
        <v>183</v>
      </c>
      <c r="S876">
        <v>1</v>
      </c>
    </row>
    <row r="877" spans="1:19" x14ac:dyDescent="0.25">
      <c r="A877">
        <f>TableSTRUHUMBB[[#This Row],[Study Package Code]]</f>
        <v>0</v>
      </c>
      <c r="B877" s="5">
        <f>TableSTRUHUMBB[[#This Row],[Ver]]</f>
        <v>0</v>
      </c>
      <c r="D877">
        <f>TableSTRUHUMBB[[#This Row],[Structure Line]]</f>
        <v>0</v>
      </c>
      <c r="E877" s="81">
        <f>TableSTRUHUMBB[[#This Row],[Credit Points]]</f>
        <v>0</v>
      </c>
      <c r="N877" s="125"/>
      <c r="O877" s="125"/>
      <c r="R877" t="s">
        <v>181</v>
      </c>
      <c r="S877">
        <v>1</v>
      </c>
    </row>
    <row r="878" spans="1:19" x14ac:dyDescent="0.25">
      <c r="A878">
        <f>TableSTRUHUMBB[[#This Row],[Study Package Code]]</f>
        <v>0</v>
      </c>
      <c r="B878" s="5">
        <f>TableSTRUHUMBB[[#This Row],[Ver]]</f>
        <v>0</v>
      </c>
      <c r="D878">
        <f>TableSTRUHUMBB[[#This Row],[Structure Line]]</f>
        <v>0</v>
      </c>
      <c r="E878" s="81">
        <f>TableSTRUHUMBB[[#This Row],[Credit Points]]</f>
        <v>0</v>
      </c>
      <c r="K878" s="126"/>
      <c r="L878" s="126"/>
      <c r="N878" s="125"/>
      <c r="O878" s="125"/>
      <c r="R878" t="s">
        <v>179</v>
      </c>
      <c r="S878">
        <v>1</v>
      </c>
    </row>
    <row r="879" spans="1:19" x14ac:dyDescent="0.25">
      <c r="A879">
        <f>TableSTRUHUMBB[[#This Row],[Study Package Code]]</f>
        <v>0</v>
      </c>
      <c r="B879" s="5">
        <f>TableSTRUHUMBB[[#This Row],[Ver]]</f>
        <v>0</v>
      </c>
      <c r="D879">
        <f>TableSTRUHUMBB[[#This Row],[Structure Line]]</f>
        <v>0</v>
      </c>
      <c r="E879" s="81">
        <f>TableSTRUHUMBB[[#This Row],[Credit Points]]</f>
        <v>0</v>
      </c>
      <c r="N879" s="125"/>
      <c r="O879" s="125"/>
      <c r="R879" t="s">
        <v>171</v>
      </c>
      <c r="S879">
        <v>1</v>
      </c>
    </row>
    <row r="880" spans="1:19" x14ac:dyDescent="0.25">
      <c r="A880">
        <f>TableSTRUHUMBB[[#This Row],[Study Package Code]]</f>
        <v>0</v>
      </c>
      <c r="B880" s="5">
        <f>TableSTRUHUMBB[[#This Row],[Ver]]</f>
        <v>0</v>
      </c>
      <c r="D880">
        <f>TableSTRUHUMBB[[#This Row],[Structure Line]]</f>
        <v>0</v>
      </c>
      <c r="E880" s="81">
        <f>TableSTRUHUMBB[[#This Row],[Credit Points]]</f>
        <v>0</v>
      </c>
      <c r="N880" s="125"/>
      <c r="O880" s="125"/>
      <c r="R880" t="s">
        <v>178</v>
      </c>
      <c r="S880">
        <v>2</v>
      </c>
    </row>
    <row r="881" spans="1:19" x14ac:dyDescent="0.25">
      <c r="A881">
        <f>TableSTRUHUMBB[[#This Row],[Study Package Code]]</f>
        <v>0</v>
      </c>
      <c r="B881" s="5">
        <f>TableSTRUHUMBB[[#This Row],[Ver]]</f>
        <v>0</v>
      </c>
      <c r="D881">
        <f>TableSTRUHUMBB[[#This Row],[Structure Line]]</f>
        <v>0</v>
      </c>
      <c r="E881" s="81">
        <f>TableSTRUHUMBB[[#This Row],[Credit Points]]</f>
        <v>0</v>
      </c>
      <c r="N881" s="125"/>
      <c r="O881" s="125"/>
      <c r="R881" t="s">
        <v>185</v>
      </c>
      <c r="S881">
        <v>1</v>
      </c>
    </row>
    <row r="882" spans="1:19" x14ac:dyDescent="0.25">
      <c r="A882">
        <f>TableSTRUHUMBB[[#This Row],[Study Package Code]]</f>
        <v>0</v>
      </c>
      <c r="B882" s="5">
        <f>TableSTRUHUMBB[[#This Row],[Ver]]</f>
        <v>0</v>
      </c>
      <c r="D882">
        <f>TableSTRUHUMBB[[#This Row],[Structure Line]]</f>
        <v>0</v>
      </c>
      <c r="E882" s="81">
        <f>TableSTRUHUMBB[[#This Row],[Credit Points]]</f>
        <v>0</v>
      </c>
      <c r="N882" s="125"/>
      <c r="O882" s="125"/>
      <c r="R882" t="s">
        <v>129</v>
      </c>
      <c r="S882">
        <v>1</v>
      </c>
    </row>
    <row r="883" spans="1:19" x14ac:dyDescent="0.25">
      <c r="A883" s="78"/>
      <c r="B883" s="80"/>
      <c r="C883" s="78"/>
      <c r="G883" s="79" t="s">
        <v>1194</v>
      </c>
      <c r="H883" s="272">
        <v>45658</v>
      </c>
      <c r="J883" s="274" t="s">
        <v>360</v>
      </c>
      <c r="K883" s="273" t="s">
        <v>100</v>
      </c>
      <c r="L883" s="274" t="s">
        <v>491</v>
      </c>
      <c r="M883" s="78"/>
      <c r="N883" s="198" t="s">
        <v>1195</v>
      </c>
      <c r="O883" s="125">
        <v>45544</v>
      </c>
    </row>
    <row r="884" spans="1:19" ht="31.5" x14ac:dyDescent="0.25">
      <c r="A884" s="97" t="s">
        <v>0</v>
      </c>
      <c r="B884" s="98" t="s">
        <v>1196</v>
      </c>
      <c r="C884" s="97" t="s">
        <v>1197</v>
      </c>
      <c r="D884" s="97" t="s">
        <v>3</v>
      </c>
      <c r="E884" s="99" t="s">
        <v>1198</v>
      </c>
      <c r="F884" s="97" t="s">
        <v>1199</v>
      </c>
      <c r="G884" s="97" t="s">
        <v>1200</v>
      </c>
      <c r="H884" s="97" t="s">
        <v>1201</v>
      </c>
      <c r="I884" s="97" t="s">
        <v>18</v>
      </c>
      <c r="J884" s="97" t="s">
        <v>1202</v>
      </c>
      <c r="K884" s="97" t="s">
        <v>1</v>
      </c>
      <c r="L884" s="97" t="s">
        <v>1203</v>
      </c>
      <c r="M884" s="97" t="s">
        <v>69</v>
      </c>
      <c r="N884" s="97" t="s">
        <v>1204</v>
      </c>
      <c r="O884" s="97" t="s">
        <v>1205</v>
      </c>
      <c r="R884" t="s">
        <v>1206</v>
      </c>
      <c r="S884" t="s">
        <v>1207</v>
      </c>
    </row>
    <row r="885" spans="1:19" x14ac:dyDescent="0.25">
      <c r="A885" t="str">
        <f>TableSTRUMARTM[[#This Row],[Study Package Code]]</f>
        <v>SCST1000</v>
      </c>
      <c r="B885" s="5">
        <f>TableSTRUMARTM[[#This Row],[Ver]]</f>
        <v>0</v>
      </c>
      <c r="D885" t="str">
        <f>TableSTRUMARTM[[#This Row],[Structure Line]]</f>
        <v>Introduction to Screen Creativity</v>
      </c>
      <c r="E885" s="81">
        <f>TableSTRUMARTM[[#This Row],[Credit Points]]</f>
        <v>25</v>
      </c>
      <c r="F885">
        <v>1</v>
      </c>
      <c r="G885" t="s">
        <v>1208</v>
      </c>
      <c r="H885">
        <v>1</v>
      </c>
      <c r="I885" t="s">
        <v>1212</v>
      </c>
      <c r="J885" t="s">
        <v>577</v>
      </c>
      <c r="K885" s="122">
        <v>0</v>
      </c>
      <c r="L885" t="s">
        <v>1138</v>
      </c>
      <c r="M885">
        <v>25</v>
      </c>
      <c r="N885" s="125">
        <v>43831</v>
      </c>
      <c r="O885" s="125"/>
    </row>
    <row r="886" spans="1:19" x14ac:dyDescent="0.25">
      <c r="A886" t="str">
        <f>TableSTRUMARTM[[#This Row],[Study Package Code]]</f>
        <v>NETS2000</v>
      </c>
      <c r="B886" s="5">
        <f>TableSTRUMARTM[[#This Row],[Ver]]</f>
        <v>0</v>
      </c>
      <c r="D886" t="str">
        <f>TableSTRUMARTM[[#This Row],[Structure Line]]</f>
        <v>Web Media</v>
      </c>
      <c r="E886" s="81">
        <f>TableSTRUMARTM[[#This Row],[Credit Points]]</f>
        <v>25</v>
      </c>
      <c r="F886">
        <v>2</v>
      </c>
      <c r="G886" t="s">
        <v>1208</v>
      </c>
      <c r="H886">
        <v>2</v>
      </c>
      <c r="I886" t="s">
        <v>1209</v>
      </c>
      <c r="J886" t="s">
        <v>469</v>
      </c>
      <c r="K886" s="122">
        <v>0</v>
      </c>
      <c r="L886" t="s">
        <v>1071</v>
      </c>
      <c r="M886">
        <v>25</v>
      </c>
      <c r="N886" s="125">
        <v>42005</v>
      </c>
      <c r="O886" s="125"/>
    </row>
    <row r="887" spans="1:19" x14ac:dyDescent="0.25">
      <c r="A887" t="str">
        <f>TableSTRUMARTM[[#This Row],[Study Package Code]]</f>
        <v>COMS1001</v>
      </c>
      <c r="B887" s="5">
        <f>TableSTRUMARTM[[#This Row],[Ver]]</f>
        <v>0</v>
      </c>
      <c r="D887" t="str">
        <f>TableSTRUMARTM[[#This Row],[Structure Line]]</f>
        <v>Engaging Media</v>
      </c>
      <c r="E887" s="81">
        <f>TableSTRUMARTM[[#This Row],[Credit Points]]</f>
        <v>25</v>
      </c>
      <c r="F887">
        <v>3</v>
      </c>
      <c r="G887" t="s">
        <v>1208</v>
      </c>
      <c r="H887">
        <v>2</v>
      </c>
      <c r="I887" t="s">
        <v>1212</v>
      </c>
      <c r="J887" t="s">
        <v>494</v>
      </c>
      <c r="K887" s="122">
        <v>0</v>
      </c>
      <c r="L887" t="s">
        <v>851</v>
      </c>
      <c r="M887">
        <v>25</v>
      </c>
      <c r="N887" s="125">
        <v>42005</v>
      </c>
      <c r="O887" s="125"/>
    </row>
    <row r="888" spans="1:19" x14ac:dyDescent="0.25">
      <c r="A888" t="str">
        <f>TableSTRUMARTM[[#This Row],[Study Package Code]]</f>
        <v>EDSC4032</v>
      </c>
      <c r="B888" s="5">
        <f>TableSTRUMARTM[[#This Row],[Ver]]</f>
        <v>0</v>
      </c>
      <c r="D888" t="str">
        <f>TableSTRUMARTM[[#This Row],[Structure Line]]</f>
        <v>Curriculum and Instruction Lower Secondary: The Arts</v>
      </c>
      <c r="E888" s="81">
        <f>TableSTRUMARTM[[#This Row],[Credit Points]]</f>
        <v>25</v>
      </c>
      <c r="F888">
        <v>4</v>
      </c>
      <c r="G888" t="s">
        <v>1208</v>
      </c>
      <c r="H888">
        <v>3</v>
      </c>
      <c r="I888" t="s">
        <v>1209</v>
      </c>
      <c r="J888" t="s">
        <v>463</v>
      </c>
      <c r="K888" s="122">
        <v>0</v>
      </c>
      <c r="L888" t="s">
        <v>953</v>
      </c>
      <c r="M888">
        <v>25</v>
      </c>
      <c r="N888" s="125">
        <v>43466</v>
      </c>
      <c r="O888" s="125"/>
    </row>
    <row r="889" spans="1:19" x14ac:dyDescent="0.25">
      <c r="A889" t="str">
        <f>TableSTRUMARTM[[#This Row],[Study Package Code]]</f>
        <v>SPRO2000</v>
      </c>
      <c r="B889" s="5">
        <f>TableSTRUMARTM[[#This Row],[Ver]]</f>
        <v>0</v>
      </c>
      <c r="D889" t="str">
        <f>TableSTRUMARTM[[#This Row],[Structure Line]]</f>
        <v>Studio Production</v>
      </c>
      <c r="E889" s="81">
        <f>TableSTRUMARTM[[#This Row],[Credit Points]]</f>
        <v>25</v>
      </c>
      <c r="F889">
        <v>5</v>
      </c>
      <c r="G889" t="s">
        <v>1208</v>
      </c>
      <c r="H889">
        <v>3</v>
      </c>
      <c r="I889" t="s">
        <v>1209</v>
      </c>
      <c r="J889" t="s">
        <v>522</v>
      </c>
      <c r="K889" s="122">
        <v>0</v>
      </c>
      <c r="L889" t="s">
        <v>1142</v>
      </c>
      <c r="M889">
        <v>25</v>
      </c>
      <c r="N889" s="125">
        <v>44927</v>
      </c>
      <c r="O889" s="125"/>
    </row>
    <row r="890" spans="1:19" x14ac:dyDescent="0.25">
      <c r="A890" t="str">
        <f>TableSTRUMARTM[[#This Row],[Study Package Code]]</f>
        <v>EDSC4028</v>
      </c>
      <c r="B890" s="5">
        <f>TableSTRUMARTM[[#This Row],[Ver]]</f>
        <v>0</v>
      </c>
      <c r="D890" t="str">
        <f>TableSTRUMARTM[[#This Row],[Structure Line]]</f>
        <v>Curriculum and Instruction Senior Secondary: The Arts</v>
      </c>
      <c r="E890" s="81">
        <f>TableSTRUMARTM[[#This Row],[Credit Points]]</f>
        <v>25</v>
      </c>
      <c r="F890">
        <v>6</v>
      </c>
      <c r="G890" t="s">
        <v>1208</v>
      </c>
      <c r="H890">
        <v>3</v>
      </c>
      <c r="I890" t="s">
        <v>1212</v>
      </c>
      <c r="J890" t="s">
        <v>484</v>
      </c>
      <c r="K890" s="122">
        <v>0</v>
      </c>
      <c r="L890" t="s">
        <v>951</v>
      </c>
      <c r="M890">
        <v>25</v>
      </c>
      <c r="N890" s="125">
        <v>43831</v>
      </c>
      <c r="O890" s="125"/>
    </row>
    <row r="891" spans="1:19" x14ac:dyDescent="0.25">
      <c r="A891" s="78"/>
      <c r="B891" s="80"/>
      <c r="C891" s="78"/>
      <c r="G891" s="79" t="s">
        <v>1194</v>
      </c>
      <c r="H891" s="272">
        <v>45658</v>
      </c>
      <c r="J891" s="274" t="s">
        <v>366</v>
      </c>
      <c r="K891" s="273" t="s">
        <v>72</v>
      </c>
      <c r="L891" s="274" t="s">
        <v>409</v>
      </c>
      <c r="M891" s="78"/>
      <c r="N891" s="198" t="s">
        <v>1195</v>
      </c>
      <c r="O891" s="125">
        <v>45544</v>
      </c>
    </row>
    <row r="892" spans="1:19" ht="31.5" x14ac:dyDescent="0.25">
      <c r="A892" s="97" t="s">
        <v>0</v>
      </c>
      <c r="B892" s="98" t="s">
        <v>1196</v>
      </c>
      <c r="C892" s="97" t="s">
        <v>1197</v>
      </c>
      <c r="D892" s="97" t="s">
        <v>3</v>
      </c>
      <c r="E892" s="99" t="s">
        <v>1198</v>
      </c>
      <c r="F892" s="97" t="s">
        <v>1199</v>
      </c>
      <c r="G892" s="97" t="s">
        <v>1200</v>
      </c>
      <c r="H892" s="97" t="s">
        <v>1201</v>
      </c>
      <c r="I892" s="97" t="s">
        <v>18</v>
      </c>
      <c r="J892" s="97" t="s">
        <v>1202</v>
      </c>
      <c r="K892" s="97" t="s">
        <v>1</v>
      </c>
      <c r="L892" s="97" t="s">
        <v>1203</v>
      </c>
      <c r="M892" s="97" t="s">
        <v>69</v>
      </c>
      <c r="N892" s="97" t="s">
        <v>1204</v>
      </c>
      <c r="O892" s="97" t="s">
        <v>1205</v>
      </c>
      <c r="R892" t="s">
        <v>1206</v>
      </c>
      <c r="S892" t="s">
        <v>1207</v>
      </c>
    </row>
    <row r="893" spans="1:19" x14ac:dyDescent="0.25">
      <c r="A893" t="str">
        <f>TableSTRUMATHB[[#This Row],[Study Package Code]]</f>
        <v>STAT2006</v>
      </c>
      <c r="B893" s="5">
        <f>TableSTRUMATHB[[#This Row],[Ver]]</f>
        <v>1</v>
      </c>
      <c r="D893" t="str">
        <f>TableSTRUMATHB[[#This Row],[Structure Line]]</f>
        <v>Data Science in Practice</v>
      </c>
      <c r="E893" s="81">
        <f>TableSTRUMATHB[[#This Row],[Credit Points]]</f>
        <v>25</v>
      </c>
      <c r="F893">
        <v>1</v>
      </c>
      <c r="G893" t="s">
        <v>1208</v>
      </c>
      <c r="H893">
        <v>2</v>
      </c>
      <c r="I893" t="s">
        <v>1209</v>
      </c>
      <c r="J893" t="s">
        <v>708</v>
      </c>
      <c r="K893">
        <v>1</v>
      </c>
      <c r="L893" t="s">
        <v>1152</v>
      </c>
      <c r="M893">
        <v>25</v>
      </c>
      <c r="N893" s="125">
        <v>45292</v>
      </c>
      <c r="O893" s="125"/>
      <c r="R893" t="s">
        <v>501</v>
      </c>
      <c r="S893">
        <v>1</v>
      </c>
    </row>
    <row r="894" spans="1:19" x14ac:dyDescent="0.25">
      <c r="A894" t="str">
        <f>TableSTRUMATHB[[#This Row],[Study Package Code]]</f>
        <v>EDPR2004</v>
      </c>
      <c r="B894" s="5">
        <f>TableSTRUMATHB[[#This Row],[Ver]]</f>
        <v>1</v>
      </c>
      <c r="D894" t="str">
        <f>TableSTRUMATHB[[#This Row],[Structure Line]]</f>
        <v>Children as Mathematical Learners</v>
      </c>
      <c r="E894" s="81">
        <f>TableSTRUMATHB[[#This Row],[Credit Points]]</f>
        <v>25</v>
      </c>
      <c r="F894">
        <v>2</v>
      </c>
      <c r="G894" t="s">
        <v>1208</v>
      </c>
      <c r="H894">
        <v>2</v>
      </c>
      <c r="I894" t="s">
        <v>1212</v>
      </c>
      <c r="J894" t="s">
        <v>90</v>
      </c>
      <c r="K894">
        <v>1</v>
      </c>
      <c r="L894" t="s">
        <v>902</v>
      </c>
      <c r="M894">
        <v>25</v>
      </c>
      <c r="N894" s="125">
        <v>42005</v>
      </c>
      <c r="O894" s="125"/>
      <c r="R894" t="s">
        <v>708</v>
      </c>
      <c r="S894">
        <v>1</v>
      </c>
    </row>
    <row r="895" spans="1:19" x14ac:dyDescent="0.25">
      <c r="A895" t="str">
        <f>TableSTRUMATHB[[#This Row],[Study Package Code]]</f>
        <v>STAT2001</v>
      </c>
      <c r="B895" s="5">
        <f>TableSTRUMATHB[[#This Row],[Ver]]</f>
        <v>2</v>
      </c>
      <c r="D895" t="str">
        <f>TableSTRUMATHB[[#This Row],[Structure Line]]</f>
        <v>Mathematical Statistics</v>
      </c>
      <c r="E895" s="81">
        <f>TableSTRUMATHB[[#This Row],[Credit Points]]</f>
        <v>25</v>
      </c>
      <c r="F895">
        <v>3</v>
      </c>
      <c r="G895" t="s">
        <v>1208</v>
      </c>
      <c r="H895">
        <v>3</v>
      </c>
      <c r="I895" t="s">
        <v>1209</v>
      </c>
      <c r="J895" t="s">
        <v>544</v>
      </c>
      <c r="K895">
        <v>2</v>
      </c>
      <c r="L895" t="s">
        <v>1150</v>
      </c>
      <c r="M895">
        <v>25</v>
      </c>
      <c r="N895" s="125">
        <v>44197</v>
      </c>
      <c r="O895" s="125"/>
      <c r="R895" t="s">
        <v>90</v>
      </c>
      <c r="S895">
        <v>1</v>
      </c>
    </row>
    <row r="896" spans="1:19" x14ac:dyDescent="0.25">
      <c r="A896" t="str">
        <f>TableSTRUMATHB[[#This Row],[Study Package Code]]</f>
        <v>EDPR3000</v>
      </c>
      <c r="B896" s="5">
        <f>TableSTRUMATHB[[#This Row],[Ver]]</f>
        <v>1</v>
      </c>
      <c r="D896" t="str">
        <f>TableSTRUMATHB[[#This Row],[Structure Line]]</f>
        <v>Inquiry in the Mathematics Classroom</v>
      </c>
      <c r="E896" s="81">
        <f>TableSTRUMATHB[[#This Row],[Credit Points]]</f>
        <v>25</v>
      </c>
      <c r="F896">
        <v>4</v>
      </c>
      <c r="G896" t="s">
        <v>1208</v>
      </c>
      <c r="H896">
        <v>3</v>
      </c>
      <c r="I896" t="s">
        <v>1212</v>
      </c>
      <c r="J896" t="s">
        <v>135</v>
      </c>
      <c r="K896">
        <v>1</v>
      </c>
      <c r="L896" t="s">
        <v>908</v>
      </c>
      <c r="M896">
        <v>25</v>
      </c>
      <c r="N896" s="125">
        <v>42005</v>
      </c>
      <c r="O896" s="125"/>
      <c r="R896" t="s">
        <v>544</v>
      </c>
      <c r="S896">
        <v>2</v>
      </c>
    </row>
    <row r="897" spans="1:19" x14ac:dyDescent="0.25">
      <c r="A897" t="str">
        <f>TableSTRUMATHB[[#This Row],[Study Package Code]]</f>
        <v>Opt-MATHB</v>
      </c>
      <c r="B897" s="5">
        <f>TableSTRUMATHB[[#This Row],[Ver]]</f>
        <v>0</v>
      </c>
      <c r="D897" t="str">
        <f>TableSTRUMATHB[[#This Row],[Structure Line]]</f>
        <v>Choose an Option for Year 3</v>
      </c>
      <c r="E897" s="81">
        <f>TableSTRUMATHB[[#This Row],[Credit Points]]</f>
        <v>50</v>
      </c>
      <c r="F897">
        <v>5</v>
      </c>
      <c r="G897" t="s">
        <v>140</v>
      </c>
      <c r="H897">
        <v>3</v>
      </c>
      <c r="I897" t="s">
        <v>1221</v>
      </c>
      <c r="J897" t="s">
        <v>698</v>
      </c>
      <c r="K897">
        <v>0</v>
      </c>
      <c r="L897" t="s">
        <v>1310</v>
      </c>
      <c r="M897">
        <v>50</v>
      </c>
      <c r="N897" s="125"/>
      <c r="O897" s="125"/>
      <c r="R897" t="s">
        <v>135</v>
      </c>
      <c r="S897">
        <v>1</v>
      </c>
    </row>
    <row r="898" spans="1:19" x14ac:dyDescent="0.25">
      <c r="A898" t="str">
        <f>TableSTRUMATHB[[#This Row],[Study Package Code]]</f>
        <v>CTED4001</v>
      </c>
      <c r="B898" s="5">
        <f>TableSTRUMATHB[[#This Row],[Ver]]</f>
        <v>2</v>
      </c>
      <c r="D898" t="str">
        <f>TableSTRUMATHB[[#This Row],[Structure Line]]</f>
        <v>Teaching About Sacraments in Catholic Schools</v>
      </c>
      <c r="E898" s="81">
        <f>TableSTRUMATHB[[#This Row],[Credit Points]]</f>
        <v>25</v>
      </c>
      <c r="F898">
        <v>5</v>
      </c>
      <c r="G898" t="s">
        <v>140</v>
      </c>
      <c r="H898">
        <v>3</v>
      </c>
      <c r="I898" t="s">
        <v>1221</v>
      </c>
      <c r="J898" t="s">
        <v>174</v>
      </c>
      <c r="K898">
        <v>2</v>
      </c>
      <c r="L898" t="s">
        <v>858</v>
      </c>
      <c r="M898">
        <v>25</v>
      </c>
      <c r="N898" s="125">
        <v>45292</v>
      </c>
      <c r="O898" s="125"/>
      <c r="R898" t="s">
        <v>1293</v>
      </c>
      <c r="S898">
        <v>0</v>
      </c>
    </row>
    <row r="899" spans="1:19" x14ac:dyDescent="0.25">
      <c r="A899" t="str">
        <f>TableSTRUMATHB[[#This Row],[Study Package Code]]</f>
        <v>CTED4006</v>
      </c>
      <c r="B899" s="5">
        <f>TableSTRUMATHB[[#This Row],[Ver]]</f>
        <v>1</v>
      </c>
      <c r="D899" t="str">
        <f>TableSTRUMATHB[[#This Row],[Structure Line]]</f>
        <v>Teaching About Jesus in Catholic Schools</v>
      </c>
      <c r="E899" s="81">
        <f>TableSTRUMATHB[[#This Row],[Credit Points]]</f>
        <v>25</v>
      </c>
      <c r="F899">
        <v>5</v>
      </c>
      <c r="G899" t="s">
        <v>140</v>
      </c>
      <c r="H899">
        <v>3</v>
      </c>
      <c r="I899" t="s">
        <v>1221</v>
      </c>
      <c r="J899" t="s">
        <v>167</v>
      </c>
      <c r="K899">
        <v>1</v>
      </c>
      <c r="L899" t="s">
        <v>859</v>
      </c>
      <c r="M899">
        <v>25</v>
      </c>
      <c r="N899" s="125">
        <v>45292</v>
      </c>
      <c r="O899" s="125"/>
      <c r="R899" t="s">
        <v>174</v>
      </c>
      <c r="S899">
        <v>2</v>
      </c>
    </row>
    <row r="900" spans="1:19" x14ac:dyDescent="0.25">
      <c r="A900" t="str">
        <f>TableSTRUMATHB[[#This Row],[Study Package Code]]</f>
        <v>CTED4008</v>
      </c>
      <c r="B900" s="5">
        <f>TableSTRUMATHB[[#This Row],[Ver]]</f>
        <v>1</v>
      </c>
      <c r="D900" t="str">
        <f>TableSTRUMATHB[[#This Row],[Structure Line]]</f>
        <v>Teaching About the Gospels in Catholic Schools</v>
      </c>
      <c r="E900" s="81">
        <f>TableSTRUMATHB[[#This Row],[Credit Points]]</f>
        <v>25</v>
      </c>
      <c r="F900">
        <v>5</v>
      </c>
      <c r="G900" t="s">
        <v>140</v>
      </c>
      <c r="H900">
        <v>3</v>
      </c>
      <c r="I900" t="s">
        <v>1221</v>
      </c>
      <c r="J900" t="s">
        <v>180</v>
      </c>
      <c r="K900">
        <v>1</v>
      </c>
      <c r="L900" t="s">
        <v>860</v>
      </c>
      <c r="M900">
        <v>25</v>
      </c>
      <c r="N900" s="125">
        <v>45292</v>
      </c>
      <c r="O900" s="125"/>
      <c r="R900" t="s">
        <v>167</v>
      </c>
      <c r="S900">
        <v>1</v>
      </c>
    </row>
    <row r="901" spans="1:19" x14ac:dyDescent="0.25">
      <c r="A901" t="str">
        <f>TableSTRUMATHB[[#This Row],[Study Package Code]]</f>
        <v>EDUC4012</v>
      </c>
      <c r="B901" s="5">
        <f>TableSTRUMATHB[[#This Row],[Ver]]</f>
        <v>2</v>
      </c>
      <c r="D901" t="str">
        <f>TableSTRUMATHB[[#This Row],[Structure Line]]</f>
        <v>Relationships and Sexuality Education</v>
      </c>
      <c r="E901" s="81">
        <f>TableSTRUMATHB[[#This Row],[Credit Points]]</f>
        <v>25</v>
      </c>
      <c r="F901">
        <v>5</v>
      </c>
      <c r="G901" t="s">
        <v>140</v>
      </c>
      <c r="H901">
        <v>3</v>
      </c>
      <c r="I901" t="s">
        <v>1221</v>
      </c>
      <c r="J901" t="s">
        <v>194</v>
      </c>
      <c r="K901">
        <v>2</v>
      </c>
      <c r="L901" t="s">
        <v>975</v>
      </c>
      <c r="M901">
        <v>25</v>
      </c>
      <c r="N901" s="125">
        <v>44927</v>
      </c>
      <c r="O901" s="125"/>
      <c r="R901" t="s">
        <v>180</v>
      </c>
      <c r="S901">
        <v>1</v>
      </c>
    </row>
    <row r="902" spans="1:19" x14ac:dyDescent="0.25">
      <c r="A902" t="str">
        <f>TableSTRUMATHB[[#This Row],[Study Package Code]]</f>
        <v>EDUC4014</v>
      </c>
      <c r="B902" s="5">
        <f>TableSTRUMATHB[[#This Row],[Ver]]</f>
        <v>1</v>
      </c>
      <c r="D902" t="str">
        <f>TableSTRUMATHB[[#This Row],[Structure Line]]</f>
        <v>Diverse Abilities and Curriculum Differentiation</v>
      </c>
      <c r="E902" s="81">
        <f>TableSTRUMATHB[[#This Row],[Credit Points]]</f>
        <v>25</v>
      </c>
      <c r="F902">
        <v>5</v>
      </c>
      <c r="G902" t="s">
        <v>140</v>
      </c>
      <c r="H902">
        <v>3</v>
      </c>
      <c r="I902" t="s">
        <v>1221</v>
      </c>
      <c r="J902" t="s">
        <v>195</v>
      </c>
      <c r="K902">
        <v>1</v>
      </c>
      <c r="L902" t="s">
        <v>976</v>
      </c>
      <c r="M902">
        <v>25</v>
      </c>
      <c r="N902" s="125">
        <v>42005</v>
      </c>
      <c r="O902" s="125"/>
      <c r="R902" t="s">
        <v>196</v>
      </c>
      <c r="S902">
        <v>1</v>
      </c>
    </row>
    <row r="903" spans="1:19" x14ac:dyDescent="0.25">
      <c r="A903" t="str">
        <f>TableSTRUMATHB[[#This Row],[Study Package Code]]</f>
        <v>EDUC4020</v>
      </c>
      <c r="B903" s="5">
        <f>TableSTRUMATHB[[#This Row],[Ver]]</f>
        <v>1</v>
      </c>
      <c r="D903" t="str">
        <f>TableSTRUMATHB[[#This Row],[Structure Line]]</f>
        <v>Supporting Literacy and Numeracy Development for Diverse Learners</v>
      </c>
      <c r="E903" s="81">
        <f>TableSTRUMATHB[[#This Row],[Credit Points]]</f>
        <v>25</v>
      </c>
      <c r="F903">
        <v>5</v>
      </c>
      <c r="G903" t="s">
        <v>140</v>
      </c>
      <c r="H903">
        <v>3</v>
      </c>
      <c r="I903" t="s">
        <v>1221</v>
      </c>
      <c r="J903" t="s">
        <v>184</v>
      </c>
      <c r="K903">
        <v>1</v>
      </c>
      <c r="L903" t="s">
        <v>977</v>
      </c>
      <c r="M903">
        <v>25</v>
      </c>
      <c r="N903" s="125">
        <v>43282</v>
      </c>
      <c r="O903" s="125"/>
      <c r="R903" t="s">
        <v>198</v>
      </c>
      <c r="S903">
        <v>1</v>
      </c>
    </row>
    <row r="904" spans="1:19" x14ac:dyDescent="0.25">
      <c r="A904" t="str">
        <f>TableSTRUMATHB[[#This Row],[Study Package Code]]</f>
        <v>EDUC4021</v>
      </c>
      <c r="B904" s="5">
        <f>TableSTRUMATHB[[#This Row],[Ver]]</f>
        <v>1</v>
      </c>
      <c r="D904" t="str">
        <f>TableSTRUMATHB[[#This Row],[Structure Line]]</f>
        <v>Project-based iSTEM Education</v>
      </c>
      <c r="E904" s="81">
        <f>TableSTRUMATHB[[#This Row],[Credit Points]]</f>
        <v>25</v>
      </c>
      <c r="F904">
        <v>5</v>
      </c>
      <c r="G904" t="s">
        <v>140</v>
      </c>
      <c r="H904">
        <v>3</v>
      </c>
      <c r="I904" t="s">
        <v>1221</v>
      </c>
      <c r="J904" t="s">
        <v>170</v>
      </c>
      <c r="K904">
        <v>1</v>
      </c>
      <c r="L904" t="s">
        <v>978</v>
      </c>
      <c r="M904">
        <v>25</v>
      </c>
      <c r="N904" s="125">
        <v>43282</v>
      </c>
      <c r="O904" s="125"/>
      <c r="R904" t="s">
        <v>1224</v>
      </c>
      <c r="S904">
        <v>1</v>
      </c>
    </row>
    <row r="905" spans="1:19" x14ac:dyDescent="0.25">
      <c r="A905" t="str">
        <f>TableSTRUMATHB[[#This Row],[Study Package Code]]</f>
        <v>EDUC4029</v>
      </c>
      <c r="B905" s="5">
        <f>TableSTRUMATHB[[#This Row],[Ver]]</f>
        <v>1</v>
      </c>
      <c r="D905" t="str">
        <f>TableSTRUMATHB[[#This Row],[Structure Line]]</f>
        <v>Technologies: Coding for Teachers</v>
      </c>
      <c r="E905" s="81">
        <f>TableSTRUMATHB[[#This Row],[Credit Points]]</f>
        <v>25</v>
      </c>
      <c r="F905">
        <v>5</v>
      </c>
      <c r="G905" t="s">
        <v>140</v>
      </c>
      <c r="H905">
        <v>3</v>
      </c>
      <c r="I905" t="s">
        <v>1221</v>
      </c>
      <c r="J905" t="s">
        <v>172</v>
      </c>
      <c r="K905">
        <v>1</v>
      </c>
      <c r="L905" t="s">
        <v>981</v>
      </c>
      <c r="M905">
        <v>25</v>
      </c>
      <c r="N905" s="125">
        <v>43282</v>
      </c>
      <c r="O905" s="125"/>
      <c r="R905" t="s">
        <v>194</v>
      </c>
      <c r="S905">
        <v>2</v>
      </c>
    </row>
    <row r="906" spans="1:19" x14ac:dyDescent="0.25">
      <c r="A906" t="str">
        <f>TableSTRUMATHB[[#This Row],[Study Package Code]]</f>
        <v>EDUC4032</v>
      </c>
      <c r="B906" s="5">
        <f>TableSTRUMATHB[[#This Row],[Ver]]</f>
        <v>1</v>
      </c>
      <c r="D906" t="str">
        <f>TableSTRUMATHB[[#This Row],[Structure Line]]</f>
        <v>iSTEM Education through Digital Stories</v>
      </c>
      <c r="E906" s="81">
        <f>TableSTRUMATHB[[#This Row],[Credit Points]]</f>
        <v>25</v>
      </c>
      <c r="F906">
        <v>5</v>
      </c>
      <c r="G906" t="s">
        <v>140</v>
      </c>
      <c r="H906">
        <v>3</v>
      </c>
      <c r="I906" t="s">
        <v>1221</v>
      </c>
      <c r="J906" t="s">
        <v>177</v>
      </c>
      <c r="K906">
        <v>1</v>
      </c>
      <c r="L906" t="s">
        <v>982</v>
      </c>
      <c r="M906">
        <v>25</v>
      </c>
      <c r="N906" s="125">
        <v>43466</v>
      </c>
      <c r="O906" s="125"/>
      <c r="R906" t="s">
        <v>195</v>
      </c>
      <c r="S906">
        <v>1</v>
      </c>
    </row>
    <row r="907" spans="1:19" x14ac:dyDescent="0.25">
      <c r="A907" t="str">
        <f>TableSTRUMATHB[[#This Row],[Study Package Code]]</f>
        <v>EDUC4034</v>
      </c>
      <c r="B907" s="5">
        <f>TableSTRUMATHB[[#This Row],[Ver]]</f>
        <v>1</v>
      </c>
      <c r="D907" t="str">
        <f>TableSTRUMATHB[[#This Row],[Structure Line]]</f>
        <v>iSTEM: Social Issues</v>
      </c>
      <c r="E907" s="81">
        <f>TableSTRUMATHB[[#This Row],[Credit Points]]</f>
        <v>25</v>
      </c>
      <c r="F907">
        <v>5</v>
      </c>
      <c r="G907" t="s">
        <v>140</v>
      </c>
      <c r="H907">
        <v>3</v>
      </c>
      <c r="I907" t="s">
        <v>1221</v>
      </c>
      <c r="J907" t="s">
        <v>183</v>
      </c>
      <c r="K907">
        <v>1</v>
      </c>
      <c r="L907" t="s">
        <v>983</v>
      </c>
      <c r="M907">
        <v>25</v>
      </c>
      <c r="N907" s="125">
        <v>43466</v>
      </c>
      <c r="O907" s="125"/>
      <c r="R907" t="s">
        <v>184</v>
      </c>
      <c r="S907">
        <v>1</v>
      </c>
    </row>
    <row r="908" spans="1:19" x14ac:dyDescent="0.25">
      <c r="A908" t="str">
        <f>TableSTRUMATHB[[#This Row],[Study Package Code]]</f>
        <v>EDUC4038</v>
      </c>
      <c r="B908" s="5">
        <f>TableSTRUMATHB[[#This Row],[Ver]]</f>
        <v>1</v>
      </c>
      <c r="D908" t="str">
        <f>TableSTRUMATHB[[#This Row],[Structure Line]]</f>
        <v>Technologies: Design Solutions</v>
      </c>
      <c r="E908" s="81">
        <f>TableSTRUMATHB[[#This Row],[Credit Points]]</f>
        <v>25</v>
      </c>
      <c r="F908">
        <v>5</v>
      </c>
      <c r="G908" t="s">
        <v>140</v>
      </c>
      <c r="H908">
        <v>3</v>
      </c>
      <c r="I908" t="s">
        <v>1221</v>
      </c>
      <c r="J908" t="s">
        <v>179</v>
      </c>
      <c r="K908">
        <v>1</v>
      </c>
      <c r="L908" t="s">
        <v>985</v>
      </c>
      <c r="M908">
        <v>25</v>
      </c>
      <c r="N908" s="125">
        <v>43466</v>
      </c>
      <c r="O908" s="125"/>
      <c r="R908" t="s">
        <v>170</v>
      </c>
      <c r="S908">
        <v>1</v>
      </c>
    </row>
    <row r="909" spans="1:19" x14ac:dyDescent="0.25">
      <c r="A909" t="str">
        <f>TableSTRUMATHB[[#This Row],[Study Package Code]]</f>
        <v>EDUC4042</v>
      </c>
      <c r="B909" s="5">
        <f>TableSTRUMATHB[[#This Row],[Ver]]</f>
        <v>1</v>
      </c>
      <c r="D909" t="str">
        <f>TableSTRUMATHB[[#This Row],[Structure Line]]</f>
        <v>Alternative Approaches to Teaching Literacy and Numeracy</v>
      </c>
      <c r="E909" s="81">
        <f>TableSTRUMATHB[[#This Row],[Credit Points]]</f>
        <v>25</v>
      </c>
      <c r="F909">
        <v>5</v>
      </c>
      <c r="G909" t="s">
        <v>140</v>
      </c>
      <c r="H909">
        <v>3</v>
      </c>
      <c r="I909" t="s">
        <v>1221</v>
      </c>
      <c r="J909" t="s">
        <v>171</v>
      </c>
      <c r="K909">
        <v>1</v>
      </c>
      <c r="L909" t="s">
        <v>988</v>
      </c>
      <c r="M909">
        <v>25</v>
      </c>
      <c r="N909" s="125">
        <v>43466</v>
      </c>
      <c r="O909" s="125"/>
      <c r="R909" t="s">
        <v>175</v>
      </c>
      <c r="S909">
        <v>1</v>
      </c>
    </row>
    <row r="910" spans="1:19" x14ac:dyDescent="0.25">
      <c r="A910" t="str">
        <f>TableSTRUMATHB[[#This Row],[Study Package Code]]</f>
        <v>EDUC4044</v>
      </c>
      <c r="B910" s="5">
        <f>TableSTRUMATHB[[#This Row],[Ver]]</f>
        <v>2</v>
      </c>
      <c r="D910" t="str">
        <f>TableSTRUMATHB[[#This Row],[Structure Line]]</f>
        <v>Literacy and Numeracy for First Nations Peoples of Australia</v>
      </c>
      <c r="E910" s="81">
        <f>TableSTRUMATHB[[#This Row],[Credit Points]]</f>
        <v>25</v>
      </c>
      <c r="F910">
        <v>5</v>
      </c>
      <c r="G910" t="s">
        <v>140</v>
      </c>
      <c r="H910">
        <v>3</v>
      </c>
      <c r="I910" t="s">
        <v>1221</v>
      </c>
      <c r="J910" t="s">
        <v>178</v>
      </c>
      <c r="K910">
        <v>2</v>
      </c>
      <c r="L910" t="s">
        <v>989</v>
      </c>
      <c r="M910">
        <v>25</v>
      </c>
      <c r="N910" s="125">
        <v>44927</v>
      </c>
      <c r="O910" s="125"/>
      <c r="R910" t="s">
        <v>168</v>
      </c>
      <c r="S910">
        <v>1</v>
      </c>
    </row>
    <row r="911" spans="1:19" x14ac:dyDescent="0.25">
      <c r="A911" t="str">
        <f>TableSTRUMATHB[[#This Row],[Study Package Code]]</f>
        <v>EDUC4046</v>
      </c>
      <c r="B911" s="5">
        <f>TableSTRUMATHB[[#This Row],[Ver]]</f>
        <v>1</v>
      </c>
      <c r="D911" t="str">
        <f>TableSTRUMATHB[[#This Row],[Structure Line]]</f>
        <v>Technologies: Digital Solutions</v>
      </c>
      <c r="E911" s="81">
        <f>TableSTRUMATHB[[#This Row],[Credit Points]]</f>
        <v>25</v>
      </c>
      <c r="F911">
        <v>5</v>
      </c>
      <c r="G911" t="s">
        <v>140</v>
      </c>
      <c r="H911">
        <v>3</v>
      </c>
      <c r="I911" t="s">
        <v>1221</v>
      </c>
      <c r="J911" t="s">
        <v>185</v>
      </c>
      <c r="K911">
        <v>1</v>
      </c>
      <c r="L911" t="s">
        <v>990</v>
      </c>
      <c r="M911">
        <v>25</v>
      </c>
      <c r="N911" s="125">
        <v>43466</v>
      </c>
      <c r="O911" s="125"/>
      <c r="R911" t="s">
        <v>172</v>
      </c>
      <c r="S911">
        <v>1</v>
      </c>
    </row>
    <row r="912" spans="1:19" x14ac:dyDescent="0.25">
      <c r="A912" t="str">
        <f>TableSTRUMATHB[[#This Row],[Study Package Code]]</f>
        <v>EDUC4048</v>
      </c>
      <c r="B912" s="5">
        <f>TableSTRUMATHB[[#This Row],[Ver]]</f>
        <v>1</v>
      </c>
      <c r="D912" t="str">
        <f>TableSTRUMATHB[[#This Row],[Structure Line]]</f>
        <v>Mentoring, Coaching and Tutoring</v>
      </c>
      <c r="E912" s="81">
        <f>TableSTRUMATHB[[#This Row],[Credit Points]]</f>
        <v>25</v>
      </c>
      <c r="F912">
        <v>5</v>
      </c>
      <c r="G912" t="s">
        <v>140</v>
      </c>
      <c r="H912">
        <v>3</v>
      </c>
      <c r="I912" t="s">
        <v>1221</v>
      </c>
      <c r="J912" t="s">
        <v>129</v>
      </c>
      <c r="K912">
        <v>1</v>
      </c>
      <c r="L912" t="s">
        <v>991</v>
      </c>
      <c r="M912">
        <v>25</v>
      </c>
      <c r="N912" s="125">
        <v>43466</v>
      </c>
      <c r="O912" s="125"/>
      <c r="R912" t="s">
        <v>177</v>
      </c>
      <c r="S912">
        <v>1</v>
      </c>
    </row>
    <row r="913" spans="1:19" x14ac:dyDescent="0.25">
      <c r="A913">
        <f>TableSTRUMATHB[[#This Row],[Study Package Code]]</f>
        <v>0</v>
      </c>
      <c r="B913" s="5">
        <f>TableSTRUMATHB[[#This Row],[Ver]]</f>
        <v>0</v>
      </c>
      <c r="D913">
        <f>TableSTRUMATHB[[#This Row],[Structure Line]]</f>
        <v>0</v>
      </c>
      <c r="E913" s="81">
        <f>TableSTRUMATHB[[#This Row],[Credit Points]]</f>
        <v>0</v>
      </c>
      <c r="N913" s="125"/>
      <c r="O913" s="125"/>
      <c r="R913" t="s">
        <v>183</v>
      </c>
      <c r="S913">
        <v>1</v>
      </c>
    </row>
    <row r="914" spans="1:19" x14ac:dyDescent="0.25">
      <c r="A914">
        <f>TableSTRUMATHB[[#This Row],[Study Package Code]]</f>
        <v>0</v>
      </c>
      <c r="B914" s="5">
        <f>TableSTRUMATHB[[#This Row],[Ver]]</f>
        <v>0</v>
      </c>
      <c r="D914">
        <f>TableSTRUMATHB[[#This Row],[Structure Line]]</f>
        <v>0</v>
      </c>
      <c r="E914" s="81">
        <f>TableSTRUMATHB[[#This Row],[Credit Points]]</f>
        <v>0</v>
      </c>
      <c r="N914" s="125"/>
      <c r="O914" s="125"/>
      <c r="R914" t="s">
        <v>181</v>
      </c>
      <c r="S914">
        <v>1</v>
      </c>
    </row>
    <row r="915" spans="1:19" x14ac:dyDescent="0.25">
      <c r="A915">
        <f>TableSTRUMATHB[[#This Row],[Study Package Code]]</f>
        <v>0</v>
      </c>
      <c r="B915" s="5">
        <f>TableSTRUMATHB[[#This Row],[Ver]]</f>
        <v>0</v>
      </c>
      <c r="D915">
        <f>TableSTRUMATHB[[#This Row],[Structure Line]]</f>
        <v>0</v>
      </c>
      <c r="E915" s="81">
        <f>TableSTRUMATHB[[#This Row],[Credit Points]]</f>
        <v>0</v>
      </c>
      <c r="N915" s="125"/>
      <c r="O915" s="125"/>
      <c r="R915" t="s">
        <v>179</v>
      </c>
      <c r="S915">
        <v>1</v>
      </c>
    </row>
    <row r="916" spans="1:19" x14ac:dyDescent="0.25">
      <c r="A916">
        <f>TableSTRUMATHB[[#This Row],[Study Package Code]]</f>
        <v>0</v>
      </c>
      <c r="B916" s="5">
        <f>TableSTRUMATHB[[#This Row],[Ver]]</f>
        <v>0</v>
      </c>
      <c r="D916">
        <f>TableSTRUMATHB[[#This Row],[Structure Line]]</f>
        <v>0</v>
      </c>
      <c r="E916" s="81">
        <f>TableSTRUMATHB[[#This Row],[Credit Points]]</f>
        <v>0</v>
      </c>
      <c r="N916" s="125"/>
      <c r="O916" s="125"/>
      <c r="R916" t="s">
        <v>171</v>
      </c>
      <c r="S916">
        <v>1</v>
      </c>
    </row>
    <row r="917" spans="1:19" x14ac:dyDescent="0.25">
      <c r="A917">
        <f>TableSTRUMATHB[[#This Row],[Study Package Code]]</f>
        <v>0</v>
      </c>
      <c r="B917" s="5">
        <f>TableSTRUMATHB[[#This Row],[Ver]]</f>
        <v>0</v>
      </c>
      <c r="D917">
        <f>TableSTRUMATHB[[#This Row],[Structure Line]]</f>
        <v>0</v>
      </c>
      <c r="E917" s="81">
        <f>TableSTRUMATHB[[#This Row],[Credit Points]]</f>
        <v>0</v>
      </c>
      <c r="N917" s="125"/>
      <c r="O917" s="125"/>
      <c r="R917" t="s">
        <v>178</v>
      </c>
      <c r="S917">
        <v>2</v>
      </c>
    </row>
    <row r="918" spans="1:19" x14ac:dyDescent="0.25">
      <c r="A918">
        <f>TableSTRUMATHB[[#This Row],[Study Package Code]]</f>
        <v>0</v>
      </c>
      <c r="B918" s="5">
        <f>TableSTRUMATHB[[#This Row],[Ver]]</f>
        <v>0</v>
      </c>
      <c r="D918">
        <f>TableSTRUMATHB[[#This Row],[Structure Line]]</f>
        <v>0</v>
      </c>
      <c r="E918" s="81">
        <f>TableSTRUMATHB[[#This Row],[Credit Points]]</f>
        <v>0</v>
      </c>
      <c r="K918" s="126"/>
      <c r="L918" s="126"/>
      <c r="M918" s="126"/>
      <c r="N918" s="125"/>
      <c r="O918" s="125"/>
      <c r="R918" t="s">
        <v>185</v>
      </c>
      <c r="S918">
        <v>1</v>
      </c>
    </row>
    <row r="919" spans="1:19" x14ac:dyDescent="0.25">
      <c r="A919">
        <f>TableSTRUMATHB[[#This Row],[Study Package Code]]</f>
        <v>0</v>
      </c>
      <c r="B919" s="5">
        <f>TableSTRUMATHB[[#This Row],[Ver]]</f>
        <v>0</v>
      </c>
      <c r="D919">
        <f>TableSTRUMATHB[[#This Row],[Structure Line]]</f>
        <v>0</v>
      </c>
      <c r="E919" s="81">
        <f>TableSTRUMATHB[[#This Row],[Credit Points]]</f>
        <v>0</v>
      </c>
      <c r="N919" s="125"/>
      <c r="O919" s="125"/>
      <c r="R919" t="s">
        <v>129</v>
      </c>
      <c r="S919">
        <v>1</v>
      </c>
    </row>
    <row r="920" spans="1:19" x14ac:dyDescent="0.25">
      <c r="A920" s="78"/>
      <c r="B920" s="80"/>
      <c r="C920" s="78"/>
      <c r="G920" s="79" t="s">
        <v>1194</v>
      </c>
      <c r="H920" s="272">
        <v>45658</v>
      </c>
      <c r="J920" s="274" t="s">
        <v>356</v>
      </c>
      <c r="K920" s="273" t="s">
        <v>77</v>
      </c>
      <c r="L920" s="274" t="s">
        <v>213</v>
      </c>
      <c r="M920" s="78"/>
      <c r="N920" s="198" t="s">
        <v>1195</v>
      </c>
      <c r="O920" s="125">
        <v>45544</v>
      </c>
    </row>
    <row r="921" spans="1:19" ht="31.5" x14ac:dyDescent="0.25">
      <c r="A921" s="97" t="s">
        <v>0</v>
      </c>
      <c r="B921" s="98" t="s">
        <v>1196</v>
      </c>
      <c r="C921" s="97" t="s">
        <v>1197</v>
      </c>
      <c r="D921" s="97" t="s">
        <v>3</v>
      </c>
      <c r="E921" s="99" t="s">
        <v>1198</v>
      </c>
      <c r="F921" s="97" t="s">
        <v>1199</v>
      </c>
      <c r="G921" s="97" t="s">
        <v>1200</v>
      </c>
      <c r="H921" s="97" t="s">
        <v>1201</v>
      </c>
      <c r="I921" s="97" t="s">
        <v>18</v>
      </c>
      <c r="J921" s="97" t="s">
        <v>1202</v>
      </c>
      <c r="K921" s="97" t="s">
        <v>1</v>
      </c>
      <c r="L921" s="97" t="s">
        <v>1203</v>
      </c>
      <c r="M921" s="97" t="s">
        <v>69</v>
      </c>
      <c r="N921" s="97" t="s">
        <v>1204</v>
      </c>
      <c r="O921" s="97" t="s">
        <v>1205</v>
      </c>
      <c r="R921" t="s">
        <v>1206</v>
      </c>
      <c r="S921" t="s">
        <v>1207</v>
      </c>
    </row>
    <row r="922" spans="1:19" x14ac:dyDescent="0.25">
      <c r="A922" t="str">
        <f>TableSTRUMATHM[[#This Row],[Study Package Code]]</f>
        <v>MATH1016</v>
      </c>
      <c r="B922" s="5">
        <f>TableSTRUMATHM[[#This Row],[Ver]]</f>
        <v>1</v>
      </c>
      <c r="D922" t="str">
        <f>TableSTRUMATHM[[#This Row],[Structure Line]]</f>
        <v>Calculus 1</v>
      </c>
      <c r="E922" s="81">
        <f>TableSTRUMATHM[[#This Row],[Credit Points]]</f>
        <v>25</v>
      </c>
      <c r="F922">
        <v>1</v>
      </c>
      <c r="G922" t="s">
        <v>1208</v>
      </c>
      <c r="H922">
        <v>1</v>
      </c>
      <c r="I922" t="s">
        <v>1212</v>
      </c>
      <c r="J922" t="s">
        <v>446</v>
      </c>
      <c r="K922">
        <v>1</v>
      </c>
      <c r="L922" t="s">
        <v>1054</v>
      </c>
      <c r="M922">
        <v>25</v>
      </c>
      <c r="N922" s="125">
        <v>42736</v>
      </c>
      <c r="O922" s="125"/>
      <c r="R922" t="s">
        <v>446</v>
      </c>
      <c r="S922">
        <v>1</v>
      </c>
    </row>
    <row r="923" spans="1:19" x14ac:dyDescent="0.25">
      <c r="A923" t="str">
        <f>TableSTRUMATHM[[#This Row],[Study Package Code]]</f>
        <v>MATH1015</v>
      </c>
      <c r="B923" s="5">
        <f>TableSTRUMATHM[[#This Row],[Ver]]</f>
        <v>1</v>
      </c>
      <c r="D923" t="str">
        <f>TableSTRUMATHM[[#This Row],[Structure Line]]</f>
        <v>Linear Algebra 1</v>
      </c>
      <c r="E923" s="81">
        <f>TableSTRUMATHM[[#This Row],[Credit Points]]</f>
        <v>25</v>
      </c>
      <c r="F923">
        <v>2</v>
      </c>
      <c r="G923" t="s">
        <v>1208</v>
      </c>
      <c r="H923">
        <v>2</v>
      </c>
      <c r="I923" t="s">
        <v>1209</v>
      </c>
      <c r="J923" t="s">
        <v>501</v>
      </c>
      <c r="K923">
        <v>1</v>
      </c>
      <c r="L923" t="s">
        <v>1053</v>
      </c>
      <c r="M923">
        <v>25</v>
      </c>
      <c r="N923" s="125">
        <v>42736</v>
      </c>
      <c r="O923" s="125"/>
      <c r="R923" t="s">
        <v>476</v>
      </c>
      <c r="S923">
        <v>1</v>
      </c>
    </row>
    <row r="924" spans="1:19" x14ac:dyDescent="0.25">
      <c r="A924" t="str">
        <f>TableSTRUMATHM[[#This Row],[Study Package Code]]</f>
        <v>AC-MATHM</v>
      </c>
      <c r="B924" s="5">
        <f>TableSTRUMATHM[[#This Row],[Ver]]</f>
        <v>0</v>
      </c>
      <c r="D924" t="str">
        <f>TableSTRUMATHM[[#This Row],[Structure Line]]</f>
        <v>Choose MATH2000 or MATH2010. You must select MATH2010 if you are selecting this stream as part of a Science Education Major (Physics)</v>
      </c>
      <c r="E924" s="81">
        <f>TableSTRUMATHM[[#This Row],[Credit Points]]</f>
        <v>25</v>
      </c>
      <c r="F924">
        <v>3</v>
      </c>
      <c r="G924" t="s">
        <v>1215</v>
      </c>
      <c r="H924">
        <v>2</v>
      </c>
      <c r="I924" t="s">
        <v>1212</v>
      </c>
      <c r="J924" t="s">
        <v>715</v>
      </c>
      <c r="K924">
        <v>0</v>
      </c>
      <c r="L924" t="s">
        <v>1311</v>
      </c>
      <c r="M924">
        <v>25</v>
      </c>
      <c r="N924" s="125"/>
      <c r="O924" s="125"/>
      <c r="R924" t="s">
        <v>748</v>
      </c>
      <c r="S924">
        <v>1</v>
      </c>
    </row>
    <row r="925" spans="1:19" x14ac:dyDescent="0.25">
      <c r="A925" t="str">
        <f>TableSTRUMATHM[[#This Row],[Study Package Code]]</f>
        <v>EDSC4020</v>
      </c>
      <c r="B925" s="5">
        <f>TableSTRUMATHM[[#This Row],[Ver]]</f>
        <v>1</v>
      </c>
      <c r="D925" t="str">
        <f>TableSTRUMATHM[[#This Row],[Structure Line]]</f>
        <v>Curriculum and Instruction Lower Secondary: Mathematics</v>
      </c>
      <c r="E925" s="81">
        <f>TableSTRUMATHM[[#This Row],[Credit Points]]</f>
        <v>25</v>
      </c>
      <c r="F925">
        <v>4</v>
      </c>
      <c r="G925" t="s">
        <v>1208</v>
      </c>
      <c r="H925">
        <v>3</v>
      </c>
      <c r="I925" t="s">
        <v>1209</v>
      </c>
      <c r="J925" t="s">
        <v>466</v>
      </c>
      <c r="K925">
        <v>1</v>
      </c>
      <c r="L925" t="s">
        <v>943</v>
      </c>
      <c r="M925">
        <v>25</v>
      </c>
      <c r="N925" s="125">
        <v>43466</v>
      </c>
      <c r="O925" s="125"/>
      <c r="R925" t="s">
        <v>571</v>
      </c>
      <c r="S925">
        <v>2</v>
      </c>
    </row>
    <row r="926" spans="1:19" x14ac:dyDescent="0.25">
      <c r="A926" t="str">
        <f>TableSTRUMATHM[[#This Row],[Study Package Code]]</f>
        <v>MATH3011</v>
      </c>
      <c r="B926" s="5">
        <f>TableSTRUMATHM[[#This Row],[Ver]]</f>
        <v>1</v>
      </c>
      <c r="D926" t="str">
        <f>TableSTRUMATHM[[#This Row],[Structure Line]]</f>
        <v>Present and Future Mathematics</v>
      </c>
      <c r="E926" s="81">
        <f>TableSTRUMATHM[[#This Row],[Credit Points]]</f>
        <v>25</v>
      </c>
      <c r="F926">
        <v>5</v>
      </c>
      <c r="G926" t="s">
        <v>1208</v>
      </c>
      <c r="H926">
        <v>3</v>
      </c>
      <c r="I926" t="s">
        <v>1209</v>
      </c>
      <c r="J926" t="s">
        <v>558</v>
      </c>
      <c r="K926">
        <v>1</v>
      </c>
      <c r="L926" t="s">
        <v>1061</v>
      </c>
      <c r="M926">
        <v>25</v>
      </c>
      <c r="N926" s="125">
        <v>44562</v>
      </c>
      <c r="O926" s="125"/>
      <c r="R926" t="s">
        <v>466</v>
      </c>
      <c r="S926">
        <v>1</v>
      </c>
    </row>
    <row r="927" spans="1:19" x14ac:dyDescent="0.25">
      <c r="A927" t="str">
        <f>TableSTRUMATHM[[#This Row],[Study Package Code]]</f>
        <v>EDSC4021</v>
      </c>
      <c r="B927" s="5">
        <f>TableSTRUMATHM[[#This Row],[Ver]]</f>
        <v>2</v>
      </c>
      <c r="D927" t="str">
        <f>TableSTRUMATHM[[#This Row],[Structure Line]]</f>
        <v>Curriculum and Instruction Senior Secondary: Mathematics</v>
      </c>
      <c r="E927" s="81">
        <f>TableSTRUMATHM[[#This Row],[Credit Points]]</f>
        <v>25</v>
      </c>
      <c r="F927">
        <v>6</v>
      </c>
      <c r="G927" t="s">
        <v>1208</v>
      </c>
      <c r="H927">
        <v>3</v>
      </c>
      <c r="I927" t="s">
        <v>1212</v>
      </c>
      <c r="J927" t="s">
        <v>487</v>
      </c>
      <c r="K927">
        <v>2</v>
      </c>
      <c r="L927" t="s">
        <v>945</v>
      </c>
      <c r="M927">
        <v>25</v>
      </c>
      <c r="N927" s="125">
        <v>43831</v>
      </c>
      <c r="O927" s="125"/>
      <c r="R927" t="s">
        <v>487</v>
      </c>
      <c r="S927">
        <v>2</v>
      </c>
    </row>
    <row r="928" spans="1:19" x14ac:dyDescent="0.25">
      <c r="A928" t="str">
        <f>TableSTRUMATHM[[#This Row],[Study Package Code]]</f>
        <v>MATH2000</v>
      </c>
      <c r="B928" s="5">
        <f>TableSTRUMATHM[[#This Row],[Ver]]</f>
        <v>1</v>
      </c>
      <c r="D928" t="str">
        <f>TableSTRUMATHM[[#This Row],[Structure Line]]</f>
        <v>Network Optimisation</v>
      </c>
      <c r="E928" s="81">
        <f>TableSTRUMATHM[[#This Row],[Credit Points]]</f>
        <v>25</v>
      </c>
      <c r="F928">
        <v>3</v>
      </c>
      <c r="G928" t="s">
        <v>1215</v>
      </c>
      <c r="H928">
        <v>2</v>
      </c>
      <c r="I928" t="s">
        <v>1212</v>
      </c>
      <c r="J928" t="s">
        <v>748</v>
      </c>
      <c r="K928">
        <v>1</v>
      </c>
      <c r="L928" t="s">
        <v>1055</v>
      </c>
      <c r="M928">
        <v>25</v>
      </c>
      <c r="N928" s="125">
        <v>42005</v>
      </c>
      <c r="O928" s="125"/>
    </row>
    <row r="929" spans="1:19" x14ac:dyDescent="0.25">
      <c r="A929" t="str">
        <f>TableSTRUMATHM[[#This Row],[Study Package Code]]</f>
        <v>MATH2010</v>
      </c>
      <c r="B929" s="5">
        <f>TableSTRUMATHM[[#This Row],[Ver]]</f>
        <v>2</v>
      </c>
      <c r="D929" t="str">
        <f>TableSTRUMATHM[[#This Row],[Structure Line]]</f>
        <v>Linear Algebra 2</v>
      </c>
      <c r="E929" s="81">
        <f>TableSTRUMATHM[[#This Row],[Credit Points]]</f>
        <v>25</v>
      </c>
      <c r="F929">
        <v>3</v>
      </c>
      <c r="G929" t="s">
        <v>1215</v>
      </c>
      <c r="H929">
        <v>2</v>
      </c>
      <c r="I929" t="s">
        <v>1212</v>
      </c>
      <c r="J929" t="s">
        <v>492</v>
      </c>
      <c r="K929">
        <v>2</v>
      </c>
      <c r="L929" t="s">
        <v>1057</v>
      </c>
      <c r="M929">
        <v>25</v>
      </c>
      <c r="N929" s="125">
        <v>42736</v>
      </c>
      <c r="O929" s="125"/>
      <c r="R929" t="s">
        <v>588</v>
      </c>
      <c r="S929">
        <v>1</v>
      </c>
    </row>
    <row r="930" spans="1:19" x14ac:dyDescent="0.25">
      <c r="A930" s="78"/>
      <c r="B930" s="80"/>
      <c r="C930" s="78"/>
      <c r="G930" s="79" t="s">
        <v>1194</v>
      </c>
      <c r="H930" s="272">
        <v>45658</v>
      </c>
      <c r="J930" s="274" t="s">
        <v>352</v>
      </c>
      <c r="K930" s="273" t="s">
        <v>77</v>
      </c>
      <c r="L930" s="274" t="s">
        <v>410</v>
      </c>
      <c r="M930" s="78"/>
      <c r="N930" s="198" t="s">
        <v>1195</v>
      </c>
      <c r="O930" s="125">
        <v>45544</v>
      </c>
    </row>
    <row r="931" spans="1:19" ht="31.5" x14ac:dyDescent="0.25">
      <c r="A931" s="97" t="s">
        <v>0</v>
      </c>
      <c r="B931" s="98" t="s">
        <v>1196</v>
      </c>
      <c r="C931" s="97" t="s">
        <v>1197</v>
      </c>
      <c r="D931" s="97" t="s">
        <v>3</v>
      </c>
      <c r="E931" s="99" t="s">
        <v>1198</v>
      </c>
      <c r="F931" s="97" t="s">
        <v>1199</v>
      </c>
      <c r="G931" s="97" t="s">
        <v>1200</v>
      </c>
      <c r="H931" s="97" t="s">
        <v>1201</v>
      </c>
      <c r="I931" s="97" t="s">
        <v>18</v>
      </c>
      <c r="J931" s="97" t="s">
        <v>1202</v>
      </c>
      <c r="K931" s="97" t="s">
        <v>1</v>
      </c>
      <c r="L931" s="97" t="s">
        <v>1203</v>
      </c>
      <c r="M931" s="97" t="s">
        <v>69</v>
      </c>
      <c r="N931" s="97" t="s">
        <v>1204</v>
      </c>
      <c r="O931" s="97" t="s">
        <v>1205</v>
      </c>
      <c r="R931" t="s">
        <v>1206</v>
      </c>
      <c r="S931" t="s">
        <v>1207</v>
      </c>
    </row>
    <row r="932" spans="1:19" x14ac:dyDescent="0.25">
      <c r="A932" t="str">
        <f>TableSTRUPARTB[[#This Row],[Study Package Code]]</f>
        <v>Opt-PARTB</v>
      </c>
      <c r="B932" s="5">
        <f>TableSTRUPARTB[[#This Row],[Ver]]</f>
        <v>0</v>
      </c>
      <c r="D932" t="str">
        <f>TableSTRUPARTB[[#This Row],[Structure Line]]</f>
        <v>Choose an Option</v>
      </c>
      <c r="E932" s="81">
        <f>TableSTRUPARTB[[#This Row],[Credit Points]]</f>
        <v>25</v>
      </c>
      <c r="F932">
        <v>1</v>
      </c>
      <c r="G932" t="s">
        <v>140</v>
      </c>
      <c r="H932">
        <v>0</v>
      </c>
      <c r="I932" t="s">
        <v>1221</v>
      </c>
      <c r="J932" t="s">
        <v>733</v>
      </c>
      <c r="K932">
        <v>0</v>
      </c>
      <c r="L932" t="s">
        <v>1219</v>
      </c>
      <c r="M932">
        <v>25</v>
      </c>
      <c r="N932" s="125"/>
      <c r="O932" s="125"/>
      <c r="R932" t="s">
        <v>58</v>
      </c>
      <c r="S932">
        <v>1</v>
      </c>
    </row>
    <row r="933" spans="1:19" x14ac:dyDescent="0.25">
      <c r="A933" t="str">
        <f>TableSTRUPARTB[[#This Row],[Study Package Code]]</f>
        <v>AC-PARTB1</v>
      </c>
      <c r="B933" s="5">
        <f>TableSTRUPARTB[[#This Row],[Ver]]</f>
        <v>0</v>
      </c>
      <c r="D933" t="str">
        <f>TableSTRUPARTB[[#This Row],[Structure Line]]</f>
        <v>Choose EDUC1029 or SPRO1000</v>
      </c>
      <c r="E933" s="81">
        <f>TableSTRUPARTB[[#This Row],[Credit Points]]</f>
        <v>25</v>
      </c>
      <c r="F933">
        <v>2</v>
      </c>
      <c r="G933" t="s">
        <v>1215</v>
      </c>
      <c r="H933">
        <v>1</v>
      </c>
      <c r="I933" t="s">
        <v>1212</v>
      </c>
      <c r="J933" t="s">
        <v>699</v>
      </c>
      <c r="K933">
        <v>0</v>
      </c>
      <c r="L933" t="s">
        <v>1312</v>
      </c>
      <c r="M933">
        <v>25</v>
      </c>
      <c r="N933" s="125"/>
      <c r="O933" s="125"/>
      <c r="R933" t="s">
        <v>734</v>
      </c>
      <c r="S933">
        <v>1</v>
      </c>
    </row>
    <row r="934" spans="1:19" x14ac:dyDescent="0.25">
      <c r="A934" t="str">
        <f>TableSTRUPARTB[[#This Row],[Study Package Code]]</f>
        <v>AC-PARTB2</v>
      </c>
      <c r="B934" s="5">
        <f>TableSTRUPARTB[[#This Row],[Ver]]</f>
        <v>0</v>
      </c>
      <c r="D934" t="str">
        <f>TableSTRUPARTB[[#This Row],[Structure Line]]</f>
        <v>Choose THTR2004 or COMS1003</v>
      </c>
      <c r="E934" s="81">
        <f>TableSTRUPARTB[[#This Row],[Credit Points]]</f>
        <v>25</v>
      </c>
      <c r="F934">
        <v>3</v>
      </c>
      <c r="G934" t="s">
        <v>1215</v>
      </c>
      <c r="H934">
        <v>2</v>
      </c>
      <c r="I934" t="s">
        <v>1209</v>
      </c>
      <c r="J934" t="s">
        <v>709</v>
      </c>
      <c r="K934">
        <v>0</v>
      </c>
      <c r="L934" t="s">
        <v>1313</v>
      </c>
      <c r="M934">
        <v>25</v>
      </c>
      <c r="N934" s="125"/>
      <c r="O934" s="125"/>
      <c r="R934" t="s">
        <v>450</v>
      </c>
      <c r="S934">
        <v>2</v>
      </c>
    </row>
    <row r="935" spans="1:19" x14ac:dyDescent="0.25">
      <c r="A935" t="str">
        <f>TableSTRUPARTB[[#This Row],[Study Package Code]]</f>
        <v>AC-PARTB3</v>
      </c>
      <c r="B935" s="5">
        <f>TableSTRUPARTB[[#This Row],[Ver]]</f>
        <v>0</v>
      </c>
      <c r="D935" t="str">
        <f>TableSTRUPARTB[[#This Row],[Structure Line]]</f>
        <v>Choose VISA1004 or SCST3010</v>
      </c>
      <c r="E935" s="81">
        <f>TableSTRUPARTB[[#This Row],[Credit Points]]</f>
        <v>25</v>
      </c>
      <c r="F935">
        <v>4</v>
      </c>
      <c r="G935" t="s">
        <v>1215</v>
      </c>
      <c r="H935">
        <v>2</v>
      </c>
      <c r="I935" t="s">
        <v>1212</v>
      </c>
      <c r="J935" t="s">
        <v>716</v>
      </c>
      <c r="K935">
        <v>0</v>
      </c>
      <c r="L935" t="s">
        <v>1314</v>
      </c>
      <c r="M935">
        <v>25</v>
      </c>
      <c r="N935" s="125"/>
      <c r="O935" s="125"/>
      <c r="R935" t="s">
        <v>131</v>
      </c>
      <c r="S935">
        <v>1</v>
      </c>
    </row>
    <row r="936" spans="1:19" x14ac:dyDescent="0.25">
      <c r="A936" t="str">
        <f>TableSTRUPARTB[[#This Row],[Study Package Code]]</f>
        <v>EDPR3014</v>
      </c>
      <c r="B936" s="5">
        <f>TableSTRUPARTB[[#This Row],[Ver]]</f>
        <v>1</v>
      </c>
      <c r="D936" t="str">
        <f>TableSTRUPARTB[[#This Row],[Structure Line]]</f>
        <v>Visual and Media Arts Education</v>
      </c>
      <c r="E936" s="81">
        <f>TableSTRUPARTB[[#This Row],[Credit Points]]</f>
        <v>25</v>
      </c>
      <c r="F936">
        <v>5</v>
      </c>
      <c r="G936" t="s">
        <v>1208</v>
      </c>
      <c r="H936">
        <v>3</v>
      </c>
      <c r="I936" t="s">
        <v>1209</v>
      </c>
      <c r="J936" t="s">
        <v>131</v>
      </c>
      <c r="K936">
        <v>1</v>
      </c>
      <c r="L936" t="s">
        <v>916</v>
      </c>
      <c r="M936">
        <v>25</v>
      </c>
      <c r="N936" s="125">
        <v>43466</v>
      </c>
      <c r="O936" s="125"/>
      <c r="R936" t="s">
        <v>1293</v>
      </c>
      <c r="S936">
        <v>0</v>
      </c>
    </row>
    <row r="937" spans="1:19" x14ac:dyDescent="0.25">
      <c r="A937" t="str">
        <f>TableSTRUPARTB[[#This Row],[Study Package Code]]</f>
        <v>AC-PARTB4</v>
      </c>
      <c r="B937" s="5">
        <f>TableSTRUPARTB[[#This Row],[Ver]]</f>
        <v>0</v>
      </c>
      <c r="D937" t="str">
        <f>TableSTRUPARTB[[#This Row],[Structure Line]]</f>
        <v>Choose COMS2001 or SPRO2004</v>
      </c>
      <c r="E937" s="81">
        <f>TableSTRUPARTB[[#This Row],[Credit Points]]</f>
        <v>25</v>
      </c>
      <c r="F937">
        <v>6</v>
      </c>
      <c r="G937" t="s">
        <v>1215</v>
      </c>
      <c r="H937" s="122">
        <v>3</v>
      </c>
      <c r="I937" s="122" t="s">
        <v>1209</v>
      </c>
      <c r="J937" t="s">
        <v>743</v>
      </c>
      <c r="K937">
        <v>0</v>
      </c>
      <c r="L937" t="s">
        <v>1315</v>
      </c>
      <c r="M937">
        <v>25</v>
      </c>
      <c r="N937" s="125"/>
      <c r="O937" s="125"/>
      <c r="Q937" s="122" t="s">
        <v>1262</v>
      </c>
      <c r="R937" t="s">
        <v>752</v>
      </c>
      <c r="S937">
        <v>1</v>
      </c>
    </row>
    <row r="938" spans="1:19" x14ac:dyDescent="0.25">
      <c r="A938" t="str">
        <f>TableSTRUPARTB[[#This Row],[Study Package Code]]</f>
        <v>CTED4001</v>
      </c>
      <c r="B938" s="5">
        <f>TableSTRUPARTB[[#This Row],[Ver]]</f>
        <v>2</v>
      </c>
      <c r="D938" t="str">
        <f>TableSTRUPARTB[[#This Row],[Structure Line]]</f>
        <v>Teaching About Sacraments in Catholic Schools</v>
      </c>
      <c r="E938" s="81">
        <f>TableSTRUPARTB[[#This Row],[Credit Points]]</f>
        <v>25</v>
      </c>
      <c r="F938">
        <v>1</v>
      </c>
      <c r="G938" t="s">
        <v>140</v>
      </c>
      <c r="H938">
        <v>0</v>
      </c>
      <c r="I938" t="s">
        <v>1221</v>
      </c>
      <c r="J938" t="s">
        <v>174</v>
      </c>
      <c r="K938">
        <v>2</v>
      </c>
      <c r="L938" t="s">
        <v>858</v>
      </c>
      <c r="M938">
        <v>25</v>
      </c>
      <c r="N938" s="125">
        <v>45292</v>
      </c>
      <c r="O938" s="125"/>
      <c r="R938" t="s">
        <v>200</v>
      </c>
      <c r="S938">
        <v>1</v>
      </c>
    </row>
    <row r="939" spans="1:19" x14ac:dyDescent="0.25">
      <c r="A939" t="str">
        <f>TableSTRUPARTB[[#This Row],[Study Package Code]]</f>
        <v>CTED4006</v>
      </c>
      <c r="B939" s="5">
        <f>TableSTRUPARTB[[#This Row],[Ver]]</f>
        <v>1</v>
      </c>
      <c r="D939" t="str">
        <f>TableSTRUPARTB[[#This Row],[Structure Line]]</f>
        <v>Teaching About Jesus in Catholic Schools</v>
      </c>
      <c r="E939" s="81">
        <f>TableSTRUPARTB[[#This Row],[Credit Points]]</f>
        <v>25</v>
      </c>
      <c r="F939">
        <v>1</v>
      </c>
      <c r="G939" t="s">
        <v>140</v>
      </c>
      <c r="H939">
        <v>0</v>
      </c>
      <c r="I939" t="s">
        <v>1221</v>
      </c>
      <c r="J939" t="s">
        <v>167</v>
      </c>
      <c r="K939">
        <v>1</v>
      </c>
      <c r="L939" t="s">
        <v>859</v>
      </c>
      <c r="M939">
        <v>25</v>
      </c>
      <c r="N939" s="125">
        <v>45292</v>
      </c>
      <c r="O939" s="125"/>
      <c r="R939" t="s">
        <v>174</v>
      </c>
      <c r="S939">
        <v>2</v>
      </c>
    </row>
    <row r="940" spans="1:19" x14ac:dyDescent="0.25">
      <c r="A940" t="str">
        <f>TableSTRUPARTB[[#This Row],[Study Package Code]]</f>
        <v>CTED4008</v>
      </c>
      <c r="B940" s="5">
        <f>TableSTRUPARTB[[#This Row],[Ver]]</f>
        <v>1</v>
      </c>
      <c r="D940" t="str">
        <f>TableSTRUPARTB[[#This Row],[Structure Line]]</f>
        <v>Teaching About the Gospels in Catholic Schools</v>
      </c>
      <c r="E940" s="81">
        <f>TableSTRUPARTB[[#This Row],[Credit Points]]</f>
        <v>25</v>
      </c>
      <c r="F940">
        <v>1</v>
      </c>
      <c r="G940" t="s">
        <v>140</v>
      </c>
      <c r="H940">
        <v>0</v>
      </c>
      <c r="I940" t="s">
        <v>1221</v>
      </c>
      <c r="J940" t="s">
        <v>180</v>
      </c>
      <c r="K940">
        <v>1</v>
      </c>
      <c r="L940" t="s">
        <v>860</v>
      </c>
      <c r="M940">
        <v>25</v>
      </c>
      <c r="N940" s="125">
        <v>45292</v>
      </c>
      <c r="O940" s="125"/>
      <c r="R940" t="s">
        <v>201</v>
      </c>
      <c r="S940">
        <v>2</v>
      </c>
    </row>
    <row r="941" spans="1:19" x14ac:dyDescent="0.25">
      <c r="A941" t="str">
        <f>TableSTRUPARTB[[#This Row],[Study Package Code]]</f>
        <v>EDUC4012</v>
      </c>
      <c r="B941" s="5">
        <f>TableSTRUPARTB[[#This Row],[Ver]]</f>
        <v>2</v>
      </c>
      <c r="D941" t="str">
        <f>TableSTRUPARTB[[#This Row],[Structure Line]]</f>
        <v>Relationships and Sexuality Education</v>
      </c>
      <c r="E941" s="81">
        <f>TableSTRUPARTB[[#This Row],[Credit Points]]</f>
        <v>25</v>
      </c>
      <c r="F941">
        <v>1</v>
      </c>
      <c r="G941" t="s">
        <v>140</v>
      </c>
      <c r="H941">
        <v>0</v>
      </c>
      <c r="I941" t="s">
        <v>1221</v>
      </c>
      <c r="J941" t="s">
        <v>194</v>
      </c>
      <c r="K941">
        <v>2</v>
      </c>
      <c r="L941" t="s">
        <v>975</v>
      </c>
      <c r="M941">
        <v>25</v>
      </c>
      <c r="N941" s="125">
        <v>44927</v>
      </c>
      <c r="O941" s="125"/>
      <c r="R941" t="s">
        <v>167</v>
      </c>
      <c r="S941">
        <v>1</v>
      </c>
    </row>
    <row r="942" spans="1:19" x14ac:dyDescent="0.25">
      <c r="A942" t="str">
        <f>TableSTRUPARTB[[#This Row],[Study Package Code]]</f>
        <v>EDUC4014</v>
      </c>
      <c r="B942" s="5">
        <f>TableSTRUPARTB[[#This Row],[Ver]]</f>
        <v>1</v>
      </c>
      <c r="D942" t="str">
        <f>TableSTRUPARTB[[#This Row],[Structure Line]]</f>
        <v>Diverse Abilities and Curriculum Differentiation</v>
      </c>
      <c r="E942" s="81">
        <f>TableSTRUPARTB[[#This Row],[Credit Points]]</f>
        <v>25</v>
      </c>
      <c r="F942">
        <v>1</v>
      </c>
      <c r="G942" t="s">
        <v>140</v>
      </c>
      <c r="H942">
        <v>0</v>
      </c>
      <c r="I942" t="s">
        <v>1221</v>
      </c>
      <c r="J942" t="s">
        <v>195</v>
      </c>
      <c r="K942">
        <v>1</v>
      </c>
      <c r="L942" t="s">
        <v>976</v>
      </c>
      <c r="M942">
        <v>25</v>
      </c>
      <c r="N942" s="125">
        <v>42005</v>
      </c>
      <c r="O942" s="125"/>
      <c r="R942" t="s">
        <v>180</v>
      </c>
      <c r="S942">
        <v>1</v>
      </c>
    </row>
    <row r="943" spans="1:19" x14ac:dyDescent="0.25">
      <c r="A943" t="str">
        <f>TableSTRUPARTB[[#This Row],[Study Package Code]]</f>
        <v>EDUC4020</v>
      </c>
      <c r="B943" s="5">
        <f>TableSTRUPARTB[[#This Row],[Ver]]</f>
        <v>1</v>
      </c>
      <c r="D943" t="str">
        <f>TableSTRUPARTB[[#This Row],[Structure Line]]</f>
        <v>Supporting Literacy and Numeracy Development for Diverse Learners</v>
      </c>
      <c r="E943" s="81">
        <f>TableSTRUPARTB[[#This Row],[Credit Points]]</f>
        <v>25</v>
      </c>
      <c r="F943">
        <v>1</v>
      </c>
      <c r="G943" t="s">
        <v>140</v>
      </c>
      <c r="H943">
        <v>0</v>
      </c>
      <c r="I943" t="s">
        <v>1221</v>
      </c>
      <c r="J943" t="s">
        <v>184</v>
      </c>
      <c r="K943">
        <v>1</v>
      </c>
      <c r="L943" t="s">
        <v>977</v>
      </c>
      <c r="M943">
        <v>25</v>
      </c>
      <c r="N943" s="125">
        <v>43282</v>
      </c>
      <c r="O943" s="125"/>
      <c r="R943" t="s">
        <v>196</v>
      </c>
      <c r="S943">
        <v>1</v>
      </c>
    </row>
    <row r="944" spans="1:19" x14ac:dyDescent="0.25">
      <c r="A944" t="str">
        <f>TableSTRUPARTB[[#This Row],[Study Package Code]]</f>
        <v>EDUC4022</v>
      </c>
      <c r="B944" s="5">
        <f>TableSTRUPARTB[[#This Row],[Ver]]</f>
        <v>1</v>
      </c>
      <c r="D944" t="str">
        <f>TableSTRUPARTB[[#This Row],[Structure Line]]</f>
        <v>Creative Literacies</v>
      </c>
      <c r="E944" s="81">
        <f>TableSTRUPARTB[[#This Row],[Credit Points]]</f>
        <v>25</v>
      </c>
      <c r="F944">
        <v>1</v>
      </c>
      <c r="G944" t="s">
        <v>140</v>
      </c>
      <c r="H944">
        <v>0</v>
      </c>
      <c r="I944" t="s">
        <v>1221</v>
      </c>
      <c r="J944" t="s">
        <v>175</v>
      </c>
      <c r="K944">
        <v>1</v>
      </c>
      <c r="L944" t="s">
        <v>979</v>
      </c>
      <c r="M944">
        <v>25</v>
      </c>
      <c r="N944" s="125">
        <v>43282</v>
      </c>
      <c r="O944" s="125"/>
      <c r="R944" t="s">
        <v>198</v>
      </c>
      <c r="S944">
        <v>1</v>
      </c>
    </row>
    <row r="945" spans="1:19" x14ac:dyDescent="0.25">
      <c r="A945" t="str">
        <f>TableSTRUPARTB[[#This Row],[Study Package Code]]</f>
        <v>EDUC4023</v>
      </c>
      <c r="B945" s="5">
        <f>TableSTRUPARTB[[#This Row],[Ver]]</f>
        <v>1</v>
      </c>
      <c r="D945" t="str">
        <f>TableSTRUPARTB[[#This Row],[Structure Line]]</f>
        <v>Creating and Responding to Literature</v>
      </c>
      <c r="E945" s="81">
        <f>TableSTRUPARTB[[#This Row],[Credit Points]]</f>
        <v>25</v>
      </c>
      <c r="F945">
        <v>1</v>
      </c>
      <c r="G945" t="s">
        <v>140</v>
      </c>
      <c r="H945">
        <v>0</v>
      </c>
      <c r="I945" t="s">
        <v>1221</v>
      </c>
      <c r="J945" t="s">
        <v>168</v>
      </c>
      <c r="K945">
        <v>1</v>
      </c>
      <c r="L945" t="s">
        <v>980</v>
      </c>
      <c r="M945">
        <v>25</v>
      </c>
      <c r="N945" s="125">
        <v>43282</v>
      </c>
      <c r="O945" s="125"/>
      <c r="R945" t="s">
        <v>1224</v>
      </c>
      <c r="S945">
        <v>1</v>
      </c>
    </row>
    <row r="946" spans="1:19" x14ac:dyDescent="0.25">
      <c r="A946" t="str">
        <f>TableSTRUPARTB[[#This Row],[Study Package Code]]</f>
        <v>EDUC4029</v>
      </c>
      <c r="B946" s="5">
        <f>TableSTRUPARTB[[#This Row],[Ver]]</f>
        <v>1</v>
      </c>
      <c r="D946" t="str">
        <f>TableSTRUPARTB[[#This Row],[Structure Line]]</f>
        <v>Technologies: Coding for Teachers</v>
      </c>
      <c r="E946" s="81">
        <f>TableSTRUPARTB[[#This Row],[Credit Points]]</f>
        <v>25</v>
      </c>
      <c r="F946">
        <v>1</v>
      </c>
      <c r="G946" t="s">
        <v>140</v>
      </c>
      <c r="H946">
        <v>0</v>
      </c>
      <c r="I946" t="s">
        <v>1221</v>
      </c>
      <c r="J946" t="s">
        <v>172</v>
      </c>
      <c r="K946">
        <v>1</v>
      </c>
      <c r="L946" t="s">
        <v>981</v>
      </c>
      <c r="M946">
        <v>25</v>
      </c>
      <c r="N946" s="125">
        <v>43282</v>
      </c>
      <c r="O946" s="125"/>
      <c r="R946" t="s">
        <v>194</v>
      </c>
      <c r="S946">
        <v>2</v>
      </c>
    </row>
    <row r="947" spans="1:19" x14ac:dyDescent="0.25">
      <c r="A947" t="str">
        <f>TableSTRUPARTB[[#This Row],[Study Package Code]]</f>
        <v>EDUC4036</v>
      </c>
      <c r="B947" s="5">
        <f>TableSTRUPARTB[[#This Row],[Ver]]</f>
        <v>1</v>
      </c>
      <c r="D947" t="str">
        <f>TableSTRUPARTB[[#This Row],[Structure Line]]</f>
        <v>Language and Diversity</v>
      </c>
      <c r="E947" s="81">
        <f>TableSTRUPARTB[[#This Row],[Credit Points]]</f>
        <v>25</v>
      </c>
      <c r="F947">
        <v>1</v>
      </c>
      <c r="G947" t="s">
        <v>140</v>
      </c>
      <c r="H947">
        <v>0</v>
      </c>
      <c r="I947" t="s">
        <v>1221</v>
      </c>
      <c r="J947" t="s">
        <v>181</v>
      </c>
      <c r="K947">
        <v>1</v>
      </c>
      <c r="L947" t="s">
        <v>984</v>
      </c>
      <c r="M947">
        <v>25</v>
      </c>
      <c r="N947" s="125">
        <v>43466</v>
      </c>
      <c r="O947" s="125"/>
      <c r="R947" t="s">
        <v>195</v>
      </c>
      <c r="S947">
        <v>1</v>
      </c>
    </row>
    <row r="948" spans="1:19" x14ac:dyDescent="0.25">
      <c r="A948" t="str">
        <f>TableSTRUPARTB[[#This Row],[Study Package Code]]</f>
        <v>EDUC4038</v>
      </c>
      <c r="B948" s="5">
        <f>TableSTRUPARTB[[#This Row],[Ver]]</f>
        <v>1</v>
      </c>
      <c r="D948" t="str">
        <f>TableSTRUPARTB[[#This Row],[Structure Line]]</f>
        <v>Technologies: Design Solutions</v>
      </c>
      <c r="E948" s="81">
        <f>TableSTRUPARTB[[#This Row],[Credit Points]]</f>
        <v>25</v>
      </c>
      <c r="F948">
        <v>1</v>
      </c>
      <c r="G948" t="s">
        <v>140</v>
      </c>
      <c r="H948">
        <v>0</v>
      </c>
      <c r="I948" t="s">
        <v>1221</v>
      </c>
      <c r="J948" t="s">
        <v>179</v>
      </c>
      <c r="K948">
        <v>1</v>
      </c>
      <c r="L948" t="s">
        <v>985</v>
      </c>
      <c r="M948">
        <v>25</v>
      </c>
      <c r="N948" s="125">
        <v>43466</v>
      </c>
      <c r="O948" s="125"/>
      <c r="R948" t="s">
        <v>184</v>
      </c>
      <c r="S948">
        <v>1</v>
      </c>
    </row>
    <row r="949" spans="1:19" x14ac:dyDescent="0.25">
      <c r="A949" t="str">
        <f>TableSTRUPARTB[[#This Row],[Study Package Code]]</f>
        <v>EDUC4042</v>
      </c>
      <c r="B949" s="5">
        <f>TableSTRUPARTB[[#This Row],[Ver]]</f>
        <v>1</v>
      </c>
      <c r="D949" t="str">
        <f>TableSTRUPARTB[[#This Row],[Structure Line]]</f>
        <v>Alternative Approaches to Teaching Literacy and Numeracy</v>
      </c>
      <c r="E949" s="81">
        <f>TableSTRUPARTB[[#This Row],[Credit Points]]</f>
        <v>25</v>
      </c>
      <c r="F949">
        <v>1</v>
      </c>
      <c r="G949" t="s">
        <v>140</v>
      </c>
      <c r="H949">
        <v>0</v>
      </c>
      <c r="I949" t="s">
        <v>1221</v>
      </c>
      <c r="J949" t="s">
        <v>171</v>
      </c>
      <c r="K949">
        <v>1</v>
      </c>
      <c r="L949" t="s">
        <v>988</v>
      </c>
      <c r="M949">
        <v>25</v>
      </c>
      <c r="N949" s="125">
        <v>43466</v>
      </c>
      <c r="O949" s="125"/>
      <c r="R949" t="s">
        <v>170</v>
      </c>
      <c r="S949">
        <v>1</v>
      </c>
    </row>
    <row r="950" spans="1:19" x14ac:dyDescent="0.25">
      <c r="A950" t="str">
        <f>TableSTRUPARTB[[#This Row],[Study Package Code]]</f>
        <v>EDUC4044</v>
      </c>
      <c r="B950" s="5">
        <f>TableSTRUPARTB[[#This Row],[Ver]]</f>
        <v>2</v>
      </c>
      <c r="D950" t="str">
        <f>TableSTRUPARTB[[#This Row],[Structure Line]]</f>
        <v>Literacy and Numeracy for First Nations Peoples of Australia</v>
      </c>
      <c r="E950" s="81">
        <f>TableSTRUPARTB[[#This Row],[Credit Points]]</f>
        <v>25</v>
      </c>
      <c r="F950">
        <v>1</v>
      </c>
      <c r="G950" t="s">
        <v>140</v>
      </c>
      <c r="H950">
        <v>0</v>
      </c>
      <c r="I950" t="s">
        <v>1221</v>
      </c>
      <c r="J950" t="s">
        <v>178</v>
      </c>
      <c r="K950">
        <v>2</v>
      </c>
      <c r="L950" t="s">
        <v>989</v>
      </c>
      <c r="M950">
        <v>25</v>
      </c>
      <c r="N950" s="125">
        <v>44927</v>
      </c>
      <c r="O950" s="125"/>
      <c r="R950" t="s">
        <v>175</v>
      </c>
      <c r="S950">
        <v>1</v>
      </c>
    </row>
    <row r="951" spans="1:19" x14ac:dyDescent="0.25">
      <c r="A951" t="str">
        <f>TableSTRUPARTB[[#This Row],[Study Package Code]]</f>
        <v>EDUC4046</v>
      </c>
      <c r="B951" s="5">
        <f>TableSTRUPARTB[[#This Row],[Ver]]</f>
        <v>1</v>
      </c>
      <c r="D951" t="str">
        <f>TableSTRUPARTB[[#This Row],[Structure Line]]</f>
        <v>Technologies: Digital Solutions</v>
      </c>
      <c r="E951" s="81">
        <f>TableSTRUPARTB[[#This Row],[Credit Points]]</f>
        <v>25</v>
      </c>
      <c r="F951">
        <v>1</v>
      </c>
      <c r="G951" t="s">
        <v>140</v>
      </c>
      <c r="H951">
        <v>0</v>
      </c>
      <c r="I951" t="s">
        <v>1221</v>
      </c>
      <c r="J951" t="s">
        <v>185</v>
      </c>
      <c r="K951">
        <v>1</v>
      </c>
      <c r="L951" t="s">
        <v>990</v>
      </c>
      <c r="M951">
        <v>25</v>
      </c>
      <c r="N951" s="125">
        <v>43466</v>
      </c>
      <c r="O951" s="125"/>
      <c r="R951" t="s">
        <v>168</v>
      </c>
      <c r="S951">
        <v>1</v>
      </c>
    </row>
    <row r="952" spans="1:19" x14ac:dyDescent="0.25">
      <c r="A952" t="str">
        <f>TableSTRUPARTB[[#This Row],[Study Package Code]]</f>
        <v>EDUC4048</v>
      </c>
      <c r="B952" s="5">
        <f>TableSTRUPARTB[[#This Row],[Ver]]</f>
        <v>1</v>
      </c>
      <c r="D952" t="str">
        <f>TableSTRUPARTB[[#This Row],[Structure Line]]</f>
        <v>Mentoring, Coaching and Tutoring</v>
      </c>
      <c r="E952" s="81">
        <f>TableSTRUPARTB[[#This Row],[Credit Points]]</f>
        <v>25</v>
      </c>
      <c r="F952">
        <v>1</v>
      </c>
      <c r="G952" t="s">
        <v>140</v>
      </c>
      <c r="H952">
        <v>0</v>
      </c>
      <c r="I952" t="s">
        <v>1221</v>
      </c>
      <c r="J952" t="s">
        <v>129</v>
      </c>
      <c r="K952">
        <v>1</v>
      </c>
      <c r="L952" t="s">
        <v>991</v>
      </c>
      <c r="M952">
        <v>25</v>
      </c>
      <c r="N952" s="125">
        <v>43466</v>
      </c>
      <c r="O952" s="125"/>
      <c r="R952" t="s">
        <v>172</v>
      </c>
      <c r="S952">
        <v>1</v>
      </c>
    </row>
    <row r="953" spans="1:19" x14ac:dyDescent="0.25">
      <c r="A953" t="str">
        <f>TableSTRUPARTB[[#This Row],[Study Package Code]]</f>
        <v>EDUC1029</v>
      </c>
      <c r="B953" s="5">
        <f>TableSTRUPARTB[[#This Row],[Ver]]</f>
        <v>1</v>
      </c>
      <c r="D953" t="str">
        <f>TableSTRUPARTB[[#This Row],[Structure Line]]</f>
        <v>Performing Arts for Educators</v>
      </c>
      <c r="E953" s="81">
        <f>TableSTRUPARTB[[#This Row],[Credit Points]]</f>
        <v>25</v>
      </c>
      <c r="F953">
        <v>2</v>
      </c>
      <c r="G953" t="s">
        <v>1215</v>
      </c>
      <c r="H953">
        <v>1</v>
      </c>
      <c r="I953" t="s">
        <v>1212</v>
      </c>
      <c r="J953" t="s">
        <v>58</v>
      </c>
      <c r="K953">
        <v>1</v>
      </c>
      <c r="L953" t="s">
        <v>964</v>
      </c>
      <c r="M953">
        <v>25</v>
      </c>
      <c r="N953" s="125">
        <v>43466</v>
      </c>
      <c r="O953" s="125"/>
      <c r="R953" t="s">
        <v>199</v>
      </c>
      <c r="S953">
        <v>1</v>
      </c>
    </row>
    <row r="954" spans="1:19" x14ac:dyDescent="0.25">
      <c r="A954" t="str">
        <f>TableSTRUPARTB[[#This Row],[Study Package Code]]</f>
        <v>SPRO1000</v>
      </c>
      <c r="B954" s="5">
        <f>TableSTRUPARTB[[#This Row],[Ver]]</f>
        <v>2</v>
      </c>
      <c r="D954" t="str">
        <f>TableSTRUPARTB[[#This Row],[Structure Line]]</f>
        <v>Introduction to Screen Industries</v>
      </c>
      <c r="E954" s="81">
        <f>TableSTRUPARTB[[#This Row],[Credit Points]]</f>
        <v>25</v>
      </c>
      <c r="F954">
        <v>2</v>
      </c>
      <c r="G954" t="s">
        <v>1215</v>
      </c>
      <c r="H954">
        <v>1</v>
      </c>
      <c r="I954" t="s">
        <v>1212</v>
      </c>
      <c r="J954" t="s">
        <v>700</v>
      </c>
      <c r="K954" s="122">
        <v>2</v>
      </c>
      <c r="L954" s="122" t="s">
        <v>1141</v>
      </c>
      <c r="M954">
        <v>25</v>
      </c>
      <c r="N954" s="125">
        <v>43831</v>
      </c>
      <c r="O954" s="125">
        <v>45657</v>
      </c>
      <c r="R954" t="s">
        <v>177</v>
      </c>
      <c r="S954">
        <v>1</v>
      </c>
    </row>
    <row r="955" spans="1:19" x14ac:dyDescent="0.25">
      <c r="A955" t="str">
        <f>TableSTRUPARTB[[#This Row],[Study Package Code]]</f>
        <v>COMS1003</v>
      </c>
      <c r="B955" s="5">
        <f>TableSTRUPARTB[[#This Row],[Ver]]</f>
        <v>3</v>
      </c>
      <c r="D955" t="str">
        <f>TableSTRUPARTB[[#This Row],[Structure Line]]</f>
        <v>Culture to Cultures</v>
      </c>
      <c r="E955" s="81">
        <f>TableSTRUPARTB[[#This Row],[Credit Points]]</f>
        <v>25</v>
      </c>
      <c r="F955">
        <v>3</v>
      </c>
      <c r="G955" t="s">
        <v>1215</v>
      </c>
      <c r="H955">
        <v>2</v>
      </c>
      <c r="I955" t="s">
        <v>1209</v>
      </c>
      <c r="J955" t="s">
        <v>638</v>
      </c>
      <c r="K955">
        <v>3</v>
      </c>
      <c r="L955" t="s">
        <v>852</v>
      </c>
      <c r="M955">
        <v>25</v>
      </c>
      <c r="N955" s="125">
        <v>44562</v>
      </c>
      <c r="O955" s="125"/>
      <c r="R955" t="s">
        <v>183</v>
      </c>
      <c r="S955">
        <v>1</v>
      </c>
    </row>
    <row r="956" spans="1:19" x14ac:dyDescent="0.25">
      <c r="A956" t="str">
        <f>TableSTRUPARTB[[#This Row],[Study Package Code]]</f>
        <v>THTR2004</v>
      </c>
      <c r="B956" s="5">
        <f>TableSTRUPARTB[[#This Row],[Ver]]</f>
        <v>1</v>
      </c>
      <c r="D956" t="str">
        <f>TableSTRUPARTB[[#This Row],[Structure Line]]</f>
        <v>Voice for the Actor</v>
      </c>
      <c r="E956" s="81">
        <f>TableSTRUPARTB[[#This Row],[Credit Points]]</f>
        <v>25</v>
      </c>
      <c r="F956">
        <v>3</v>
      </c>
      <c r="G956" t="s">
        <v>1215</v>
      </c>
      <c r="H956">
        <v>2</v>
      </c>
      <c r="I956" t="s">
        <v>1209</v>
      </c>
      <c r="J956" t="s">
        <v>734</v>
      </c>
      <c r="K956">
        <v>1</v>
      </c>
      <c r="L956" t="s">
        <v>1168</v>
      </c>
      <c r="M956">
        <v>25</v>
      </c>
      <c r="N956" s="125">
        <v>42005</v>
      </c>
      <c r="O956" s="125"/>
      <c r="R956" t="s">
        <v>181</v>
      </c>
      <c r="S956">
        <v>1</v>
      </c>
    </row>
    <row r="957" spans="1:19" x14ac:dyDescent="0.25">
      <c r="A957" t="str">
        <f>TableSTRUPARTB[[#This Row],[Study Package Code]]</f>
        <v>SCST3010</v>
      </c>
      <c r="B957" s="5">
        <f>TableSTRUPARTB[[#This Row],[Ver]]</f>
        <v>1</v>
      </c>
      <c r="D957" t="str">
        <f>TableSTRUPARTB[[#This Row],[Structure Line]]</f>
        <v>Reading Screens</v>
      </c>
      <c r="E957" s="81">
        <f>TableSTRUPARTB[[#This Row],[Credit Points]]</f>
        <v>25</v>
      </c>
      <c r="F957">
        <v>4</v>
      </c>
      <c r="G957" t="s">
        <v>1215</v>
      </c>
      <c r="H957">
        <v>2</v>
      </c>
      <c r="I957" t="s">
        <v>1212</v>
      </c>
      <c r="J957" t="s">
        <v>598</v>
      </c>
      <c r="K957" s="126">
        <v>1</v>
      </c>
      <c r="L957" s="126" t="s">
        <v>1139</v>
      </c>
      <c r="M957" s="126">
        <v>25</v>
      </c>
      <c r="N957" s="125">
        <v>43831</v>
      </c>
      <c r="O957" s="125"/>
      <c r="R957" t="s">
        <v>179</v>
      </c>
      <c r="S957">
        <v>1</v>
      </c>
    </row>
    <row r="958" spans="1:19" x14ac:dyDescent="0.25">
      <c r="A958" t="str">
        <f>TableSTRUPARTB[[#This Row],[Study Package Code]]</f>
        <v>VISA1004</v>
      </c>
      <c r="B958" s="5">
        <f>TableSTRUPARTB[[#This Row],[Ver]]</f>
        <v>2</v>
      </c>
      <c r="D958" t="str">
        <f>TableSTRUPARTB[[#This Row],[Structure Line]]</f>
        <v>Fine Art Studio Methods</v>
      </c>
      <c r="E958" s="81">
        <f>TableSTRUPARTB[[#This Row],[Credit Points]]</f>
        <v>25</v>
      </c>
      <c r="F958">
        <v>4</v>
      </c>
      <c r="G958" t="s">
        <v>1215</v>
      </c>
      <c r="H958">
        <v>2</v>
      </c>
      <c r="I958" t="s">
        <v>1212</v>
      </c>
      <c r="J958" t="s">
        <v>450</v>
      </c>
      <c r="K958">
        <v>2</v>
      </c>
      <c r="L958" t="s">
        <v>1177</v>
      </c>
      <c r="M958">
        <v>25</v>
      </c>
      <c r="N958" s="125">
        <v>42370</v>
      </c>
      <c r="O958" s="125"/>
      <c r="R958" t="s">
        <v>171</v>
      </c>
      <c r="S958">
        <v>1</v>
      </c>
    </row>
    <row r="959" spans="1:19" x14ac:dyDescent="0.25">
      <c r="A959" t="str">
        <f>TableSTRUPARTB[[#This Row],[Study Package Code]]</f>
        <v>COMS2001</v>
      </c>
      <c r="B959" s="5">
        <f>TableSTRUPARTB[[#This Row],[Ver]]</f>
        <v>1</v>
      </c>
      <c r="D959" t="str">
        <f>TableSTRUPARTB[[#This Row],[Structure Line]]</f>
        <v>Asian Media in Transition</v>
      </c>
      <c r="E959" s="81">
        <f>TableSTRUPARTB[[#This Row],[Credit Points]]</f>
        <v>25</v>
      </c>
      <c r="F959">
        <v>6</v>
      </c>
      <c r="G959" t="s">
        <v>1215</v>
      </c>
      <c r="H959">
        <v>3</v>
      </c>
      <c r="I959" t="s">
        <v>1209</v>
      </c>
      <c r="J959" t="s">
        <v>607</v>
      </c>
      <c r="K959">
        <v>1</v>
      </c>
      <c r="L959" t="s">
        <v>856</v>
      </c>
      <c r="M959">
        <v>25</v>
      </c>
      <c r="N959" s="125">
        <v>42005</v>
      </c>
      <c r="O959" s="125"/>
      <c r="R959" t="s">
        <v>178</v>
      </c>
      <c r="S959">
        <v>2</v>
      </c>
    </row>
    <row r="960" spans="1:19" x14ac:dyDescent="0.25">
      <c r="A960" t="str">
        <f>TableSTRUPARTB[[#This Row],[Study Package Code]]</f>
        <v>SPRO2004</v>
      </c>
      <c r="B960" s="5">
        <f>TableSTRUPARTB[[#This Row],[Ver]]</f>
        <v>1</v>
      </c>
      <c r="D960" t="str">
        <f>TableSTRUPARTB[[#This Row],[Structure Line]]</f>
        <v>Creative Documentary and Actualities</v>
      </c>
      <c r="E960" s="81">
        <f>TableSTRUPARTB[[#This Row],[Credit Points]]</f>
        <v>25</v>
      </c>
      <c r="F960">
        <v>6</v>
      </c>
      <c r="G960" t="s">
        <v>1215</v>
      </c>
      <c r="H960">
        <v>3</v>
      </c>
      <c r="I960" t="s">
        <v>1209</v>
      </c>
      <c r="J960" t="s">
        <v>752</v>
      </c>
      <c r="K960">
        <v>1</v>
      </c>
      <c r="L960" t="s">
        <v>1145</v>
      </c>
      <c r="M960">
        <v>25</v>
      </c>
      <c r="N960" s="125">
        <v>43831</v>
      </c>
      <c r="O960" s="125"/>
      <c r="R960" t="s">
        <v>185</v>
      </c>
      <c r="S960">
        <v>1</v>
      </c>
    </row>
    <row r="961" spans="1:19" x14ac:dyDescent="0.25">
      <c r="A961">
        <f>TableSTRUPARTB[[#This Row],[Study Package Code]]</f>
        <v>0</v>
      </c>
      <c r="B961" s="5">
        <f>TableSTRUPARTB[[#This Row],[Ver]]</f>
        <v>0</v>
      </c>
      <c r="D961">
        <f>TableSTRUPARTB[[#This Row],[Structure Line]]</f>
        <v>0</v>
      </c>
      <c r="E961" s="81">
        <f>TableSTRUPARTB[[#This Row],[Credit Points]]</f>
        <v>0</v>
      </c>
      <c r="N961" s="125"/>
      <c r="O961" s="125"/>
      <c r="R961" t="s">
        <v>129</v>
      </c>
      <c r="S961">
        <v>1</v>
      </c>
    </row>
    <row r="962" spans="1:19" x14ac:dyDescent="0.25">
      <c r="A962" s="78"/>
      <c r="B962" s="80"/>
      <c r="C962" s="78"/>
      <c r="G962" s="79" t="s">
        <v>1194</v>
      </c>
      <c r="H962" s="278">
        <v>43466</v>
      </c>
      <c r="J962" s="279" t="s">
        <v>361</v>
      </c>
      <c r="K962" s="280" t="s">
        <v>404</v>
      </c>
      <c r="L962" s="78" t="s">
        <v>505</v>
      </c>
      <c r="M962" s="78"/>
      <c r="N962" s="198" t="s">
        <v>1195</v>
      </c>
      <c r="O962" s="125">
        <v>45544</v>
      </c>
    </row>
    <row r="963" spans="1:19" ht="31.5" x14ac:dyDescent="0.25">
      <c r="A963" s="97" t="s">
        <v>0</v>
      </c>
      <c r="B963" s="98" t="s">
        <v>1196</v>
      </c>
      <c r="C963" s="97" t="s">
        <v>1197</v>
      </c>
      <c r="D963" s="97" t="s">
        <v>3</v>
      </c>
      <c r="E963" s="99" t="s">
        <v>1198</v>
      </c>
      <c r="F963" s="97" t="s">
        <v>1199</v>
      </c>
      <c r="G963" s="97" t="s">
        <v>1200</v>
      </c>
      <c r="H963" s="97" t="s">
        <v>1201</v>
      </c>
      <c r="I963" s="97" t="s">
        <v>18</v>
      </c>
      <c r="J963" s="97" t="s">
        <v>1202</v>
      </c>
      <c r="K963" s="97" t="s">
        <v>1</v>
      </c>
      <c r="L963" s="97" t="s">
        <v>1203</v>
      </c>
      <c r="M963" s="97" t="s">
        <v>69</v>
      </c>
      <c r="N963" s="97" t="s">
        <v>1204</v>
      </c>
      <c r="O963" s="97" t="s">
        <v>1205</v>
      </c>
      <c r="R963" t="s">
        <v>1206</v>
      </c>
      <c r="S963" t="s">
        <v>1207</v>
      </c>
    </row>
    <row r="964" spans="1:19" x14ac:dyDescent="0.25">
      <c r="A964" t="str">
        <f>TableSTRUPARTM[[#This Row],[Study Package Code]]</f>
        <v>SPRO1000</v>
      </c>
      <c r="B964" s="5">
        <f>TableSTRUPARTM[[#This Row],[Ver]]</f>
        <v>2</v>
      </c>
      <c r="D964" t="str">
        <f>TableSTRUPARTM[[#This Row],[Structure Line]]</f>
        <v>Introduction to Screen Industries</v>
      </c>
      <c r="E964" s="81">
        <f>TableSTRUPARTM[[#This Row],[Credit Points]]</f>
        <v>25</v>
      </c>
      <c r="F964">
        <v>1</v>
      </c>
      <c r="G964" t="s">
        <v>1208</v>
      </c>
      <c r="H964">
        <v>1</v>
      </c>
      <c r="I964" t="s">
        <v>1212</v>
      </c>
      <c r="J964" t="s">
        <v>700</v>
      </c>
      <c r="K964" s="122">
        <v>2</v>
      </c>
      <c r="L964" s="122" t="s">
        <v>1141</v>
      </c>
      <c r="M964">
        <v>25</v>
      </c>
      <c r="N964" s="125">
        <v>43831</v>
      </c>
      <c r="O964" s="125">
        <v>45657</v>
      </c>
      <c r="R964" t="s">
        <v>700</v>
      </c>
      <c r="S964">
        <v>2</v>
      </c>
    </row>
    <row r="965" spans="1:19" x14ac:dyDescent="0.25">
      <c r="A965" t="str">
        <f>TableSTRUPARTM[[#This Row],[Study Package Code]]</f>
        <v>THTR1001</v>
      </c>
      <c r="B965" s="5">
        <f>TableSTRUPARTM[[#This Row],[Ver]]</f>
        <v>1</v>
      </c>
      <c r="D965" t="str">
        <f>TableSTRUPARTM[[#This Row],[Structure Line]]</f>
        <v>Acting Fundamentals</v>
      </c>
      <c r="E965" s="81">
        <f>TableSTRUPARTM[[#This Row],[Credit Points]]</f>
        <v>25</v>
      </c>
      <c r="F965">
        <v>2</v>
      </c>
      <c r="G965" t="s">
        <v>1208</v>
      </c>
      <c r="H965">
        <v>2</v>
      </c>
      <c r="I965" t="s">
        <v>1209</v>
      </c>
      <c r="J965" t="s">
        <v>462</v>
      </c>
      <c r="K965">
        <v>1</v>
      </c>
      <c r="L965" t="s">
        <v>1164</v>
      </c>
      <c r="M965">
        <v>25</v>
      </c>
      <c r="N965" s="125">
        <v>42005</v>
      </c>
      <c r="O965" s="125"/>
      <c r="R965" t="s">
        <v>462</v>
      </c>
      <c r="S965">
        <v>1</v>
      </c>
    </row>
    <row r="966" spans="1:19" x14ac:dyDescent="0.25">
      <c r="A966" t="str">
        <f>TableSTRUPARTM[[#This Row],[Study Package Code]]</f>
        <v>SPRO2000</v>
      </c>
      <c r="B966" s="5">
        <f>TableSTRUPARTM[[#This Row],[Ver]]</f>
        <v>3</v>
      </c>
      <c r="D966" t="str">
        <f>TableSTRUPARTM[[#This Row],[Structure Line]]</f>
        <v>Studio Production</v>
      </c>
      <c r="E966" s="81">
        <f>TableSTRUPARTM[[#This Row],[Credit Points]]</f>
        <v>25</v>
      </c>
      <c r="F966">
        <v>3</v>
      </c>
      <c r="G966" t="s">
        <v>1208</v>
      </c>
      <c r="H966">
        <v>2</v>
      </c>
      <c r="I966" t="s">
        <v>1212</v>
      </c>
      <c r="J966" t="s">
        <v>522</v>
      </c>
      <c r="K966">
        <v>3</v>
      </c>
      <c r="L966" t="s">
        <v>1142</v>
      </c>
      <c r="M966">
        <v>25</v>
      </c>
      <c r="N966" s="125">
        <v>44927</v>
      </c>
      <c r="O966" s="125"/>
      <c r="R966" t="s">
        <v>522</v>
      </c>
      <c r="S966">
        <v>3</v>
      </c>
    </row>
    <row r="967" spans="1:19" x14ac:dyDescent="0.25">
      <c r="A967" t="str">
        <f>TableSTRUPARTM[[#This Row],[Study Package Code]]</f>
        <v>EDSC4032</v>
      </c>
      <c r="B967" s="5">
        <f>TableSTRUPARTM[[#This Row],[Ver]]</f>
        <v>1</v>
      </c>
      <c r="D967" t="str">
        <f>TableSTRUPARTM[[#This Row],[Structure Line]]</f>
        <v>Curriculum and Instruction Lower Secondary: The Arts</v>
      </c>
      <c r="E967" s="81">
        <f>TableSTRUPARTM[[#This Row],[Credit Points]]</f>
        <v>25</v>
      </c>
      <c r="F967">
        <v>4</v>
      </c>
      <c r="G967" t="s">
        <v>1208</v>
      </c>
      <c r="H967">
        <v>3</v>
      </c>
      <c r="I967" t="s">
        <v>1209</v>
      </c>
      <c r="J967" t="s">
        <v>463</v>
      </c>
      <c r="K967">
        <v>1</v>
      </c>
      <c r="L967" t="s">
        <v>953</v>
      </c>
      <c r="M967">
        <v>25</v>
      </c>
      <c r="N967" s="125">
        <v>43466</v>
      </c>
      <c r="O967" s="125"/>
      <c r="R967" t="s">
        <v>463</v>
      </c>
      <c r="S967">
        <v>1</v>
      </c>
    </row>
    <row r="968" spans="1:19" x14ac:dyDescent="0.25">
      <c r="A968" t="str">
        <f>TableSTRUPARTM[[#This Row],[Study Package Code]]</f>
        <v>THTR2004</v>
      </c>
      <c r="B968" s="5">
        <f>TableSTRUPARTM[[#This Row],[Ver]]</f>
        <v>1</v>
      </c>
      <c r="D968" t="str">
        <f>TableSTRUPARTM[[#This Row],[Structure Line]]</f>
        <v>Voice for the Actor</v>
      </c>
      <c r="E968" s="81">
        <f>TableSTRUPARTM[[#This Row],[Credit Points]]</f>
        <v>25</v>
      </c>
      <c r="F968">
        <v>5</v>
      </c>
      <c r="G968" t="s">
        <v>1208</v>
      </c>
      <c r="H968">
        <v>3</v>
      </c>
      <c r="I968" t="s">
        <v>1209</v>
      </c>
      <c r="J968" t="s">
        <v>734</v>
      </c>
      <c r="K968">
        <v>1</v>
      </c>
      <c r="L968" t="s">
        <v>1168</v>
      </c>
      <c r="M968">
        <v>25</v>
      </c>
      <c r="N968" s="125">
        <v>42005</v>
      </c>
      <c r="O968" s="125"/>
      <c r="R968" t="s">
        <v>734</v>
      </c>
      <c r="S968">
        <v>1</v>
      </c>
    </row>
    <row r="969" spans="1:19" x14ac:dyDescent="0.25">
      <c r="A969" t="str">
        <f>TableSTRUPARTM[[#This Row],[Study Package Code]]</f>
        <v>EDSC4028</v>
      </c>
      <c r="B969" s="5">
        <f>TableSTRUPARTM[[#This Row],[Ver]]</f>
        <v>2</v>
      </c>
      <c r="D969" t="str">
        <f>TableSTRUPARTM[[#This Row],[Structure Line]]</f>
        <v>Curriculum and Instruction Senior Secondary: The Arts</v>
      </c>
      <c r="E969" s="81">
        <f>TableSTRUPARTM[[#This Row],[Credit Points]]</f>
        <v>25</v>
      </c>
      <c r="F969">
        <v>6</v>
      </c>
      <c r="G969" t="s">
        <v>1208</v>
      </c>
      <c r="H969">
        <v>3</v>
      </c>
      <c r="I969" t="s">
        <v>1212</v>
      </c>
      <c r="J969" t="s">
        <v>484</v>
      </c>
      <c r="K969">
        <v>2</v>
      </c>
      <c r="L969" t="s">
        <v>951</v>
      </c>
      <c r="M969">
        <v>25</v>
      </c>
      <c r="N969" s="125">
        <v>43831</v>
      </c>
      <c r="O969" s="125"/>
      <c r="R969" t="s">
        <v>484</v>
      </c>
      <c r="S969">
        <v>2</v>
      </c>
    </row>
    <row r="970" spans="1:19" x14ac:dyDescent="0.25">
      <c r="A970" s="78"/>
      <c r="B970" s="80"/>
      <c r="C970" s="78"/>
      <c r="G970" s="79" t="s">
        <v>1194</v>
      </c>
      <c r="H970" s="272">
        <v>45658</v>
      </c>
      <c r="J970" s="274" t="s">
        <v>365</v>
      </c>
      <c r="K970" s="273" t="s">
        <v>404</v>
      </c>
      <c r="L970" s="274" t="s">
        <v>1162</v>
      </c>
      <c r="M970" s="78"/>
      <c r="N970" s="198" t="s">
        <v>1195</v>
      </c>
      <c r="O970" s="125">
        <v>45544</v>
      </c>
    </row>
    <row r="971" spans="1:19" ht="31.5" x14ac:dyDescent="0.25">
      <c r="A971" s="97" t="s">
        <v>0</v>
      </c>
      <c r="B971" s="98" t="s">
        <v>1196</v>
      </c>
      <c r="C971" s="97" t="s">
        <v>1197</v>
      </c>
      <c r="D971" s="97" t="s">
        <v>3</v>
      </c>
      <c r="E971" s="99" t="s">
        <v>1198</v>
      </c>
      <c r="F971" s="97" t="s">
        <v>1199</v>
      </c>
      <c r="G971" s="97" t="s">
        <v>1200</v>
      </c>
      <c r="H971" s="97" t="s">
        <v>1201</v>
      </c>
      <c r="I971" s="97" t="s">
        <v>18</v>
      </c>
      <c r="J971" s="97" t="s">
        <v>1202</v>
      </c>
      <c r="K971" s="97" t="s">
        <v>1</v>
      </c>
      <c r="L971" s="97" t="s">
        <v>1203</v>
      </c>
      <c r="M971" s="97" t="s">
        <v>69</v>
      </c>
      <c r="N971" s="97" t="s">
        <v>1204</v>
      </c>
      <c r="O971" s="97" t="s">
        <v>1205</v>
      </c>
      <c r="R971" t="s">
        <v>1206</v>
      </c>
      <c r="S971" t="s">
        <v>1207</v>
      </c>
    </row>
    <row r="972" spans="1:19" x14ac:dyDescent="0.25">
      <c r="A972" t="str">
        <f>TableSTRUPOLB1[[#This Row],[Study Package Code]]</f>
        <v>Opt-POLB1</v>
      </c>
      <c r="B972" s="5">
        <f>TableSTRUPOLB1[[#This Row],[Ver]]</f>
        <v>0</v>
      </c>
      <c r="D972" t="str">
        <f>TableSTRUPOLB1[[#This Row],[Structure Line]]</f>
        <v>Choose an Option</v>
      </c>
      <c r="E972" s="81">
        <f>TableSTRUPOLB1[[#This Row],[Credit Points]]</f>
        <v>25</v>
      </c>
      <c r="F972">
        <v>1</v>
      </c>
      <c r="G972" t="s">
        <v>140</v>
      </c>
      <c r="H972">
        <v>0</v>
      </c>
      <c r="I972" t="s">
        <v>1221</v>
      </c>
      <c r="J972" t="s">
        <v>735</v>
      </c>
      <c r="K972">
        <v>0</v>
      </c>
      <c r="L972" t="s">
        <v>1219</v>
      </c>
      <c r="M972">
        <v>25</v>
      </c>
      <c r="N972" s="125"/>
      <c r="O972" s="125"/>
      <c r="R972" t="s">
        <v>57</v>
      </c>
      <c r="S972">
        <v>1</v>
      </c>
    </row>
    <row r="973" spans="1:19" x14ac:dyDescent="0.25">
      <c r="A973" t="str">
        <f>TableSTRUPOLB1[[#This Row],[Study Package Code]]</f>
        <v>INDS2001</v>
      </c>
      <c r="B973" s="5">
        <f>TableSTRUPOLB1[[#This Row],[Ver]]</f>
        <v>0</v>
      </c>
      <c r="D973" t="str">
        <f>TableSTRUPOLB1[[#This Row],[Structure Line]]</f>
        <v>Indigenous Australian Land and Environments</v>
      </c>
      <c r="E973" s="81">
        <f>TableSTRUPOLB1[[#This Row],[Credit Points]]</f>
        <v>25</v>
      </c>
      <c r="F973">
        <v>2</v>
      </c>
      <c r="G973" t="s">
        <v>1208</v>
      </c>
      <c r="H973">
        <v>1</v>
      </c>
      <c r="I973" t="s">
        <v>1212</v>
      </c>
      <c r="J973" t="s">
        <v>640</v>
      </c>
      <c r="K973" s="122">
        <v>0</v>
      </c>
      <c r="L973" t="s">
        <v>1039</v>
      </c>
      <c r="M973">
        <v>25</v>
      </c>
      <c r="N973" s="125">
        <v>42005</v>
      </c>
      <c r="O973" s="125"/>
      <c r="R973" t="s">
        <v>452</v>
      </c>
      <c r="S973">
        <v>1</v>
      </c>
    </row>
    <row r="974" spans="1:19" x14ac:dyDescent="0.25">
      <c r="A974" t="str">
        <f>TableSTRUPOLB1[[#This Row],[Study Package Code]]</f>
        <v>ECON1000</v>
      </c>
      <c r="B974" s="5">
        <f>TableSTRUPOLB1[[#This Row],[Ver]]</f>
        <v>0</v>
      </c>
      <c r="D974" t="str">
        <f>TableSTRUPOLB1[[#This Row],[Structure Line]]</f>
        <v>Introductory Economics</v>
      </c>
      <c r="E974" s="81">
        <f>TableSTRUPOLB1[[#This Row],[Credit Points]]</f>
        <v>25</v>
      </c>
      <c r="F974">
        <v>3</v>
      </c>
      <c r="G974" t="s">
        <v>1208</v>
      </c>
      <c r="H974">
        <v>2</v>
      </c>
      <c r="I974" t="s">
        <v>1209</v>
      </c>
      <c r="J974" t="s">
        <v>452</v>
      </c>
      <c r="K974" s="122">
        <v>0</v>
      </c>
      <c r="L974" t="s">
        <v>869</v>
      </c>
      <c r="M974">
        <v>25</v>
      </c>
      <c r="N974" s="125">
        <v>42005</v>
      </c>
      <c r="O974" s="125"/>
      <c r="R974" t="s">
        <v>569</v>
      </c>
      <c r="S974">
        <v>2</v>
      </c>
    </row>
    <row r="975" spans="1:19" x14ac:dyDescent="0.25">
      <c r="A975" t="str">
        <f>TableSTRUPOLB1[[#This Row],[Study Package Code]]</f>
        <v>HIST2000</v>
      </c>
      <c r="B975" s="5">
        <f>TableSTRUPOLB1[[#This Row],[Ver]]</f>
        <v>0</v>
      </c>
      <c r="D975" t="str">
        <f>TableSTRUPOLB1[[#This Row],[Structure Line]]</f>
        <v>Social Change in Contemporary Australian History</v>
      </c>
      <c r="E975" s="81">
        <f>TableSTRUPOLB1[[#This Row],[Credit Points]]</f>
        <v>25</v>
      </c>
      <c r="F975">
        <v>4</v>
      </c>
      <c r="G975" t="s">
        <v>1208</v>
      </c>
      <c r="H975">
        <v>2</v>
      </c>
      <c r="I975" t="s">
        <v>1212</v>
      </c>
      <c r="J975" t="s">
        <v>569</v>
      </c>
      <c r="K975" s="122">
        <v>0</v>
      </c>
      <c r="L975" s="122" t="s">
        <v>1273</v>
      </c>
      <c r="M975">
        <v>25</v>
      </c>
      <c r="N975" s="125">
        <v>44562</v>
      </c>
      <c r="O975" s="125"/>
      <c r="R975" t="s">
        <v>612</v>
      </c>
      <c r="S975">
        <v>1</v>
      </c>
    </row>
    <row r="976" spans="1:19" x14ac:dyDescent="0.25">
      <c r="A976" t="str">
        <f>TableSTRUPOLB1[[#This Row],[Study Package Code]]</f>
        <v>INDS2004</v>
      </c>
      <c r="B976" s="5">
        <f>TableSTRUPOLB1[[#This Row],[Ver]]</f>
        <v>0</v>
      </c>
      <c r="D976" t="str">
        <f>TableSTRUPOLB1[[#This Row],[Structure Line]]</f>
        <v>Listening to Country: First Nations’ Perspectives</v>
      </c>
      <c r="E976" s="81">
        <f>TableSTRUPOLB1[[#This Row],[Credit Points]]</f>
        <v>25</v>
      </c>
      <c r="F976">
        <v>5</v>
      </c>
      <c r="G976" t="s">
        <v>1208</v>
      </c>
      <c r="H976">
        <v>3</v>
      </c>
      <c r="I976" t="s">
        <v>1209</v>
      </c>
      <c r="J976" t="s">
        <v>582</v>
      </c>
      <c r="K976" s="122">
        <v>0</v>
      </c>
      <c r="L976" t="s">
        <v>1041</v>
      </c>
      <c r="M976">
        <v>25</v>
      </c>
      <c r="N976" s="125">
        <v>44562</v>
      </c>
      <c r="O976" s="125"/>
      <c r="R976" t="s">
        <v>1293</v>
      </c>
      <c r="S976">
        <v>0</v>
      </c>
    </row>
    <row r="977" spans="1:19" x14ac:dyDescent="0.25">
      <c r="A977" t="str">
        <f>TableSTRUPOLB1[[#This Row],[Study Package Code]]</f>
        <v>PHGY1000</v>
      </c>
      <c r="B977" s="5">
        <f>TableSTRUPOLB1[[#This Row],[Ver]]</f>
        <v>0</v>
      </c>
      <c r="D977" t="str">
        <f>TableSTRUPOLB1[[#This Row],[Structure Line]]</f>
        <v>Physical Geography</v>
      </c>
      <c r="E977" s="81">
        <f>TableSTRUPOLB1[[#This Row],[Credit Points]]</f>
        <v>25</v>
      </c>
      <c r="F977">
        <v>6</v>
      </c>
      <c r="G977" t="s">
        <v>1208</v>
      </c>
      <c r="H977">
        <v>3</v>
      </c>
      <c r="I977" t="s">
        <v>1212</v>
      </c>
      <c r="J977" t="s">
        <v>568</v>
      </c>
      <c r="K977" s="122">
        <v>0</v>
      </c>
      <c r="L977" t="s">
        <v>1093</v>
      </c>
      <c r="M977">
        <v>25</v>
      </c>
      <c r="N977" s="125">
        <v>42005</v>
      </c>
      <c r="O977" s="125"/>
      <c r="R977" t="s">
        <v>124</v>
      </c>
      <c r="S977">
        <v>2</v>
      </c>
    </row>
    <row r="978" spans="1:19" x14ac:dyDescent="0.25">
      <c r="A978" t="str">
        <f>TableSTRUPOLB1[[#This Row],[Study Package Code]]</f>
        <v>EDUC4012</v>
      </c>
      <c r="B978" s="5">
        <f>TableSTRUPOLB1[[#This Row],[Ver]]</f>
        <v>2</v>
      </c>
      <c r="D978" t="str">
        <f>TableSTRUPOLB1[[#This Row],[Structure Line]]</f>
        <v>Relationships and Sexuality Education</v>
      </c>
      <c r="E978" s="81">
        <f>TableSTRUPOLB1[[#This Row],[Credit Points]]</f>
        <v>25</v>
      </c>
      <c r="F978">
        <v>1</v>
      </c>
      <c r="G978" t="s">
        <v>140</v>
      </c>
      <c r="H978">
        <v>0</v>
      </c>
      <c r="I978" t="s">
        <v>1221</v>
      </c>
      <c r="J978" t="s">
        <v>194</v>
      </c>
      <c r="K978">
        <v>2</v>
      </c>
      <c r="L978" t="s">
        <v>975</v>
      </c>
      <c r="M978">
        <v>25</v>
      </c>
      <c r="N978" s="125">
        <v>44927</v>
      </c>
      <c r="O978" s="125"/>
      <c r="R978" t="s">
        <v>200</v>
      </c>
      <c r="S978">
        <v>1</v>
      </c>
    </row>
    <row r="979" spans="1:19" x14ac:dyDescent="0.25">
      <c r="A979" t="str">
        <f>TableSTRUPOLB1[[#This Row],[Study Package Code]]</f>
        <v>EDUC4014</v>
      </c>
      <c r="B979" s="5">
        <f>TableSTRUPOLB1[[#This Row],[Ver]]</f>
        <v>1</v>
      </c>
      <c r="D979" t="str">
        <f>TableSTRUPOLB1[[#This Row],[Structure Line]]</f>
        <v>Diverse Abilities and Curriculum Differentiation</v>
      </c>
      <c r="E979" s="81">
        <f>TableSTRUPOLB1[[#This Row],[Credit Points]]</f>
        <v>25</v>
      </c>
      <c r="F979">
        <v>1</v>
      </c>
      <c r="G979" t="s">
        <v>140</v>
      </c>
      <c r="H979">
        <v>0</v>
      </c>
      <c r="I979" t="s">
        <v>1221</v>
      </c>
      <c r="J979" t="s">
        <v>195</v>
      </c>
      <c r="K979">
        <v>1</v>
      </c>
      <c r="L979" t="s">
        <v>976</v>
      </c>
      <c r="M979">
        <v>25</v>
      </c>
      <c r="N979" s="125">
        <v>42005</v>
      </c>
      <c r="O979" s="125"/>
      <c r="R979" t="s">
        <v>174</v>
      </c>
      <c r="S979">
        <v>2</v>
      </c>
    </row>
    <row r="980" spans="1:19" x14ac:dyDescent="0.25">
      <c r="A980" t="str">
        <f>TableSTRUPOLB1[[#This Row],[Study Package Code]]</f>
        <v>EDUC4020</v>
      </c>
      <c r="B980" s="5">
        <f>TableSTRUPOLB1[[#This Row],[Ver]]</f>
        <v>1</v>
      </c>
      <c r="D980" t="str">
        <f>TableSTRUPOLB1[[#This Row],[Structure Line]]</f>
        <v>Supporting Literacy and Numeracy Development for Diverse Learners</v>
      </c>
      <c r="E980" s="81">
        <f>TableSTRUPOLB1[[#This Row],[Credit Points]]</f>
        <v>25</v>
      </c>
      <c r="F980">
        <v>1</v>
      </c>
      <c r="G980" t="s">
        <v>140</v>
      </c>
      <c r="H980">
        <v>0</v>
      </c>
      <c r="I980" t="s">
        <v>1221</v>
      </c>
      <c r="J980" t="s">
        <v>184</v>
      </c>
      <c r="K980">
        <v>1</v>
      </c>
      <c r="L980" t="s">
        <v>977</v>
      </c>
      <c r="M980">
        <v>25</v>
      </c>
      <c r="N980" s="125">
        <v>43282</v>
      </c>
      <c r="O980" s="125"/>
      <c r="R980" t="s">
        <v>201</v>
      </c>
      <c r="S980">
        <v>2</v>
      </c>
    </row>
    <row r="981" spans="1:19" x14ac:dyDescent="0.25">
      <c r="A981" t="str">
        <f>TableSTRUPOLB1[[#This Row],[Study Package Code]]</f>
        <v>EDUC4042</v>
      </c>
      <c r="B981" s="5">
        <f>TableSTRUPOLB1[[#This Row],[Ver]]</f>
        <v>1</v>
      </c>
      <c r="D981" t="str">
        <f>TableSTRUPOLB1[[#This Row],[Structure Line]]</f>
        <v>Alternative Approaches to Teaching Literacy and Numeracy</v>
      </c>
      <c r="E981" s="81">
        <f>TableSTRUPOLB1[[#This Row],[Credit Points]]</f>
        <v>25</v>
      </c>
      <c r="F981">
        <v>1</v>
      </c>
      <c r="G981" t="s">
        <v>140</v>
      </c>
      <c r="H981">
        <v>0</v>
      </c>
      <c r="I981" t="s">
        <v>1221</v>
      </c>
      <c r="J981" t="s">
        <v>171</v>
      </c>
      <c r="K981">
        <v>1</v>
      </c>
      <c r="L981" t="s">
        <v>988</v>
      </c>
      <c r="M981">
        <v>25</v>
      </c>
      <c r="N981" s="125">
        <v>43466</v>
      </c>
      <c r="O981" s="125"/>
      <c r="R981" t="s">
        <v>167</v>
      </c>
      <c r="S981">
        <v>1</v>
      </c>
    </row>
    <row r="982" spans="1:19" x14ac:dyDescent="0.25">
      <c r="A982" t="str">
        <f>TableSTRUPOLB1[[#This Row],[Study Package Code]]</f>
        <v>EDUC4044</v>
      </c>
      <c r="B982" s="5">
        <f>TableSTRUPOLB1[[#This Row],[Ver]]</f>
        <v>2</v>
      </c>
      <c r="D982" t="str">
        <f>TableSTRUPOLB1[[#This Row],[Structure Line]]</f>
        <v>Literacy and Numeracy for First Nations Peoples of Australia</v>
      </c>
      <c r="E982" s="81">
        <f>TableSTRUPOLB1[[#This Row],[Credit Points]]</f>
        <v>25</v>
      </c>
      <c r="F982">
        <v>1</v>
      </c>
      <c r="G982" t="s">
        <v>140</v>
      </c>
      <c r="H982">
        <v>0</v>
      </c>
      <c r="I982" t="s">
        <v>1221</v>
      </c>
      <c r="J982" t="s">
        <v>178</v>
      </c>
      <c r="K982">
        <v>2</v>
      </c>
      <c r="L982" t="s">
        <v>989</v>
      </c>
      <c r="M982">
        <v>25</v>
      </c>
      <c r="N982" s="125">
        <v>44927</v>
      </c>
      <c r="O982" s="125"/>
      <c r="R982" t="s">
        <v>180</v>
      </c>
      <c r="S982">
        <v>1</v>
      </c>
    </row>
    <row r="983" spans="1:19" x14ac:dyDescent="0.25">
      <c r="A983" t="str">
        <f>TableSTRUPOLB1[[#This Row],[Study Package Code]]</f>
        <v>EDUC4048</v>
      </c>
      <c r="B983" s="5">
        <f>TableSTRUPOLB1[[#This Row],[Ver]]</f>
        <v>1</v>
      </c>
      <c r="D983" t="str">
        <f>TableSTRUPOLB1[[#This Row],[Structure Line]]</f>
        <v>Mentoring, Coaching and Tutoring</v>
      </c>
      <c r="E983" s="81">
        <f>TableSTRUPOLB1[[#This Row],[Credit Points]]</f>
        <v>25</v>
      </c>
      <c r="F983">
        <v>1</v>
      </c>
      <c r="G983" t="s">
        <v>140</v>
      </c>
      <c r="H983">
        <v>0</v>
      </c>
      <c r="I983" t="s">
        <v>1221</v>
      </c>
      <c r="J983" t="s">
        <v>129</v>
      </c>
      <c r="K983">
        <v>1</v>
      </c>
      <c r="L983" t="s">
        <v>991</v>
      </c>
      <c r="M983">
        <v>25</v>
      </c>
      <c r="N983" s="125">
        <v>43466</v>
      </c>
      <c r="O983" s="125"/>
      <c r="R983" t="s">
        <v>196</v>
      </c>
      <c r="S983">
        <v>1</v>
      </c>
    </row>
    <row r="984" spans="1:19" x14ac:dyDescent="0.25">
      <c r="A984">
        <f>TableSTRUPOLB1[[#This Row],[Study Package Code]]</f>
        <v>0</v>
      </c>
      <c r="B984" s="5">
        <f>TableSTRUPOLB1[[#This Row],[Ver]]</f>
        <v>0</v>
      </c>
      <c r="D984">
        <f>TableSTRUPOLB1[[#This Row],[Structure Line]]</f>
        <v>0</v>
      </c>
      <c r="E984" s="81">
        <f>TableSTRUPOLB1[[#This Row],[Credit Points]]</f>
        <v>0</v>
      </c>
      <c r="N984" s="125"/>
      <c r="O984" s="125"/>
      <c r="R984" t="s">
        <v>198</v>
      </c>
      <c r="S984">
        <v>1</v>
      </c>
    </row>
    <row r="985" spans="1:19" x14ac:dyDescent="0.25">
      <c r="A985">
        <f>TableSTRUPOLB1[[#This Row],[Study Package Code]]</f>
        <v>0</v>
      </c>
      <c r="B985" s="5">
        <f>TableSTRUPOLB1[[#This Row],[Ver]]</f>
        <v>0</v>
      </c>
      <c r="D985">
        <f>TableSTRUPOLB1[[#This Row],[Structure Line]]</f>
        <v>0</v>
      </c>
      <c r="E985" s="81">
        <f>TableSTRUPOLB1[[#This Row],[Credit Points]]</f>
        <v>0</v>
      </c>
      <c r="N985" s="125"/>
      <c r="O985" s="125"/>
      <c r="R985" t="s">
        <v>1224</v>
      </c>
      <c r="S985">
        <v>1</v>
      </c>
    </row>
    <row r="986" spans="1:19" x14ac:dyDescent="0.25">
      <c r="A986">
        <f>TableSTRUPOLB1[[#This Row],[Study Package Code]]</f>
        <v>0</v>
      </c>
      <c r="B986" s="5">
        <f>TableSTRUPOLB1[[#This Row],[Ver]]</f>
        <v>0</v>
      </c>
      <c r="D986">
        <f>TableSTRUPOLB1[[#This Row],[Structure Line]]</f>
        <v>0</v>
      </c>
      <c r="E986" s="81">
        <f>TableSTRUPOLB1[[#This Row],[Credit Points]]</f>
        <v>0</v>
      </c>
      <c r="N986" s="125"/>
      <c r="O986" s="125"/>
      <c r="R986" t="s">
        <v>194</v>
      </c>
      <c r="S986">
        <v>2</v>
      </c>
    </row>
    <row r="987" spans="1:19" x14ac:dyDescent="0.25">
      <c r="A987">
        <f>TableSTRUPOLB1[[#This Row],[Study Package Code]]</f>
        <v>0</v>
      </c>
      <c r="B987" s="5">
        <f>TableSTRUPOLB1[[#This Row],[Ver]]</f>
        <v>0</v>
      </c>
      <c r="D987">
        <f>TableSTRUPOLB1[[#This Row],[Structure Line]]</f>
        <v>0</v>
      </c>
      <c r="E987" s="81">
        <f>TableSTRUPOLB1[[#This Row],[Credit Points]]</f>
        <v>0</v>
      </c>
      <c r="N987" s="125"/>
      <c r="O987" s="125"/>
      <c r="R987" t="s">
        <v>195</v>
      </c>
      <c r="S987">
        <v>1</v>
      </c>
    </row>
    <row r="988" spans="1:19" x14ac:dyDescent="0.25">
      <c r="A988">
        <f>TableSTRUPOLB1[[#This Row],[Study Package Code]]</f>
        <v>0</v>
      </c>
      <c r="B988" s="5">
        <f>TableSTRUPOLB1[[#This Row],[Ver]]</f>
        <v>0</v>
      </c>
      <c r="D988">
        <f>TableSTRUPOLB1[[#This Row],[Structure Line]]</f>
        <v>0</v>
      </c>
      <c r="E988" s="81">
        <f>TableSTRUPOLB1[[#This Row],[Credit Points]]</f>
        <v>0</v>
      </c>
      <c r="N988" s="125"/>
      <c r="O988" s="125"/>
      <c r="R988" t="s">
        <v>184</v>
      </c>
      <c r="S988">
        <v>1</v>
      </c>
    </row>
    <row r="989" spans="1:19" x14ac:dyDescent="0.25">
      <c r="A989">
        <f>TableSTRUPOLB1[[#This Row],[Study Package Code]]</f>
        <v>0</v>
      </c>
      <c r="B989" s="5">
        <f>TableSTRUPOLB1[[#This Row],[Ver]]</f>
        <v>0</v>
      </c>
      <c r="D989">
        <f>TableSTRUPOLB1[[#This Row],[Structure Line]]</f>
        <v>0</v>
      </c>
      <c r="E989" s="81">
        <f>TableSTRUPOLB1[[#This Row],[Credit Points]]</f>
        <v>0</v>
      </c>
      <c r="N989" s="125"/>
      <c r="O989" s="125"/>
      <c r="R989" t="s">
        <v>170</v>
      </c>
      <c r="S989">
        <v>1</v>
      </c>
    </row>
    <row r="990" spans="1:19" x14ac:dyDescent="0.25">
      <c r="A990">
        <f>TableSTRUPOLB1[[#This Row],[Study Package Code]]</f>
        <v>0</v>
      </c>
      <c r="B990" s="5">
        <f>TableSTRUPOLB1[[#This Row],[Ver]]</f>
        <v>0</v>
      </c>
      <c r="D990">
        <f>TableSTRUPOLB1[[#This Row],[Structure Line]]</f>
        <v>0</v>
      </c>
      <c r="E990" s="81">
        <f>TableSTRUPOLB1[[#This Row],[Credit Points]]</f>
        <v>0</v>
      </c>
      <c r="N990" s="125"/>
      <c r="O990" s="125"/>
      <c r="R990" t="s">
        <v>175</v>
      </c>
      <c r="S990">
        <v>1</v>
      </c>
    </row>
    <row r="991" spans="1:19" x14ac:dyDescent="0.25">
      <c r="A991">
        <f>TableSTRUPOLB1[[#This Row],[Study Package Code]]</f>
        <v>0</v>
      </c>
      <c r="B991" s="5">
        <f>TableSTRUPOLB1[[#This Row],[Ver]]</f>
        <v>0</v>
      </c>
      <c r="D991">
        <f>TableSTRUPOLB1[[#This Row],[Structure Line]]</f>
        <v>0</v>
      </c>
      <c r="E991" s="81">
        <f>TableSTRUPOLB1[[#This Row],[Credit Points]]</f>
        <v>0</v>
      </c>
      <c r="N991" s="125"/>
      <c r="O991" s="125"/>
      <c r="R991" t="s">
        <v>168</v>
      </c>
      <c r="S991">
        <v>1</v>
      </c>
    </row>
    <row r="992" spans="1:19" x14ac:dyDescent="0.25">
      <c r="A992">
        <f>TableSTRUPOLB1[[#This Row],[Study Package Code]]</f>
        <v>0</v>
      </c>
      <c r="B992" s="5">
        <f>TableSTRUPOLB1[[#This Row],[Ver]]</f>
        <v>0</v>
      </c>
      <c r="D992">
        <f>TableSTRUPOLB1[[#This Row],[Structure Line]]</f>
        <v>0</v>
      </c>
      <c r="E992" s="81">
        <f>TableSTRUPOLB1[[#This Row],[Credit Points]]</f>
        <v>0</v>
      </c>
      <c r="N992" s="125"/>
      <c r="O992" s="125"/>
      <c r="R992" t="s">
        <v>172</v>
      </c>
      <c r="S992">
        <v>1</v>
      </c>
    </row>
    <row r="993" spans="1:19" x14ac:dyDescent="0.25">
      <c r="A993">
        <f>TableSTRUPOLB1[[#This Row],[Study Package Code]]</f>
        <v>0</v>
      </c>
      <c r="B993" s="5">
        <f>TableSTRUPOLB1[[#This Row],[Ver]]</f>
        <v>0</v>
      </c>
      <c r="D993">
        <f>TableSTRUPOLB1[[#This Row],[Structure Line]]</f>
        <v>0</v>
      </c>
      <c r="E993" s="81">
        <f>TableSTRUPOLB1[[#This Row],[Credit Points]]</f>
        <v>0</v>
      </c>
      <c r="N993" s="125"/>
      <c r="O993" s="125"/>
      <c r="R993" t="s">
        <v>199</v>
      </c>
      <c r="S993">
        <v>1</v>
      </c>
    </row>
    <row r="994" spans="1:19" x14ac:dyDescent="0.25">
      <c r="A994">
        <f>TableSTRUPOLB1[[#This Row],[Study Package Code]]</f>
        <v>0</v>
      </c>
      <c r="B994" s="5">
        <f>TableSTRUPOLB1[[#This Row],[Ver]]</f>
        <v>0</v>
      </c>
      <c r="D994">
        <f>TableSTRUPOLB1[[#This Row],[Structure Line]]</f>
        <v>0</v>
      </c>
      <c r="E994" s="81">
        <f>TableSTRUPOLB1[[#This Row],[Credit Points]]</f>
        <v>0</v>
      </c>
      <c r="N994" s="125"/>
      <c r="O994" s="125"/>
      <c r="R994" t="s">
        <v>177</v>
      </c>
      <c r="S994">
        <v>1</v>
      </c>
    </row>
    <row r="995" spans="1:19" x14ac:dyDescent="0.25">
      <c r="A995">
        <f>TableSTRUPOLB1[[#This Row],[Study Package Code]]</f>
        <v>0</v>
      </c>
      <c r="B995" s="5">
        <f>TableSTRUPOLB1[[#This Row],[Ver]]</f>
        <v>0</v>
      </c>
      <c r="D995">
        <f>TableSTRUPOLB1[[#This Row],[Structure Line]]</f>
        <v>0</v>
      </c>
      <c r="E995" s="81">
        <f>TableSTRUPOLB1[[#This Row],[Credit Points]]</f>
        <v>0</v>
      </c>
      <c r="N995" s="125"/>
      <c r="O995" s="125"/>
      <c r="R995" t="s">
        <v>183</v>
      </c>
      <c r="S995">
        <v>1</v>
      </c>
    </row>
    <row r="996" spans="1:19" x14ac:dyDescent="0.25">
      <c r="A996">
        <f>TableSTRUPOLB1[[#This Row],[Study Package Code]]</f>
        <v>0</v>
      </c>
      <c r="B996" s="5">
        <f>TableSTRUPOLB1[[#This Row],[Ver]]</f>
        <v>0</v>
      </c>
      <c r="D996">
        <f>TableSTRUPOLB1[[#This Row],[Structure Line]]</f>
        <v>0</v>
      </c>
      <c r="E996" s="81">
        <f>TableSTRUPOLB1[[#This Row],[Credit Points]]</f>
        <v>0</v>
      </c>
      <c r="N996" s="125"/>
      <c r="O996" s="125"/>
      <c r="R996" t="s">
        <v>181</v>
      </c>
      <c r="S996">
        <v>1</v>
      </c>
    </row>
    <row r="997" spans="1:19" x14ac:dyDescent="0.25">
      <c r="A997">
        <f>TableSTRUPOLB1[[#This Row],[Study Package Code]]</f>
        <v>0</v>
      </c>
      <c r="B997" s="5">
        <f>TableSTRUPOLB1[[#This Row],[Ver]]</f>
        <v>0</v>
      </c>
      <c r="D997">
        <f>TableSTRUPOLB1[[#This Row],[Structure Line]]</f>
        <v>0</v>
      </c>
      <c r="E997" s="81">
        <f>TableSTRUPOLB1[[#This Row],[Credit Points]]</f>
        <v>0</v>
      </c>
      <c r="K997" s="126"/>
      <c r="L997" s="126"/>
      <c r="N997" s="125"/>
      <c r="O997" s="125"/>
      <c r="R997" t="s">
        <v>179</v>
      </c>
      <c r="S997">
        <v>1</v>
      </c>
    </row>
    <row r="998" spans="1:19" x14ac:dyDescent="0.25">
      <c r="A998">
        <f>TableSTRUPOLB1[[#This Row],[Study Package Code]]</f>
        <v>0</v>
      </c>
      <c r="B998" s="5">
        <f>TableSTRUPOLB1[[#This Row],[Ver]]</f>
        <v>0</v>
      </c>
      <c r="D998">
        <f>TableSTRUPOLB1[[#This Row],[Structure Line]]</f>
        <v>0</v>
      </c>
      <c r="E998" s="81">
        <f>TableSTRUPOLB1[[#This Row],[Credit Points]]</f>
        <v>0</v>
      </c>
      <c r="N998" s="125"/>
      <c r="O998" s="125"/>
      <c r="R998" t="s">
        <v>171</v>
      </c>
      <c r="S998">
        <v>1</v>
      </c>
    </row>
    <row r="999" spans="1:19" x14ac:dyDescent="0.25">
      <c r="A999">
        <f>TableSTRUPOLB1[[#This Row],[Study Package Code]]</f>
        <v>0</v>
      </c>
      <c r="B999" s="5">
        <f>TableSTRUPOLB1[[#This Row],[Ver]]</f>
        <v>0</v>
      </c>
      <c r="D999">
        <f>TableSTRUPOLB1[[#This Row],[Structure Line]]</f>
        <v>0</v>
      </c>
      <c r="E999" s="81">
        <f>TableSTRUPOLB1[[#This Row],[Credit Points]]</f>
        <v>0</v>
      </c>
      <c r="N999" s="125"/>
      <c r="O999" s="125"/>
      <c r="R999" t="s">
        <v>178</v>
      </c>
      <c r="S999">
        <v>2</v>
      </c>
    </row>
    <row r="1000" spans="1:19" x14ac:dyDescent="0.25">
      <c r="A1000">
        <f>TableSTRUPOLB1[[#This Row],[Study Package Code]]</f>
        <v>0</v>
      </c>
      <c r="B1000" s="5">
        <f>TableSTRUPOLB1[[#This Row],[Ver]]</f>
        <v>0</v>
      </c>
      <c r="D1000">
        <f>TableSTRUPOLB1[[#This Row],[Structure Line]]</f>
        <v>0</v>
      </c>
      <c r="E1000" s="81">
        <f>TableSTRUPOLB1[[#This Row],[Credit Points]]</f>
        <v>0</v>
      </c>
      <c r="N1000" s="125"/>
      <c r="O1000" s="125"/>
      <c r="R1000" t="s">
        <v>185</v>
      </c>
      <c r="S1000">
        <v>1</v>
      </c>
    </row>
    <row r="1001" spans="1:19" x14ac:dyDescent="0.25">
      <c r="A1001">
        <f>TableSTRUPOLB1[[#This Row],[Study Package Code]]</f>
        <v>0</v>
      </c>
      <c r="B1001" s="5">
        <f>TableSTRUPOLB1[[#This Row],[Ver]]</f>
        <v>0</v>
      </c>
      <c r="D1001">
        <f>TableSTRUPOLB1[[#This Row],[Structure Line]]</f>
        <v>0</v>
      </c>
      <c r="E1001" s="81">
        <f>TableSTRUPOLB1[[#This Row],[Credit Points]]</f>
        <v>0</v>
      </c>
      <c r="N1001" s="125"/>
      <c r="O1001" s="125"/>
      <c r="R1001" t="s">
        <v>129</v>
      </c>
      <c r="S1001">
        <v>1</v>
      </c>
    </row>
    <row r="1002" spans="1:19" x14ac:dyDescent="0.25">
      <c r="A1002" s="78"/>
      <c r="B1002" s="80"/>
      <c r="C1002" s="78"/>
      <c r="G1002" s="79" t="s">
        <v>1194</v>
      </c>
      <c r="H1002" s="272">
        <v>45658</v>
      </c>
      <c r="J1002" s="274" t="s">
        <v>371</v>
      </c>
      <c r="K1002" s="273" t="s">
        <v>77</v>
      </c>
      <c r="L1002" s="274" t="s">
        <v>411</v>
      </c>
      <c r="M1002" s="78"/>
      <c r="N1002" s="198" t="s">
        <v>1195</v>
      </c>
      <c r="O1002" s="125">
        <v>45544</v>
      </c>
    </row>
    <row r="1003" spans="1:19" ht="31.5" x14ac:dyDescent="0.25">
      <c r="A1003" s="97" t="s">
        <v>0</v>
      </c>
      <c r="B1003" s="98" t="s">
        <v>1196</v>
      </c>
      <c r="C1003" s="97" t="s">
        <v>1197</v>
      </c>
      <c r="D1003" s="97" t="s">
        <v>3</v>
      </c>
      <c r="E1003" s="99" t="s">
        <v>1198</v>
      </c>
      <c r="F1003" s="97" t="s">
        <v>1199</v>
      </c>
      <c r="G1003" s="97" t="s">
        <v>1200</v>
      </c>
      <c r="H1003" s="97" t="s">
        <v>1201</v>
      </c>
      <c r="I1003" s="97" t="s">
        <v>18</v>
      </c>
      <c r="J1003" s="97" t="s">
        <v>1202</v>
      </c>
      <c r="K1003" s="97" t="s">
        <v>1</v>
      </c>
      <c r="L1003" s="97" t="s">
        <v>1203</v>
      </c>
      <c r="M1003" s="97" t="s">
        <v>69</v>
      </c>
      <c r="N1003" s="97" t="s">
        <v>1204</v>
      </c>
      <c r="O1003" s="97" t="s">
        <v>1205</v>
      </c>
      <c r="R1003" t="s">
        <v>1206</v>
      </c>
      <c r="S1003" t="s">
        <v>1207</v>
      </c>
    </row>
    <row r="1004" spans="1:19" x14ac:dyDescent="0.25">
      <c r="A1004" t="str">
        <f>TableSTRUPSYCB[[#This Row],[Study Package Code]]</f>
        <v>Opt-PSYCB</v>
      </c>
      <c r="B1004" s="5">
        <f>TableSTRUPSYCB[[#This Row],[Ver]]</f>
        <v>0</v>
      </c>
      <c r="D1004" t="str">
        <f>TableSTRUPSYCB[[#This Row],[Structure Line]]</f>
        <v>Choose an Option</v>
      </c>
      <c r="E1004" s="81">
        <f>TableSTRUPSYCB[[#This Row],[Credit Points]]</f>
        <v>25</v>
      </c>
      <c r="F1004">
        <v>1</v>
      </c>
      <c r="G1004" t="s">
        <v>140</v>
      </c>
      <c r="H1004">
        <v>0</v>
      </c>
      <c r="I1004" t="s">
        <v>1221</v>
      </c>
      <c r="J1004" t="s">
        <v>736</v>
      </c>
      <c r="K1004">
        <v>0</v>
      </c>
      <c r="L1004" t="s">
        <v>1219</v>
      </c>
      <c r="M1004">
        <v>25</v>
      </c>
      <c r="N1004" s="125"/>
      <c r="O1004" s="125"/>
      <c r="R1004" t="s">
        <v>57</v>
      </c>
      <c r="S1004">
        <v>1</v>
      </c>
    </row>
    <row r="1005" spans="1:19" x14ac:dyDescent="0.25">
      <c r="A1005" t="str">
        <f>TableSTRUPSYCB[[#This Row],[Study Package Code]]</f>
        <v>AC-PSYCB1</v>
      </c>
      <c r="B1005" s="5">
        <f>TableSTRUPSYCB[[#This Row],[Ver]]</f>
        <v>0</v>
      </c>
      <c r="D1005" t="str">
        <f>TableSTRUPSYCB[[#This Row],[Structure Line]]</f>
        <v>Choose CHEM1000 or CHEM1003. Choose CHEM1000 if you have passed ATAR Chemistry or equivalent</v>
      </c>
      <c r="E1005" s="81">
        <f>TableSTRUPSYCB[[#This Row],[Credit Points]]</f>
        <v>25</v>
      </c>
      <c r="F1005">
        <v>2</v>
      </c>
      <c r="G1005" t="s">
        <v>1215</v>
      </c>
      <c r="H1005">
        <v>1</v>
      </c>
      <c r="I1005" t="s">
        <v>1212</v>
      </c>
      <c r="J1005" t="s">
        <v>701</v>
      </c>
      <c r="K1005">
        <v>0</v>
      </c>
      <c r="L1005" t="s">
        <v>1316</v>
      </c>
      <c r="M1005">
        <v>25</v>
      </c>
      <c r="N1005" s="125"/>
      <c r="O1005" s="125"/>
      <c r="R1005" t="s">
        <v>1317</v>
      </c>
      <c r="S1005">
        <v>1</v>
      </c>
    </row>
    <row r="1006" spans="1:19" x14ac:dyDescent="0.25">
      <c r="A1006" t="str">
        <f>TableSTRUPSYCB[[#This Row],[Study Package Code]]</f>
        <v>BIOL1005</v>
      </c>
      <c r="B1006" s="5">
        <f>TableSTRUPSYCB[[#This Row],[Ver]]</f>
        <v>1</v>
      </c>
      <c r="D1006" t="str">
        <f>TableSTRUPSYCB[[#This Row],[Structure Line]]</f>
        <v>Foundations of Biology</v>
      </c>
      <c r="E1006" s="81">
        <f>TableSTRUPSYCB[[#This Row],[Credit Points]]</f>
        <v>25</v>
      </c>
      <c r="F1006">
        <v>3</v>
      </c>
      <c r="G1006" t="s">
        <v>1208</v>
      </c>
      <c r="H1006">
        <v>2</v>
      </c>
      <c r="I1006" t="s">
        <v>1209</v>
      </c>
      <c r="J1006" t="s">
        <v>478</v>
      </c>
      <c r="K1006">
        <v>1</v>
      </c>
      <c r="L1006" t="s">
        <v>827</v>
      </c>
      <c r="M1006">
        <v>25</v>
      </c>
      <c r="N1006" s="125">
        <v>44562</v>
      </c>
      <c r="O1006" s="125"/>
      <c r="R1006" t="s">
        <v>96</v>
      </c>
      <c r="S1006">
        <v>1</v>
      </c>
    </row>
    <row r="1007" spans="1:19" x14ac:dyDescent="0.25">
      <c r="A1007" t="str">
        <f>TableSTRUPSYCB[[#This Row],[Study Package Code]]</f>
        <v>AC-PSYCB2</v>
      </c>
      <c r="B1007" s="5">
        <f>TableSTRUPSYCB[[#This Row],[Ver]]</f>
        <v>0</v>
      </c>
      <c r="D1007" t="str">
        <f>TableSTRUPSYCB[[#This Row],[Structure Line]]</f>
        <v>Choose BOTA2000 or ENST2003</v>
      </c>
      <c r="E1007" s="81">
        <f>TableSTRUPSYCB[[#This Row],[Credit Points]]</f>
        <v>25</v>
      </c>
      <c r="F1007">
        <v>4</v>
      </c>
      <c r="G1007" t="s">
        <v>1215</v>
      </c>
      <c r="H1007">
        <v>2</v>
      </c>
      <c r="I1007" t="s">
        <v>1212</v>
      </c>
      <c r="J1007" t="s">
        <v>717</v>
      </c>
      <c r="K1007">
        <v>0</v>
      </c>
      <c r="L1007" t="s">
        <v>1318</v>
      </c>
      <c r="M1007">
        <v>25</v>
      </c>
      <c r="N1007" s="125"/>
      <c r="O1007" s="125"/>
      <c r="R1007" t="s">
        <v>1319</v>
      </c>
      <c r="S1007">
        <v>1</v>
      </c>
    </row>
    <row r="1008" spans="1:19" x14ac:dyDescent="0.25">
      <c r="A1008" t="str">
        <f>TableSTRUPSYCB[[#This Row],[Study Package Code]]</f>
        <v>AC-PSYCB3</v>
      </c>
      <c r="B1008" s="5">
        <f>TableSTRUPSYCB[[#This Row],[Ver]]</f>
        <v>0</v>
      </c>
      <c r="D1008" t="str">
        <f>TableSTRUPSYCB[[#This Row],[Structure Line]]</f>
        <v>Choose PHYS1005 or PHYS1006. Choose PHYS1005 if you have passed ATAR Physics and ATAR Mathematics Methods or equivalent</v>
      </c>
      <c r="E1008" s="81">
        <f>TableSTRUPSYCB[[#This Row],[Credit Points]]</f>
        <v>25</v>
      </c>
      <c r="F1008">
        <v>5</v>
      </c>
      <c r="G1008" t="s">
        <v>1215</v>
      </c>
      <c r="H1008">
        <v>3</v>
      </c>
      <c r="I1008" t="s">
        <v>1209</v>
      </c>
      <c r="J1008" t="s">
        <v>723</v>
      </c>
      <c r="K1008">
        <v>0</v>
      </c>
      <c r="L1008" t="s">
        <v>1320</v>
      </c>
      <c r="M1008">
        <v>25</v>
      </c>
      <c r="N1008" s="125"/>
      <c r="O1008" s="125"/>
      <c r="R1008" t="s">
        <v>744</v>
      </c>
      <c r="S1008">
        <v>1</v>
      </c>
    </row>
    <row r="1009" spans="1:19" x14ac:dyDescent="0.25">
      <c r="A1009" t="str">
        <f>TableSTRUPSYCB[[#This Row],[Study Package Code]]</f>
        <v>PSYC2002</v>
      </c>
      <c r="B1009" s="5">
        <f>TableSTRUPSYCB[[#This Row],[Ver]]</f>
        <v>1</v>
      </c>
      <c r="D1009" t="str">
        <f>TableSTRUPSYCB[[#This Row],[Structure Line]]</f>
        <v>Psychological Science Correlational Methods</v>
      </c>
      <c r="E1009" s="81">
        <f>TableSTRUPSYCB[[#This Row],[Credit Points]]</f>
        <v>25</v>
      </c>
      <c r="F1009">
        <v>6</v>
      </c>
      <c r="G1009" t="s">
        <v>1208</v>
      </c>
      <c r="H1009">
        <v>3</v>
      </c>
      <c r="I1009" t="s">
        <v>1212</v>
      </c>
      <c r="J1009" t="s">
        <v>744</v>
      </c>
      <c r="K1009">
        <v>1</v>
      </c>
      <c r="L1009" t="s">
        <v>1109</v>
      </c>
      <c r="M1009">
        <v>25</v>
      </c>
      <c r="N1009" s="125">
        <v>42005</v>
      </c>
      <c r="O1009" s="125"/>
      <c r="R1009" t="s">
        <v>1293</v>
      </c>
      <c r="S1009">
        <v>0</v>
      </c>
    </row>
    <row r="1010" spans="1:19" x14ac:dyDescent="0.25">
      <c r="A1010" t="str">
        <f>TableSTRUPSYCB[[#This Row],[Study Package Code]]</f>
        <v>EDUC4012</v>
      </c>
      <c r="B1010" s="5">
        <f>TableSTRUPSYCB[[#This Row],[Ver]]</f>
        <v>2</v>
      </c>
      <c r="D1010" t="str">
        <f>TableSTRUPSYCB[[#This Row],[Structure Line]]</f>
        <v>Relationships and Sexuality Education</v>
      </c>
      <c r="E1010" s="81">
        <f>TableSTRUPSYCB[[#This Row],[Credit Points]]</f>
        <v>25</v>
      </c>
      <c r="F1010">
        <v>1</v>
      </c>
      <c r="G1010" t="s">
        <v>140</v>
      </c>
      <c r="H1010">
        <v>0</v>
      </c>
      <c r="I1010" t="s">
        <v>1221</v>
      </c>
      <c r="J1010" t="s">
        <v>194</v>
      </c>
      <c r="K1010">
        <v>2</v>
      </c>
      <c r="L1010" t="s">
        <v>975</v>
      </c>
      <c r="M1010">
        <v>25</v>
      </c>
      <c r="N1010" s="125">
        <v>44927</v>
      </c>
      <c r="O1010" s="125"/>
      <c r="R1010" t="s">
        <v>200</v>
      </c>
      <c r="S1010">
        <v>1</v>
      </c>
    </row>
    <row r="1011" spans="1:19" x14ac:dyDescent="0.25">
      <c r="A1011" t="str">
        <f>TableSTRUPSYCB[[#This Row],[Study Package Code]]</f>
        <v>EDUC4014</v>
      </c>
      <c r="B1011" s="5">
        <f>TableSTRUPSYCB[[#This Row],[Ver]]</f>
        <v>1</v>
      </c>
      <c r="D1011" t="str">
        <f>TableSTRUPSYCB[[#This Row],[Structure Line]]</f>
        <v>Diverse Abilities and Curriculum Differentiation</v>
      </c>
      <c r="E1011" s="81">
        <f>TableSTRUPSYCB[[#This Row],[Credit Points]]</f>
        <v>25</v>
      </c>
      <c r="F1011">
        <v>1</v>
      </c>
      <c r="G1011" t="s">
        <v>140</v>
      </c>
      <c r="H1011">
        <v>0</v>
      </c>
      <c r="I1011" t="s">
        <v>1221</v>
      </c>
      <c r="J1011" t="s">
        <v>195</v>
      </c>
      <c r="K1011">
        <v>1</v>
      </c>
      <c r="L1011" t="s">
        <v>976</v>
      </c>
      <c r="M1011">
        <v>25</v>
      </c>
      <c r="N1011" s="125">
        <v>42005</v>
      </c>
      <c r="O1011" s="125"/>
      <c r="R1011" t="s">
        <v>174</v>
      </c>
      <c r="S1011">
        <v>2</v>
      </c>
    </row>
    <row r="1012" spans="1:19" x14ac:dyDescent="0.25">
      <c r="A1012" t="str">
        <f>TableSTRUPSYCB[[#This Row],[Study Package Code]]</f>
        <v>EDUC4021</v>
      </c>
      <c r="B1012" s="5">
        <f>TableSTRUPSYCB[[#This Row],[Ver]]</f>
        <v>1</v>
      </c>
      <c r="D1012" t="str">
        <f>TableSTRUPSYCB[[#This Row],[Structure Line]]</f>
        <v>Project-based iSTEM Education</v>
      </c>
      <c r="E1012" s="81">
        <f>TableSTRUPSYCB[[#This Row],[Credit Points]]</f>
        <v>25</v>
      </c>
      <c r="F1012">
        <v>1</v>
      </c>
      <c r="G1012" t="s">
        <v>140</v>
      </c>
      <c r="H1012">
        <v>0</v>
      </c>
      <c r="I1012" t="s">
        <v>1221</v>
      </c>
      <c r="J1012" t="s">
        <v>170</v>
      </c>
      <c r="K1012">
        <v>1</v>
      </c>
      <c r="L1012" t="s">
        <v>978</v>
      </c>
      <c r="M1012">
        <v>25</v>
      </c>
      <c r="N1012" s="125">
        <v>43282</v>
      </c>
      <c r="O1012" s="125"/>
      <c r="R1012" t="s">
        <v>201</v>
      </c>
      <c r="S1012">
        <v>2</v>
      </c>
    </row>
    <row r="1013" spans="1:19" x14ac:dyDescent="0.25">
      <c r="A1013" t="str">
        <f>TableSTRUPSYCB[[#This Row],[Study Package Code]]</f>
        <v>EDUC4032</v>
      </c>
      <c r="B1013" s="5">
        <f>TableSTRUPSYCB[[#This Row],[Ver]]</f>
        <v>1</v>
      </c>
      <c r="D1013" t="str">
        <f>TableSTRUPSYCB[[#This Row],[Structure Line]]</f>
        <v>iSTEM Education through Digital Stories</v>
      </c>
      <c r="E1013" s="81">
        <f>TableSTRUPSYCB[[#This Row],[Credit Points]]</f>
        <v>25</v>
      </c>
      <c r="F1013">
        <v>1</v>
      </c>
      <c r="G1013" t="s">
        <v>140</v>
      </c>
      <c r="H1013">
        <v>0</v>
      </c>
      <c r="I1013" t="s">
        <v>1221</v>
      </c>
      <c r="J1013" t="s">
        <v>177</v>
      </c>
      <c r="K1013">
        <v>1</v>
      </c>
      <c r="L1013" t="s">
        <v>982</v>
      </c>
      <c r="M1013">
        <v>25</v>
      </c>
      <c r="N1013" s="125">
        <v>43466</v>
      </c>
      <c r="O1013" s="125"/>
      <c r="R1013" t="s">
        <v>167</v>
      </c>
      <c r="S1013">
        <v>1</v>
      </c>
    </row>
    <row r="1014" spans="1:19" x14ac:dyDescent="0.25">
      <c r="A1014" t="str">
        <f>TableSTRUPSYCB[[#This Row],[Study Package Code]]</f>
        <v>EDUC4034</v>
      </c>
      <c r="B1014" s="5">
        <f>TableSTRUPSYCB[[#This Row],[Ver]]</f>
        <v>1</v>
      </c>
      <c r="D1014" t="str">
        <f>TableSTRUPSYCB[[#This Row],[Structure Line]]</f>
        <v>iSTEM: Social Issues</v>
      </c>
      <c r="E1014" s="81">
        <f>TableSTRUPSYCB[[#This Row],[Credit Points]]</f>
        <v>25</v>
      </c>
      <c r="F1014">
        <v>1</v>
      </c>
      <c r="G1014" t="s">
        <v>140</v>
      </c>
      <c r="H1014">
        <v>0</v>
      </c>
      <c r="I1014" t="s">
        <v>1221</v>
      </c>
      <c r="J1014" t="s">
        <v>183</v>
      </c>
      <c r="K1014">
        <v>1</v>
      </c>
      <c r="L1014" t="s">
        <v>983</v>
      </c>
      <c r="M1014">
        <v>25</v>
      </c>
      <c r="N1014" s="125">
        <v>43466</v>
      </c>
      <c r="O1014" s="125"/>
      <c r="R1014" t="s">
        <v>180</v>
      </c>
      <c r="S1014">
        <v>1</v>
      </c>
    </row>
    <row r="1015" spans="1:19" x14ac:dyDescent="0.25">
      <c r="A1015" t="str">
        <f>TableSTRUPSYCB[[#This Row],[Study Package Code]]</f>
        <v>EDUC4048</v>
      </c>
      <c r="B1015" s="5">
        <f>TableSTRUPSYCB[[#This Row],[Ver]]</f>
        <v>1</v>
      </c>
      <c r="D1015" t="str">
        <f>TableSTRUPSYCB[[#This Row],[Structure Line]]</f>
        <v>Mentoring, Coaching and Tutoring</v>
      </c>
      <c r="E1015" s="81">
        <f>TableSTRUPSYCB[[#This Row],[Credit Points]]</f>
        <v>25</v>
      </c>
      <c r="F1015">
        <v>1</v>
      </c>
      <c r="G1015" t="s">
        <v>140</v>
      </c>
      <c r="H1015">
        <v>0</v>
      </c>
      <c r="I1015" t="s">
        <v>1221</v>
      </c>
      <c r="J1015" t="s">
        <v>129</v>
      </c>
      <c r="K1015">
        <v>1</v>
      </c>
      <c r="L1015" t="s">
        <v>991</v>
      </c>
      <c r="M1015">
        <v>25</v>
      </c>
      <c r="N1015" s="125">
        <v>43466</v>
      </c>
      <c r="O1015" s="125"/>
      <c r="R1015" t="s">
        <v>196</v>
      </c>
      <c r="S1015">
        <v>1</v>
      </c>
    </row>
    <row r="1016" spans="1:19" x14ac:dyDescent="0.25">
      <c r="A1016" t="str">
        <f>TableSTRUPSYCB[[#This Row],[Study Package Code]]</f>
        <v>CHEM1000</v>
      </c>
      <c r="B1016" s="5">
        <f>TableSTRUPSYCB[[#This Row],[Ver]]</f>
        <v>1</v>
      </c>
      <c r="D1016" t="str">
        <f>TableSTRUPSYCB[[#This Row],[Structure Line]]</f>
        <v>Principles and Processes in Chemistry</v>
      </c>
      <c r="E1016" s="81">
        <f>TableSTRUPSYCB[[#This Row],[Credit Points]]</f>
        <v>25</v>
      </c>
      <c r="F1016">
        <v>2</v>
      </c>
      <c r="G1016" t="s">
        <v>1215</v>
      </c>
      <c r="H1016">
        <v>1</v>
      </c>
      <c r="I1016" t="s">
        <v>1212</v>
      </c>
      <c r="J1016" t="s">
        <v>457</v>
      </c>
      <c r="K1016">
        <v>1</v>
      </c>
      <c r="L1016" t="s">
        <v>832</v>
      </c>
      <c r="M1016">
        <v>25</v>
      </c>
      <c r="N1016" s="125">
        <v>42005</v>
      </c>
      <c r="O1016" s="125"/>
      <c r="R1016" t="s">
        <v>198</v>
      </c>
      <c r="S1016">
        <v>1</v>
      </c>
    </row>
    <row r="1017" spans="1:19" x14ac:dyDescent="0.25">
      <c r="A1017" t="str">
        <f>TableSTRUPSYCB[[#This Row],[Study Package Code]]</f>
        <v>CHEM1003</v>
      </c>
      <c r="B1017" s="5">
        <f>TableSTRUPSYCB[[#This Row],[Ver]]</f>
        <v>1</v>
      </c>
      <c r="D1017" t="str">
        <f>TableSTRUPSYCB[[#This Row],[Structure Line]]</f>
        <v>Introduction to Chemistry</v>
      </c>
      <c r="E1017" s="81">
        <f>TableSTRUPSYCB[[#This Row],[Credit Points]]</f>
        <v>25</v>
      </c>
      <c r="F1017">
        <v>2</v>
      </c>
      <c r="G1017" t="s">
        <v>1215</v>
      </c>
      <c r="H1017">
        <v>1</v>
      </c>
      <c r="I1017" t="s">
        <v>1212</v>
      </c>
      <c r="J1017" t="s">
        <v>749</v>
      </c>
      <c r="K1017">
        <v>1</v>
      </c>
      <c r="L1017" t="s">
        <v>835</v>
      </c>
      <c r="M1017">
        <v>25</v>
      </c>
      <c r="N1017" s="125">
        <v>42005</v>
      </c>
      <c r="O1017" s="125"/>
      <c r="R1017" t="s">
        <v>1224</v>
      </c>
      <c r="S1017">
        <v>1</v>
      </c>
    </row>
    <row r="1018" spans="1:19" x14ac:dyDescent="0.25">
      <c r="A1018" t="str">
        <f>TableSTRUPSYCB[[#This Row],[Study Package Code]]</f>
        <v>BOTA2000</v>
      </c>
      <c r="B1018" s="5">
        <f>TableSTRUPSYCB[[#This Row],[Ver]]</f>
        <v>1</v>
      </c>
      <c r="D1018" t="str">
        <f>TableSTRUPSYCB[[#This Row],[Structure Line]]</f>
        <v>Plant Diversity and Adaptation</v>
      </c>
      <c r="E1018" s="81">
        <f>TableSTRUPSYCB[[#This Row],[Credit Points]]</f>
        <v>25</v>
      </c>
      <c r="F1018">
        <v>4</v>
      </c>
      <c r="G1018" t="s">
        <v>1215</v>
      </c>
      <c r="H1018">
        <v>2</v>
      </c>
      <c r="I1018" t="s">
        <v>1212</v>
      </c>
      <c r="J1018" t="s">
        <v>503</v>
      </c>
      <c r="K1018">
        <v>1</v>
      </c>
      <c r="L1018" t="s">
        <v>831</v>
      </c>
      <c r="M1018">
        <v>25</v>
      </c>
      <c r="N1018" s="125">
        <v>42005</v>
      </c>
      <c r="O1018" s="125"/>
      <c r="R1018" t="s">
        <v>194</v>
      </c>
      <c r="S1018">
        <v>2</v>
      </c>
    </row>
    <row r="1019" spans="1:19" x14ac:dyDescent="0.25">
      <c r="A1019" t="str">
        <f>TableSTRUPSYCB[[#This Row],[Study Package Code]]</f>
        <v>ENST2003</v>
      </c>
      <c r="B1019" s="5">
        <f>TableSTRUPSYCB[[#This Row],[Ver]]</f>
        <v>2</v>
      </c>
      <c r="D1019" t="str">
        <f>TableSTRUPSYCB[[#This Row],[Structure Line]]</f>
        <v>Ecotoxicology and Environmental Monitoring</v>
      </c>
      <c r="E1019" s="81">
        <f>TableSTRUPSYCB[[#This Row],[Credit Points]]</f>
        <v>25</v>
      </c>
      <c r="F1019">
        <v>4</v>
      </c>
      <c r="G1019" t="s">
        <v>1215</v>
      </c>
      <c r="H1019">
        <v>2</v>
      </c>
      <c r="I1019" t="s">
        <v>1212</v>
      </c>
      <c r="J1019" t="s">
        <v>739</v>
      </c>
      <c r="K1019">
        <v>2</v>
      </c>
      <c r="L1019" t="s">
        <v>1000</v>
      </c>
      <c r="M1019">
        <v>25</v>
      </c>
      <c r="N1019" s="125">
        <v>43101</v>
      </c>
      <c r="O1019" s="125"/>
      <c r="R1019" t="s">
        <v>195</v>
      </c>
      <c r="S1019">
        <v>1</v>
      </c>
    </row>
    <row r="1020" spans="1:19" x14ac:dyDescent="0.25">
      <c r="A1020" t="str">
        <f>TableSTRUPSYCB[[#This Row],[Study Package Code]]</f>
        <v>PHYS1005</v>
      </c>
      <c r="B1020" s="5">
        <f>TableSTRUPSYCB[[#This Row],[Ver]]</f>
        <v>1</v>
      </c>
      <c r="D1020" t="str">
        <f>TableSTRUPSYCB[[#This Row],[Structure Line]]</f>
        <v>Physics 1</v>
      </c>
      <c r="E1020" s="81">
        <f>TableSTRUPSYCB[[#This Row],[Credit Points]]</f>
        <v>25</v>
      </c>
      <c r="F1020">
        <v>5</v>
      </c>
      <c r="G1020" t="s">
        <v>1215</v>
      </c>
      <c r="H1020">
        <v>3</v>
      </c>
      <c r="I1020" t="s">
        <v>1209</v>
      </c>
      <c r="J1020" t="s">
        <v>702</v>
      </c>
      <c r="K1020">
        <v>1</v>
      </c>
      <c r="L1020" t="s">
        <v>1097</v>
      </c>
      <c r="M1020">
        <v>25</v>
      </c>
      <c r="N1020" s="125">
        <v>42005</v>
      </c>
      <c r="O1020" s="125"/>
      <c r="R1020" t="s">
        <v>184</v>
      </c>
      <c r="S1020">
        <v>1</v>
      </c>
    </row>
    <row r="1021" spans="1:19" x14ac:dyDescent="0.25">
      <c r="A1021" t="str">
        <f>TableSTRUPSYCB[[#This Row],[Study Package Code]]</f>
        <v>PHYS1006</v>
      </c>
      <c r="B1021" s="5">
        <f>TableSTRUPSYCB[[#This Row],[Ver]]</f>
        <v>1</v>
      </c>
      <c r="D1021" t="str">
        <f>TableSTRUPSYCB[[#This Row],[Structure Line]]</f>
        <v>Foundations of Physics</v>
      </c>
      <c r="E1021" s="81">
        <f>TableSTRUPSYCB[[#This Row],[Credit Points]]</f>
        <v>25</v>
      </c>
      <c r="F1021">
        <v>5</v>
      </c>
      <c r="G1021" t="s">
        <v>1215</v>
      </c>
      <c r="H1021">
        <v>3</v>
      </c>
      <c r="I1021" t="s">
        <v>1209</v>
      </c>
      <c r="J1021" t="s">
        <v>751</v>
      </c>
      <c r="K1021">
        <v>1</v>
      </c>
      <c r="L1021" t="s">
        <v>1098</v>
      </c>
      <c r="M1021">
        <v>25</v>
      </c>
      <c r="N1021" s="125">
        <v>42005</v>
      </c>
      <c r="O1021" s="125"/>
      <c r="R1021" t="s">
        <v>170</v>
      </c>
      <c r="S1021">
        <v>1</v>
      </c>
    </row>
    <row r="1022" spans="1:19" x14ac:dyDescent="0.25">
      <c r="A1022">
        <f>TableSTRUPSYCB[[#This Row],[Study Package Code]]</f>
        <v>0</v>
      </c>
      <c r="B1022" s="5">
        <f>TableSTRUPSYCB[[#This Row],[Ver]]</f>
        <v>0</v>
      </c>
      <c r="D1022">
        <f>TableSTRUPSYCB[[#This Row],[Structure Line]]</f>
        <v>0</v>
      </c>
      <c r="E1022" s="81">
        <f>TableSTRUPSYCB[[#This Row],[Credit Points]]</f>
        <v>0</v>
      </c>
      <c r="N1022" s="125"/>
      <c r="O1022" s="125"/>
      <c r="R1022" t="s">
        <v>175</v>
      </c>
      <c r="S1022">
        <v>1</v>
      </c>
    </row>
    <row r="1023" spans="1:19" x14ac:dyDescent="0.25">
      <c r="A1023">
        <f>TableSTRUPSYCB[[#This Row],[Study Package Code]]</f>
        <v>0</v>
      </c>
      <c r="B1023" s="5">
        <f>TableSTRUPSYCB[[#This Row],[Ver]]</f>
        <v>0</v>
      </c>
      <c r="D1023">
        <f>TableSTRUPSYCB[[#This Row],[Structure Line]]</f>
        <v>0</v>
      </c>
      <c r="E1023" s="81">
        <f>TableSTRUPSYCB[[#This Row],[Credit Points]]</f>
        <v>0</v>
      </c>
      <c r="N1023" s="125"/>
      <c r="O1023" s="125"/>
      <c r="R1023" t="s">
        <v>168</v>
      </c>
      <c r="S1023">
        <v>1</v>
      </c>
    </row>
    <row r="1024" spans="1:19" x14ac:dyDescent="0.25">
      <c r="A1024">
        <f>TableSTRUPSYCB[[#This Row],[Study Package Code]]</f>
        <v>0</v>
      </c>
      <c r="B1024" s="5">
        <f>TableSTRUPSYCB[[#This Row],[Ver]]</f>
        <v>0</v>
      </c>
      <c r="D1024">
        <f>TableSTRUPSYCB[[#This Row],[Structure Line]]</f>
        <v>0</v>
      </c>
      <c r="E1024" s="81">
        <f>TableSTRUPSYCB[[#This Row],[Credit Points]]</f>
        <v>0</v>
      </c>
      <c r="N1024" s="125"/>
      <c r="O1024" s="125"/>
      <c r="R1024" t="s">
        <v>172</v>
      </c>
      <c r="S1024">
        <v>1</v>
      </c>
    </row>
    <row r="1025" spans="1:19" x14ac:dyDescent="0.25">
      <c r="A1025">
        <f>TableSTRUPSYCB[[#This Row],[Study Package Code]]</f>
        <v>0</v>
      </c>
      <c r="B1025" s="5">
        <f>TableSTRUPSYCB[[#This Row],[Ver]]</f>
        <v>0</v>
      </c>
      <c r="D1025">
        <f>TableSTRUPSYCB[[#This Row],[Structure Line]]</f>
        <v>0</v>
      </c>
      <c r="E1025" s="81">
        <f>TableSTRUPSYCB[[#This Row],[Credit Points]]</f>
        <v>0</v>
      </c>
      <c r="N1025" s="125"/>
      <c r="O1025" s="125"/>
      <c r="R1025" t="s">
        <v>199</v>
      </c>
      <c r="S1025">
        <v>1</v>
      </c>
    </row>
    <row r="1026" spans="1:19" x14ac:dyDescent="0.25">
      <c r="A1026">
        <f>TableSTRUPSYCB[[#This Row],[Study Package Code]]</f>
        <v>0</v>
      </c>
      <c r="B1026" s="5">
        <f>TableSTRUPSYCB[[#This Row],[Ver]]</f>
        <v>0</v>
      </c>
      <c r="D1026">
        <f>TableSTRUPSYCB[[#This Row],[Structure Line]]</f>
        <v>0</v>
      </c>
      <c r="E1026" s="81">
        <f>TableSTRUPSYCB[[#This Row],[Credit Points]]</f>
        <v>0</v>
      </c>
      <c r="N1026" s="125"/>
      <c r="O1026" s="125"/>
      <c r="R1026" t="s">
        <v>177</v>
      </c>
      <c r="S1026">
        <v>1</v>
      </c>
    </row>
    <row r="1027" spans="1:19" x14ac:dyDescent="0.25">
      <c r="A1027">
        <f>TableSTRUPSYCB[[#This Row],[Study Package Code]]</f>
        <v>0</v>
      </c>
      <c r="B1027" s="5">
        <f>TableSTRUPSYCB[[#This Row],[Ver]]</f>
        <v>0</v>
      </c>
      <c r="D1027">
        <f>TableSTRUPSYCB[[#This Row],[Structure Line]]</f>
        <v>0</v>
      </c>
      <c r="E1027" s="81">
        <f>TableSTRUPSYCB[[#This Row],[Credit Points]]</f>
        <v>0</v>
      </c>
      <c r="N1027" s="125"/>
      <c r="O1027" s="125"/>
      <c r="R1027" t="s">
        <v>183</v>
      </c>
      <c r="S1027">
        <v>1</v>
      </c>
    </row>
    <row r="1028" spans="1:19" x14ac:dyDescent="0.25">
      <c r="A1028">
        <f>TableSTRUPSYCB[[#This Row],[Study Package Code]]</f>
        <v>0</v>
      </c>
      <c r="B1028" s="5">
        <f>TableSTRUPSYCB[[#This Row],[Ver]]</f>
        <v>0</v>
      </c>
      <c r="D1028">
        <f>TableSTRUPSYCB[[#This Row],[Structure Line]]</f>
        <v>0</v>
      </c>
      <c r="E1028" s="81">
        <f>TableSTRUPSYCB[[#This Row],[Credit Points]]</f>
        <v>0</v>
      </c>
      <c r="N1028" s="125"/>
      <c r="O1028" s="125"/>
      <c r="R1028" t="s">
        <v>181</v>
      </c>
      <c r="S1028">
        <v>1</v>
      </c>
    </row>
    <row r="1029" spans="1:19" x14ac:dyDescent="0.25">
      <c r="A1029">
        <f>TableSTRUPSYCB[[#This Row],[Study Package Code]]</f>
        <v>0</v>
      </c>
      <c r="B1029" s="5">
        <f>TableSTRUPSYCB[[#This Row],[Ver]]</f>
        <v>0</v>
      </c>
      <c r="D1029">
        <f>TableSTRUPSYCB[[#This Row],[Structure Line]]</f>
        <v>0</v>
      </c>
      <c r="E1029" s="81">
        <f>TableSTRUPSYCB[[#This Row],[Credit Points]]</f>
        <v>0</v>
      </c>
      <c r="K1029" s="126"/>
      <c r="L1029" s="126"/>
      <c r="M1029" s="126"/>
      <c r="N1029" s="125"/>
      <c r="O1029" s="125"/>
      <c r="R1029" t="s">
        <v>179</v>
      </c>
      <c r="S1029">
        <v>1</v>
      </c>
    </row>
    <row r="1030" spans="1:19" x14ac:dyDescent="0.25">
      <c r="A1030">
        <f>TableSTRUPSYCB[[#This Row],[Study Package Code]]</f>
        <v>0</v>
      </c>
      <c r="B1030" s="5">
        <f>TableSTRUPSYCB[[#This Row],[Ver]]</f>
        <v>0</v>
      </c>
      <c r="D1030">
        <f>TableSTRUPSYCB[[#This Row],[Structure Line]]</f>
        <v>0</v>
      </c>
      <c r="E1030" s="81">
        <f>TableSTRUPSYCB[[#This Row],[Credit Points]]</f>
        <v>0</v>
      </c>
      <c r="N1030" s="125"/>
      <c r="O1030" s="125"/>
      <c r="R1030" t="s">
        <v>171</v>
      </c>
      <c r="S1030">
        <v>1</v>
      </c>
    </row>
    <row r="1031" spans="1:19" x14ac:dyDescent="0.25">
      <c r="A1031">
        <f>TableSTRUPSYCB[[#This Row],[Study Package Code]]</f>
        <v>0</v>
      </c>
      <c r="B1031" s="5">
        <f>TableSTRUPSYCB[[#This Row],[Ver]]</f>
        <v>0</v>
      </c>
      <c r="D1031">
        <f>TableSTRUPSYCB[[#This Row],[Structure Line]]</f>
        <v>0</v>
      </c>
      <c r="E1031" s="81">
        <f>TableSTRUPSYCB[[#This Row],[Credit Points]]</f>
        <v>0</v>
      </c>
      <c r="N1031" s="125"/>
      <c r="O1031" s="125"/>
      <c r="R1031" t="s">
        <v>178</v>
      </c>
      <c r="S1031">
        <v>2</v>
      </c>
    </row>
    <row r="1032" spans="1:19" x14ac:dyDescent="0.25">
      <c r="A1032">
        <f>TableSTRUPSYCB[[#This Row],[Study Package Code]]</f>
        <v>0</v>
      </c>
      <c r="B1032" s="5">
        <f>TableSTRUPSYCB[[#This Row],[Ver]]</f>
        <v>0</v>
      </c>
      <c r="D1032">
        <f>TableSTRUPSYCB[[#This Row],[Structure Line]]</f>
        <v>0</v>
      </c>
      <c r="E1032" s="81">
        <f>TableSTRUPSYCB[[#This Row],[Credit Points]]</f>
        <v>0</v>
      </c>
      <c r="N1032" s="125"/>
      <c r="O1032" s="125"/>
      <c r="R1032" t="s">
        <v>185</v>
      </c>
      <c r="S1032">
        <v>1</v>
      </c>
    </row>
    <row r="1033" spans="1:19" x14ac:dyDescent="0.25">
      <c r="A1033">
        <f>TableSTRUPSYCB[[#This Row],[Study Package Code]]</f>
        <v>0</v>
      </c>
      <c r="B1033" s="5">
        <f>TableSTRUPSYCB[[#This Row],[Ver]]</f>
        <v>0</v>
      </c>
      <c r="D1033">
        <f>TableSTRUPSYCB[[#This Row],[Structure Line]]</f>
        <v>0</v>
      </c>
      <c r="E1033" s="81">
        <f>TableSTRUPSYCB[[#This Row],[Credit Points]]</f>
        <v>0</v>
      </c>
      <c r="N1033" s="125"/>
      <c r="O1033" s="125"/>
      <c r="R1033" t="s">
        <v>129</v>
      </c>
      <c r="S1033">
        <v>1</v>
      </c>
    </row>
    <row r="1034" spans="1:19" x14ac:dyDescent="0.25">
      <c r="A1034" s="78"/>
      <c r="B1034" s="80"/>
      <c r="C1034" s="78"/>
      <c r="G1034" s="79" t="s">
        <v>1194</v>
      </c>
      <c r="H1034" s="272">
        <v>45658</v>
      </c>
      <c r="J1034" s="274" t="s">
        <v>357</v>
      </c>
      <c r="K1034" s="273" t="s">
        <v>77</v>
      </c>
      <c r="L1034" s="274" t="s">
        <v>482</v>
      </c>
      <c r="M1034" s="78"/>
      <c r="N1034" s="198" t="s">
        <v>1195</v>
      </c>
      <c r="O1034" s="125">
        <v>45544</v>
      </c>
    </row>
    <row r="1035" spans="1:19" ht="31.5" x14ac:dyDescent="0.25">
      <c r="A1035" s="97" t="s">
        <v>0</v>
      </c>
      <c r="B1035" s="98" t="s">
        <v>1196</v>
      </c>
      <c r="C1035" s="97" t="s">
        <v>1197</v>
      </c>
      <c r="D1035" s="97" t="s">
        <v>3</v>
      </c>
      <c r="E1035" s="99" t="s">
        <v>1198</v>
      </c>
      <c r="F1035" s="97" t="s">
        <v>1199</v>
      </c>
      <c r="G1035" s="97" t="s">
        <v>1200</v>
      </c>
      <c r="H1035" s="97" t="s">
        <v>1201</v>
      </c>
      <c r="I1035" s="97" t="s">
        <v>18</v>
      </c>
      <c r="J1035" s="97" t="s">
        <v>1202</v>
      </c>
      <c r="K1035" s="97" t="s">
        <v>1</v>
      </c>
      <c r="L1035" s="97" t="s">
        <v>1203</v>
      </c>
      <c r="M1035" s="97" t="s">
        <v>69</v>
      </c>
      <c r="N1035" s="97" t="s">
        <v>1204</v>
      </c>
      <c r="O1035" s="97" t="s">
        <v>1205</v>
      </c>
      <c r="R1035" t="s">
        <v>1206</v>
      </c>
      <c r="S1035" t="s">
        <v>1207</v>
      </c>
    </row>
    <row r="1036" spans="1:19" x14ac:dyDescent="0.25">
      <c r="A1036" t="str">
        <f>TableSTRUPSYCM[[#This Row],[Study Package Code]]</f>
        <v>PSYC1001</v>
      </c>
      <c r="B1036" s="5">
        <f>TableSTRUPSYCM[[#This Row],[Ver]]</f>
        <v>1</v>
      </c>
      <c r="D1036" t="str">
        <f>TableSTRUPSYCM[[#This Row],[Structure Line]]</f>
        <v>Foundations of Psychology</v>
      </c>
      <c r="E1036" s="81">
        <f>TableSTRUPSYCM[[#This Row],[Credit Points]]</f>
        <v>25</v>
      </c>
      <c r="F1036">
        <v>1</v>
      </c>
      <c r="G1036" t="s">
        <v>1208</v>
      </c>
      <c r="H1036">
        <v>1</v>
      </c>
      <c r="I1036" t="s">
        <v>1212</v>
      </c>
      <c r="J1036" t="s">
        <v>459</v>
      </c>
      <c r="K1036">
        <v>1</v>
      </c>
      <c r="L1036" t="s">
        <v>1105</v>
      </c>
      <c r="M1036">
        <v>25</v>
      </c>
      <c r="N1036" s="125">
        <v>42005</v>
      </c>
      <c r="O1036" s="125"/>
      <c r="R1036" t="s">
        <v>459</v>
      </c>
      <c r="S1036">
        <v>1</v>
      </c>
    </row>
    <row r="1037" spans="1:19" x14ac:dyDescent="0.25">
      <c r="A1037" t="str">
        <f>TableSTRUPSYCM[[#This Row],[Study Package Code]]</f>
        <v>PSYC1000</v>
      </c>
      <c r="B1037" s="5">
        <f>TableSTRUPSYCM[[#This Row],[Ver]]</f>
        <v>1</v>
      </c>
      <c r="D1037" t="str">
        <f>TableSTRUPSYCM[[#This Row],[Structure Line]]</f>
        <v>Introduction to Psychology</v>
      </c>
      <c r="E1037" s="81">
        <f>TableSTRUPSYCM[[#This Row],[Credit Points]]</f>
        <v>25</v>
      </c>
      <c r="F1037">
        <v>2</v>
      </c>
      <c r="G1037" t="s">
        <v>1208</v>
      </c>
      <c r="H1037">
        <v>2</v>
      </c>
      <c r="I1037" t="s">
        <v>1209</v>
      </c>
      <c r="J1037" t="s">
        <v>481</v>
      </c>
      <c r="K1037">
        <v>1</v>
      </c>
      <c r="L1037" t="s">
        <v>1104</v>
      </c>
      <c r="M1037">
        <v>25</v>
      </c>
      <c r="N1037" s="125">
        <v>42005</v>
      </c>
      <c r="O1037" s="125"/>
      <c r="R1037" t="s">
        <v>481</v>
      </c>
      <c r="S1037">
        <v>1</v>
      </c>
    </row>
    <row r="1038" spans="1:19" x14ac:dyDescent="0.25">
      <c r="A1038" t="str">
        <f>TableSTRUPSYCM[[#This Row],[Study Package Code]]</f>
        <v>PSYC2003</v>
      </c>
      <c r="B1038" s="5">
        <f>TableSTRUPSYCM[[#This Row],[Ver]]</f>
        <v>1</v>
      </c>
      <c r="D1038" t="str">
        <f>TableSTRUPSYCM[[#This Row],[Structure Line]]</f>
        <v>Child Developmental Psychology</v>
      </c>
      <c r="E1038" s="81">
        <f>TableSTRUPSYCM[[#This Row],[Credit Points]]</f>
        <v>25</v>
      </c>
      <c r="F1038">
        <v>3</v>
      </c>
      <c r="G1038" t="s">
        <v>1208</v>
      </c>
      <c r="H1038">
        <v>2</v>
      </c>
      <c r="I1038" t="s">
        <v>1212</v>
      </c>
      <c r="J1038" t="s">
        <v>490</v>
      </c>
      <c r="K1038">
        <v>1</v>
      </c>
      <c r="L1038" t="s">
        <v>1112</v>
      </c>
      <c r="M1038">
        <v>25</v>
      </c>
      <c r="N1038" s="125">
        <v>42005</v>
      </c>
      <c r="O1038" s="125"/>
      <c r="R1038" t="s">
        <v>461</v>
      </c>
      <c r="S1038">
        <v>1</v>
      </c>
    </row>
    <row r="1039" spans="1:19" x14ac:dyDescent="0.25">
      <c r="A1039" t="str">
        <f>TableSTRUPSYCM[[#This Row],[Study Package Code]]</f>
        <v>EDSC4022</v>
      </c>
      <c r="B1039" s="5">
        <f>TableSTRUPSYCM[[#This Row],[Ver]]</f>
        <v>1</v>
      </c>
      <c r="D1039" t="str">
        <f>TableSTRUPSYCM[[#This Row],[Structure Line]]</f>
        <v>Curriculum and Instruction Lower Secondary: Science</v>
      </c>
      <c r="E1039" s="81">
        <f>TableSTRUPSYCM[[#This Row],[Credit Points]]</f>
        <v>25</v>
      </c>
      <c r="F1039">
        <v>4</v>
      </c>
      <c r="G1039" t="s">
        <v>1208</v>
      </c>
      <c r="H1039">
        <v>3</v>
      </c>
      <c r="I1039" t="s">
        <v>1209</v>
      </c>
      <c r="J1039" t="s">
        <v>461</v>
      </c>
      <c r="K1039">
        <v>1</v>
      </c>
      <c r="L1039" t="s">
        <v>946</v>
      </c>
      <c r="M1039">
        <v>25</v>
      </c>
      <c r="N1039" s="125">
        <v>43466</v>
      </c>
      <c r="O1039" s="125"/>
      <c r="R1039" t="s">
        <v>519</v>
      </c>
      <c r="S1039">
        <v>1</v>
      </c>
    </row>
    <row r="1040" spans="1:19" x14ac:dyDescent="0.25">
      <c r="A1040" t="str">
        <f>TableSTRUPSYCM[[#This Row],[Study Package Code]]</f>
        <v>PSYC2001</v>
      </c>
      <c r="B1040" s="5">
        <f>TableSTRUPSYCM[[#This Row],[Ver]]</f>
        <v>1</v>
      </c>
      <c r="D1040" t="str">
        <f>TableSTRUPSYCM[[#This Row],[Structure Line]]</f>
        <v>Social Psychology</v>
      </c>
      <c r="E1040" s="81">
        <f>TableSTRUPSYCM[[#This Row],[Credit Points]]</f>
        <v>25</v>
      </c>
      <c r="F1040">
        <v>5</v>
      </c>
      <c r="G1040" t="s">
        <v>1208</v>
      </c>
      <c r="H1040">
        <v>3</v>
      </c>
      <c r="I1040" t="s">
        <v>1209</v>
      </c>
      <c r="J1040" t="s">
        <v>519</v>
      </c>
      <c r="K1040">
        <v>1</v>
      </c>
      <c r="L1040" t="s">
        <v>1107</v>
      </c>
      <c r="M1040">
        <v>25</v>
      </c>
      <c r="N1040" s="125">
        <v>42005</v>
      </c>
      <c r="O1040" s="125"/>
      <c r="R1040" t="s">
        <v>483</v>
      </c>
      <c r="S1040">
        <v>2</v>
      </c>
    </row>
    <row r="1041" spans="1:19" x14ac:dyDescent="0.25">
      <c r="A1041" t="str">
        <f>TableSTRUPSYCM[[#This Row],[Study Package Code]]</f>
        <v>EDSC4023</v>
      </c>
      <c r="B1041" s="5">
        <f>TableSTRUPSYCM[[#This Row],[Ver]]</f>
        <v>2</v>
      </c>
      <c r="D1041" t="str">
        <f>TableSTRUPSYCM[[#This Row],[Structure Line]]</f>
        <v>Curriculum and Instruction Senior Secondary: Science</v>
      </c>
      <c r="E1041" s="81">
        <f>TableSTRUPSYCM[[#This Row],[Credit Points]]</f>
        <v>25</v>
      </c>
      <c r="F1041">
        <v>6</v>
      </c>
      <c r="G1041" t="s">
        <v>1208</v>
      </c>
      <c r="H1041">
        <v>3</v>
      </c>
      <c r="I1041" t="s">
        <v>1212</v>
      </c>
      <c r="J1041" t="s">
        <v>483</v>
      </c>
      <c r="K1041">
        <v>2</v>
      </c>
      <c r="L1041" t="s">
        <v>947</v>
      </c>
      <c r="M1041">
        <v>25</v>
      </c>
      <c r="N1041" s="125">
        <v>43831</v>
      </c>
      <c r="O1041" s="125"/>
      <c r="R1041" t="s">
        <v>1321</v>
      </c>
      <c r="S1041">
        <v>0</v>
      </c>
    </row>
    <row r="1042" spans="1:19" x14ac:dyDescent="0.25">
      <c r="A1042">
        <f>TableSTRUPSYCM[[#This Row],[Study Package Code]]</f>
        <v>0</v>
      </c>
      <c r="B1042" s="5">
        <f>TableSTRUPSYCM[[#This Row],[Ver]]</f>
        <v>0</v>
      </c>
      <c r="D1042">
        <f>TableSTRUPSYCM[[#This Row],[Structure Line]]</f>
        <v>0</v>
      </c>
      <c r="E1042" s="81">
        <f>TableSTRUPSYCM[[#This Row],[Credit Points]]</f>
        <v>0</v>
      </c>
      <c r="N1042" s="125"/>
      <c r="O1042" s="125"/>
      <c r="R1042" t="s">
        <v>614</v>
      </c>
      <c r="S1042">
        <v>1</v>
      </c>
    </row>
    <row r="1043" spans="1:19" x14ac:dyDescent="0.25">
      <c r="A1043">
        <f>TableSTRUPSYCM[[#This Row],[Study Package Code]]</f>
        <v>0</v>
      </c>
      <c r="B1043" s="5">
        <f>TableSTRUPSYCM[[#This Row],[Ver]]</f>
        <v>0</v>
      </c>
      <c r="D1043">
        <f>TableSTRUPSYCM[[#This Row],[Structure Line]]</f>
        <v>0</v>
      </c>
      <c r="E1043" s="81">
        <f>TableSTRUPSYCM[[#This Row],[Credit Points]]</f>
        <v>0</v>
      </c>
      <c r="N1043" s="125"/>
      <c r="O1043" s="125"/>
      <c r="R1043" t="s">
        <v>490</v>
      </c>
      <c r="S1043">
        <v>1</v>
      </c>
    </row>
    <row r="1044" spans="1:19" x14ac:dyDescent="0.25">
      <c r="A1044" s="78"/>
      <c r="B1044" s="80"/>
      <c r="C1044" s="78"/>
      <c r="G1044" s="79" t="s">
        <v>1194</v>
      </c>
      <c r="H1044" s="272">
        <v>45658</v>
      </c>
      <c r="J1044" s="274" t="s">
        <v>358</v>
      </c>
      <c r="K1044" s="273" t="s">
        <v>77</v>
      </c>
      <c r="L1044" s="274" t="s">
        <v>412</v>
      </c>
      <c r="M1044" s="78"/>
      <c r="N1044" s="198" t="s">
        <v>1195</v>
      </c>
      <c r="O1044" s="125">
        <v>45544</v>
      </c>
    </row>
    <row r="1045" spans="1:19" ht="31.5" x14ac:dyDescent="0.25">
      <c r="A1045" s="97" t="s">
        <v>0</v>
      </c>
      <c r="B1045" s="98" t="s">
        <v>1196</v>
      </c>
      <c r="C1045" s="97" t="s">
        <v>1197</v>
      </c>
      <c r="D1045" s="97" t="s">
        <v>3</v>
      </c>
      <c r="E1045" s="99" t="s">
        <v>1198</v>
      </c>
      <c r="F1045" s="97" t="s">
        <v>1199</v>
      </c>
      <c r="G1045" s="97" t="s">
        <v>1200</v>
      </c>
      <c r="H1045" s="97" t="s">
        <v>1201</v>
      </c>
      <c r="I1045" s="97" t="s">
        <v>18</v>
      </c>
      <c r="J1045" s="97" t="s">
        <v>1202</v>
      </c>
      <c r="K1045" s="97" t="s">
        <v>1</v>
      </c>
      <c r="L1045" s="97" t="s">
        <v>1203</v>
      </c>
      <c r="M1045" s="97" t="s">
        <v>69</v>
      </c>
      <c r="N1045" s="97" t="s">
        <v>1204</v>
      </c>
      <c r="O1045" s="97" t="s">
        <v>1205</v>
      </c>
      <c r="R1045" t="s">
        <v>1206</v>
      </c>
      <c r="S1045" t="s">
        <v>1207</v>
      </c>
    </row>
    <row r="1046" spans="1:19" x14ac:dyDescent="0.25">
      <c r="A1046" t="str">
        <f>TableSTRUVARTB[[#This Row],[Study Package Code]]</f>
        <v>EDUC1029</v>
      </c>
      <c r="B1046" s="5">
        <f>TableSTRUVARTB[[#This Row],[Ver]]</f>
        <v>1</v>
      </c>
      <c r="D1046" t="str">
        <f>TableSTRUVARTB[[#This Row],[Structure Line]]</f>
        <v>Performing Arts for Educators</v>
      </c>
      <c r="E1046" s="81">
        <f>TableSTRUVARTB[[#This Row],[Credit Points]]</f>
        <v>25</v>
      </c>
      <c r="F1046">
        <v>1</v>
      </c>
      <c r="G1046" t="s">
        <v>1208</v>
      </c>
      <c r="H1046">
        <v>1</v>
      </c>
      <c r="I1046" t="s">
        <v>1212</v>
      </c>
      <c r="J1046" t="s">
        <v>58</v>
      </c>
      <c r="K1046">
        <v>1</v>
      </c>
      <c r="L1046" t="s">
        <v>964</v>
      </c>
      <c r="M1046">
        <v>25</v>
      </c>
      <c r="N1046" s="125">
        <v>43466</v>
      </c>
      <c r="O1046" s="125"/>
      <c r="R1046" t="s">
        <v>58</v>
      </c>
      <c r="S1046">
        <v>1</v>
      </c>
    </row>
    <row r="1047" spans="1:19" x14ac:dyDescent="0.25">
      <c r="A1047" t="str">
        <f>TableSTRUVARTB[[#This Row],[Study Package Code]]</f>
        <v>VISA1005</v>
      </c>
      <c r="B1047" s="5">
        <f>TableSTRUVARTB[[#This Row],[Ver]]</f>
        <v>2</v>
      </c>
      <c r="D1047" t="str">
        <f>TableSTRUVARTB[[#This Row],[Structure Line]]</f>
        <v>Fine Art Studio Materials</v>
      </c>
      <c r="E1047" s="81">
        <f>TableSTRUVARTB[[#This Row],[Credit Points]]</f>
        <v>25</v>
      </c>
      <c r="F1047">
        <v>2</v>
      </c>
      <c r="G1047" t="s">
        <v>1208</v>
      </c>
      <c r="H1047">
        <v>2</v>
      </c>
      <c r="I1047" t="s">
        <v>1209</v>
      </c>
      <c r="J1047" t="s">
        <v>606</v>
      </c>
      <c r="K1047">
        <v>2</v>
      </c>
      <c r="L1047" t="s">
        <v>1178</v>
      </c>
      <c r="M1047">
        <v>25</v>
      </c>
      <c r="N1047" s="125">
        <v>42370</v>
      </c>
      <c r="O1047" s="125"/>
      <c r="R1047" t="s">
        <v>606</v>
      </c>
      <c r="S1047">
        <v>2</v>
      </c>
    </row>
    <row r="1048" spans="1:19" x14ac:dyDescent="0.25">
      <c r="A1048" t="str">
        <f>TableSTRUVARTB[[#This Row],[Study Package Code]]</f>
        <v>SCST1000</v>
      </c>
      <c r="B1048" s="5">
        <f>TableSTRUVARTB[[#This Row],[Ver]]</f>
        <v>2</v>
      </c>
      <c r="D1048" t="str">
        <f>TableSTRUVARTB[[#This Row],[Structure Line]]</f>
        <v>Introduction to Screen Creativity</v>
      </c>
      <c r="E1048" s="81">
        <f>TableSTRUVARTB[[#This Row],[Credit Points]]</f>
        <v>25</v>
      </c>
      <c r="F1048">
        <v>3</v>
      </c>
      <c r="G1048" t="s">
        <v>1208</v>
      </c>
      <c r="H1048">
        <v>2</v>
      </c>
      <c r="I1048" t="s">
        <v>1212</v>
      </c>
      <c r="J1048" t="s">
        <v>577</v>
      </c>
      <c r="K1048">
        <v>2</v>
      </c>
      <c r="L1048" t="s">
        <v>1138</v>
      </c>
      <c r="M1048">
        <v>25</v>
      </c>
      <c r="N1048" s="125">
        <v>43831</v>
      </c>
      <c r="O1048" s="125"/>
      <c r="R1048" t="s">
        <v>745</v>
      </c>
      <c r="S1048">
        <v>2</v>
      </c>
    </row>
    <row r="1049" spans="1:19" x14ac:dyDescent="0.25">
      <c r="A1049" t="str">
        <f>TableSTRUVARTB[[#This Row],[Study Package Code]]</f>
        <v>EDPR3014</v>
      </c>
      <c r="B1049" s="5">
        <f>TableSTRUVARTB[[#This Row],[Ver]]</f>
        <v>1</v>
      </c>
      <c r="D1049" t="str">
        <f>TableSTRUVARTB[[#This Row],[Structure Line]]</f>
        <v>Visual and Media Arts Education</v>
      </c>
      <c r="E1049" s="81">
        <f>TableSTRUVARTB[[#This Row],[Credit Points]]</f>
        <v>25</v>
      </c>
      <c r="F1049">
        <v>4</v>
      </c>
      <c r="G1049" t="s">
        <v>1208</v>
      </c>
      <c r="H1049">
        <v>3</v>
      </c>
      <c r="I1049" t="s">
        <v>1209</v>
      </c>
      <c r="J1049" t="s">
        <v>131</v>
      </c>
      <c r="K1049">
        <v>1</v>
      </c>
      <c r="L1049" t="s">
        <v>916</v>
      </c>
      <c r="M1049">
        <v>25</v>
      </c>
      <c r="N1049" s="125">
        <v>43466</v>
      </c>
      <c r="O1049" s="125"/>
      <c r="R1049" t="s">
        <v>131</v>
      </c>
      <c r="S1049">
        <v>1</v>
      </c>
    </row>
    <row r="1050" spans="1:19" x14ac:dyDescent="0.25">
      <c r="A1050" t="str">
        <f>TableSTRUVARTB[[#This Row],[Study Package Code]]</f>
        <v>VISA2007</v>
      </c>
      <c r="B1050" s="5">
        <f>TableSTRUVARTB[[#This Row],[Ver]]</f>
        <v>2</v>
      </c>
      <c r="D1050" t="str">
        <f>TableSTRUVARTB[[#This Row],[Structure Line]]</f>
        <v>Fine Art Project</v>
      </c>
      <c r="E1050" s="81">
        <f>TableSTRUVARTB[[#This Row],[Credit Points]]</f>
        <v>25</v>
      </c>
      <c r="F1050">
        <v>5</v>
      </c>
      <c r="G1050" t="s">
        <v>1208</v>
      </c>
      <c r="H1050">
        <v>3</v>
      </c>
      <c r="I1050" t="s">
        <v>1212</v>
      </c>
      <c r="J1050" t="s">
        <v>745</v>
      </c>
      <c r="K1050">
        <v>2</v>
      </c>
      <c r="L1050" t="s">
        <v>1185</v>
      </c>
      <c r="M1050">
        <v>25</v>
      </c>
      <c r="N1050" s="125">
        <v>42370</v>
      </c>
      <c r="O1050" s="125"/>
      <c r="R1050" t="s">
        <v>1293</v>
      </c>
      <c r="S1050">
        <v>0</v>
      </c>
    </row>
    <row r="1051" spans="1:19" x14ac:dyDescent="0.25">
      <c r="A1051" t="str">
        <f>TableSTRUVARTB[[#This Row],[Study Package Code]]</f>
        <v>Opt-VARTB</v>
      </c>
      <c r="B1051" s="5">
        <f>TableSTRUVARTB[[#This Row],[Ver]]</f>
        <v>0</v>
      </c>
      <c r="D1051" t="str">
        <f>TableSTRUVARTB[[#This Row],[Structure Line]]</f>
        <v>Choose an Option</v>
      </c>
      <c r="E1051" s="81">
        <f>TableSTRUVARTB[[#This Row],[Credit Points]]</f>
        <v>25</v>
      </c>
      <c r="F1051">
        <v>6</v>
      </c>
      <c r="G1051" t="s">
        <v>140</v>
      </c>
      <c r="H1051">
        <v>0</v>
      </c>
      <c r="I1051" t="s">
        <v>1221</v>
      </c>
      <c r="J1051" t="s">
        <v>737</v>
      </c>
      <c r="K1051">
        <v>0</v>
      </c>
      <c r="L1051" t="s">
        <v>1219</v>
      </c>
      <c r="M1051">
        <v>25</v>
      </c>
      <c r="N1051" s="125"/>
      <c r="O1051" s="125"/>
      <c r="R1051" t="s">
        <v>1322</v>
      </c>
      <c r="S1051">
        <v>1</v>
      </c>
    </row>
    <row r="1052" spans="1:19" x14ac:dyDescent="0.25">
      <c r="A1052" t="str">
        <f>TableSTRUVARTB[[#This Row],[Study Package Code]]</f>
        <v>EDUC4012</v>
      </c>
      <c r="B1052" s="5">
        <f>TableSTRUVARTB[[#This Row],[Ver]]</f>
        <v>2</v>
      </c>
      <c r="D1052" t="str">
        <f>TableSTRUVARTB[[#This Row],[Structure Line]]</f>
        <v>Relationships and Sexuality Education</v>
      </c>
      <c r="E1052" s="81">
        <f>TableSTRUVARTB[[#This Row],[Credit Points]]</f>
        <v>25</v>
      </c>
      <c r="F1052">
        <v>6</v>
      </c>
      <c r="G1052" t="s">
        <v>140</v>
      </c>
      <c r="H1052">
        <v>0</v>
      </c>
      <c r="I1052" t="s">
        <v>1221</v>
      </c>
      <c r="J1052" t="s">
        <v>194</v>
      </c>
      <c r="K1052">
        <v>2</v>
      </c>
      <c r="L1052" t="s">
        <v>975</v>
      </c>
      <c r="M1052">
        <v>25</v>
      </c>
      <c r="N1052" s="125">
        <v>44927</v>
      </c>
      <c r="O1052" s="125"/>
      <c r="R1052" t="s">
        <v>200</v>
      </c>
      <c r="S1052">
        <v>1</v>
      </c>
    </row>
    <row r="1053" spans="1:19" x14ac:dyDescent="0.25">
      <c r="A1053" t="str">
        <f>TableSTRUVARTB[[#This Row],[Study Package Code]]</f>
        <v>EDUC4014</v>
      </c>
      <c r="B1053" s="5">
        <f>TableSTRUVARTB[[#This Row],[Ver]]</f>
        <v>1</v>
      </c>
      <c r="D1053" t="str">
        <f>TableSTRUVARTB[[#This Row],[Structure Line]]</f>
        <v>Diverse Abilities and Curriculum Differentiation</v>
      </c>
      <c r="E1053" s="81">
        <f>TableSTRUVARTB[[#This Row],[Credit Points]]</f>
        <v>25</v>
      </c>
      <c r="F1053">
        <v>6</v>
      </c>
      <c r="G1053" t="s">
        <v>140</v>
      </c>
      <c r="H1053">
        <v>0</v>
      </c>
      <c r="I1053" t="s">
        <v>1221</v>
      </c>
      <c r="J1053" t="s">
        <v>195</v>
      </c>
      <c r="K1053">
        <v>1</v>
      </c>
      <c r="L1053" t="s">
        <v>976</v>
      </c>
      <c r="M1053">
        <v>25</v>
      </c>
      <c r="N1053" s="125">
        <v>42005</v>
      </c>
      <c r="O1053" s="125"/>
      <c r="R1053" t="s">
        <v>174</v>
      </c>
      <c r="S1053">
        <v>1</v>
      </c>
    </row>
    <row r="1054" spans="1:19" x14ac:dyDescent="0.25">
      <c r="A1054" t="str">
        <f>TableSTRUVARTB[[#This Row],[Study Package Code]]</f>
        <v>EDUC4022</v>
      </c>
      <c r="B1054" s="5">
        <f>TableSTRUVARTB[[#This Row],[Ver]]</f>
        <v>1</v>
      </c>
      <c r="D1054" t="str">
        <f>TableSTRUVARTB[[#This Row],[Structure Line]]</f>
        <v>Creative Literacies</v>
      </c>
      <c r="E1054" s="81">
        <f>TableSTRUVARTB[[#This Row],[Credit Points]]</f>
        <v>25</v>
      </c>
      <c r="F1054">
        <v>6</v>
      </c>
      <c r="G1054" t="s">
        <v>140</v>
      </c>
      <c r="H1054">
        <v>0</v>
      </c>
      <c r="I1054" t="s">
        <v>1221</v>
      </c>
      <c r="J1054" t="s">
        <v>175</v>
      </c>
      <c r="K1054">
        <v>1</v>
      </c>
      <c r="L1054" t="s">
        <v>979</v>
      </c>
      <c r="M1054">
        <v>25</v>
      </c>
      <c r="N1054" s="125">
        <v>43282</v>
      </c>
      <c r="O1054" s="125"/>
      <c r="R1054" t="s">
        <v>201</v>
      </c>
      <c r="S1054">
        <v>2</v>
      </c>
    </row>
    <row r="1055" spans="1:19" x14ac:dyDescent="0.25">
      <c r="A1055" t="str">
        <f>TableSTRUVARTB[[#This Row],[Study Package Code]]</f>
        <v>EDUC4023</v>
      </c>
      <c r="B1055" s="5">
        <f>TableSTRUVARTB[[#This Row],[Ver]]</f>
        <v>1</v>
      </c>
      <c r="D1055" t="str">
        <f>TableSTRUVARTB[[#This Row],[Structure Line]]</f>
        <v>Creating and Responding to Literature</v>
      </c>
      <c r="E1055" s="81">
        <f>TableSTRUVARTB[[#This Row],[Credit Points]]</f>
        <v>25</v>
      </c>
      <c r="F1055">
        <v>6</v>
      </c>
      <c r="G1055" t="s">
        <v>140</v>
      </c>
      <c r="H1055">
        <v>0</v>
      </c>
      <c r="I1055" t="s">
        <v>1221</v>
      </c>
      <c r="J1055" t="s">
        <v>168</v>
      </c>
      <c r="K1055">
        <v>1</v>
      </c>
      <c r="L1055" t="s">
        <v>980</v>
      </c>
      <c r="M1055">
        <v>25</v>
      </c>
      <c r="N1055" s="125">
        <v>43282</v>
      </c>
      <c r="O1055" s="125"/>
      <c r="R1055" t="s">
        <v>167</v>
      </c>
      <c r="S1055">
        <v>1</v>
      </c>
    </row>
    <row r="1056" spans="1:19" x14ac:dyDescent="0.25">
      <c r="A1056" t="str">
        <f>TableSTRUVARTB[[#This Row],[Study Package Code]]</f>
        <v>EDUC4029</v>
      </c>
      <c r="B1056" s="5">
        <f>TableSTRUVARTB[[#This Row],[Ver]]</f>
        <v>1</v>
      </c>
      <c r="D1056" t="str">
        <f>TableSTRUVARTB[[#This Row],[Structure Line]]</f>
        <v>Technologies: Coding for Teachers</v>
      </c>
      <c r="E1056" s="81">
        <f>TableSTRUVARTB[[#This Row],[Credit Points]]</f>
        <v>25</v>
      </c>
      <c r="F1056">
        <v>6</v>
      </c>
      <c r="G1056" t="s">
        <v>140</v>
      </c>
      <c r="H1056">
        <v>0</v>
      </c>
      <c r="I1056" t="s">
        <v>1221</v>
      </c>
      <c r="J1056" t="s">
        <v>172</v>
      </c>
      <c r="K1056">
        <v>1</v>
      </c>
      <c r="L1056" t="s">
        <v>981</v>
      </c>
      <c r="M1056">
        <v>25</v>
      </c>
      <c r="N1056" s="125">
        <v>43282</v>
      </c>
      <c r="O1056" s="125"/>
      <c r="R1056" t="s">
        <v>180</v>
      </c>
      <c r="S1056">
        <v>1</v>
      </c>
    </row>
    <row r="1057" spans="1:19" x14ac:dyDescent="0.25">
      <c r="A1057" t="str">
        <f>TableSTRUVARTB[[#This Row],[Study Package Code]]</f>
        <v>EDUC4036</v>
      </c>
      <c r="B1057" s="5">
        <f>TableSTRUVARTB[[#This Row],[Ver]]</f>
        <v>1</v>
      </c>
      <c r="D1057" t="str">
        <f>TableSTRUVARTB[[#This Row],[Structure Line]]</f>
        <v>Language and Diversity</v>
      </c>
      <c r="E1057" s="81">
        <f>TableSTRUVARTB[[#This Row],[Credit Points]]</f>
        <v>25</v>
      </c>
      <c r="F1057">
        <v>6</v>
      </c>
      <c r="G1057" t="s">
        <v>140</v>
      </c>
      <c r="H1057">
        <v>0</v>
      </c>
      <c r="I1057" t="s">
        <v>1221</v>
      </c>
      <c r="J1057" t="s">
        <v>181</v>
      </c>
      <c r="K1057">
        <v>1</v>
      </c>
      <c r="L1057" t="s">
        <v>984</v>
      </c>
      <c r="M1057">
        <v>25</v>
      </c>
      <c r="N1057" s="125">
        <v>43466</v>
      </c>
      <c r="O1057" s="125"/>
      <c r="R1057" t="s">
        <v>196</v>
      </c>
      <c r="S1057">
        <v>1</v>
      </c>
    </row>
    <row r="1058" spans="1:19" x14ac:dyDescent="0.25">
      <c r="A1058" t="str">
        <f>TableSTRUVARTB[[#This Row],[Study Package Code]]</f>
        <v>EDUC4038</v>
      </c>
      <c r="B1058" s="5">
        <f>TableSTRUVARTB[[#This Row],[Ver]]</f>
        <v>1</v>
      </c>
      <c r="D1058" t="str">
        <f>TableSTRUVARTB[[#This Row],[Structure Line]]</f>
        <v>Technologies: Design Solutions</v>
      </c>
      <c r="E1058" s="81">
        <f>TableSTRUVARTB[[#This Row],[Credit Points]]</f>
        <v>25</v>
      </c>
      <c r="F1058">
        <v>6</v>
      </c>
      <c r="G1058" t="s">
        <v>140</v>
      </c>
      <c r="H1058">
        <v>0</v>
      </c>
      <c r="I1058" t="s">
        <v>1221</v>
      </c>
      <c r="J1058" t="s">
        <v>179</v>
      </c>
      <c r="K1058">
        <v>1</v>
      </c>
      <c r="L1058" t="s">
        <v>985</v>
      </c>
      <c r="M1058">
        <v>25</v>
      </c>
      <c r="N1058" s="125">
        <v>43466</v>
      </c>
      <c r="O1058" s="125"/>
      <c r="R1058" t="s">
        <v>198</v>
      </c>
      <c r="S1058">
        <v>1</v>
      </c>
    </row>
    <row r="1059" spans="1:19" x14ac:dyDescent="0.25">
      <c r="A1059" t="str">
        <f>TableSTRUVARTB[[#This Row],[Study Package Code]]</f>
        <v>EDUC4046</v>
      </c>
      <c r="B1059" s="5">
        <f>TableSTRUVARTB[[#This Row],[Ver]]</f>
        <v>1</v>
      </c>
      <c r="D1059" t="str">
        <f>TableSTRUVARTB[[#This Row],[Structure Line]]</f>
        <v>Technologies: Digital Solutions</v>
      </c>
      <c r="E1059" s="81">
        <f>TableSTRUVARTB[[#This Row],[Credit Points]]</f>
        <v>25</v>
      </c>
      <c r="F1059">
        <v>6</v>
      </c>
      <c r="G1059" t="s">
        <v>140</v>
      </c>
      <c r="H1059">
        <v>0</v>
      </c>
      <c r="I1059" t="s">
        <v>1221</v>
      </c>
      <c r="J1059" t="s">
        <v>185</v>
      </c>
      <c r="K1059">
        <v>1</v>
      </c>
      <c r="L1059" t="s">
        <v>990</v>
      </c>
      <c r="M1059">
        <v>25</v>
      </c>
      <c r="N1059" s="125">
        <v>43466</v>
      </c>
      <c r="O1059" s="125"/>
      <c r="R1059" t="s">
        <v>1224</v>
      </c>
      <c r="S1059">
        <v>1</v>
      </c>
    </row>
    <row r="1060" spans="1:19" x14ac:dyDescent="0.25">
      <c r="A1060" t="str">
        <f>TableSTRUVARTB[[#This Row],[Study Package Code]]</f>
        <v>EDUC4048</v>
      </c>
      <c r="B1060" s="5">
        <f>TableSTRUVARTB[[#This Row],[Ver]]</f>
        <v>1</v>
      </c>
      <c r="D1060" t="str">
        <f>TableSTRUVARTB[[#This Row],[Structure Line]]</f>
        <v>Mentoring, Coaching and Tutoring</v>
      </c>
      <c r="E1060" s="81">
        <f>TableSTRUVARTB[[#This Row],[Credit Points]]</f>
        <v>25</v>
      </c>
      <c r="F1060">
        <v>6</v>
      </c>
      <c r="G1060" t="s">
        <v>140</v>
      </c>
      <c r="H1060">
        <v>0</v>
      </c>
      <c r="I1060" t="s">
        <v>1221</v>
      </c>
      <c r="J1060" t="s">
        <v>129</v>
      </c>
      <c r="K1060">
        <v>1</v>
      </c>
      <c r="L1060" t="s">
        <v>991</v>
      </c>
      <c r="M1060">
        <v>25</v>
      </c>
      <c r="N1060" s="125">
        <v>43466</v>
      </c>
      <c r="O1060" s="125"/>
      <c r="R1060" t="s">
        <v>194</v>
      </c>
      <c r="S1060">
        <v>2</v>
      </c>
    </row>
    <row r="1061" spans="1:19" x14ac:dyDescent="0.25">
      <c r="A1061">
        <f>TableSTRUVARTB[[#This Row],[Study Package Code]]</f>
        <v>0</v>
      </c>
      <c r="B1061" s="5">
        <f>TableSTRUVARTB[[#This Row],[Ver]]</f>
        <v>0</v>
      </c>
      <c r="D1061">
        <f>TableSTRUVARTB[[#This Row],[Structure Line]]</f>
        <v>0</v>
      </c>
      <c r="E1061" s="81">
        <f>TableSTRUVARTB[[#This Row],[Credit Points]]</f>
        <v>0</v>
      </c>
      <c r="N1061" s="125"/>
      <c r="O1061" s="125"/>
      <c r="R1061" t="s">
        <v>195</v>
      </c>
      <c r="S1061">
        <v>1</v>
      </c>
    </row>
    <row r="1062" spans="1:19" x14ac:dyDescent="0.25">
      <c r="A1062">
        <f>TableSTRUVARTB[[#This Row],[Study Package Code]]</f>
        <v>0</v>
      </c>
      <c r="B1062" s="5">
        <f>TableSTRUVARTB[[#This Row],[Ver]]</f>
        <v>0</v>
      </c>
      <c r="D1062">
        <f>TableSTRUVARTB[[#This Row],[Structure Line]]</f>
        <v>0</v>
      </c>
      <c r="E1062" s="81">
        <f>TableSTRUVARTB[[#This Row],[Credit Points]]</f>
        <v>0</v>
      </c>
      <c r="N1062" s="125"/>
      <c r="O1062" s="125"/>
      <c r="R1062" t="s">
        <v>184</v>
      </c>
      <c r="S1062">
        <v>1</v>
      </c>
    </row>
    <row r="1063" spans="1:19" x14ac:dyDescent="0.25">
      <c r="A1063">
        <f>TableSTRUVARTB[[#This Row],[Study Package Code]]</f>
        <v>0</v>
      </c>
      <c r="B1063" s="5">
        <f>TableSTRUVARTB[[#This Row],[Ver]]</f>
        <v>0</v>
      </c>
      <c r="D1063">
        <f>TableSTRUVARTB[[#This Row],[Structure Line]]</f>
        <v>0</v>
      </c>
      <c r="E1063" s="81">
        <f>TableSTRUVARTB[[#This Row],[Credit Points]]</f>
        <v>0</v>
      </c>
      <c r="N1063" s="125"/>
      <c r="O1063" s="125"/>
      <c r="R1063" t="s">
        <v>170</v>
      </c>
      <c r="S1063">
        <v>1</v>
      </c>
    </row>
    <row r="1064" spans="1:19" x14ac:dyDescent="0.25">
      <c r="A1064">
        <f>TableSTRUVARTB[[#This Row],[Study Package Code]]</f>
        <v>0</v>
      </c>
      <c r="B1064" s="5">
        <f>TableSTRUVARTB[[#This Row],[Ver]]</f>
        <v>0</v>
      </c>
      <c r="D1064">
        <f>TableSTRUVARTB[[#This Row],[Structure Line]]</f>
        <v>0</v>
      </c>
      <c r="E1064" s="81">
        <f>TableSTRUVARTB[[#This Row],[Credit Points]]</f>
        <v>0</v>
      </c>
      <c r="N1064" s="125"/>
      <c r="O1064" s="125"/>
      <c r="R1064" t="s">
        <v>175</v>
      </c>
      <c r="S1064">
        <v>1</v>
      </c>
    </row>
    <row r="1065" spans="1:19" x14ac:dyDescent="0.25">
      <c r="A1065">
        <f>TableSTRUVARTB[[#This Row],[Study Package Code]]</f>
        <v>0</v>
      </c>
      <c r="B1065" s="5">
        <f>TableSTRUVARTB[[#This Row],[Ver]]</f>
        <v>0</v>
      </c>
      <c r="D1065">
        <f>TableSTRUVARTB[[#This Row],[Structure Line]]</f>
        <v>0</v>
      </c>
      <c r="E1065" s="81">
        <f>TableSTRUVARTB[[#This Row],[Credit Points]]</f>
        <v>0</v>
      </c>
      <c r="N1065" s="125"/>
      <c r="O1065" s="125"/>
      <c r="R1065" t="s">
        <v>168</v>
      </c>
      <c r="S1065">
        <v>1</v>
      </c>
    </row>
    <row r="1066" spans="1:19" x14ac:dyDescent="0.25">
      <c r="A1066">
        <f>TableSTRUVARTB[[#This Row],[Study Package Code]]</f>
        <v>0</v>
      </c>
      <c r="B1066" s="5">
        <f>TableSTRUVARTB[[#This Row],[Ver]]</f>
        <v>0</v>
      </c>
      <c r="D1066">
        <f>TableSTRUVARTB[[#This Row],[Structure Line]]</f>
        <v>0</v>
      </c>
      <c r="E1066" s="81">
        <f>TableSTRUVARTB[[#This Row],[Credit Points]]</f>
        <v>0</v>
      </c>
      <c r="N1066" s="125"/>
      <c r="O1066" s="125"/>
      <c r="R1066" t="s">
        <v>172</v>
      </c>
      <c r="S1066">
        <v>1</v>
      </c>
    </row>
    <row r="1067" spans="1:19" x14ac:dyDescent="0.25">
      <c r="A1067">
        <f>TableSTRUVARTB[[#This Row],[Study Package Code]]</f>
        <v>0</v>
      </c>
      <c r="B1067" s="5">
        <f>TableSTRUVARTB[[#This Row],[Ver]]</f>
        <v>0</v>
      </c>
      <c r="D1067">
        <f>TableSTRUVARTB[[#This Row],[Structure Line]]</f>
        <v>0</v>
      </c>
      <c r="E1067" s="81">
        <f>TableSTRUVARTB[[#This Row],[Credit Points]]</f>
        <v>0</v>
      </c>
      <c r="N1067" s="125"/>
      <c r="O1067" s="125"/>
      <c r="R1067" t="s">
        <v>199</v>
      </c>
      <c r="S1067">
        <v>1</v>
      </c>
    </row>
    <row r="1068" spans="1:19" x14ac:dyDescent="0.25">
      <c r="A1068">
        <f>TableSTRUVARTB[[#This Row],[Study Package Code]]</f>
        <v>0</v>
      </c>
      <c r="B1068" s="5">
        <f>TableSTRUVARTB[[#This Row],[Ver]]</f>
        <v>0</v>
      </c>
      <c r="D1068">
        <f>TableSTRUVARTB[[#This Row],[Structure Line]]</f>
        <v>0</v>
      </c>
      <c r="E1068" s="81">
        <f>TableSTRUVARTB[[#This Row],[Credit Points]]</f>
        <v>0</v>
      </c>
      <c r="N1068" s="125"/>
      <c r="O1068" s="125"/>
      <c r="R1068" t="s">
        <v>177</v>
      </c>
      <c r="S1068">
        <v>1</v>
      </c>
    </row>
    <row r="1069" spans="1:19" x14ac:dyDescent="0.25">
      <c r="A1069">
        <f>TableSTRUVARTB[[#This Row],[Study Package Code]]</f>
        <v>0</v>
      </c>
      <c r="B1069" s="5">
        <f>TableSTRUVARTB[[#This Row],[Ver]]</f>
        <v>0</v>
      </c>
      <c r="D1069">
        <f>TableSTRUVARTB[[#This Row],[Structure Line]]</f>
        <v>0</v>
      </c>
      <c r="E1069" s="81">
        <f>TableSTRUVARTB[[#This Row],[Credit Points]]</f>
        <v>0</v>
      </c>
      <c r="N1069" s="125"/>
      <c r="O1069" s="125"/>
      <c r="R1069" t="s">
        <v>183</v>
      </c>
      <c r="S1069">
        <v>1</v>
      </c>
    </row>
    <row r="1070" spans="1:19" x14ac:dyDescent="0.25">
      <c r="A1070">
        <f>TableSTRUVARTB[[#This Row],[Study Package Code]]</f>
        <v>0</v>
      </c>
      <c r="B1070" s="5">
        <f>TableSTRUVARTB[[#This Row],[Ver]]</f>
        <v>0</v>
      </c>
      <c r="D1070">
        <f>TableSTRUVARTB[[#This Row],[Structure Line]]</f>
        <v>0</v>
      </c>
      <c r="E1070" s="81">
        <f>TableSTRUVARTB[[#This Row],[Credit Points]]</f>
        <v>0</v>
      </c>
      <c r="N1070" s="125"/>
      <c r="O1070" s="125"/>
      <c r="R1070" t="s">
        <v>181</v>
      </c>
      <c r="S1070">
        <v>1</v>
      </c>
    </row>
    <row r="1071" spans="1:19" x14ac:dyDescent="0.25">
      <c r="A1071">
        <f>TableSTRUVARTB[[#This Row],[Study Package Code]]</f>
        <v>0</v>
      </c>
      <c r="B1071" s="5">
        <f>TableSTRUVARTB[[#This Row],[Ver]]</f>
        <v>0</v>
      </c>
      <c r="D1071">
        <f>TableSTRUVARTB[[#This Row],[Structure Line]]</f>
        <v>0</v>
      </c>
      <c r="E1071" s="81">
        <f>TableSTRUVARTB[[#This Row],[Credit Points]]</f>
        <v>0</v>
      </c>
      <c r="K1071" s="126"/>
      <c r="L1071" s="126"/>
      <c r="M1071" s="126"/>
      <c r="N1071" s="125"/>
      <c r="O1071" s="125"/>
      <c r="R1071" t="s">
        <v>179</v>
      </c>
      <c r="S1071">
        <v>1</v>
      </c>
    </row>
    <row r="1072" spans="1:19" x14ac:dyDescent="0.25">
      <c r="A1072">
        <f>TableSTRUVARTB[[#This Row],[Study Package Code]]</f>
        <v>0</v>
      </c>
      <c r="B1072" s="5">
        <f>TableSTRUVARTB[[#This Row],[Ver]]</f>
        <v>0</v>
      </c>
      <c r="D1072">
        <f>TableSTRUVARTB[[#This Row],[Structure Line]]</f>
        <v>0</v>
      </c>
      <c r="E1072" s="81">
        <f>TableSTRUVARTB[[#This Row],[Credit Points]]</f>
        <v>0</v>
      </c>
      <c r="N1072" s="125"/>
      <c r="O1072" s="125"/>
      <c r="R1072" t="s">
        <v>171</v>
      </c>
      <c r="S1072">
        <v>1</v>
      </c>
    </row>
    <row r="1073" spans="1:19" x14ac:dyDescent="0.25">
      <c r="A1073">
        <f>TableSTRUVARTB[[#This Row],[Study Package Code]]</f>
        <v>0</v>
      </c>
      <c r="B1073" s="5">
        <f>TableSTRUVARTB[[#This Row],[Ver]]</f>
        <v>0</v>
      </c>
      <c r="D1073">
        <f>TableSTRUVARTB[[#This Row],[Structure Line]]</f>
        <v>0</v>
      </c>
      <c r="E1073" s="81">
        <f>TableSTRUVARTB[[#This Row],[Credit Points]]</f>
        <v>0</v>
      </c>
      <c r="N1073" s="125"/>
      <c r="O1073" s="125"/>
      <c r="R1073" t="s">
        <v>178</v>
      </c>
      <c r="S1073">
        <v>2</v>
      </c>
    </row>
    <row r="1074" spans="1:19" x14ac:dyDescent="0.25">
      <c r="A1074">
        <f>TableSTRUVARTB[[#This Row],[Study Package Code]]</f>
        <v>0</v>
      </c>
      <c r="B1074" s="5">
        <f>TableSTRUVARTB[[#This Row],[Ver]]</f>
        <v>0</v>
      </c>
      <c r="D1074">
        <f>TableSTRUVARTB[[#This Row],[Structure Line]]</f>
        <v>0</v>
      </c>
      <c r="E1074" s="81">
        <f>TableSTRUVARTB[[#This Row],[Credit Points]]</f>
        <v>0</v>
      </c>
      <c r="N1074" s="125"/>
      <c r="O1074" s="125"/>
      <c r="R1074" t="s">
        <v>185</v>
      </c>
      <c r="S1074">
        <v>1</v>
      </c>
    </row>
    <row r="1075" spans="1:19" x14ac:dyDescent="0.25">
      <c r="A1075">
        <f>TableSTRUVARTB[[#This Row],[Study Package Code]]</f>
        <v>0</v>
      </c>
      <c r="B1075" s="5">
        <f>TableSTRUVARTB[[#This Row],[Ver]]</f>
        <v>0</v>
      </c>
      <c r="D1075">
        <f>TableSTRUVARTB[[#This Row],[Structure Line]]</f>
        <v>0</v>
      </c>
      <c r="E1075" s="81">
        <f>TableSTRUVARTB[[#This Row],[Credit Points]]</f>
        <v>0</v>
      </c>
      <c r="N1075" s="125"/>
      <c r="O1075" s="125"/>
      <c r="R1075" t="s">
        <v>129</v>
      </c>
      <c r="S1075">
        <v>1</v>
      </c>
    </row>
    <row r="1076" spans="1:19" x14ac:dyDescent="0.25">
      <c r="A1076" s="78"/>
      <c r="B1076" s="80"/>
      <c r="C1076" s="78"/>
      <c r="G1076" s="79" t="s">
        <v>1194</v>
      </c>
      <c r="H1076" s="272">
        <v>45658</v>
      </c>
      <c r="J1076" s="274" t="s">
        <v>217</v>
      </c>
      <c r="K1076" s="273" t="s">
        <v>77</v>
      </c>
      <c r="L1076" s="274" t="s">
        <v>520</v>
      </c>
      <c r="M1076" s="78"/>
      <c r="N1076" s="198" t="s">
        <v>1195</v>
      </c>
      <c r="O1076" s="125">
        <v>45544</v>
      </c>
    </row>
    <row r="1077" spans="1:19" ht="31.5" x14ac:dyDescent="0.25">
      <c r="A1077" s="97" t="s">
        <v>0</v>
      </c>
      <c r="B1077" s="98" t="s">
        <v>1196</v>
      </c>
      <c r="C1077" s="97" t="s">
        <v>1197</v>
      </c>
      <c r="D1077" s="97" t="s">
        <v>3</v>
      </c>
      <c r="E1077" s="99" t="s">
        <v>1198</v>
      </c>
      <c r="F1077" s="97" t="s">
        <v>1199</v>
      </c>
      <c r="G1077" s="97" t="s">
        <v>1200</v>
      </c>
      <c r="H1077" s="97" t="s">
        <v>1201</v>
      </c>
      <c r="I1077" s="97" t="s">
        <v>18</v>
      </c>
      <c r="J1077" s="97" t="s">
        <v>1202</v>
      </c>
      <c r="K1077" s="97" t="s">
        <v>1</v>
      </c>
      <c r="L1077" s="97" t="s">
        <v>1203</v>
      </c>
      <c r="M1077" s="97" t="s">
        <v>69</v>
      </c>
      <c r="N1077" s="97" t="s">
        <v>1204</v>
      </c>
      <c r="O1077" s="97" t="s">
        <v>1205</v>
      </c>
      <c r="R1077" t="s">
        <v>1206</v>
      </c>
      <c r="S1077" t="s">
        <v>1207</v>
      </c>
    </row>
    <row r="1078" spans="1:19" x14ac:dyDescent="0.25">
      <c r="A1078" t="str">
        <f>TableSTRUVARTM[[#This Row],[Study Package Code]]</f>
        <v>VISA1004</v>
      </c>
      <c r="B1078" s="5">
        <f>TableSTRUVARTM[[#This Row],[Ver]]</f>
        <v>2</v>
      </c>
      <c r="D1078" t="str">
        <f>TableSTRUVARTM[[#This Row],[Structure Line]]</f>
        <v>Fine Art Studio Methods</v>
      </c>
      <c r="E1078" s="81">
        <f>TableSTRUVARTM[[#This Row],[Credit Points]]</f>
        <v>25</v>
      </c>
      <c r="F1078">
        <v>1</v>
      </c>
      <c r="G1078" t="s">
        <v>1208</v>
      </c>
      <c r="H1078">
        <v>1</v>
      </c>
      <c r="I1078" t="s">
        <v>1212</v>
      </c>
      <c r="J1078" t="s">
        <v>450</v>
      </c>
      <c r="K1078">
        <v>2</v>
      </c>
      <c r="L1078" t="s">
        <v>1177</v>
      </c>
      <c r="M1078">
        <v>25</v>
      </c>
      <c r="N1078" s="125">
        <v>42370</v>
      </c>
      <c r="O1078" s="125"/>
      <c r="R1078" t="s">
        <v>450</v>
      </c>
      <c r="S1078">
        <v>2</v>
      </c>
    </row>
    <row r="1079" spans="1:19" x14ac:dyDescent="0.25">
      <c r="A1079" t="str">
        <f>TableSTRUVARTM[[#This Row],[Study Package Code]]</f>
        <v>VISA1003</v>
      </c>
      <c r="B1079" s="5">
        <f>TableSTRUVARTM[[#This Row],[Ver]]</f>
        <v>1</v>
      </c>
      <c r="D1079" t="str">
        <f>TableSTRUVARTM[[#This Row],[Structure Line]]</f>
        <v>Drawing</v>
      </c>
      <c r="E1079" s="81">
        <f>TableSTRUVARTM[[#This Row],[Credit Points]]</f>
        <v>25</v>
      </c>
      <c r="F1079">
        <v>2</v>
      </c>
      <c r="G1079" t="s">
        <v>1208</v>
      </c>
      <c r="H1079">
        <v>2</v>
      </c>
      <c r="I1079" t="s">
        <v>1209</v>
      </c>
      <c r="J1079" t="s">
        <v>565</v>
      </c>
      <c r="K1079">
        <v>1</v>
      </c>
      <c r="L1079" t="s">
        <v>1176</v>
      </c>
      <c r="M1079">
        <v>25</v>
      </c>
      <c r="N1079" s="125">
        <v>42005</v>
      </c>
      <c r="O1079" s="125"/>
      <c r="R1079" t="s">
        <v>565</v>
      </c>
      <c r="S1079">
        <v>1</v>
      </c>
    </row>
    <row r="1080" spans="1:19" x14ac:dyDescent="0.25">
      <c r="A1080" t="str">
        <f>TableSTRUVARTM[[#This Row],[Study Package Code]]</f>
        <v>VISA2023</v>
      </c>
      <c r="B1080" s="5">
        <f>TableSTRUVARTM[[#This Row],[Ver]]</f>
        <v>2</v>
      </c>
      <c r="D1080" t="str">
        <f>TableSTRUVARTM[[#This Row],[Structure Line]]</f>
        <v>Fine Art Theory and Criticism</v>
      </c>
      <c r="E1080" s="81">
        <f>TableSTRUVARTM[[#This Row],[Credit Points]]</f>
        <v>25</v>
      </c>
      <c r="F1080">
        <v>3</v>
      </c>
      <c r="G1080" t="s">
        <v>1208</v>
      </c>
      <c r="H1080">
        <v>2</v>
      </c>
      <c r="I1080" t="s">
        <v>1212</v>
      </c>
      <c r="J1080" t="s">
        <v>508</v>
      </c>
      <c r="K1080">
        <v>2</v>
      </c>
      <c r="L1080" t="s">
        <v>1188</v>
      </c>
      <c r="M1080">
        <v>25</v>
      </c>
      <c r="N1080" s="125">
        <v>43831</v>
      </c>
      <c r="O1080" s="125"/>
      <c r="R1080" t="s">
        <v>495</v>
      </c>
      <c r="S1080">
        <v>2</v>
      </c>
    </row>
    <row r="1081" spans="1:19" x14ac:dyDescent="0.25">
      <c r="A1081" t="str">
        <f>TableSTRUVARTM[[#This Row],[Study Package Code]]</f>
        <v>EDSC4032</v>
      </c>
      <c r="B1081" s="5">
        <f>TableSTRUVARTM[[#This Row],[Ver]]</f>
        <v>1</v>
      </c>
      <c r="D1081" t="str">
        <f>TableSTRUVARTM[[#This Row],[Structure Line]]</f>
        <v>Curriculum and Instruction Lower Secondary: The Arts</v>
      </c>
      <c r="E1081" s="81">
        <f>TableSTRUVARTM[[#This Row],[Credit Points]]</f>
        <v>25</v>
      </c>
      <c r="F1081">
        <v>4</v>
      </c>
      <c r="G1081" t="s">
        <v>1208</v>
      </c>
      <c r="H1081">
        <v>3</v>
      </c>
      <c r="I1081" t="s">
        <v>1209</v>
      </c>
      <c r="J1081" t="s">
        <v>463</v>
      </c>
      <c r="K1081">
        <v>1</v>
      </c>
      <c r="L1081" t="s">
        <v>953</v>
      </c>
      <c r="M1081">
        <v>25</v>
      </c>
      <c r="N1081" s="125">
        <v>43466</v>
      </c>
      <c r="O1081" s="125"/>
      <c r="R1081" t="s">
        <v>463</v>
      </c>
      <c r="S1081">
        <v>1</v>
      </c>
    </row>
    <row r="1082" spans="1:19" x14ac:dyDescent="0.25">
      <c r="A1082" t="str">
        <f>TableSTRUVARTM[[#This Row],[Study Package Code]]</f>
        <v>VISA2004</v>
      </c>
      <c r="B1082" s="5">
        <f>TableSTRUVARTM[[#This Row],[Ver]]</f>
        <v>2</v>
      </c>
      <c r="D1082" t="str">
        <f>TableSTRUVARTM[[#This Row],[Structure Line]]</f>
        <v>Fine Art Studio Strategies</v>
      </c>
      <c r="E1082" s="81">
        <f>TableSTRUVARTM[[#This Row],[Credit Points]]</f>
        <v>25</v>
      </c>
      <c r="F1082">
        <v>5</v>
      </c>
      <c r="G1082" t="s">
        <v>1208</v>
      </c>
      <c r="H1082">
        <v>3</v>
      </c>
      <c r="I1082" t="s">
        <v>1209</v>
      </c>
      <c r="J1082" t="s">
        <v>609</v>
      </c>
      <c r="K1082">
        <v>2</v>
      </c>
      <c r="L1082" t="s">
        <v>1180</v>
      </c>
      <c r="M1082">
        <v>25</v>
      </c>
      <c r="N1082" s="125">
        <v>42370</v>
      </c>
      <c r="O1082" s="125"/>
      <c r="R1082" t="s">
        <v>508</v>
      </c>
      <c r="S1082">
        <v>2</v>
      </c>
    </row>
    <row r="1083" spans="1:19" x14ac:dyDescent="0.25">
      <c r="A1083" t="str">
        <f>TableSTRUVARTM[[#This Row],[Study Package Code]]</f>
        <v>EDSC4028</v>
      </c>
      <c r="B1083" s="5">
        <f>TableSTRUVARTM[[#This Row],[Ver]]</f>
        <v>2</v>
      </c>
      <c r="D1083" t="str">
        <f>TableSTRUVARTM[[#This Row],[Structure Line]]</f>
        <v>Curriculum and Instruction Senior Secondary: The Arts</v>
      </c>
      <c r="E1083" s="81">
        <f>TableSTRUVARTM[[#This Row],[Credit Points]]</f>
        <v>25</v>
      </c>
      <c r="F1083">
        <v>6</v>
      </c>
      <c r="G1083" t="s">
        <v>1208</v>
      </c>
      <c r="H1083">
        <v>3</v>
      </c>
      <c r="I1083" t="s">
        <v>1212</v>
      </c>
      <c r="J1083" t="s">
        <v>484</v>
      </c>
      <c r="K1083">
        <v>2</v>
      </c>
      <c r="L1083" t="s">
        <v>951</v>
      </c>
      <c r="M1083">
        <v>25</v>
      </c>
      <c r="N1083" s="125">
        <v>43831</v>
      </c>
      <c r="O1083" s="125"/>
      <c r="R1083" t="s">
        <v>484</v>
      </c>
      <c r="S1083">
        <v>2</v>
      </c>
    </row>
  </sheetData>
  <conditionalFormatting sqref="J3:J29">
    <cfRule type="duplicateValues" dxfId="144" priority="604"/>
  </conditionalFormatting>
  <conditionalFormatting sqref="J33:J89">
    <cfRule type="duplicateValues" dxfId="143" priority="379"/>
  </conditionalFormatting>
  <conditionalFormatting sqref="J93:J125">
    <cfRule type="duplicateValues" dxfId="142" priority="602"/>
  </conditionalFormatting>
  <conditionalFormatting sqref="J128:J130">
    <cfRule type="duplicateValues" dxfId="141" priority="594"/>
  </conditionalFormatting>
  <conditionalFormatting sqref="J133:J135">
    <cfRule type="duplicateValues" dxfId="140" priority="129"/>
  </conditionalFormatting>
  <conditionalFormatting sqref="J138:J140">
    <cfRule type="duplicateValues" dxfId="139" priority="126"/>
  </conditionalFormatting>
  <conditionalFormatting sqref="J143:J145">
    <cfRule type="duplicateValues" dxfId="138" priority="123"/>
  </conditionalFormatting>
  <conditionalFormatting sqref="J148:J150">
    <cfRule type="duplicateValues" dxfId="137" priority="120"/>
  </conditionalFormatting>
  <conditionalFormatting sqref="J153:J155">
    <cfRule type="duplicateValues" dxfId="136" priority="117"/>
  </conditionalFormatting>
  <conditionalFormatting sqref="J159:J188">
    <cfRule type="duplicateValues" dxfId="135" priority="609"/>
  </conditionalFormatting>
  <conditionalFormatting sqref="J192:J211">
    <cfRule type="duplicateValues" dxfId="134" priority="383"/>
  </conditionalFormatting>
  <conditionalFormatting sqref="J214:J234">
    <cfRule type="duplicateValues" dxfId="133" priority="612"/>
  </conditionalFormatting>
  <conditionalFormatting sqref="J237:J260">
    <cfRule type="duplicateValues" dxfId="132" priority="613"/>
  </conditionalFormatting>
  <conditionalFormatting sqref="J263:J288">
    <cfRule type="duplicateValues" dxfId="131" priority="616"/>
  </conditionalFormatting>
  <conditionalFormatting sqref="J291:J319">
    <cfRule type="duplicateValues" dxfId="130" priority="632"/>
  </conditionalFormatting>
  <conditionalFormatting sqref="J322:J352">
    <cfRule type="duplicateValues" dxfId="129" priority="650"/>
  </conditionalFormatting>
  <conditionalFormatting sqref="J355:J388">
    <cfRule type="duplicateValues" dxfId="128" priority="663"/>
  </conditionalFormatting>
  <conditionalFormatting sqref="J391:J420">
    <cfRule type="duplicateValues" dxfId="127" priority="669"/>
  </conditionalFormatting>
  <conditionalFormatting sqref="J423:J443">
    <cfRule type="duplicateValues" dxfId="126" priority="367"/>
  </conditionalFormatting>
  <conditionalFormatting sqref="J446:J461">
    <cfRule type="duplicateValues" dxfId="125" priority="384"/>
  </conditionalFormatting>
  <conditionalFormatting sqref="J464:J489">
    <cfRule type="duplicateValues" dxfId="124" priority="676"/>
  </conditionalFormatting>
  <conditionalFormatting sqref="J492:J518">
    <cfRule type="duplicateValues" dxfId="123" priority="683"/>
  </conditionalFormatting>
  <conditionalFormatting sqref="J521:J542">
    <cfRule type="duplicateValues" dxfId="122" priority="684"/>
  </conditionalFormatting>
  <conditionalFormatting sqref="J545:J560">
    <cfRule type="duplicateValues" dxfId="121" priority="391"/>
  </conditionalFormatting>
  <conditionalFormatting sqref="J563:J584">
    <cfRule type="duplicateValues" dxfId="120" priority="685"/>
  </conditionalFormatting>
  <conditionalFormatting sqref="J588:J616">
    <cfRule type="duplicateValues" dxfId="119" priority="413"/>
  </conditionalFormatting>
  <conditionalFormatting sqref="J619:J633">
    <cfRule type="duplicateValues" dxfId="118" priority="859"/>
  </conditionalFormatting>
  <conditionalFormatting sqref="J636:J665">
    <cfRule type="duplicateValues" dxfId="117" priority="355"/>
  </conditionalFormatting>
  <conditionalFormatting sqref="J668:J699">
    <cfRule type="duplicateValues" dxfId="116" priority="415"/>
  </conditionalFormatting>
  <conditionalFormatting sqref="J702:J731">
    <cfRule type="duplicateValues" dxfId="115" priority="340"/>
  </conditionalFormatting>
  <conditionalFormatting sqref="J734:J739">
    <cfRule type="duplicateValues" dxfId="114" priority="416"/>
  </conditionalFormatting>
  <conditionalFormatting sqref="J742:J775">
    <cfRule type="duplicateValues" dxfId="113" priority="336"/>
  </conditionalFormatting>
  <conditionalFormatting sqref="J778:J783">
    <cfRule type="duplicateValues" dxfId="112" priority="864"/>
  </conditionalFormatting>
  <conditionalFormatting sqref="J786:J817">
    <cfRule type="duplicateValues" dxfId="111" priority="334"/>
  </conditionalFormatting>
  <conditionalFormatting sqref="J820:J825">
    <cfRule type="duplicateValues" dxfId="110" priority="865"/>
  </conditionalFormatting>
  <conditionalFormatting sqref="J828:J850">
    <cfRule type="duplicateValues" dxfId="109" priority="866"/>
  </conditionalFormatting>
  <conditionalFormatting sqref="J853:J882">
    <cfRule type="duplicateValues" dxfId="108" priority="329"/>
  </conditionalFormatting>
  <conditionalFormatting sqref="J885:J890">
    <cfRule type="duplicateValues" dxfId="107" priority="867"/>
  </conditionalFormatting>
  <conditionalFormatting sqref="J893:J919">
    <cfRule type="duplicateValues" dxfId="106" priority="868"/>
  </conditionalFormatting>
  <conditionalFormatting sqref="J922:J929">
    <cfRule type="duplicateValues" dxfId="105" priority="869"/>
  </conditionalFormatting>
  <conditionalFormatting sqref="J932:J961">
    <cfRule type="duplicateValues" dxfId="104" priority="323"/>
  </conditionalFormatting>
  <conditionalFormatting sqref="J964:J969">
    <cfRule type="duplicateValues" dxfId="103" priority="419"/>
  </conditionalFormatting>
  <conditionalFormatting sqref="J972:J1001">
    <cfRule type="duplicateValues" dxfId="102" priority="319"/>
  </conditionalFormatting>
  <conditionalFormatting sqref="J1004:J1033">
    <cfRule type="duplicateValues" dxfId="101" priority="314"/>
  </conditionalFormatting>
  <conditionalFormatting sqref="J1036:J1043">
    <cfRule type="duplicateValues" dxfId="100" priority="421"/>
  </conditionalFormatting>
  <conditionalFormatting sqref="J1046:J1075">
    <cfRule type="duplicateValues" dxfId="99" priority="307"/>
  </conditionalFormatting>
  <conditionalFormatting sqref="J1078:J1083">
    <cfRule type="duplicateValues" dxfId="98" priority="423"/>
  </conditionalFormatting>
  <conditionalFormatting sqref="N3:N29 N159:N188 N214:N234 N237:N260 N263:N288 N291:N319 N322:N352 N355:N388 N391:N420 N464:N489 N492:N518 N521:N542 N563:N584 N619:N633 N922:N929">
    <cfRule type="cellIs" dxfId="97" priority="54" operator="greaterThan">
      <formula>$P$1</formula>
    </cfRule>
  </conditionalFormatting>
  <conditionalFormatting sqref="N33:N89">
    <cfRule type="cellIs" dxfId="96" priority="51" operator="greaterThan">
      <formula>$P$1</formula>
    </cfRule>
  </conditionalFormatting>
  <conditionalFormatting sqref="N93:N125">
    <cfRule type="cellIs" dxfId="95" priority="49" operator="greaterThan">
      <formula>$P$1</formula>
    </cfRule>
  </conditionalFormatting>
  <conditionalFormatting sqref="N128:N130">
    <cfRule type="cellIs" dxfId="94" priority="48" operator="greaterThan">
      <formula>$P$1</formula>
    </cfRule>
  </conditionalFormatting>
  <conditionalFormatting sqref="N133:N135">
    <cfRule type="cellIs" dxfId="93" priority="47" operator="greaterThan">
      <formula>$P$1</formula>
    </cfRule>
  </conditionalFormatting>
  <conditionalFormatting sqref="N138:N140">
    <cfRule type="cellIs" dxfId="92" priority="46" operator="greaterThan">
      <formula>$P$1</formula>
    </cfRule>
  </conditionalFormatting>
  <conditionalFormatting sqref="N143:N145">
    <cfRule type="cellIs" dxfId="91" priority="45" operator="greaterThan">
      <formula>$P$1</formula>
    </cfRule>
  </conditionalFormatting>
  <conditionalFormatting sqref="N148:N150">
    <cfRule type="cellIs" dxfId="90" priority="44" operator="greaterThan">
      <formula>$P$1</formula>
    </cfRule>
  </conditionalFormatting>
  <conditionalFormatting sqref="N153:N155">
    <cfRule type="cellIs" dxfId="89" priority="43" operator="greaterThan">
      <formula>$P$1</formula>
    </cfRule>
  </conditionalFormatting>
  <conditionalFormatting sqref="N192:N211">
    <cfRule type="cellIs" dxfId="88" priority="41" operator="greaterThan">
      <formula>$P$1</formula>
    </cfRule>
  </conditionalFormatting>
  <conditionalFormatting sqref="N423:N443">
    <cfRule type="cellIs" dxfId="87" priority="32" operator="greaterThan">
      <formula>$P$1</formula>
    </cfRule>
  </conditionalFormatting>
  <conditionalFormatting sqref="N446:N461">
    <cfRule type="cellIs" dxfId="86" priority="37" operator="greaterThan">
      <formula>$P$1</formula>
    </cfRule>
  </conditionalFormatting>
  <conditionalFormatting sqref="N545:N560">
    <cfRule type="cellIs" dxfId="85" priority="28" operator="greaterThan">
      <formula>$P$1</formula>
    </cfRule>
  </conditionalFormatting>
  <conditionalFormatting sqref="N588:N616">
    <cfRule type="cellIs" dxfId="84" priority="26" operator="greaterThan">
      <formula>$P$1</formula>
    </cfRule>
  </conditionalFormatting>
  <conditionalFormatting sqref="N636:N665">
    <cfRule type="cellIs" dxfId="83" priority="24" operator="greaterThan">
      <formula>$P$1</formula>
    </cfRule>
  </conditionalFormatting>
  <conditionalFormatting sqref="N668:N699">
    <cfRule type="cellIs" dxfId="82" priority="23" operator="greaterThan">
      <formula>$P$1</formula>
    </cfRule>
  </conditionalFormatting>
  <conditionalFormatting sqref="N702:N731">
    <cfRule type="cellIs" dxfId="81" priority="17" operator="greaterThan">
      <formula>$P$1</formula>
    </cfRule>
  </conditionalFormatting>
  <conditionalFormatting sqref="N734:N739">
    <cfRule type="cellIs" dxfId="80" priority="16" operator="greaterThan">
      <formula>$P$1</formula>
    </cfRule>
  </conditionalFormatting>
  <conditionalFormatting sqref="N742:N775">
    <cfRule type="cellIs" dxfId="79" priority="15" operator="greaterThan">
      <formula>$P$1</formula>
    </cfRule>
  </conditionalFormatting>
  <conditionalFormatting sqref="N778:N783">
    <cfRule type="cellIs" dxfId="78" priority="18" operator="greaterThan">
      <formula>$P$1</formula>
    </cfRule>
  </conditionalFormatting>
  <conditionalFormatting sqref="N786:N817">
    <cfRule type="cellIs" dxfId="77" priority="14" operator="greaterThan">
      <formula>$P$1</formula>
    </cfRule>
  </conditionalFormatting>
  <conditionalFormatting sqref="N820:N825">
    <cfRule type="cellIs" dxfId="76" priority="13" operator="greaterThan">
      <formula>$P$1</formula>
    </cfRule>
  </conditionalFormatting>
  <conditionalFormatting sqref="N828:N850">
    <cfRule type="cellIs" dxfId="75" priority="19" operator="greaterThan">
      <formula>$P$1</formula>
    </cfRule>
  </conditionalFormatting>
  <conditionalFormatting sqref="N853:N882">
    <cfRule type="cellIs" dxfId="74" priority="12" operator="greaterThan">
      <formula>$P$1</formula>
    </cfRule>
  </conditionalFormatting>
  <conditionalFormatting sqref="N885:N890">
    <cfRule type="cellIs" dxfId="73" priority="20" operator="greaterThan">
      <formula>$P$1</formula>
    </cfRule>
  </conditionalFormatting>
  <conditionalFormatting sqref="N893:N919">
    <cfRule type="cellIs" dxfId="72" priority="11" operator="greaterThan">
      <formula>$P$1</formula>
    </cfRule>
  </conditionalFormatting>
  <conditionalFormatting sqref="N932:N961">
    <cfRule type="cellIs" dxfId="71" priority="9" operator="greaterThan">
      <formula>$P$1</formula>
    </cfRule>
  </conditionalFormatting>
  <conditionalFormatting sqref="N964:N969">
    <cfRule type="cellIs" dxfId="70" priority="8" operator="greaterThan">
      <formula>$P$1</formula>
    </cfRule>
  </conditionalFormatting>
  <conditionalFormatting sqref="N972:N1001">
    <cfRule type="cellIs" dxfId="69" priority="7" operator="greaterThan">
      <formula>$P$1</formula>
    </cfRule>
  </conditionalFormatting>
  <conditionalFormatting sqref="N1004:N1033">
    <cfRule type="cellIs" dxfId="68" priority="5" operator="greaterThan">
      <formula>$P$1</formula>
    </cfRule>
  </conditionalFormatting>
  <conditionalFormatting sqref="N1036:N1043">
    <cfRule type="cellIs" dxfId="67" priority="4" operator="greaterThan">
      <formula>$P$1</formula>
    </cfRule>
  </conditionalFormatting>
  <conditionalFormatting sqref="N1046:N1075">
    <cfRule type="cellIs" dxfId="66" priority="2" operator="greaterThan">
      <formula>$P$1</formula>
    </cfRule>
  </conditionalFormatting>
  <conditionalFormatting sqref="N1078:N1083">
    <cfRule type="cellIs" dxfId="65" priority="1" operator="greaterThan">
      <formula>$P$1</formula>
    </cfRule>
  </conditionalFormatting>
  <conditionalFormatting sqref="O3:O29 O159:O188 O214:O234 O237:O260 O263:O288 O291:O319 O322:O352 O355:O388 O391:O420 O464:O489 O492:O518 O521:O542 O563:O584 O619:O633 O922:O929">
    <cfRule type="notContainsBlanks" dxfId="64" priority="303">
      <formula>LEN(TRIM(O3))&gt;0</formula>
    </cfRule>
  </conditionalFormatting>
  <conditionalFormatting sqref="O33:O89">
    <cfRule type="notContainsBlanks" dxfId="63" priority="301">
      <formula>LEN(TRIM(O33))&gt;0</formula>
    </cfRule>
  </conditionalFormatting>
  <conditionalFormatting sqref="O93:O125">
    <cfRule type="notContainsBlanks" dxfId="62" priority="50">
      <formula>LEN(TRIM(O93))&gt;0</formula>
    </cfRule>
  </conditionalFormatting>
  <conditionalFormatting sqref="O128:O130">
    <cfRule type="notContainsBlanks" dxfId="61" priority="130">
      <formula>LEN(TRIM(O128))&gt;0</formula>
    </cfRule>
  </conditionalFormatting>
  <conditionalFormatting sqref="O133:O135">
    <cfRule type="notContainsBlanks" dxfId="60" priority="128">
      <formula>LEN(TRIM(O133))&gt;0</formula>
    </cfRule>
  </conditionalFormatting>
  <conditionalFormatting sqref="O138:O140">
    <cfRule type="notContainsBlanks" dxfId="59" priority="125">
      <formula>LEN(TRIM(O138))&gt;0</formula>
    </cfRule>
  </conditionalFormatting>
  <conditionalFormatting sqref="O143:O145">
    <cfRule type="notContainsBlanks" dxfId="58" priority="122">
      <formula>LEN(TRIM(O143))&gt;0</formula>
    </cfRule>
  </conditionalFormatting>
  <conditionalFormatting sqref="O148:O150">
    <cfRule type="notContainsBlanks" dxfId="57" priority="119">
      <formula>LEN(TRIM(O148))&gt;0</formula>
    </cfRule>
  </conditionalFormatting>
  <conditionalFormatting sqref="O153:O155">
    <cfRule type="notContainsBlanks" dxfId="56" priority="116">
      <formula>LEN(TRIM(O153))&gt;0</formula>
    </cfRule>
  </conditionalFormatting>
  <conditionalFormatting sqref="O192:O211">
    <cfRule type="notContainsBlanks" dxfId="55" priority="298">
      <formula>LEN(TRIM(O192))&gt;0</formula>
    </cfRule>
  </conditionalFormatting>
  <conditionalFormatting sqref="O423:O443">
    <cfRule type="notContainsBlanks" dxfId="54" priority="287">
      <formula>LEN(TRIM(O423))&gt;0</formula>
    </cfRule>
  </conditionalFormatting>
  <conditionalFormatting sqref="O446:O461">
    <cfRule type="notContainsBlanks" dxfId="53" priority="293">
      <formula>LEN(TRIM(O446))&gt;0</formula>
    </cfRule>
  </conditionalFormatting>
  <conditionalFormatting sqref="O545:O560">
    <cfRule type="notContainsBlanks" dxfId="52" priority="266">
      <formula>LEN(TRIM(O545))&gt;0</formula>
    </cfRule>
  </conditionalFormatting>
  <conditionalFormatting sqref="O588:O616">
    <cfRule type="notContainsBlanks" dxfId="51" priority="260">
      <formula>LEN(TRIM(O588))&gt;0</formula>
    </cfRule>
  </conditionalFormatting>
  <conditionalFormatting sqref="O636:O665">
    <cfRule type="notContainsBlanks" dxfId="50" priority="227">
      <formula>LEN(TRIM(O636))&gt;0</formula>
    </cfRule>
  </conditionalFormatting>
  <conditionalFormatting sqref="O668:O699">
    <cfRule type="notContainsBlanks" dxfId="49" priority="225">
      <formula>LEN(TRIM(O668))&gt;0</formula>
    </cfRule>
  </conditionalFormatting>
  <conditionalFormatting sqref="O702:O731">
    <cfRule type="notContainsBlanks" dxfId="48" priority="210">
      <formula>LEN(TRIM(O702))&gt;0</formula>
    </cfRule>
  </conditionalFormatting>
  <conditionalFormatting sqref="O734:O739">
    <cfRule type="notContainsBlanks" dxfId="47" priority="207">
      <formula>LEN(TRIM(O734))&gt;0</formula>
    </cfRule>
  </conditionalFormatting>
  <conditionalFormatting sqref="O742:O775">
    <cfRule type="notContainsBlanks" dxfId="46" priority="205">
      <formula>LEN(TRIM(O742))&gt;0</formula>
    </cfRule>
  </conditionalFormatting>
  <conditionalFormatting sqref="O778:O783">
    <cfRule type="notContainsBlanks" dxfId="45" priority="214">
      <formula>LEN(TRIM(O778))&gt;0</formula>
    </cfRule>
  </conditionalFormatting>
  <conditionalFormatting sqref="O786:O817">
    <cfRule type="notContainsBlanks" dxfId="44" priority="203">
      <formula>LEN(TRIM(O786))&gt;0</formula>
    </cfRule>
  </conditionalFormatting>
  <conditionalFormatting sqref="O820:O825">
    <cfRule type="notContainsBlanks" dxfId="43" priority="200">
      <formula>LEN(TRIM(O820))&gt;0</formula>
    </cfRule>
  </conditionalFormatting>
  <conditionalFormatting sqref="O828:O850">
    <cfRule type="notContainsBlanks" dxfId="42" priority="217">
      <formula>LEN(TRIM(O828))&gt;0</formula>
    </cfRule>
  </conditionalFormatting>
  <conditionalFormatting sqref="O853:O882">
    <cfRule type="notContainsBlanks" dxfId="41" priority="198">
      <formula>LEN(TRIM(O853))&gt;0</formula>
    </cfRule>
  </conditionalFormatting>
  <conditionalFormatting sqref="O885:O890">
    <cfRule type="notContainsBlanks" dxfId="40" priority="219">
      <formula>LEN(TRIM(O885))&gt;0</formula>
    </cfRule>
  </conditionalFormatting>
  <conditionalFormatting sqref="O893:O919">
    <cfRule type="notContainsBlanks" dxfId="39" priority="194">
      <formula>LEN(TRIM(O893))&gt;0</formula>
    </cfRule>
  </conditionalFormatting>
  <conditionalFormatting sqref="O932:O961">
    <cfRule type="notContainsBlanks" dxfId="38" priority="191">
      <formula>LEN(TRIM(O932))&gt;0</formula>
    </cfRule>
  </conditionalFormatting>
  <conditionalFormatting sqref="O964:O969">
    <cfRule type="notContainsBlanks" dxfId="37" priority="188">
      <formula>LEN(TRIM(O964))&gt;0</formula>
    </cfRule>
  </conditionalFormatting>
  <conditionalFormatting sqref="O972:O1001">
    <cfRule type="notContainsBlanks" dxfId="36" priority="186">
      <formula>LEN(TRIM(O972))&gt;0</formula>
    </cfRule>
  </conditionalFormatting>
  <conditionalFormatting sqref="O1004:O1033">
    <cfRule type="notContainsBlanks" dxfId="35" priority="181">
      <formula>LEN(TRIM(O1004))&gt;0</formula>
    </cfRule>
  </conditionalFormatting>
  <conditionalFormatting sqref="O1036:O1043">
    <cfRule type="notContainsBlanks" dxfId="34" priority="177">
      <formula>LEN(TRIM(O1036))&gt;0</formula>
    </cfRule>
  </conditionalFormatting>
  <conditionalFormatting sqref="O1046:O1075">
    <cfRule type="notContainsBlanks" dxfId="33" priority="173">
      <formula>LEN(TRIM(O1046))&gt;0</formula>
    </cfRule>
  </conditionalFormatting>
  <conditionalFormatting sqref="O1078:O1083">
    <cfRule type="notContainsBlanks" dxfId="32" priority="170">
      <formula>LEN(TRIM(O1078))&gt;0</formula>
    </cfRule>
  </conditionalFormatting>
  <conditionalFormatting sqref="R3:S30 R93:S125 R128:S130 R159:S188 R214:S234 R237:S260 R263:S288 R291:S319 R322:S352 R355:S388 R391:S420 R464:S489 R492:S518 R521:S542 R563:S584 R619:S633 R778:S783 R820:S825 R828:S850 R885:S890 R893:S919 R922:S929">
    <cfRule type="expression" dxfId="31" priority="138">
      <formula>R3&lt;&gt;J3</formula>
    </cfRule>
  </conditionalFormatting>
  <conditionalFormatting sqref="R33:S90">
    <cfRule type="expression" dxfId="30" priority="135">
      <formula>R33&lt;&gt;J33</formula>
    </cfRule>
  </conditionalFormatting>
  <conditionalFormatting sqref="R133:S135">
    <cfRule type="expression" dxfId="29" priority="127">
      <formula>R133&lt;&gt;J133</formula>
    </cfRule>
  </conditionalFormatting>
  <conditionalFormatting sqref="R138:S140">
    <cfRule type="expression" dxfId="28" priority="124">
      <formula>R138&lt;&gt;J138</formula>
    </cfRule>
  </conditionalFormatting>
  <conditionalFormatting sqref="R143:S145">
    <cfRule type="expression" dxfId="27" priority="121">
      <formula>R143&lt;&gt;J143</formula>
    </cfRule>
  </conditionalFormatting>
  <conditionalFormatting sqref="R148:S150">
    <cfRule type="expression" dxfId="26" priority="118">
      <formula>R148&lt;&gt;J148</formula>
    </cfRule>
  </conditionalFormatting>
  <conditionalFormatting sqref="R153:S155">
    <cfRule type="expression" dxfId="25" priority="115">
      <formula>R153&lt;&gt;J153</formula>
    </cfRule>
  </conditionalFormatting>
  <conditionalFormatting sqref="R192:S211">
    <cfRule type="expression" dxfId="24" priority="159">
      <formula>R192&lt;&gt;J192</formula>
    </cfRule>
  </conditionalFormatting>
  <conditionalFormatting sqref="R316:S319">
    <cfRule type="expression" dxfId="23" priority="626">
      <formula>R316&lt;&gt;J307</formula>
    </cfRule>
    <cfRule type="expression" dxfId="22" priority="634">
      <formula>R316&lt;&gt;J319</formula>
    </cfRule>
  </conditionalFormatting>
  <conditionalFormatting sqref="R423:S443">
    <cfRule type="expression" dxfId="21" priority="140">
      <formula>R423&lt;&gt;J423</formula>
    </cfRule>
  </conditionalFormatting>
  <conditionalFormatting sqref="R446:S461">
    <cfRule type="expression" dxfId="20" priority="151">
      <formula>R446&lt;&gt;J446</formula>
    </cfRule>
  </conditionalFormatting>
  <conditionalFormatting sqref="R545:S560">
    <cfRule type="expression" dxfId="19" priority="271">
      <formula>R545&lt;&gt;J545</formula>
    </cfRule>
  </conditionalFormatting>
  <conditionalFormatting sqref="R588:S616">
    <cfRule type="expression" dxfId="18" priority="113">
      <formula>R588&lt;&gt;J588</formula>
    </cfRule>
  </conditionalFormatting>
  <conditionalFormatting sqref="R627:S628">
    <cfRule type="expression" dxfId="17" priority="853">
      <formula>R627&lt;&gt;J625</formula>
    </cfRule>
  </conditionalFormatting>
  <conditionalFormatting sqref="R629:S629">
    <cfRule type="expression" dxfId="16" priority="863">
      <formula>R629&lt;&gt;J626</formula>
    </cfRule>
  </conditionalFormatting>
  <conditionalFormatting sqref="R629:S633 R929:S929">
    <cfRule type="expression" dxfId="15" priority="861">
      <formula>R629&lt;&gt;J628</formula>
    </cfRule>
  </conditionalFormatting>
  <conditionalFormatting sqref="R630:S633">
    <cfRule type="expression" dxfId="14" priority="851">
      <formula>R630&lt;&gt;J623</formula>
    </cfRule>
  </conditionalFormatting>
  <conditionalFormatting sqref="R636:S665">
    <cfRule type="expression" dxfId="13" priority="112">
      <formula>R636&lt;&gt;J636</formula>
    </cfRule>
  </conditionalFormatting>
  <conditionalFormatting sqref="R668:S699">
    <cfRule type="expression" dxfId="12" priority="111">
      <formula>R668&lt;&gt;J668</formula>
    </cfRule>
  </conditionalFormatting>
  <conditionalFormatting sqref="R702:S731">
    <cfRule type="expression" dxfId="11" priority="517">
      <formula>R702&lt;&gt;J702</formula>
    </cfRule>
  </conditionalFormatting>
  <conditionalFormatting sqref="R734:S739">
    <cfRule type="expression" dxfId="10" priority="208">
      <formula>R734&lt;&gt;J734</formula>
    </cfRule>
  </conditionalFormatting>
  <conditionalFormatting sqref="R742:S775">
    <cfRule type="expression" dxfId="9" priority="204">
      <formula>R742&lt;&gt;J742</formula>
    </cfRule>
  </conditionalFormatting>
  <conditionalFormatting sqref="R786:S817">
    <cfRule type="expression" dxfId="8" priority="201">
      <formula>R786&lt;&gt;J786</formula>
    </cfRule>
  </conditionalFormatting>
  <conditionalFormatting sqref="R853:S882">
    <cfRule type="expression" dxfId="7" priority="196">
      <formula>R853&lt;&gt;J853</formula>
    </cfRule>
  </conditionalFormatting>
  <conditionalFormatting sqref="R932:S961">
    <cfRule type="expression" dxfId="6" priority="189">
      <formula>R932&lt;&gt;J932</formula>
    </cfRule>
  </conditionalFormatting>
  <conditionalFormatting sqref="R964:S969">
    <cfRule type="expression" dxfId="5" priority="187">
      <formula>R964&lt;&gt;J964</formula>
    </cfRule>
  </conditionalFormatting>
  <conditionalFormatting sqref="R972:S1001">
    <cfRule type="expression" dxfId="4" priority="184">
      <formula>R972&lt;&gt;J972</formula>
    </cfRule>
  </conditionalFormatting>
  <conditionalFormatting sqref="R1004:S1033">
    <cfRule type="expression" dxfId="3" priority="178">
      <formula>R1004&lt;&gt;J1004</formula>
    </cfRule>
  </conditionalFormatting>
  <conditionalFormatting sqref="R1036:S1043">
    <cfRule type="expression" dxfId="2" priority="176">
      <formula>R1036&lt;&gt;J1036</formula>
    </cfRule>
  </conditionalFormatting>
  <conditionalFormatting sqref="R1046:S1075">
    <cfRule type="expression" dxfId="1" priority="171">
      <formula>R1046&lt;&gt;J1046</formula>
    </cfRule>
  </conditionalFormatting>
  <conditionalFormatting sqref="R1078:S1083">
    <cfRule type="expression" dxfId="0" priority="169">
      <formula>R1078&lt;&gt;J1078</formula>
    </cfRule>
  </conditionalFormatting>
  <pageMargins left="0.7" right="0.7" top="0.75" bottom="0.75" header="0.3" footer="0.3"/>
  <pageSetup paperSize="9" orientation="portrait" r:id="rId1"/>
  <legacyDrawing r:id="rId2"/>
  <tableParts count="9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S249"/>
  <sheetViews>
    <sheetView workbookViewId="0">
      <selection activeCell="AF118" sqref="AF118"/>
    </sheetView>
  </sheetViews>
  <sheetFormatPr defaultRowHeight="15.75" x14ac:dyDescent="0.25"/>
  <cols>
    <col min="1" max="1" width="39.625" bestFit="1" customWidth="1"/>
    <col min="2" max="10" width="5.375" bestFit="1" customWidth="1"/>
    <col min="11" max="11" width="12.25" bestFit="1" customWidth="1"/>
    <col min="12" max="12" width="9.625" bestFit="1" customWidth="1"/>
    <col min="13" max="13" width="10.125" bestFit="1" customWidth="1"/>
    <col min="14" max="19" width="1.875" bestFit="1" customWidth="1"/>
  </cols>
  <sheetData>
    <row r="1" spans="1:18" x14ac:dyDescent="0.25">
      <c r="K1" s="165" t="s">
        <v>1195</v>
      </c>
      <c r="L1" s="166">
        <v>45566</v>
      </c>
    </row>
    <row r="2" spans="1:18" ht="90.75" x14ac:dyDescent="0.25">
      <c r="A2" t="s">
        <v>1323</v>
      </c>
      <c r="B2" s="197" t="s">
        <v>1324</v>
      </c>
      <c r="C2" s="197" t="s">
        <v>1325</v>
      </c>
      <c r="D2" s="197" t="s">
        <v>1326</v>
      </c>
      <c r="E2" s="197" t="s">
        <v>1327</v>
      </c>
      <c r="F2" s="197" t="s">
        <v>1328</v>
      </c>
      <c r="G2" s="197" t="s">
        <v>1329</v>
      </c>
      <c r="H2" s="197" t="s">
        <v>1330</v>
      </c>
      <c r="I2" s="197" t="s">
        <v>1331</v>
      </c>
      <c r="J2" s="197" t="s">
        <v>1332</v>
      </c>
    </row>
    <row r="3" spans="1:18" x14ac:dyDescent="0.25">
      <c r="A3" t="s">
        <v>629</v>
      </c>
      <c r="B3" s="5">
        <v>1</v>
      </c>
      <c r="C3" s="5">
        <v>1</v>
      </c>
      <c r="D3" s="5">
        <v>1</v>
      </c>
      <c r="E3" s="5">
        <v>1</v>
      </c>
      <c r="F3" s="5">
        <v>1</v>
      </c>
      <c r="G3" s="5">
        <v>1</v>
      </c>
      <c r="H3" s="5"/>
      <c r="I3" s="5"/>
      <c r="J3" s="5"/>
      <c r="M3" t="s">
        <v>572</v>
      </c>
      <c r="Q3">
        <v>1</v>
      </c>
    </row>
    <row r="4" spans="1:18" x14ac:dyDescent="0.25">
      <c r="A4" t="s">
        <v>549</v>
      </c>
      <c r="B4" s="5">
        <v>1</v>
      </c>
      <c r="C4" s="5"/>
      <c r="D4" s="5"/>
      <c r="E4" s="5"/>
      <c r="F4" s="5"/>
      <c r="G4" s="5"/>
      <c r="H4" s="5"/>
      <c r="I4" s="5"/>
      <c r="J4" s="5"/>
      <c r="M4" t="s">
        <v>454</v>
      </c>
      <c r="Q4">
        <v>1</v>
      </c>
      <c r="R4">
        <v>1</v>
      </c>
    </row>
    <row r="5" spans="1:18" x14ac:dyDescent="0.25">
      <c r="A5" t="s">
        <v>572</v>
      </c>
      <c r="B5" s="5"/>
      <c r="C5" s="5"/>
      <c r="D5" s="5"/>
      <c r="E5" s="5">
        <v>1</v>
      </c>
      <c r="F5" s="5"/>
      <c r="G5" s="5"/>
      <c r="H5" s="5"/>
      <c r="I5" s="5"/>
      <c r="J5" s="5"/>
      <c r="M5" t="s">
        <v>614</v>
      </c>
      <c r="Q5">
        <v>1</v>
      </c>
      <c r="R5">
        <v>1</v>
      </c>
    </row>
    <row r="6" spans="1:18" x14ac:dyDescent="0.25">
      <c r="A6" t="s">
        <v>604</v>
      </c>
      <c r="B6" s="5"/>
      <c r="C6" s="5"/>
      <c r="D6" s="5"/>
      <c r="E6" s="5">
        <v>1</v>
      </c>
      <c r="F6" s="5"/>
      <c r="G6" s="5"/>
      <c r="H6" s="5"/>
      <c r="I6" s="5"/>
      <c r="J6" s="5"/>
      <c r="M6" t="s">
        <v>719</v>
      </c>
      <c r="N6">
        <v>1</v>
      </c>
    </row>
    <row r="7" spans="1:18" x14ac:dyDescent="0.25">
      <c r="A7" t="s">
        <v>631</v>
      </c>
      <c r="B7" s="5">
        <v>1</v>
      </c>
      <c r="C7" s="5">
        <v>1</v>
      </c>
      <c r="D7" s="5"/>
      <c r="E7" s="5"/>
      <c r="F7" s="5"/>
      <c r="G7" s="5"/>
      <c r="H7" s="5"/>
      <c r="I7" s="5"/>
      <c r="J7" s="5"/>
      <c r="M7" t="s">
        <v>1319</v>
      </c>
      <c r="N7">
        <v>1</v>
      </c>
      <c r="O7">
        <v>1</v>
      </c>
    </row>
    <row r="8" spans="1:18" x14ac:dyDescent="0.25">
      <c r="A8" t="s">
        <v>454</v>
      </c>
      <c r="B8" s="5"/>
      <c r="C8" s="5"/>
      <c r="D8" s="5"/>
      <c r="E8" s="5">
        <v>1</v>
      </c>
      <c r="F8" s="5">
        <v>1</v>
      </c>
      <c r="G8" s="5"/>
      <c r="H8" s="5"/>
      <c r="I8" s="5"/>
      <c r="J8" s="5"/>
      <c r="M8" t="s">
        <v>478</v>
      </c>
      <c r="N8">
        <v>1</v>
      </c>
    </row>
    <row r="9" spans="1:18" x14ac:dyDescent="0.25">
      <c r="A9" t="s">
        <v>570</v>
      </c>
      <c r="B9" s="5"/>
      <c r="C9" s="5"/>
      <c r="D9" s="5"/>
      <c r="E9" s="5">
        <v>1</v>
      </c>
      <c r="F9" s="5">
        <v>1</v>
      </c>
      <c r="G9" s="5"/>
      <c r="H9" s="5"/>
      <c r="I9" s="5"/>
      <c r="J9" s="5"/>
      <c r="M9" t="s">
        <v>567</v>
      </c>
      <c r="N9">
        <v>1</v>
      </c>
      <c r="O9">
        <v>1</v>
      </c>
      <c r="Q9">
        <v>1</v>
      </c>
      <c r="R9">
        <v>1</v>
      </c>
    </row>
    <row r="10" spans="1:18" x14ac:dyDescent="0.25">
      <c r="A10" t="s">
        <v>583</v>
      </c>
      <c r="B10" s="5"/>
      <c r="C10" s="5"/>
      <c r="D10" s="5"/>
      <c r="E10" s="5">
        <v>1</v>
      </c>
      <c r="F10" s="5">
        <v>1</v>
      </c>
      <c r="G10" s="5"/>
      <c r="H10" s="5"/>
      <c r="I10" s="5"/>
      <c r="J10" s="5"/>
      <c r="M10" t="s">
        <v>634</v>
      </c>
      <c r="N10">
        <v>1</v>
      </c>
      <c r="O10">
        <v>1</v>
      </c>
    </row>
    <row r="11" spans="1:18" x14ac:dyDescent="0.25">
      <c r="A11" t="s">
        <v>614</v>
      </c>
      <c r="B11" s="5"/>
      <c r="C11" s="5"/>
      <c r="D11" s="5"/>
      <c r="E11" s="5">
        <v>1</v>
      </c>
      <c r="F11" s="5">
        <v>1</v>
      </c>
      <c r="G11" s="5"/>
      <c r="H11" s="5"/>
      <c r="I11" s="5"/>
      <c r="J11" s="5"/>
      <c r="M11" t="s">
        <v>503</v>
      </c>
      <c r="Q11">
        <v>1</v>
      </c>
    </row>
    <row r="12" spans="1:18" x14ac:dyDescent="0.25">
      <c r="A12" t="s">
        <v>627</v>
      </c>
      <c r="B12" s="5">
        <v>1</v>
      </c>
      <c r="C12" s="5">
        <v>1</v>
      </c>
      <c r="D12" s="5"/>
      <c r="E12" s="5"/>
      <c r="F12" s="5"/>
      <c r="G12" s="5"/>
      <c r="H12" s="5"/>
      <c r="I12" s="5"/>
      <c r="J12" s="5"/>
      <c r="M12" t="s">
        <v>457</v>
      </c>
      <c r="N12">
        <v>1</v>
      </c>
      <c r="Q12">
        <v>1</v>
      </c>
    </row>
    <row r="13" spans="1:18" x14ac:dyDescent="0.25">
      <c r="A13" t="s">
        <v>632</v>
      </c>
      <c r="B13" s="5">
        <v>1</v>
      </c>
      <c r="C13" s="5">
        <v>1</v>
      </c>
      <c r="D13" s="5"/>
      <c r="E13" s="5"/>
      <c r="F13" s="5"/>
      <c r="G13" s="5"/>
      <c r="H13" s="5"/>
      <c r="I13" s="5"/>
      <c r="J13" s="5"/>
      <c r="M13" t="s">
        <v>1300</v>
      </c>
      <c r="N13">
        <v>1</v>
      </c>
      <c r="Q13">
        <v>1</v>
      </c>
    </row>
    <row r="14" spans="1:18" x14ac:dyDescent="0.25">
      <c r="A14" t="s">
        <v>738</v>
      </c>
      <c r="B14" s="5"/>
      <c r="C14" s="5"/>
      <c r="D14" s="5"/>
      <c r="E14" s="5">
        <v>1</v>
      </c>
      <c r="F14" s="5"/>
      <c r="G14" s="5"/>
      <c r="H14" s="5"/>
      <c r="I14" s="5"/>
      <c r="J14" s="5"/>
      <c r="M14" t="s">
        <v>479</v>
      </c>
      <c r="N14">
        <v>1</v>
      </c>
      <c r="Q14">
        <v>1</v>
      </c>
    </row>
    <row r="15" spans="1:18" x14ac:dyDescent="0.25">
      <c r="A15" t="s">
        <v>719</v>
      </c>
      <c r="B15" s="5">
        <v>1</v>
      </c>
      <c r="C15" s="5"/>
      <c r="D15" s="5"/>
      <c r="E15" s="5"/>
      <c r="F15" s="5"/>
      <c r="G15" s="5"/>
      <c r="H15" s="5"/>
      <c r="I15" s="5"/>
      <c r="J15" s="5"/>
      <c r="M15" t="s">
        <v>1301</v>
      </c>
      <c r="N15">
        <v>1</v>
      </c>
    </row>
    <row r="16" spans="1:18" x14ac:dyDescent="0.25">
      <c r="A16" t="s">
        <v>478</v>
      </c>
      <c r="B16" s="5">
        <v>1</v>
      </c>
      <c r="C16" s="5"/>
      <c r="D16" s="5"/>
      <c r="E16" s="5"/>
      <c r="F16" s="5"/>
      <c r="G16" s="5"/>
      <c r="H16" s="5"/>
      <c r="I16" s="5"/>
      <c r="J16" s="5"/>
      <c r="M16" t="s">
        <v>1333</v>
      </c>
      <c r="Q16">
        <v>1</v>
      </c>
    </row>
    <row r="17" spans="1:19" x14ac:dyDescent="0.25">
      <c r="A17" t="s">
        <v>567</v>
      </c>
      <c r="B17" s="5">
        <v>1</v>
      </c>
      <c r="C17" s="5">
        <v>1</v>
      </c>
      <c r="D17" s="5"/>
      <c r="E17" s="5">
        <v>1</v>
      </c>
      <c r="F17" s="5">
        <v>1</v>
      </c>
      <c r="G17" s="5"/>
      <c r="H17" s="5"/>
      <c r="I17" s="5"/>
      <c r="J17" s="5"/>
      <c r="M17" t="s">
        <v>517</v>
      </c>
      <c r="N17">
        <v>1</v>
      </c>
    </row>
    <row r="18" spans="1:19" x14ac:dyDescent="0.25">
      <c r="A18" t="s">
        <v>634</v>
      </c>
      <c r="B18" s="5">
        <v>1</v>
      </c>
      <c r="C18" s="5">
        <v>1</v>
      </c>
      <c r="D18" s="5"/>
      <c r="E18" s="5"/>
      <c r="F18" s="5"/>
      <c r="G18" s="5"/>
      <c r="H18" s="5"/>
      <c r="I18" s="5"/>
      <c r="J18" s="5"/>
      <c r="M18" t="s">
        <v>489</v>
      </c>
      <c r="Q18">
        <v>1</v>
      </c>
    </row>
    <row r="19" spans="1:19" x14ac:dyDescent="0.25">
      <c r="A19" t="s">
        <v>503</v>
      </c>
      <c r="B19" s="5"/>
      <c r="C19" s="5"/>
      <c r="D19" s="5"/>
      <c r="E19" s="5">
        <v>1</v>
      </c>
      <c r="F19" s="5"/>
      <c r="G19" s="5"/>
      <c r="H19" s="5"/>
      <c r="I19" s="5"/>
      <c r="J19" s="5"/>
      <c r="M19" t="s">
        <v>740</v>
      </c>
      <c r="Q19">
        <v>1</v>
      </c>
    </row>
    <row r="20" spans="1:19" x14ac:dyDescent="0.25">
      <c r="A20" t="s">
        <v>457</v>
      </c>
      <c r="B20" s="5">
        <v>1</v>
      </c>
      <c r="C20" s="5"/>
      <c r="D20" s="5"/>
      <c r="E20" s="5">
        <v>1</v>
      </c>
      <c r="F20" s="5"/>
      <c r="G20" s="5"/>
      <c r="H20" s="5"/>
      <c r="I20" s="5"/>
      <c r="J20" s="5"/>
      <c r="M20" t="s">
        <v>573</v>
      </c>
      <c r="Q20">
        <v>1</v>
      </c>
    </row>
    <row r="21" spans="1:19" x14ac:dyDescent="0.25">
      <c r="A21" t="s">
        <v>479</v>
      </c>
      <c r="B21" s="5">
        <v>1</v>
      </c>
      <c r="C21" s="5"/>
      <c r="D21" s="5"/>
      <c r="E21" s="5">
        <v>1</v>
      </c>
      <c r="F21" s="5"/>
      <c r="G21" s="5"/>
      <c r="H21" s="5"/>
      <c r="I21" s="5"/>
      <c r="J21" s="5"/>
      <c r="M21" t="s">
        <v>596</v>
      </c>
      <c r="N21">
        <v>1</v>
      </c>
    </row>
    <row r="22" spans="1:19" x14ac:dyDescent="0.25">
      <c r="A22" t="s">
        <v>749</v>
      </c>
      <c r="B22" s="5">
        <v>1</v>
      </c>
      <c r="C22" s="5"/>
      <c r="D22" s="5"/>
      <c r="E22" s="5">
        <v>2</v>
      </c>
      <c r="F22" s="5"/>
      <c r="G22" s="5"/>
      <c r="H22" s="5"/>
      <c r="I22" s="5"/>
      <c r="J22" s="5"/>
      <c r="M22" t="s">
        <v>695</v>
      </c>
      <c r="N22">
        <v>2</v>
      </c>
      <c r="O22">
        <v>1</v>
      </c>
      <c r="Q22">
        <v>2</v>
      </c>
      <c r="R22">
        <v>1</v>
      </c>
    </row>
    <row r="23" spans="1:19" x14ac:dyDescent="0.25">
      <c r="A23" t="s">
        <v>623</v>
      </c>
      <c r="B23" s="5"/>
      <c r="C23" s="5"/>
      <c r="D23" s="5"/>
      <c r="E23" s="5">
        <v>1</v>
      </c>
      <c r="F23" s="5"/>
      <c r="G23" s="5"/>
      <c r="H23" s="5"/>
      <c r="I23" s="5"/>
      <c r="J23" s="5"/>
      <c r="M23" t="s">
        <v>174</v>
      </c>
      <c r="N23">
        <v>1</v>
      </c>
      <c r="O23">
        <v>1</v>
      </c>
      <c r="P23">
        <v>1</v>
      </c>
    </row>
    <row r="24" spans="1:19" x14ac:dyDescent="0.25">
      <c r="A24" t="s">
        <v>517</v>
      </c>
      <c r="B24" s="5">
        <v>1</v>
      </c>
      <c r="C24" s="5"/>
      <c r="D24" s="5"/>
      <c r="E24" s="5"/>
      <c r="F24" s="5"/>
      <c r="G24" s="5"/>
      <c r="H24" s="5"/>
      <c r="I24" s="5"/>
      <c r="J24" s="5"/>
      <c r="M24" t="s">
        <v>167</v>
      </c>
      <c r="Q24">
        <v>1</v>
      </c>
      <c r="R24">
        <v>1</v>
      </c>
      <c r="S24">
        <v>1</v>
      </c>
    </row>
    <row r="25" spans="1:19" x14ac:dyDescent="0.25">
      <c r="A25" t="s">
        <v>489</v>
      </c>
      <c r="B25" s="5"/>
      <c r="C25" s="5"/>
      <c r="D25" s="5"/>
      <c r="E25" s="5">
        <v>1</v>
      </c>
      <c r="F25" s="5"/>
      <c r="G25" s="5"/>
      <c r="H25" s="5"/>
      <c r="I25" s="5"/>
      <c r="J25" s="5"/>
      <c r="M25" t="s">
        <v>180</v>
      </c>
      <c r="N25">
        <v>1</v>
      </c>
      <c r="O25">
        <v>1</v>
      </c>
      <c r="P25">
        <v>1</v>
      </c>
    </row>
    <row r="26" spans="1:19" x14ac:dyDescent="0.25">
      <c r="A26" t="s">
        <v>740</v>
      </c>
      <c r="B26" s="5"/>
      <c r="C26" s="5"/>
      <c r="D26" s="5"/>
      <c r="E26" s="5">
        <v>1</v>
      </c>
      <c r="F26" s="5"/>
      <c r="G26" s="5"/>
      <c r="H26" s="5"/>
      <c r="I26" s="5"/>
      <c r="J26" s="5"/>
      <c r="M26" t="s">
        <v>451</v>
      </c>
      <c r="Q26">
        <v>1</v>
      </c>
      <c r="R26">
        <v>1</v>
      </c>
    </row>
    <row r="27" spans="1:19" x14ac:dyDescent="0.25">
      <c r="A27" t="s">
        <v>625</v>
      </c>
      <c r="B27" s="5">
        <v>1</v>
      </c>
      <c r="C27" s="5"/>
      <c r="D27" s="5"/>
      <c r="E27" s="5"/>
      <c r="F27" s="5"/>
      <c r="G27" s="5"/>
      <c r="H27" s="5"/>
      <c r="I27" s="5"/>
      <c r="J27" s="5"/>
      <c r="M27" t="s">
        <v>706</v>
      </c>
      <c r="N27">
        <v>1</v>
      </c>
    </row>
    <row r="28" spans="1:19" x14ac:dyDescent="0.25">
      <c r="A28" t="s">
        <v>573</v>
      </c>
      <c r="B28" s="5"/>
      <c r="C28" s="5"/>
      <c r="D28" s="5"/>
      <c r="E28" s="5">
        <v>1</v>
      </c>
      <c r="F28" s="5"/>
      <c r="G28" s="5"/>
      <c r="H28" s="5"/>
      <c r="I28" s="5"/>
      <c r="J28" s="5"/>
      <c r="M28" t="s">
        <v>712</v>
      </c>
      <c r="Q28">
        <v>1</v>
      </c>
    </row>
    <row r="29" spans="1:19" x14ac:dyDescent="0.25">
      <c r="A29" t="s">
        <v>585</v>
      </c>
      <c r="B29" s="5"/>
      <c r="C29" s="5"/>
      <c r="D29" s="5"/>
      <c r="E29" s="5">
        <v>1</v>
      </c>
      <c r="F29" s="5"/>
      <c r="G29" s="5"/>
      <c r="H29" s="5"/>
      <c r="I29" s="5"/>
      <c r="J29" s="5"/>
      <c r="M29" t="s">
        <v>608</v>
      </c>
      <c r="N29">
        <v>1</v>
      </c>
    </row>
    <row r="30" spans="1:19" x14ac:dyDescent="0.25">
      <c r="A30" t="s">
        <v>596</v>
      </c>
      <c r="B30" s="5">
        <v>1</v>
      </c>
      <c r="C30" s="5"/>
      <c r="D30" s="5"/>
      <c r="E30" s="5"/>
      <c r="F30" s="5"/>
      <c r="G30" s="5"/>
      <c r="H30" s="5"/>
      <c r="I30" s="5"/>
      <c r="J30" s="5"/>
      <c r="M30" t="s">
        <v>452</v>
      </c>
      <c r="N30">
        <v>1</v>
      </c>
      <c r="O30">
        <v>1</v>
      </c>
      <c r="P30">
        <v>1</v>
      </c>
      <c r="Q30">
        <v>1</v>
      </c>
      <c r="R30">
        <v>1</v>
      </c>
      <c r="S30">
        <v>1</v>
      </c>
    </row>
    <row r="31" spans="1:19" x14ac:dyDescent="0.25">
      <c r="A31" t="s">
        <v>605</v>
      </c>
      <c r="B31" s="5">
        <v>1</v>
      </c>
      <c r="C31" s="5"/>
      <c r="D31" s="5"/>
      <c r="E31" s="5"/>
      <c r="F31" s="5"/>
      <c r="G31" s="5"/>
      <c r="H31" s="5"/>
      <c r="I31" s="5"/>
      <c r="J31" s="5"/>
      <c r="M31" t="s">
        <v>497</v>
      </c>
      <c r="Q31">
        <v>1</v>
      </c>
      <c r="R31">
        <v>1</v>
      </c>
    </row>
    <row r="32" spans="1:19" x14ac:dyDescent="0.25">
      <c r="A32" t="s">
        <v>494</v>
      </c>
      <c r="B32" s="5">
        <v>1</v>
      </c>
      <c r="C32" s="5">
        <v>1</v>
      </c>
      <c r="D32" s="5"/>
      <c r="E32" s="5">
        <v>1</v>
      </c>
      <c r="F32" s="5">
        <v>1</v>
      </c>
      <c r="G32" s="5"/>
      <c r="H32" s="5"/>
      <c r="I32" s="5"/>
      <c r="J32" s="5"/>
      <c r="M32" t="s">
        <v>593</v>
      </c>
      <c r="N32">
        <v>1</v>
      </c>
      <c r="O32">
        <v>1</v>
      </c>
    </row>
    <row r="33" spans="1:19" x14ac:dyDescent="0.25">
      <c r="A33" t="s">
        <v>638</v>
      </c>
      <c r="B33" s="5">
        <v>2</v>
      </c>
      <c r="C33" s="5">
        <v>2</v>
      </c>
      <c r="D33" s="5"/>
      <c r="E33" s="5">
        <v>2</v>
      </c>
      <c r="F33" s="5">
        <v>2</v>
      </c>
      <c r="G33" s="5"/>
      <c r="H33" s="5"/>
      <c r="I33" s="5"/>
      <c r="J33" s="5"/>
      <c r="M33" t="s">
        <v>601</v>
      </c>
      <c r="N33">
        <v>1</v>
      </c>
    </row>
    <row r="34" spans="1:19" x14ac:dyDescent="0.25">
      <c r="A34" t="s">
        <v>695</v>
      </c>
      <c r="B34" s="5">
        <v>2</v>
      </c>
      <c r="C34" s="5">
        <v>1</v>
      </c>
      <c r="D34" s="5"/>
      <c r="E34" s="5">
        <v>2</v>
      </c>
      <c r="F34" s="5">
        <v>1</v>
      </c>
      <c r="G34" s="5"/>
      <c r="H34" s="5"/>
      <c r="I34" s="5"/>
      <c r="J34" s="5"/>
      <c r="M34" t="s">
        <v>611</v>
      </c>
      <c r="Q34">
        <v>1</v>
      </c>
    </row>
    <row r="35" spans="1:19" x14ac:dyDescent="0.25">
      <c r="A35" t="s">
        <v>600</v>
      </c>
      <c r="B35" s="5"/>
      <c r="C35" s="5"/>
      <c r="D35" s="5"/>
      <c r="E35" s="5">
        <v>1</v>
      </c>
      <c r="F35" s="5">
        <v>1</v>
      </c>
      <c r="G35" s="5"/>
      <c r="H35" s="5"/>
      <c r="I35" s="5"/>
      <c r="J35" s="5"/>
      <c r="M35" t="s">
        <v>618</v>
      </c>
      <c r="Q35">
        <v>1</v>
      </c>
    </row>
    <row r="36" spans="1:19" x14ac:dyDescent="0.25">
      <c r="A36" t="s">
        <v>607</v>
      </c>
      <c r="B36" s="5">
        <v>1</v>
      </c>
      <c r="C36" s="5">
        <v>1</v>
      </c>
      <c r="D36" s="5"/>
      <c r="E36" s="5"/>
      <c r="F36" s="5"/>
      <c r="G36" s="5"/>
      <c r="H36" s="5"/>
      <c r="I36" s="5"/>
      <c r="J36" s="5"/>
      <c r="M36" t="s">
        <v>92</v>
      </c>
      <c r="Q36">
        <v>1</v>
      </c>
      <c r="R36">
        <v>1</v>
      </c>
      <c r="S36">
        <v>1</v>
      </c>
    </row>
    <row r="37" spans="1:19" x14ac:dyDescent="0.25">
      <c r="A37" t="s">
        <v>174</v>
      </c>
      <c r="B37" s="5">
        <v>1</v>
      </c>
      <c r="C37" s="5">
        <v>1</v>
      </c>
      <c r="D37" s="5">
        <v>1</v>
      </c>
      <c r="E37" s="5"/>
      <c r="F37" s="5"/>
      <c r="G37" s="5"/>
      <c r="H37" s="5"/>
      <c r="I37" s="5"/>
      <c r="J37" s="5"/>
      <c r="M37" t="s">
        <v>107</v>
      </c>
      <c r="N37">
        <v>1</v>
      </c>
      <c r="O37">
        <v>1</v>
      </c>
      <c r="P37">
        <v>1</v>
      </c>
    </row>
    <row r="38" spans="1:19" x14ac:dyDescent="0.25">
      <c r="A38" t="s">
        <v>167</v>
      </c>
      <c r="B38" s="5"/>
      <c r="C38" s="5"/>
      <c r="D38" s="5"/>
      <c r="E38" s="5">
        <v>1</v>
      </c>
      <c r="F38" s="5">
        <v>1</v>
      </c>
      <c r="G38" s="5">
        <v>1</v>
      </c>
      <c r="H38" s="5"/>
      <c r="I38" s="5"/>
      <c r="J38" s="5"/>
      <c r="M38" t="s">
        <v>97</v>
      </c>
      <c r="Q38">
        <v>1</v>
      </c>
      <c r="R38">
        <v>1</v>
      </c>
      <c r="S38">
        <v>1</v>
      </c>
    </row>
    <row r="39" spans="1:19" x14ac:dyDescent="0.25">
      <c r="A39" t="s">
        <v>180</v>
      </c>
      <c r="B39" s="5">
        <v>1</v>
      </c>
      <c r="C39" s="5">
        <v>1</v>
      </c>
      <c r="D39" s="5">
        <v>1</v>
      </c>
      <c r="E39" s="5"/>
      <c r="F39" s="5"/>
      <c r="G39" s="5"/>
      <c r="H39" s="5"/>
      <c r="I39" s="5"/>
      <c r="J39" s="5"/>
      <c r="M39" t="s">
        <v>104</v>
      </c>
      <c r="Q39">
        <v>1</v>
      </c>
      <c r="R39">
        <v>1</v>
      </c>
      <c r="S39">
        <v>1</v>
      </c>
    </row>
    <row r="40" spans="1:19" x14ac:dyDescent="0.25">
      <c r="A40" t="s">
        <v>451</v>
      </c>
      <c r="B40" s="5"/>
      <c r="C40" s="5"/>
      <c r="D40" s="5"/>
      <c r="E40" s="5">
        <v>1</v>
      </c>
      <c r="F40" s="5">
        <v>1</v>
      </c>
      <c r="G40" s="5"/>
      <c r="H40" s="5"/>
      <c r="I40" s="5"/>
      <c r="J40" s="5"/>
      <c r="M40" t="s">
        <v>103</v>
      </c>
      <c r="N40">
        <v>1</v>
      </c>
      <c r="O40">
        <v>1</v>
      </c>
      <c r="P40">
        <v>1</v>
      </c>
    </row>
    <row r="41" spans="1:19" x14ac:dyDescent="0.25">
      <c r="A41" t="s">
        <v>706</v>
      </c>
      <c r="B41" s="5">
        <v>1</v>
      </c>
      <c r="C41" s="5"/>
      <c r="D41" s="5"/>
      <c r="E41" s="5"/>
      <c r="F41" s="5"/>
      <c r="G41" s="5"/>
      <c r="H41" s="5"/>
      <c r="I41" s="5"/>
      <c r="J41" s="5"/>
      <c r="M41" t="s">
        <v>108</v>
      </c>
      <c r="Q41">
        <v>1</v>
      </c>
      <c r="R41">
        <v>1</v>
      </c>
      <c r="S41">
        <v>1</v>
      </c>
    </row>
    <row r="42" spans="1:19" x14ac:dyDescent="0.25">
      <c r="A42" t="s">
        <v>610</v>
      </c>
      <c r="B42" s="5">
        <v>1</v>
      </c>
      <c r="C42" s="5"/>
      <c r="D42" s="5"/>
      <c r="E42" s="5"/>
      <c r="F42" s="5"/>
      <c r="G42" s="5"/>
      <c r="H42" s="5"/>
      <c r="I42" s="5"/>
      <c r="J42" s="5"/>
      <c r="M42" t="s">
        <v>125</v>
      </c>
      <c r="N42">
        <v>1</v>
      </c>
      <c r="O42">
        <v>1</v>
      </c>
      <c r="P42">
        <v>1</v>
      </c>
    </row>
    <row r="43" spans="1:19" x14ac:dyDescent="0.25">
      <c r="A43" t="s">
        <v>712</v>
      </c>
      <c r="B43" s="5"/>
      <c r="C43" s="5"/>
      <c r="D43" s="5"/>
      <c r="E43" s="5">
        <v>1</v>
      </c>
      <c r="F43" s="5"/>
      <c r="G43" s="5"/>
      <c r="H43" s="5"/>
      <c r="I43" s="5"/>
      <c r="J43" s="5"/>
      <c r="M43" t="s">
        <v>145</v>
      </c>
      <c r="Q43">
        <v>1</v>
      </c>
      <c r="R43">
        <v>1</v>
      </c>
      <c r="S43">
        <v>1</v>
      </c>
    </row>
    <row r="44" spans="1:19" x14ac:dyDescent="0.25">
      <c r="A44" t="s">
        <v>617</v>
      </c>
      <c r="B44" s="5">
        <v>1</v>
      </c>
      <c r="C44" s="5"/>
      <c r="D44" s="5"/>
      <c r="E44" s="5"/>
      <c r="F44" s="5"/>
      <c r="G44" s="5"/>
      <c r="H44" s="5"/>
      <c r="I44" s="5"/>
      <c r="J44" s="5"/>
      <c r="M44" t="s">
        <v>139</v>
      </c>
      <c r="N44">
        <v>1</v>
      </c>
      <c r="O44">
        <v>1</v>
      </c>
      <c r="P44">
        <v>1</v>
      </c>
    </row>
    <row r="45" spans="1:19" x14ac:dyDescent="0.25">
      <c r="A45" t="s">
        <v>608</v>
      </c>
      <c r="B45" s="5">
        <v>1</v>
      </c>
      <c r="C45" s="5"/>
      <c r="D45" s="5"/>
      <c r="E45" s="5"/>
      <c r="F45" s="5"/>
      <c r="G45" s="5"/>
      <c r="H45" s="5"/>
      <c r="I45" s="5"/>
      <c r="J45" s="5"/>
      <c r="M45" t="s">
        <v>130</v>
      </c>
      <c r="N45">
        <v>1</v>
      </c>
      <c r="O45">
        <v>1</v>
      </c>
      <c r="P45">
        <v>1</v>
      </c>
    </row>
    <row r="46" spans="1:19" x14ac:dyDescent="0.25">
      <c r="A46" t="s">
        <v>580</v>
      </c>
      <c r="B46" s="5">
        <v>1</v>
      </c>
      <c r="C46" s="5">
        <v>1</v>
      </c>
      <c r="D46" s="5">
        <v>1</v>
      </c>
      <c r="E46" s="5">
        <v>1</v>
      </c>
      <c r="F46" s="5">
        <v>1</v>
      </c>
      <c r="G46" s="5">
        <v>1</v>
      </c>
      <c r="H46" s="5"/>
      <c r="I46" s="5"/>
      <c r="J46" s="5"/>
      <c r="M46" t="s">
        <v>126</v>
      </c>
      <c r="Q46">
        <v>1</v>
      </c>
      <c r="R46">
        <v>1</v>
      </c>
      <c r="S46">
        <v>1</v>
      </c>
    </row>
    <row r="47" spans="1:19" x14ac:dyDescent="0.25">
      <c r="A47" t="s">
        <v>452</v>
      </c>
      <c r="B47" s="5">
        <v>1</v>
      </c>
      <c r="C47" s="5">
        <v>1</v>
      </c>
      <c r="D47" s="5">
        <v>1</v>
      </c>
      <c r="E47" s="5">
        <v>1</v>
      </c>
      <c r="F47" s="5">
        <v>1</v>
      </c>
      <c r="G47" s="5">
        <v>1</v>
      </c>
      <c r="H47" s="5"/>
      <c r="I47" s="5"/>
      <c r="J47" s="5"/>
      <c r="M47" t="s">
        <v>134</v>
      </c>
      <c r="Q47">
        <v>1</v>
      </c>
      <c r="R47">
        <v>1</v>
      </c>
      <c r="S47">
        <v>1</v>
      </c>
    </row>
    <row r="48" spans="1:19" x14ac:dyDescent="0.25">
      <c r="A48" t="s">
        <v>497</v>
      </c>
      <c r="B48" s="5"/>
      <c r="C48" s="5"/>
      <c r="D48" s="5"/>
      <c r="E48" s="5">
        <v>1</v>
      </c>
      <c r="F48" s="5">
        <v>1</v>
      </c>
      <c r="G48" s="5"/>
      <c r="H48" s="5"/>
      <c r="I48" s="5"/>
      <c r="J48" s="5"/>
      <c r="M48" t="s">
        <v>150</v>
      </c>
      <c r="N48">
        <v>1</v>
      </c>
      <c r="O48">
        <v>1</v>
      </c>
      <c r="P48">
        <v>1</v>
      </c>
      <c r="Q48">
        <v>1</v>
      </c>
      <c r="R48">
        <v>1</v>
      </c>
      <c r="S48">
        <v>1</v>
      </c>
    </row>
    <row r="49" spans="1:19" x14ac:dyDescent="0.25">
      <c r="A49" t="s">
        <v>593</v>
      </c>
      <c r="B49" s="5">
        <v>1</v>
      </c>
      <c r="C49" s="5">
        <v>1</v>
      </c>
      <c r="D49" s="5"/>
      <c r="E49" s="5"/>
      <c r="F49" s="5"/>
      <c r="G49" s="5"/>
      <c r="H49" s="5"/>
      <c r="I49" s="5"/>
      <c r="J49" s="5"/>
      <c r="M49" t="s">
        <v>146</v>
      </c>
      <c r="N49">
        <v>1</v>
      </c>
      <c r="O49">
        <v>1</v>
      </c>
      <c r="P49">
        <v>1</v>
      </c>
    </row>
    <row r="50" spans="1:19" x14ac:dyDescent="0.25">
      <c r="A50" t="s">
        <v>601</v>
      </c>
      <c r="B50" s="5">
        <v>1</v>
      </c>
      <c r="C50" s="5"/>
      <c r="D50" s="5"/>
      <c r="E50" s="5"/>
      <c r="F50" s="5"/>
      <c r="G50" s="5"/>
      <c r="H50" s="5"/>
      <c r="I50" s="5"/>
      <c r="J50" s="5"/>
      <c r="M50" t="s">
        <v>96</v>
      </c>
      <c r="Q50">
        <v>1</v>
      </c>
      <c r="R50">
        <v>1</v>
      </c>
      <c r="S50">
        <v>1</v>
      </c>
    </row>
    <row r="51" spans="1:19" x14ac:dyDescent="0.25">
      <c r="A51" t="s">
        <v>611</v>
      </c>
      <c r="B51" s="5"/>
      <c r="C51" s="5"/>
      <c r="D51" s="5"/>
      <c r="E51" s="5">
        <v>1</v>
      </c>
      <c r="F51" s="5"/>
      <c r="G51" s="5"/>
      <c r="H51" s="5"/>
      <c r="I51" s="5"/>
      <c r="J51" s="5"/>
      <c r="M51" t="s">
        <v>90</v>
      </c>
      <c r="Q51">
        <v>1</v>
      </c>
      <c r="R51">
        <v>1</v>
      </c>
      <c r="S51">
        <v>1</v>
      </c>
    </row>
    <row r="52" spans="1:19" x14ac:dyDescent="0.25">
      <c r="A52" t="s">
        <v>618</v>
      </c>
      <c r="B52" s="5"/>
      <c r="C52" s="5"/>
      <c r="D52" s="5"/>
      <c r="E52" s="5">
        <v>1</v>
      </c>
      <c r="F52" s="5"/>
      <c r="G52" s="5"/>
      <c r="H52" s="5"/>
      <c r="I52" s="5"/>
      <c r="J52" s="5"/>
      <c r="M52" t="s">
        <v>109</v>
      </c>
      <c r="N52">
        <v>1</v>
      </c>
      <c r="O52">
        <v>1</v>
      </c>
      <c r="P52">
        <v>1</v>
      </c>
    </row>
    <row r="53" spans="1:19" x14ac:dyDescent="0.25">
      <c r="A53" t="s">
        <v>92</v>
      </c>
      <c r="B53" s="5"/>
      <c r="C53" s="5"/>
      <c r="D53" s="5"/>
      <c r="E53" s="5">
        <v>1</v>
      </c>
      <c r="F53" s="5">
        <v>1</v>
      </c>
      <c r="G53" s="5">
        <v>1</v>
      </c>
      <c r="H53" s="5"/>
      <c r="I53" s="5"/>
      <c r="J53" s="5"/>
      <c r="M53" t="s">
        <v>116</v>
      </c>
      <c r="Q53">
        <v>1</v>
      </c>
      <c r="R53">
        <v>1</v>
      </c>
      <c r="S53">
        <v>1</v>
      </c>
    </row>
    <row r="54" spans="1:19" x14ac:dyDescent="0.25">
      <c r="A54" t="s">
        <v>107</v>
      </c>
      <c r="B54" s="5">
        <v>1</v>
      </c>
      <c r="C54" s="5">
        <v>1</v>
      </c>
      <c r="D54" s="5">
        <v>1</v>
      </c>
      <c r="E54" s="5"/>
      <c r="F54" s="5"/>
      <c r="G54" s="5"/>
      <c r="H54" s="5"/>
      <c r="I54" s="5"/>
      <c r="J54" s="5"/>
      <c r="M54" t="s">
        <v>95</v>
      </c>
      <c r="N54">
        <v>1</v>
      </c>
      <c r="O54">
        <v>1</v>
      </c>
      <c r="P54">
        <v>1</v>
      </c>
    </row>
    <row r="55" spans="1:19" x14ac:dyDescent="0.25">
      <c r="A55" t="s">
        <v>97</v>
      </c>
      <c r="B55" s="5"/>
      <c r="C55" s="5"/>
      <c r="D55" s="5"/>
      <c r="E55" s="5">
        <v>1</v>
      </c>
      <c r="F55" s="5">
        <v>1</v>
      </c>
      <c r="G55" s="5">
        <v>1</v>
      </c>
      <c r="H55" s="5"/>
      <c r="I55" s="5"/>
      <c r="J55" s="5"/>
      <c r="M55" t="s">
        <v>135</v>
      </c>
      <c r="N55">
        <v>1</v>
      </c>
      <c r="O55">
        <v>1</v>
      </c>
      <c r="P55">
        <v>1</v>
      </c>
    </row>
    <row r="56" spans="1:19" x14ac:dyDescent="0.25">
      <c r="A56" t="s">
        <v>104</v>
      </c>
      <c r="B56" s="5"/>
      <c r="C56" s="5"/>
      <c r="D56" s="5"/>
      <c r="E56" s="5">
        <v>1</v>
      </c>
      <c r="F56" s="5">
        <v>1</v>
      </c>
      <c r="G56" s="5">
        <v>1</v>
      </c>
      <c r="H56" s="5"/>
      <c r="I56" s="5"/>
      <c r="J56" s="5"/>
      <c r="M56" t="s">
        <v>132</v>
      </c>
      <c r="Q56">
        <v>1</v>
      </c>
      <c r="R56">
        <v>1</v>
      </c>
      <c r="S56">
        <v>1</v>
      </c>
    </row>
    <row r="57" spans="1:19" x14ac:dyDescent="0.25">
      <c r="A57" t="s">
        <v>103</v>
      </c>
      <c r="B57" s="5">
        <v>1</v>
      </c>
      <c r="C57" s="5">
        <v>1</v>
      </c>
      <c r="D57" s="5">
        <v>1</v>
      </c>
      <c r="E57" s="5"/>
      <c r="F57" s="5"/>
      <c r="G57" s="5"/>
      <c r="H57" s="5"/>
      <c r="I57" s="5"/>
      <c r="J57" s="5"/>
      <c r="M57" t="s">
        <v>124</v>
      </c>
      <c r="Q57">
        <v>1</v>
      </c>
      <c r="R57">
        <v>1</v>
      </c>
      <c r="S57">
        <v>1</v>
      </c>
    </row>
    <row r="58" spans="1:19" x14ac:dyDescent="0.25">
      <c r="A58" t="s">
        <v>108</v>
      </c>
      <c r="B58" s="5"/>
      <c r="C58" s="5"/>
      <c r="D58" s="5"/>
      <c r="E58" s="5">
        <v>1</v>
      </c>
      <c r="F58" s="5">
        <v>1</v>
      </c>
      <c r="G58" s="5">
        <v>1</v>
      </c>
      <c r="H58" s="5"/>
      <c r="I58" s="5"/>
      <c r="J58" s="5"/>
      <c r="M58" t="s">
        <v>127</v>
      </c>
      <c r="N58">
        <v>1</v>
      </c>
      <c r="O58">
        <v>1</v>
      </c>
      <c r="P58">
        <v>1</v>
      </c>
    </row>
    <row r="59" spans="1:19" x14ac:dyDescent="0.25">
      <c r="A59" t="s">
        <v>125</v>
      </c>
      <c r="B59" s="5">
        <v>1</v>
      </c>
      <c r="C59" s="5">
        <v>1</v>
      </c>
      <c r="D59" s="5">
        <v>1</v>
      </c>
      <c r="E59" s="5"/>
      <c r="F59" s="5"/>
      <c r="G59" s="5"/>
      <c r="H59" s="5"/>
      <c r="I59" s="5"/>
      <c r="J59" s="5"/>
      <c r="M59" t="s">
        <v>147</v>
      </c>
      <c r="Q59">
        <v>1</v>
      </c>
      <c r="R59">
        <v>1</v>
      </c>
      <c r="S59">
        <v>1</v>
      </c>
    </row>
    <row r="60" spans="1:19" x14ac:dyDescent="0.25">
      <c r="A60" t="s">
        <v>145</v>
      </c>
      <c r="B60" s="5"/>
      <c r="C60" s="5"/>
      <c r="D60" s="5"/>
      <c r="E60" s="5">
        <v>1</v>
      </c>
      <c r="F60" s="5">
        <v>1</v>
      </c>
      <c r="G60" s="5">
        <v>1</v>
      </c>
      <c r="H60" s="5"/>
      <c r="I60" s="5"/>
      <c r="J60" s="5"/>
      <c r="M60" t="s">
        <v>131</v>
      </c>
      <c r="N60">
        <v>1</v>
      </c>
      <c r="O60">
        <v>1</v>
      </c>
      <c r="P60">
        <v>1</v>
      </c>
    </row>
    <row r="61" spans="1:19" x14ac:dyDescent="0.25">
      <c r="A61" t="s">
        <v>139</v>
      </c>
      <c r="B61" s="5">
        <v>1</v>
      </c>
      <c r="C61" s="5">
        <v>1</v>
      </c>
      <c r="D61" s="5">
        <v>1</v>
      </c>
      <c r="E61" s="5"/>
      <c r="F61" s="5"/>
      <c r="G61" s="5"/>
      <c r="H61" s="5"/>
      <c r="I61" s="5"/>
      <c r="J61" s="5"/>
      <c r="M61" t="s">
        <v>152</v>
      </c>
      <c r="N61">
        <v>1</v>
      </c>
      <c r="O61">
        <v>1</v>
      </c>
      <c r="P61">
        <v>1</v>
      </c>
      <c r="Q61">
        <v>1</v>
      </c>
      <c r="R61">
        <v>1</v>
      </c>
      <c r="S61">
        <v>1</v>
      </c>
    </row>
    <row r="62" spans="1:19" x14ac:dyDescent="0.25">
      <c r="A62" t="s">
        <v>130</v>
      </c>
      <c r="B62" s="5">
        <v>1</v>
      </c>
      <c r="C62" s="5">
        <v>1</v>
      </c>
      <c r="D62" s="5">
        <v>1</v>
      </c>
      <c r="E62" s="5"/>
      <c r="F62" s="5"/>
      <c r="G62" s="5"/>
      <c r="H62" s="5"/>
      <c r="I62" s="5"/>
      <c r="J62" s="5"/>
      <c r="M62" t="s">
        <v>151</v>
      </c>
      <c r="N62">
        <v>1</v>
      </c>
      <c r="O62">
        <v>1</v>
      </c>
      <c r="P62">
        <v>1</v>
      </c>
      <c r="Q62">
        <v>1</v>
      </c>
      <c r="R62">
        <v>1</v>
      </c>
      <c r="S62">
        <v>1</v>
      </c>
    </row>
    <row r="63" spans="1:19" x14ac:dyDescent="0.25">
      <c r="A63" t="s">
        <v>126</v>
      </c>
      <c r="B63" s="5"/>
      <c r="C63" s="5"/>
      <c r="D63" s="5"/>
      <c r="E63" s="5">
        <v>1</v>
      </c>
      <c r="F63" s="5">
        <v>1</v>
      </c>
      <c r="G63" s="5">
        <v>1</v>
      </c>
      <c r="H63" s="5"/>
      <c r="I63" s="5"/>
      <c r="J63" s="5"/>
      <c r="M63" t="s">
        <v>1218</v>
      </c>
      <c r="N63">
        <v>1</v>
      </c>
      <c r="O63">
        <v>1</v>
      </c>
    </row>
    <row r="64" spans="1:19" x14ac:dyDescent="0.25">
      <c r="A64" t="s">
        <v>134</v>
      </c>
      <c r="B64" s="5"/>
      <c r="C64" s="5"/>
      <c r="D64" s="5"/>
      <c r="E64" s="5">
        <v>1</v>
      </c>
      <c r="F64" s="5">
        <v>1</v>
      </c>
      <c r="G64" s="5">
        <v>1</v>
      </c>
      <c r="H64" s="5"/>
      <c r="I64" s="5"/>
      <c r="J64" s="5"/>
      <c r="M64" t="s">
        <v>1214</v>
      </c>
      <c r="Q64">
        <v>1</v>
      </c>
      <c r="R64">
        <v>1</v>
      </c>
    </row>
    <row r="65" spans="1:18" x14ac:dyDescent="0.25">
      <c r="A65" t="s">
        <v>150</v>
      </c>
      <c r="B65" s="5">
        <v>1</v>
      </c>
      <c r="C65" s="5">
        <v>1</v>
      </c>
      <c r="D65" s="5">
        <v>1</v>
      </c>
      <c r="E65" s="5">
        <v>1</v>
      </c>
      <c r="F65" s="5">
        <v>1</v>
      </c>
      <c r="G65" s="5">
        <v>1</v>
      </c>
      <c r="H65" s="5"/>
      <c r="I65" s="5"/>
      <c r="J65" s="5"/>
      <c r="M65" t="s">
        <v>1227</v>
      </c>
      <c r="N65">
        <v>1</v>
      </c>
      <c r="O65">
        <v>1</v>
      </c>
    </row>
    <row r="66" spans="1:18" x14ac:dyDescent="0.25">
      <c r="A66" t="s">
        <v>146</v>
      </c>
      <c r="B66" s="5">
        <v>1</v>
      </c>
      <c r="C66" s="5">
        <v>1</v>
      </c>
      <c r="D66" s="5">
        <v>1</v>
      </c>
      <c r="E66" s="5"/>
      <c r="F66" s="5"/>
      <c r="G66" s="5"/>
      <c r="H66" s="5"/>
      <c r="I66" s="5"/>
      <c r="J66" s="5"/>
      <c r="M66" t="s">
        <v>1228</v>
      </c>
      <c r="Q66">
        <v>1</v>
      </c>
      <c r="R66">
        <v>1</v>
      </c>
    </row>
    <row r="67" spans="1:18" x14ac:dyDescent="0.25">
      <c r="A67" t="s">
        <v>96</v>
      </c>
      <c r="B67" s="5"/>
      <c r="C67" s="5"/>
      <c r="D67" s="5"/>
      <c r="E67" s="5">
        <v>1</v>
      </c>
      <c r="F67" s="5">
        <v>1</v>
      </c>
      <c r="G67" s="5">
        <v>1</v>
      </c>
      <c r="H67" s="5"/>
      <c r="I67" s="5"/>
      <c r="J67" s="5"/>
      <c r="M67" t="s">
        <v>1230</v>
      </c>
      <c r="Q67">
        <v>1</v>
      </c>
      <c r="R67">
        <v>1</v>
      </c>
    </row>
    <row r="68" spans="1:18" x14ac:dyDescent="0.25">
      <c r="A68" t="s">
        <v>90</v>
      </c>
      <c r="B68" s="5"/>
      <c r="C68" s="5"/>
      <c r="D68" s="5"/>
      <c r="E68" s="5">
        <v>1</v>
      </c>
      <c r="F68" s="5">
        <v>1</v>
      </c>
      <c r="G68" s="5">
        <v>1</v>
      </c>
      <c r="H68" s="5"/>
      <c r="I68" s="5"/>
      <c r="J68" s="5"/>
      <c r="M68" t="s">
        <v>188</v>
      </c>
      <c r="N68">
        <v>1</v>
      </c>
      <c r="O68">
        <v>1</v>
      </c>
    </row>
    <row r="69" spans="1:18" x14ac:dyDescent="0.25">
      <c r="A69" t="s">
        <v>109</v>
      </c>
      <c r="B69" s="5">
        <v>1</v>
      </c>
      <c r="C69" s="5">
        <v>1</v>
      </c>
      <c r="D69" s="5">
        <v>1</v>
      </c>
      <c r="E69" s="5"/>
      <c r="F69" s="5"/>
      <c r="G69" s="5"/>
      <c r="H69" s="5"/>
      <c r="I69" s="5"/>
      <c r="J69" s="5"/>
      <c r="M69" t="s">
        <v>1248</v>
      </c>
      <c r="N69">
        <v>1</v>
      </c>
      <c r="O69">
        <v>1</v>
      </c>
    </row>
    <row r="70" spans="1:18" x14ac:dyDescent="0.25">
      <c r="A70" t="s">
        <v>116</v>
      </c>
      <c r="B70" s="5"/>
      <c r="C70" s="5"/>
      <c r="D70" s="5"/>
      <c r="E70" s="5">
        <v>1</v>
      </c>
      <c r="F70" s="5">
        <v>1</v>
      </c>
      <c r="G70" s="5">
        <v>1</v>
      </c>
      <c r="H70" s="5"/>
      <c r="I70" s="5"/>
      <c r="J70" s="5"/>
      <c r="M70" t="s">
        <v>546</v>
      </c>
      <c r="N70">
        <v>1</v>
      </c>
    </row>
    <row r="71" spans="1:18" x14ac:dyDescent="0.25">
      <c r="A71" t="s">
        <v>95</v>
      </c>
      <c r="B71" s="5">
        <v>1</v>
      </c>
      <c r="C71" s="5">
        <v>1</v>
      </c>
      <c r="D71" s="5">
        <v>1</v>
      </c>
      <c r="E71" s="5"/>
      <c r="F71" s="5"/>
      <c r="G71" s="5"/>
      <c r="H71" s="5"/>
      <c r="I71" s="5"/>
      <c r="J71" s="5"/>
      <c r="M71" t="s">
        <v>485</v>
      </c>
      <c r="Q71">
        <v>1</v>
      </c>
      <c r="R71">
        <v>1</v>
      </c>
    </row>
    <row r="72" spans="1:18" x14ac:dyDescent="0.25">
      <c r="A72" t="s">
        <v>135</v>
      </c>
      <c r="B72" s="5">
        <v>1</v>
      </c>
      <c r="C72" s="5">
        <v>1</v>
      </c>
      <c r="D72" s="5">
        <v>1</v>
      </c>
      <c r="E72" s="5"/>
      <c r="F72" s="5"/>
      <c r="G72" s="5"/>
      <c r="H72" s="5"/>
      <c r="I72" s="5"/>
      <c r="J72" s="5"/>
      <c r="M72" t="s">
        <v>466</v>
      </c>
      <c r="N72">
        <v>1</v>
      </c>
      <c r="O72">
        <v>1</v>
      </c>
    </row>
    <row r="73" spans="1:18" x14ac:dyDescent="0.25">
      <c r="A73" t="s">
        <v>132</v>
      </c>
      <c r="B73" s="5"/>
      <c r="C73" s="5"/>
      <c r="D73" s="5"/>
      <c r="E73" s="5">
        <v>1</v>
      </c>
      <c r="F73" s="5">
        <v>1</v>
      </c>
      <c r="G73" s="5">
        <v>1</v>
      </c>
      <c r="H73" s="5"/>
      <c r="I73" s="5"/>
      <c r="J73" s="5"/>
      <c r="M73" t="s">
        <v>487</v>
      </c>
      <c r="Q73">
        <v>1</v>
      </c>
      <c r="R73">
        <v>1</v>
      </c>
    </row>
    <row r="74" spans="1:18" x14ac:dyDescent="0.25">
      <c r="A74" t="s">
        <v>124</v>
      </c>
      <c r="B74" s="5"/>
      <c r="C74" s="5"/>
      <c r="D74" s="5"/>
      <c r="E74" s="5">
        <v>1</v>
      </c>
      <c r="F74" s="5">
        <v>1</v>
      </c>
      <c r="G74" s="5">
        <v>1</v>
      </c>
      <c r="H74" s="5"/>
      <c r="I74" s="5"/>
      <c r="J74" s="5"/>
      <c r="M74" t="s">
        <v>461</v>
      </c>
      <c r="N74">
        <v>1</v>
      </c>
      <c r="O74">
        <v>1</v>
      </c>
    </row>
    <row r="75" spans="1:18" x14ac:dyDescent="0.25">
      <c r="A75" t="s">
        <v>127</v>
      </c>
      <c r="B75" s="5">
        <v>1</v>
      </c>
      <c r="C75" s="5">
        <v>1</v>
      </c>
      <c r="D75" s="5">
        <v>1</v>
      </c>
      <c r="E75" s="5"/>
      <c r="F75" s="5"/>
      <c r="G75" s="5"/>
      <c r="H75" s="5"/>
      <c r="I75" s="5"/>
      <c r="J75" s="5"/>
      <c r="M75" t="s">
        <v>483</v>
      </c>
      <c r="Q75">
        <v>1</v>
      </c>
      <c r="R75">
        <v>1</v>
      </c>
    </row>
    <row r="76" spans="1:18" x14ac:dyDescent="0.25">
      <c r="A76" t="s">
        <v>147</v>
      </c>
      <c r="B76" s="5"/>
      <c r="C76" s="5"/>
      <c r="D76" s="5"/>
      <c r="E76" s="5">
        <v>1</v>
      </c>
      <c r="F76" s="5">
        <v>1</v>
      </c>
      <c r="G76" s="5">
        <v>1</v>
      </c>
      <c r="H76" s="5"/>
      <c r="I76" s="5"/>
      <c r="J76" s="5"/>
      <c r="M76" t="s">
        <v>465</v>
      </c>
      <c r="N76">
        <v>1</v>
      </c>
      <c r="O76">
        <v>1</v>
      </c>
    </row>
    <row r="77" spans="1:18" x14ac:dyDescent="0.25">
      <c r="A77" t="s">
        <v>131</v>
      </c>
      <c r="B77" s="5">
        <v>1</v>
      </c>
      <c r="C77" s="5">
        <v>1</v>
      </c>
      <c r="D77" s="5">
        <v>1</v>
      </c>
      <c r="E77" s="5"/>
      <c r="F77" s="5"/>
      <c r="G77" s="5"/>
      <c r="H77" s="5"/>
      <c r="I77" s="5"/>
      <c r="J77" s="5"/>
      <c r="M77" t="s">
        <v>486</v>
      </c>
      <c r="Q77">
        <v>1</v>
      </c>
      <c r="R77">
        <v>1</v>
      </c>
    </row>
    <row r="78" spans="1:18" x14ac:dyDescent="0.25">
      <c r="A78" t="s">
        <v>152</v>
      </c>
      <c r="B78" s="5">
        <v>1</v>
      </c>
      <c r="C78" s="5">
        <v>1</v>
      </c>
      <c r="D78" s="5">
        <v>1</v>
      </c>
      <c r="E78" s="5">
        <v>1</v>
      </c>
      <c r="F78" s="5">
        <v>1</v>
      </c>
      <c r="G78" s="5">
        <v>1</v>
      </c>
      <c r="H78" s="5"/>
      <c r="I78" s="5"/>
      <c r="J78" s="5"/>
      <c r="M78" t="s">
        <v>484</v>
      </c>
      <c r="Q78">
        <v>1</v>
      </c>
      <c r="R78">
        <v>1</v>
      </c>
    </row>
    <row r="79" spans="1:18" x14ac:dyDescent="0.25">
      <c r="A79" t="s">
        <v>151</v>
      </c>
      <c r="B79" s="5">
        <v>1</v>
      </c>
      <c r="C79" s="5">
        <v>1</v>
      </c>
      <c r="D79" s="5">
        <v>1</v>
      </c>
      <c r="E79" s="5">
        <v>1</v>
      </c>
      <c r="F79" s="5">
        <v>1</v>
      </c>
      <c r="G79" s="5">
        <v>1</v>
      </c>
      <c r="H79" s="5"/>
      <c r="I79" s="5"/>
      <c r="J79" s="5"/>
      <c r="M79" t="s">
        <v>464</v>
      </c>
      <c r="N79">
        <v>1</v>
      </c>
      <c r="O79">
        <v>1</v>
      </c>
    </row>
    <row r="80" spans="1:18" x14ac:dyDescent="0.25">
      <c r="A80" t="s">
        <v>381</v>
      </c>
      <c r="B80" s="5"/>
      <c r="C80" s="5"/>
      <c r="D80" s="5"/>
      <c r="E80" s="5">
        <v>1</v>
      </c>
      <c r="F80" s="5">
        <v>1</v>
      </c>
      <c r="G80" s="5"/>
      <c r="H80" s="5"/>
      <c r="I80" s="5"/>
      <c r="J80" s="5"/>
      <c r="M80" t="s">
        <v>463</v>
      </c>
      <c r="N80">
        <v>1</v>
      </c>
      <c r="O80">
        <v>1</v>
      </c>
    </row>
    <row r="81" spans="1:19" x14ac:dyDescent="0.25">
      <c r="A81" t="s">
        <v>391</v>
      </c>
      <c r="B81" s="5"/>
      <c r="C81" s="5"/>
      <c r="D81" s="5"/>
      <c r="E81" s="5">
        <v>1</v>
      </c>
      <c r="F81" s="5">
        <v>1</v>
      </c>
      <c r="G81" s="5"/>
      <c r="H81" s="5"/>
      <c r="I81" s="5"/>
      <c r="J81" s="5"/>
      <c r="M81" t="s">
        <v>477</v>
      </c>
      <c r="N81">
        <v>1</v>
      </c>
      <c r="O81">
        <v>1</v>
      </c>
    </row>
    <row r="82" spans="1:19" x14ac:dyDescent="0.25">
      <c r="A82" t="s">
        <v>188</v>
      </c>
      <c r="B82" s="5">
        <v>1</v>
      </c>
      <c r="C82" s="5">
        <v>1</v>
      </c>
      <c r="D82" s="5"/>
      <c r="E82" s="5"/>
      <c r="F82" s="5"/>
      <c r="G82" s="5"/>
      <c r="H82" s="5"/>
      <c r="I82" s="5"/>
      <c r="J82" s="5"/>
      <c r="M82" t="s">
        <v>488</v>
      </c>
      <c r="Q82">
        <v>1</v>
      </c>
      <c r="R82">
        <v>1</v>
      </c>
    </row>
    <row r="83" spans="1:19" x14ac:dyDescent="0.25">
      <c r="A83" t="s">
        <v>546</v>
      </c>
      <c r="B83" s="5">
        <v>1</v>
      </c>
      <c r="C83" s="5"/>
      <c r="D83" s="5"/>
      <c r="E83" s="5"/>
      <c r="F83" s="5"/>
      <c r="G83" s="5"/>
      <c r="H83" s="5"/>
      <c r="I83" s="5"/>
      <c r="J83" s="5"/>
      <c r="M83" t="s">
        <v>1210</v>
      </c>
      <c r="N83">
        <v>1</v>
      </c>
      <c r="O83">
        <v>1</v>
      </c>
      <c r="P83">
        <v>1</v>
      </c>
      <c r="Q83">
        <v>1</v>
      </c>
      <c r="R83">
        <v>1</v>
      </c>
    </row>
    <row r="84" spans="1:19" x14ac:dyDescent="0.25">
      <c r="A84" t="s">
        <v>485</v>
      </c>
      <c r="B84" s="5"/>
      <c r="C84" s="5"/>
      <c r="D84" s="5"/>
      <c r="E84" s="5">
        <v>1</v>
      </c>
      <c r="F84" s="5">
        <v>1</v>
      </c>
      <c r="G84" s="5"/>
      <c r="H84" s="5"/>
      <c r="I84" s="5"/>
      <c r="J84" s="5"/>
      <c r="M84" t="s">
        <v>60</v>
      </c>
      <c r="N84">
        <v>1</v>
      </c>
      <c r="O84">
        <v>1</v>
      </c>
      <c r="P84">
        <v>1</v>
      </c>
      <c r="Q84">
        <v>1</v>
      </c>
      <c r="R84">
        <v>1</v>
      </c>
    </row>
    <row r="85" spans="1:19" x14ac:dyDescent="0.25">
      <c r="A85" t="s">
        <v>466</v>
      </c>
      <c r="B85" s="5">
        <v>1</v>
      </c>
      <c r="C85" s="5">
        <v>1</v>
      </c>
      <c r="D85" s="5"/>
      <c r="E85" s="5"/>
      <c r="F85" s="5"/>
      <c r="G85" s="5"/>
      <c r="H85" s="5"/>
      <c r="I85" s="5"/>
      <c r="J85" s="5"/>
      <c r="M85" t="s">
        <v>55</v>
      </c>
      <c r="N85">
        <v>1</v>
      </c>
      <c r="O85">
        <v>1</v>
      </c>
      <c r="P85">
        <v>1</v>
      </c>
    </row>
    <row r="86" spans="1:19" x14ac:dyDescent="0.25">
      <c r="A86" t="s">
        <v>487</v>
      </c>
      <c r="B86" s="5"/>
      <c r="C86" s="5"/>
      <c r="D86" s="5"/>
      <c r="E86" s="5">
        <v>1</v>
      </c>
      <c r="F86" s="5">
        <v>1</v>
      </c>
      <c r="G86" s="5"/>
      <c r="H86" s="5"/>
      <c r="I86" s="5"/>
      <c r="J86" s="5"/>
      <c r="M86" t="s">
        <v>62</v>
      </c>
      <c r="N86">
        <v>1</v>
      </c>
      <c r="O86">
        <v>1</v>
      </c>
      <c r="P86">
        <v>1</v>
      </c>
    </row>
    <row r="87" spans="1:19" x14ac:dyDescent="0.25">
      <c r="A87" t="s">
        <v>461</v>
      </c>
      <c r="B87" s="5">
        <v>1</v>
      </c>
      <c r="C87" s="5">
        <v>1</v>
      </c>
      <c r="D87" s="5"/>
      <c r="E87" s="5"/>
      <c r="F87" s="5"/>
      <c r="G87" s="5"/>
      <c r="H87" s="5"/>
      <c r="I87" s="5"/>
      <c r="J87" s="5"/>
      <c r="M87" t="s">
        <v>61</v>
      </c>
      <c r="Q87">
        <v>1</v>
      </c>
      <c r="R87">
        <v>1</v>
      </c>
      <c r="S87">
        <v>1</v>
      </c>
    </row>
    <row r="88" spans="1:19" x14ac:dyDescent="0.25">
      <c r="A88" t="s">
        <v>483</v>
      </c>
      <c r="B88" s="5"/>
      <c r="C88" s="5"/>
      <c r="D88" s="5"/>
      <c r="E88" s="5">
        <v>1</v>
      </c>
      <c r="F88" s="5">
        <v>1</v>
      </c>
      <c r="G88" s="5"/>
      <c r="H88" s="5"/>
      <c r="I88" s="5"/>
      <c r="J88" s="5"/>
      <c r="M88" t="s">
        <v>57</v>
      </c>
      <c r="Q88">
        <v>1</v>
      </c>
      <c r="R88">
        <v>1</v>
      </c>
      <c r="S88">
        <v>1</v>
      </c>
    </row>
    <row r="89" spans="1:19" x14ac:dyDescent="0.25">
      <c r="A89" t="s">
        <v>465</v>
      </c>
      <c r="B89" s="5">
        <v>1</v>
      </c>
      <c r="C89" s="5">
        <v>1</v>
      </c>
      <c r="D89" s="5"/>
      <c r="E89" s="5"/>
      <c r="F89" s="5"/>
      <c r="G89" s="5"/>
      <c r="H89" s="5"/>
      <c r="I89" s="5"/>
      <c r="J89" s="5"/>
      <c r="M89" t="s">
        <v>58</v>
      </c>
      <c r="Q89">
        <v>1</v>
      </c>
      <c r="R89">
        <v>1</v>
      </c>
      <c r="S89">
        <v>1</v>
      </c>
    </row>
    <row r="90" spans="1:19" x14ac:dyDescent="0.25">
      <c r="A90" t="s">
        <v>486</v>
      </c>
      <c r="B90" s="5"/>
      <c r="C90" s="5"/>
      <c r="D90" s="5"/>
      <c r="E90" s="5">
        <v>1</v>
      </c>
      <c r="F90" s="5">
        <v>1</v>
      </c>
      <c r="G90" s="5"/>
      <c r="H90" s="5"/>
      <c r="I90" s="5"/>
      <c r="J90" s="5"/>
      <c r="M90" t="s">
        <v>63</v>
      </c>
      <c r="Q90">
        <v>1</v>
      </c>
      <c r="R90">
        <v>1</v>
      </c>
      <c r="S90">
        <v>1</v>
      </c>
    </row>
    <row r="91" spans="1:19" x14ac:dyDescent="0.25">
      <c r="A91" t="s">
        <v>484</v>
      </c>
      <c r="B91" s="5"/>
      <c r="C91" s="5"/>
      <c r="D91" s="5"/>
      <c r="E91" s="5">
        <v>1</v>
      </c>
      <c r="F91" s="5">
        <v>1</v>
      </c>
      <c r="G91" s="5"/>
      <c r="H91" s="5"/>
      <c r="I91" s="5"/>
      <c r="J91" s="5"/>
      <c r="M91" t="s">
        <v>93</v>
      </c>
      <c r="N91">
        <v>1</v>
      </c>
      <c r="O91">
        <v>1</v>
      </c>
      <c r="P91">
        <v>1</v>
      </c>
      <c r="Q91">
        <v>1</v>
      </c>
      <c r="R91">
        <v>1</v>
      </c>
    </row>
    <row r="92" spans="1:19" x14ac:dyDescent="0.25">
      <c r="A92" t="s">
        <v>464</v>
      </c>
      <c r="B92" s="5">
        <v>1</v>
      </c>
      <c r="C92" s="5">
        <v>1</v>
      </c>
      <c r="D92" s="5"/>
      <c r="E92" s="5"/>
      <c r="F92" s="5"/>
      <c r="G92" s="5"/>
      <c r="H92" s="5"/>
      <c r="I92" s="5"/>
      <c r="J92" s="5"/>
      <c r="M92" t="s">
        <v>91</v>
      </c>
      <c r="N92">
        <v>1</v>
      </c>
      <c r="O92">
        <v>1</v>
      </c>
      <c r="P92">
        <v>1</v>
      </c>
    </row>
    <row r="93" spans="1:19" x14ac:dyDescent="0.25">
      <c r="A93" t="s">
        <v>463</v>
      </c>
      <c r="B93" s="5">
        <v>1</v>
      </c>
      <c r="C93" s="5">
        <v>1</v>
      </c>
      <c r="D93" s="5"/>
      <c r="E93" s="5"/>
      <c r="F93" s="5"/>
      <c r="G93" s="5"/>
      <c r="H93" s="5"/>
      <c r="I93" s="5"/>
      <c r="J93" s="5"/>
      <c r="M93" t="s">
        <v>144</v>
      </c>
      <c r="O93">
        <v>1</v>
      </c>
      <c r="R93">
        <v>1</v>
      </c>
    </row>
    <row r="94" spans="1:19" x14ac:dyDescent="0.25">
      <c r="A94" t="s">
        <v>477</v>
      </c>
      <c r="B94" s="5">
        <v>1</v>
      </c>
      <c r="C94" s="5">
        <v>1</v>
      </c>
      <c r="D94" s="5"/>
      <c r="E94" s="5"/>
      <c r="F94" s="5"/>
      <c r="G94" s="5"/>
      <c r="H94" s="5"/>
      <c r="I94" s="5"/>
      <c r="J94" s="5"/>
      <c r="M94" t="s">
        <v>194</v>
      </c>
      <c r="N94">
        <v>1</v>
      </c>
      <c r="O94">
        <v>1</v>
      </c>
    </row>
    <row r="95" spans="1:19" x14ac:dyDescent="0.25">
      <c r="A95" t="s">
        <v>488</v>
      </c>
      <c r="B95" s="5"/>
      <c r="C95" s="5"/>
      <c r="D95" s="5"/>
      <c r="E95" s="5">
        <v>1</v>
      </c>
      <c r="F95" s="5">
        <v>1</v>
      </c>
      <c r="G95" s="5"/>
      <c r="H95" s="5"/>
      <c r="I95" s="5"/>
      <c r="J95" s="5"/>
      <c r="M95" t="s">
        <v>195</v>
      </c>
      <c r="O95">
        <v>1</v>
      </c>
    </row>
    <row r="96" spans="1:19" x14ac:dyDescent="0.25">
      <c r="A96" t="s">
        <v>60</v>
      </c>
      <c r="B96" s="5">
        <v>1</v>
      </c>
      <c r="C96" s="5">
        <v>1</v>
      </c>
      <c r="D96" s="5">
        <v>1</v>
      </c>
      <c r="E96" s="5">
        <v>1</v>
      </c>
      <c r="F96" s="5">
        <v>1</v>
      </c>
      <c r="G96" s="5"/>
      <c r="H96" s="5"/>
      <c r="I96" s="5"/>
      <c r="J96" s="5"/>
      <c r="M96" t="s">
        <v>184</v>
      </c>
      <c r="Q96">
        <v>1</v>
      </c>
      <c r="R96">
        <v>1</v>
      </c>
    </row>
    <row r="97" spans="1:19" x14ac:dyDescent="0.25">
      <c r="A97" t="s">
        <v>55</v>
      </c>
      <c r="B97" s="5">
        <v>1</v>
      </c>
      <c r="C97" s="5">
        <v>1</v>
      </c>
      <c r="D97" s="5">
        <v>1</v>
      </c>
      <c r="E97" s="5"/>
      <c r="F97" s="5"/>
      <c r="G97" s="5"/>
      <c r="H97" s="5"/>
      <c r="I97" s="5"/>
      <c r="J97" s="5"/>
      <c r="M97" t="s">
        <v>170</v>
      </c>
      <c r="Q97">
        <v>1</v>
      </c>
      <c r="R97">
        <v>1</v>
      </c>
    </row>
    <row r="98" spans="1:19" x14ac:dyDescent="0.25">
      <c r="A98" t="s">
        <v>62</v>
      </c>
      <c r="B98" s="5">
        <v>1</v>
      </c>
      <c r="C98" s="5">
        <v>1</v>
      </c>
      <c r="D98" s="5">
        <v>1</v>
      </c>
      <c r="E98" s="5"/>
      <c r="F98" s="5"/>
      <c r="G98" s="5"/>
      <c r="H98" s="5"/>
      <c r="I98" s="5"/>
      <c r="J98" s="5"/>
      <c r="M98" t="s">
        <v>175</v>
      </c>
      <c r="N98">
        <v>1</v>
      </c>
      <c r="O98">
        <v>1</v>
      </c>
    </row>
    <row r="99" spans="1:19" x14ac:dyDescent="0.25">
      <c r="A99" t="s">
        <v>61</v>
      </c>
      <c r="B99" s="5"/>
      <c r="C99" s="5"/>
      <c r="D99" s="5"/>
      <c r="E99" s="5">
        <v>1</v>
      </c>
      <c r="F99" s="5">
        <v>1</v>
      </c>
      <c r="G99" s="5">
        <v>1</v>
      </c>
      <c r="H99" s="5"/>
      <c r="I99" s="5"/>
      <c r="J99" s="5"/>
      <c r="M99" t="s">
        <v>168</v>
      </c>
      <c r="Q99">
        <v>1</v>
      </c>
      <c r="R99">
        <v>1</v>
      </c>
    </row>
    <row r="100" spans="1:19" x14ac:dyDescent="0.25">
      <c r="A100" t="s">
        <v>57</v>
      </c>
      <c r="B100" s="5"/>
      <c r="C100" s="5"/>
      <c r="D100" s="5"/>
      <c r="E100" s="5">
        <v>1</v>
      </c>
      <c r="F100" s="5">
        <v>1</v>
      </c>
      <c r="G100" s="5">
        <v>1</v>
      </c>
      <c r="H100" s="5"/>
      <c r="I100" s="5"/>
      <c r="J100" s="5"/>
      <c r="M100" t="s">
        <v>172</v>
      </c>
      <c r="Q100">
        <v>1</v>
      </c>
      <c r="R100">
        <v>1</v>
      </c>
    </row>
    <row r="101" spans="1:19" x14ac:dyDescent="0.25">
      <c r="A101" t="s">
        <v>58</v>
      </c>
      <c r="B101" s="5"/>
      <c r="C101" s="5"/>
      <c r="D101" s="5"/>
      <c r="E101" s="5">
        <v>1</v>
      </c>
      <c r="F101" s="5">
        <v>1</v>
      </c>
      <c r="G101" s="5">
        <v>1</v>
      </c>
      <c r="H101" s="5"/>
      <c r="I101" s="5"/>
      <c r="J101" s="5"/>
      <c r="M101" t="s">
        <v>177</v>
      </c>
      <c r="O101">
        <v>1</v>
      </c>
    </row>
    <row r="102" spans="1:19" x14ac:dyDescent="0.25">
      <c r="A102" t="s">
        <v>63</v>
      </c>
      <c r="B102" s="5"/>
      <c r="C102" s="5"/>
      <c r="D102" s="5"/>
      <c r="E102" s="5">
        <v>1</v>
      </c>
      <c r="F102" s="5">
        <v>1</v>
      </c>
      <c r="G102" s="5">
        <v>1</v>
      </c>
      <c r="H102" s="5"/>
      <c r="I102" s="5"/>
      <c r="J102" s="5"/>
      <c r="M102" t="s">
        <v>183</v>
      </c>
      <c r="N102">
        <v>1</v>
      </c>
      <c r="O102">
        <v>1</v>
      </c>
    </row>
    <row r="103" spans="1:19" x14ac:dyDescent="0.25">
      <c r="A103" t="s">
        <v>75</v>
      </c>
      <c r="B103" s="5">
        <v>1</v>
      </c>
      <c r="C103" s="5">
        <v>1</v>
      </c>
      <c r="D103" s="5">
        <v>1</v>
      </c>
      <c r="E103" s="5">
        <v>1</v>
      </c>
      <c r="F103" s="5">
        <v>1</v>
      </c>
      <c r="G103" s="5">
        <v>1</v>
      </c>
      <c r="H103" s="5"/>
      <c r="I103" s="5"/>
      <c r="J103" s="5"/>
      <c r="M103" t="s">
        <v>181</v>
      </c>
      <c r="O103">
        <v>1</v>
      </c>
    </row>
    <row r="104" spans="1:19" x14ac:dyDescent="0.25">
      <c r="A104" t="s">
        <v>379</v>
      </c>
      <c r="B104" s="5"/>
      <c r="C104" s="5"/>
      <c r="D104" s="5"/>
      <c r="E104" s="5">
        <v>1</v>
      </c>
      <c r="F104" s="5"/>
      <c r="G104" s="5"/>
      <c r="H104" s="5"/>
      <c r="I104" s="5"/>
      <c r="J104" s="5"/>
      <c r="M104" t="s">
        <v>179</v>
      </c>
      <c r="N104">
        <v>1</v>
      </c>
      <c r="O104">
        <v>1</v>
      </c>
    </row>
    <row r="105" spans="1:19" x14ac:dyDescent="0.25">
      <c r="A105" t="s">
        <v>88</v>
      </c>
      <c r="B105" s="5">
        <v>1</v>
      </c>
      <c r="C105" s="5">
        <v>1</v>
      </c>
      <c r="D105" s="5"/>
      <c r="E105" s="5"/>
      <c r="F105" s="5"/>
      <c r="G105" s="5"/>
      <c r="H105" s="5"/>
      <c r="I105" s="5"/>
      <c r="J105" s="5"/>
      <c r="M105" t="s">
        <v>155</v>
      </c>
    </row>
    <row r="106" spans="1:19" x14ac:dyDescent="0.25">
      <c r="A106" t="s">
        <v>93</v>
      </c>
      <c r="B106" s="5">
        <v>1</v>
      </c>
      <c r="C106" s="5">
        <v>1</v>
      </c>
      <c r="D106" s="5">
        <v>1</v>
      </c>
      <c r="E106" s="5">
        <v>1</v>
      </c>
      <c r="F106" s="5">
        <v>1</v>
      </c>
      <c r="G106" s="5"/>
      <c r="H106" s="5"/>
      <c r="I106" s="5"/>
      <c r="J106" s="5"/>
      <c r="M106" t="s">
        <v>171</v>
      </c>
      <c r="O106">
        <v>1</v>
      </c>
    </row>
    <row r="107" spans="1:19" x14ac:dyDescent="0.25">
      <c r="A107" t="s">
        <v>91</v>
      </c>
      <c r="B107" s="5">
        <v>1</v>
      </c>
      <c r="C107" s="5">
        <v>1</v>
      </c>
      <c r="D107" s="5">
        <v>1</v>
      </c>
      <c r="E107" s="5"/>
      <c r="F107" s="5"/>
      <c r="G107" s="5"/>
      <c r="H107" s="5"/>
      <c r="I107" s="5"/>
      <c r="J107" s="5"/>
      <c r="M107" t="s">
        <v>178</v>
      </c>
      <c r="Q107">
        <v>1</v>
      </c>
      <c r="R107">
        <v>1</v>
      </c>
    </row>
    <row r="108" spans="1:19" x14ac:dyDescent="0.25">
      <c r="A108" t="s">
        <v>144</v>
      </c>
      <c r="B108" s="5"/>
      <c r="C108" s="5">
        <v>1</v>
      </c>
      <c r="D108" s="5"/>
      <c r="E108" s="5"/>
      <c r="F108" s="5">
        <v>1</v>
      </c>
      <c r="G108" s="5"/>
      <c r="H108" s="5"/>
      <c r="I108" s="5"/>
      <c r="J108" s="5"/>
      <c r="M108" t="s">
        <v>185</v>
      </c>
      <c r="O108">
        <v>1</v>
      </c>
    </row>
    <row r="109" spans="1:19" x14ac:dyDescent="0.25">
      <c r="A109" t="s">
        <v>194</v>
      </c>
      <c r="B109" s="5">
        <v>1</v>
      </c>
      <c r="C109" s="5">
        <v>1</v>
      </c>
      <c r="D109" s="5"/>
      <c r="E109" s="5"/>
      <c r="F109" s="5"/>
      <c r="G109" s="5"/>
      <c r="H109" s="5"/>
      <c r="I109" s="5"/>
      <c r="J109" s="5"/>
      <c r="M109" t="s">
        <v>129</v>
      </c>
      <c r="O109">
        <v>1</v>
      </c>
      <c r="R109">
        <v>1</v>
      </c>
    </row>
    <row r="110" spans="1:19" x14ac:dyDescent="0.25">
      <c r="A110" t="s">
        <v>195</v>
      </c>
      <c r="B110" s="5"/>
      <c r="C110" s="5">
        <v>1</v>
      </c>
      <c r="D110" s="5"/>
      <c r="E110" s="5"/>
      <c r="F110" s="5"/>
      <c r="G110" s="5"/>
      <c r="H110" s="5"/>
      <c r="I110" s="5"/>
      <c r="J110" s="5"/>
      <c r="M110" t="s">
        <v>153</v>
      </c>
      <c r="N110">
        <v>1</v>
      </c>
      <c r="O110">
        <v>1</v>
      </c>
      <c r="P110">
        <v>1</v>
      </c>
      <c r="Q110">
        <v>1</v>
      </c>
      <c r="R110">
        <v>1</v>
      </c>
      <c r="S110">
        <v>1</v>
      </c>
    </row>
    <row r="111" spans="1:19" x14ac:dyDescent="0.25">
      <c r="A111" t="s">
        <v>184</v>
      </c>
      <c r="B111" s="5"/>
      <c r="C111" s="5"/>
      <c r="D111" s="5"/>
      <c r="E111" s="5">
        <v>1</v>
      </c>
      <c r="F111" s="5">
        <v>1</v>
      </c>
      <c r="G111" s="5"/>
      <c r="H111" s="5"/>
      <c r="I111" s="5"/>
      <c r="J111" s="5"/>
      <c r="M111" t="s">
        <v>739</v>
      </c>
      <c r="Q111">
        <v>1</v>
      </c>
    </row>
    <row r="112" spans="1:19" x14ac:dyDescent="0.25">
      <c r="A112" t="s">
        <v>170</v>
      </c>
      <c r="B112" s="5"/>
      <c r="C112" s="5"/>
      <c r="D112" s="5"/>
      <c r="E112" s="5">
        <v>1</v>
      </c>
      <c r="F112" s="5">
        <v>1</v>
      </c>
      <c r="G112" s="5"/>
      <c r="H112" s="5"/>
      <c r="I112" s="5"/>
      <c r="J112" s="5"/>
      <c r="M112" t="s">
        <v>531</v>
      </c>
      <c r="Q112">
        <v>1</v>
      </c>
    </row>
    <row r="113" spans="1:18" x14ac:dyDescent="0.25">
      <c r="A113" t="s">
        <v>175</v>
      </c>
      <c r="B113" s="5">
        <v>1</v>
      </c>
      <c r="C113" s="5">
        <v>1</v>
      </c>
      <c r="D113" s="5"/>
      <c r="E113" s="5"/>
      <c r="F113" s="5"/>
      <c r="G113" s="5"/>
      <c r="H113" s="5"/>
      <c r="I113" s="5"/>
      <c r="J113" s="5"/>
      <c r="M113" t="s">
        <v>615</v>
      </c>
      <c r="N113">
        <v>1</v>
      </c>
    </row>
    <row r="114" spans="1:18" x14ac:dyDescent="0.25">
      <c r="A114" t="s">
        <v>168</v>
      </c>
      <c r="B114" s="5"/>
      <c r="C114" s="5"/>
      <c r="D114" s="5"/>
      <c r="E114" s="5">
        <v>1</v>
      </c>
      <c r="F114" s="5">
        <v>1</v>
      </c>
      <c r="G114" s="5"/>
      <c r="H114" s="5"/>
      <c r="I114" s="5"/>
      <c r="J114" s="5"/>
      <c r="M114" t="s">
        <v>1317</v>
      </c>
      <c r="N114">
        <v>3</v>
      </c>
      <c r="O114">
        <v>3</v>
      </c>
      <c r="Q114">
        <v>3</v>
      </c>
      <c r="R114">
        <v>3</v>
      </c>
    </row>
    <row r="115" spans="1:18" x14ac:dyDescent="0.25">
      <c r="A115" t="s">
        <v>172</v>
      </c>
      <c r="B115" s="5"/>
      <c r="C115" s="5"/>
      <c r="D115" s="5"/>
      <c r="E115" s="5">
        <v>1</v>
      </c>
      <c r="F115" s="5">
        <v>1</v>
      </c>
      <c r="G115" s="5"/>
      <c r="H115" s="5"/>
      <c r="I115" s="5"/>
      <c r="J115" s="5"/>
      <c r="M115" t="s">
        <v>622</v>
      </c>
      <c r="N115">
        <v>1</v>
      </c>
    </row>
    <row r="116" spans="1:18" x14ac:dyDescent="0.25">
      <c r="A116" t="s">
        <v>177</v>
      </c>
      <c r="B116" s="5"/>
      <c r="C116" s="5">
        <v>1</v>
      </c>
      <c r="D116" s="5"/>
      <c r="E116" s="5"/>
      <c r="F116" s="5"/>
      <c r="G116" s="5"/>
      <c r="H116" s="5"/>
      <c r="I116" s="5"/>
      <c r="J116" s="5"/>
      <c r="M116" t="s">
        <v>473</v>
      </c>
      <c r="N116">
        <v>1</v>
      </c>
      <c r="O116">
        <v>1</v>
      </c>
    </row>
    <row r="117" spans="1:18" x14ac:dyDescent="0.25">
      <c r="A117" t="s">
        <v>183</v>
      </c>
      <c r="B117" s="5">
        <v>1</v>
      </c>
      <c r="C117" s="5">
        <v>1</v>
      </c>
      <c r="D117" s="5"/>
      <c r="E117" s="5"/>
      <c r="F117" s="5"/>
      <c r="G117" s="5"/>
      <c r="H117" s="5"/>
      <c r="I117" s="5"/>
      <c r="J117" s="5"/>
      <c r="M117" t="s">
        <v>612</v>
      </c>
      <c r="N117">
        <v>1</v>
      </c>
      <c r="O117">
        <v>1</v>
      </c>
    </row>
    <row r="118" spans="1:18" x14ac:dyDescent="0.25">
      <c r="A118" t="s">
        <v>181</v>
      </c>
      <c r="B118" s="5"/>
      <c r="C118" s="5">
        <v>1</v>
      </c>
      <c r="D118" s="5"/>
      <c r="E118" s="5"/>
      <c r="F118" s="5"/>
      <c r="G118" s="5"/>
      <c r="H118" s="5"/>
      <c r="I118" s="5"/>
      <c r="J118" s="5"/>
      <c r="M118" t="s">
        <v>635</v>
      </c>
      <c r="N118">
        <v>1</v>
      </c>
      <c r="O118">
        <v>1</v>
      </c>
    </row>
    <row r="119" spans="1:18" x14ac:dyDescent="0.25">
      <c r="A119" t="s">
        <v>179</v>
      </c>
      <c r="B119" s="5">
        <v>1</v>
      </c>
      <c r="C119" s="5">
        <v>1</v>
      </c>
      <c r="D119" s="5"/>
      <c r="E119" s="5"/>
      <c r="F119" s="5"/>
      <c r="G119" s="5"/>
      <c r="H119" s="5"/>
      <c r="I119" s="5"/>
      <c r="J119" s="5"/>
      <c r="M119" t="s">
        <v>474</v>
      </c>
      <c r="N119">
        <v>1</v>
      </c>
      <c r="O119">
        <v>1</v>
      </c>
    </row>
    <row r="120" spans="1:18" x14ac:dyDescent="0.25">
      <c r="A120" s="324" t="s">
        <v>155</v>
      </c>
      <c r="B120" s="5"/>
      <c r="C120" s="5"/>
      <c r="D120" s="5"/>
      <c r="E120" s="5"/>
      <c r="F120" s="5"/>
      <c r="G120" s="5"/>
      <c r="H120" s="5"/>
      <c r="I120" s="5"/>
      <c r="J120" s="5"/>
      <c r="M120" t="s">
        <v>569</v>
      </c>
      <c r="Q120">
        <v>1</v>
      </c>
      <c r="R120">
        <v>1</v>
      </c>
    </row>
    <row r="121" spans="1:18" x14ac:dyDescent="0.25">
      <c r="A121" t="s">
        <v>171</v>
      </c>
      <c r="B121" s="5"/>
      <c r="C121" s="5">
        <v>1</v>
      </c>
      <c r="D121" s="5"/>
      <c r="E121" s="5"/>
      <c r="F121" s="5"/>
      <c r="G121" s="5"/>
      <c r="H121" s="5"/>
      <c r="I121" s="5"/>
      <c r="J121" s="5"/>
      <c r="M121" t="s">
        <v>595</v>
      </c>
      <c r="N121">
        <v>1</v>
      </c>
      <c r="O121">
        <v>1</v>
      </c>
    </row>
    <row r="122" spans="1:18" x14ac:dyDescent="0.25">
      <c r="A122" t="s">
        <v>178</v>
      </c>
      <c r="B122" s="5"/>
      <c r="C122" s="5"/>
      <c r="D122" s="5"/>
      <c r="E122" s="5">
        <v>1</v>
      </c>
      <c r="F122" s="5">
        <v>1</v>
      </c>
      <c r="G122" s="5"/>
      <c r="H122" s="5"/>
      <c r="I122" s="5"/>
      <c r="J122" s="5"/>
      <c r="M122" t="s">
        <v>613</v>
      </c>
      <c r="Q122">
        <v>1</v>
      </c>
      <c r="R122">
        <v>1</v>
      </c>
    </row>
    <row r="123" spans="1:18" x14ac:dyDescent="0.25">
      <c r="A123" t="s">
        <v>185</v>
      </c>
      <c r="B123" s="5"/>
      <c r="C123" s="5">
        <v>1</v>
      </c>
      <c r="D123" s="5"/>
      <c r="E123" s="5"/>
      <c r="F123" s="5"/>
      <c r="G123" s="5"/>
      <c r="H123" s="5"/>
      <c r="I123" s="5"/>
      <c r="J123" s="5"/>
      <c r="M123" t="s">
        <v>542</v>
      </c>
      <c r="N123">
        <v>1</v>
      </c>
      <c r="O123">
        <v>1</v>
      </c>
    </row>
    <row r="124" spans="1:18" x14ac:dyDescent="0.25">
      <c r="A124" t="s">
        <v>129</v>
      </c>
      <c r="B124" s="5"/>
      <c r="C124" s="5">
        <v>1</v>
      </c>
      <c r="D124" s="5"/>
      <c r="E124" s="5"/>
      <c r="F124" s="5">
        <v>1</v>
      </c>
      <c r="G124" s="5"/>
      <c r="H124" s="5"/>
      <c r="I124" s="5"/>
      <c r="J124" s="5"/>
      <c r="M124" t="s">
        <v>741</v>
      </c>
      <c r="Q124">
        <v>1</v>
      </c>
      <c r="R124">
        <v>1</v>
      </c>
    </row>
    <row r="125" spans="1:18" x14ac:dyDescent="0.25">
      <c r="A125" t="s">
        <v>153</v>
      </c>
      <c r="B125" s="5">
        <v>1</v>
      </c>
      <c r="C125" s="5">
        <v>1</v>
      </c>
      <c r="D125" s="5">
        <v>1</v>
      </c>
      <c r="E125" s="5">
        <v>1</v>
      </c>
      <c r="F125" s="5">
        <v>1</v>
      </c>
      <c r="G125" s="5">
        <v>1</v>
      </c>
      <c r="H125" s="5"/>
      <c r="I125" s="5"/>
      <c r="J125" s="5"/>
      <c r="M125" t="s">
        <v>458</v>
      </c>
      <c r="N125">
        <v>3</v>
      </c>
      <c r="O125">
        <v>3</v>
      </c>
      <c r="Q125">
        <v>3</v>
      </c>
      <c r="R125">
        <v>3</v>
      </c>
    </row>
    <row r="126" spans="1:18" x14ac:dyDescent="0.25">
      <c r="A126" t="s">
        <v>739</v>
      </c>
      <c r="B126" s="5"/>
      <c r="C126" s="5"/>
      <c r="D126" s="5"/>
      <c r="E126" s="5">
        <v>1</v>
      </c>
      <c r="F126" s="5"/>
      <c r="G126" s="5"/>
      <c r="H126" s="5"/>
      <c r="I126" s="5"/>
      <c r="J126" s="5"/>
      <c r="M126" t="s">
        <v>480</v>
      </c>
      <c r="N126">
        <v>3</v>
      </c>
      <c r="O126">
        <v>3</v>
      </c>
      <c r="Q126">
        <v>3</v>
      </c>
      <c r="R126">
        <v>3</v>
      </c>
    </row>
    <row r="127" spans="1:18" x14ac:dyDescent="0.25">
      <c r="A127" t="s">
        <v>531</v>
      </c>
      <c r="B127" s="5"/>
      <c r="C127" s="5"/>
      <c r="D127" s="5"/>
      <c r="E127" s="5">
        <v>1</v>
      </c>
      <c r="F127" s="5"/>
      <c r="G127" s="5"/>
      <c r="H127" s="5"/>
      <c r="I127" s="5"/>
      <c r="J127" s="5"/>
      <c r="M127" t="s">
        <v>696</v>
      </c>
      <c r="Q127">
        <v>2</v>
      </c>
    </row>
    <row r="128" spans="1:18" x14ac:dyDescent="0.25">
      <c r="A128" t="s">
        <v>615</v>
      </c>
      <c r="B128" s="5">
        <v>1</v>
      </c>
      <c r="C128" s="5"/>
      <c r="D128" s="5"/>
      <c r="E128" s="5"/>
      <c r="F128" s="5"/>
      <c r="G128" s="5"/>
      <c r="H128" s="5"/>
      <c r="I128" s="5"/>
      <c r="J128" s="5"/>
      <c r="M128" t="s">
        <v>467</v>
      </c>
      <c r="N128">
        <v>1</v>
      </c>
    </row>
    <row r="129" spans="1:19" x14ac:dyDescent="0.25">
      <c r="A129" t="s">
        <v>622</v>
      </c>
      <c r="B129" s="5">
        <v>1</v>
      </c>
      <c r="C129" s="5"/>
      <c r="D129" s="5"/>
      <c r="E129" s="5"/>
      <c r="F129" s="5"/>
      <c r="G129" s="5"/>
      <c r="H129" s="5"/>
      <c r="I129" s="5"/>
      <c r="J129" s="5"/>
      <c r="M129" t="s">
        <v>707</v>
      </c>
      <c r="N129">
        <v>1</v>
      </c>
    </row>
    <row r="130" spans="1:19" x14ac:dyDescent="0.25">
      <c r="A130" t="s">
        <v>628</v>
      </c>
      <c r="B130" s="5">
        <v>1</v>
      </c>
      <c r="C130" s="5"/>
      <c r="D130" s="5"/>
      <c r="E130" s="5"/>
      <c r="F130" s="5"/>
      <c r="G130" s="5"/>
      <c r="H130" s="5"/>
      <c r="I130" s="5"/>
      <c r="J130" s="5"/>
      <c r="M130" t="s">
        <v>574</v>
      </c>
      <c r="Q130">
        <v>1</v>
      </c>
    </row>
    <row r="131" spans="1:19" x14ac:dyDescent="0.25">
      <c r="A131" t="s">
        <v>633</v>
      </c>
      <c r="B131" s="5">
        <v>1</v>
      </c>
      <c r="C131" s="5"/>
      <c r="D131" s="5"/>
      <c r="E131" s="5"/>
      <c r="F131" s="5"/>
      <c r="G131" s="5"/>
      <c r="H131" s="5"/>
      <c r="I131" s="5"/>
      <c r="J131" s="5"/>
      <c r="M131" t="s">
        <v>504</v>
      </c>
      <c r="Q131">
        <v>1</v>
      </c>
    </row>
    <row r="132" spans="1:19" x14ac:dyDescent="0.25">
      <c r="A132" t="s">
        <v>473</v>
      </c>
      <c r="B132" s="5">
        <v>1</v>
      </c>
      <c r="C132" s="5">
        <v>1</v>
      </c>
      <c r="D132" s="5"/>
      <c r="E132" s="5"/>
      <c r="F132" s="5"/>
      <c r="G132" s="5"/>
      <c r="H132" s="5"/>
      <c r="I132" s="5"/>
      <c r="J132" s="5"/>
      <c r="M132" t="s">
        <v>518</v>
      </c>
      <c r="N132">
        <v>1</v>
      </c>
    </row>
    <row r="133" spans="1:19" x14ac:dyDescent="0.25">
      <c r="A133" t="s">
        <v>594</v>
      </c>
      <c r="B133" s="5"/>
      <c r="C133" s="5"/>
      <c r="D133" s="5"/>
      <c r="E133" s="5">
        <v>1</v>
      </c>
      <c r="F133" s="5">
        <v>1</v>
      </c>
      <c r="G133" s="5"/>
      <c r="H133" s="5"/>
      <c r="I133" s="5"/>
      <c r="J133" s="5"/>
      <c r="M133" t="s">
        <v>586</v>
      </c>
      <c r="N133">
        <v>1</v>
      </c>
    </row>
    <row r="134" spans="1:19" x14ac:dyDescent="0.25">
      <c r="A134" t="s">
        <v>612</v>
      </c>
      <c r="B134" s="5">
        <v>1</v>
      </c>
      <c r="C134" s="5">
        <v>1</v>
      </c>
      <c r="D134" s="5"/>
      <c r="E134" s="5"/>
      <c r="F134" s="5"/>
      <c r="G134" s="5"/>
      <c r="H134" s="5"/>
      <c r="I134" s="5"/>
      <c r="J134" s="5"/>
      <c r="M134" t="s">
        <v>515</v>
      </c>
      <c r="N134">
        <v>1</v>
      </c>
    </row>
    <row r="135" spans="1:19" x14ac:dyDescent="0.25">
      <c r="A135" t="s">
        <v>619</v>
      </c>
      <c r="B135" s="5">
        <v>1</v>
      </c>
      <c r="C135" s="5">
        <v>1</v>
      </c>
      <c r="D135" s="5"/>
      <c r="E135" s="5"/>
      <c r="F135" s="5"/>
      <c r="G135" s="5"/>
      <c r="H135" s="5"/>
      <c r="I135" s="5"/>
      <c r="J135" s="5"/>
      <c r="M135" t="s">
        <v>640</v>
      </c>
      <c r="N135">
        <v>1</v>
      </c>
      <c r="Q135">
        <v>1</v>
      </c>
    </row>
    <row r="136" spans="1:19" x14ac:dyDescent="0.25">
      <c r="A136" t="s">
        <v>626</v>
      </c>
      <c r="B136" s="5"/>
      <c r="C136" s="5"/>
      <c r="D136" s="5"/>
      <c r="E136" s="5">
        <v>1</v>
      </c>
      <c r="F136" s="5">
        <v>1</v>
      </c>
      <c r="G136" s="5"/>
      <c r="H136" s="5"/>
      <c r="I136" s="5"/>
      <c r="J136" s="5"/>
      <c r="M136" t="s">
        <v>582</v>
      </c>
      <c r="N136">
        <v>1</v>
      </c>
      <c r="Q136">
        <v>1</v>
      </c>
    </row>
    <row r="137" spans="1:19" x14ac:dyDescent="0.25">
      <c r="A137" t="s">
        <v>635</v>
      </c>
      <c r="B137" s="5">
        <v>1</v>
      </c>
      <c r="C137" s="5">
        <v>1</v>
      </c>
      <c r="D137" s="5"/>
      <c r="E137" s="5"/>
      <c r="F137" s="5"/>
      <c r="G137" s="5"/>
      <c r="H137" s="5"/>
      <c r="I137" s="5"/>
      <c r="J137" s="5"/>
      <c r="M137" t="s">
        <v>122</v>
      </c>
      <c r="N137">
        <v>1</v>
      </c>
      <c r="P137">
        <v>1</v>
      </c>
      <c r="Q137">
        <v>1</v>
      </c>
      <c r="S137">
        <v>1</v>
      </c>
    </row>
    <row r="138" spans="1:19" x14ac:dyDescent="0.25">
      <c r="A138" t="s">
        <v>747</v>
      </c>
      <c r="B138" s="5"/>
      <c r="C138" s="5"/>
      <c r="D138" s="5"/>
      <c r="E138" s="5">
        <v>1</v>
      </c>
      <c r="F138" s="5"/>
      <c r="G138" s="5"/>
      <c r="H138" s="5"/>
      <c r="I138" s="5"/>
      <c r="J138" s="5"/>
      <c r="M138" t="s">
        <v>643</v>
      </c>
      <c r="Q138">
        <v>1</v>
      </c>
      <c r="R138">
        <v>1</v>
      </c>
    </row>
    <row r="139" spans="1:19" x14ac:dyDescent="0.25">
      <c r="A139" t="s">
        <v>750</v>
      </c>
      <c r="B139" s="5"/>
      <c r="C139" s="5"/>
      <c r="D139" s="5"/>
      <c r="E139" s="5">
        <v>1</v>
      </c>
      <c r="F139" s="5"/>
      <c r="G139" s="5"/>
      <c r="H139" s="5"/>
      <c r="I139" s="5"/>
      <c r="J139" s="5"/>
      <c r="M139" t="s">
        <v>566</v>
      </c>
      <c r="N139">
        <v>1</v>
      </c>
      <c r="O139">
        <v>1</v>
      </c>
    </row>
    <row r="140" spans="1:19" x14ac:dyDescent="0.25">
      <c r="A140" t="s">
        <v>474</v>
      </c>
      <c r="B140" s="5">
        <v>1</v>
      </c>
      <c r="C140" s="5">
        <v>1</v>
      </c>
      <c r="D140" s="5"/>
      <c r="E140" s="5"/>
      <c r="F140" s="5"/>
      <c r="G140" s="5"/>
      <c r="H140" s="5"/>
      <c r="I140" s="5"/>
      <c r="J140" s="5"/>
      <c r="M140" t="s">
        <v>509</v>
      </c>
      <c r="N140">
        <v>1</v>
      </c>
      <c r="O140">
        <v>1</v>
      </c>
    </row>
    <row r="141" spans="1:19" x14ac:dyDescent="0.25">
      <c r="A141" t="s">
        <v>569</v>
      </c>
      <c r="B141" s="5"/>
      <c r="C141" s="5"/>
      <c r="D141" s="5"/>
      <c r="E141" s="5">
        <v>1</v>
      </c>
      <c r="F141" s="5">
        <v>1</v>
      </c>
      <c r="G141" s="5"/>
      <c r="H141" s="5"/>
      <c r="I141" s="5"/>
      <c r="J141" s="5"/>
      <c r="M141" t="s">
        <v>496</v>
      </c>
      <c r="Q141">
        <v>1</v>
      </c>
      <c r="R141">
        <v>1</v>
      </c>
    </row>
    <row r="142" spans="1:19" x14ac:dyDescent="0.25">
      <c r="A142" t="s">
        <v>595</v>
      </c>
      <c r="B142" s="5">
        <v>1</v>
      </c>
      <c r="C142" s="5">
        <v>1</v>
      </c>
      <c r="D142" s="5"/>
      <c r="E142" s="5"/>
      <c r="F142" s="5"/>
      <c r="G142" s="5"/>
      <c r="H142" s="5"/>
      <c r="I142" s="5"/>
      <c r="J142" s="5"/>
      <c r="M142" t="s">
        <v>539</v>
      </c>
      <c r="N142">
        <v>1</v>
      </c>
      <c r="O142">
        <v>1</v>
      </c>
    </row>
    <row r="143" spans="1:19" x14ac:dyDescent="0.25">
      <c r="A143" t="s">
        <v>639</v>
      </c>
      <c r="B143" s="5">
        <v>1</v>
      </c>
      <c r="C143" s="5">
        <v>1</v>
      </c>
      <c r="D143" s="5"/>
      <c r="E143" s="5"/>
      <c r="F143" s="5"/>
      <c r="G143" s="5"/>
      <c r="H143" s="5"/>
      <c r="I143" s="5"/>
      <c r="J143" s="5"/>
      <c r="M143" t="s">
        <v>524</v>
      </c>
      <c r="Q143">
        <v>1</v>
      </c>
      <c r="R143">
        <v>1</v>
      </c>
    </row>
    <row r="144" spans="1:19" x14ac:dyDescent="0.25">
      <c r="A144" t="s">
        <v>613</v>
      </c>
      <c r="B144" s="5"/>
      <c r="C144" s="5"/>
      <c r="D144" s="5"/>
      <c r="E144" s="5">
        <v>1</v>
      </c>
      <c r="F144" s="5">
        <v>1</v>
      </c>
      <c r="G144" s="5"/>
      <c r="H144" s="5"/>
      <c r="I144" s="5"/>
      <c r="J144" s="5"/>
      <c r="M144" t="s">
        <v>588</v>
      </c>
      <c r="N144">
        <v>2</v>
      </c>
      <c r="Q144">
        <v>2</v>
      </c>
    </row>
    <row r="145" spans="1:18" x14ac:dyDescent="0.25">
      <c r="A145" t="s">
        <v>620</v>
      </c>
      <c r="B145" s="5"/>
      <c r="C145" s="5"/>
      <c r="D145" s="5"/>
      <c r="E145" s="5">
        <v>1</v>
      </c>
      <c r="F145" s="5">
        <v>1</v>
      </c>
      <c r="G145" s="5"/>
      <c r="H145" s="5"/>
      <c r="I145" s="5"/>
      <c r="J145" s="5"/>
      <c r="M145" t="s">
        <v>501</v>
      </c>
      <c r="N145">
        <v>2</v>
      </c>
      <c r="Q145">
        <v>2</v>
      </c>
    </row>
    <row r="146" spans="1:18" x14ac:dyDescent="0.25">
      <c r="A146" t="s">
        <v>542</v>
      </c>
      <c r="B146" s="5">
        <v>1</v>
      </c>
      <c r="C146" s="5">
        <v>1</v>
      </c>
      <c r="D146" s="5"/>
      <c r="E146" s="5"/>
      <c r="F146" s="5"/>
      <c r="G146" s="5"/>
      <c r="H146" s="5"/>
      <c r="I146" s="5"/>
      <c r="J146" s="5"/>
      <c r="M146" t="s">
        <v>446</v>
      </c>
      <c r="N146">
        <v>1</v>
      </c>
      <c r="Q146">
        <v>1</v>
      </c>
    </row>
    <row r="147" spans="1:18" x14ac:dyDescent="0.25">
      <c r="A147" t="s">
        <v>741</v>
      </c>
      <c r="B147" s="5"/>
      <c r="C147" s="5"/>
      <c r="D147" s="5"/>
      <c r="E147" s="5">
        <v>1</v>
      </c>
      <c r="F147" s="5">
        <v>1</v>
      </c>
      <c r="G147" s="5"/>
      <c r="H147" s="5"/>
      <c r="I147" s="5"/>
      <c r="J147" s="5"/>
      <c r="M147" t="s">
        <v>748</v>
      </c>
      <c r="Q147">
        <v>1</v>
      </c>
    </row>
    <row r="148" spans="1:18" x14ac:dyDescent="0.25">
      <c r="A148" t="s">
        <v>458</v>
      </c>
      <c r="B148" s="5">
        <v>2</v>
      </c>
      <c r="C148" s="5">
        <v>2</v>
      </c>
      <c r="D148" s="5">
        <v>2</v>
      </c>
      <c r="E148" s="5">
        <v>2</v>
      </c>
      <c r="F148" s="5">
        <v>2</v>
      </c>
      <c r="G148" s="5">
        <v>2</v>
      </c>
      <c r="H148" s="5"/>
      <c r="I148" s="5"/>
      <c r="J148" s="5"/>
      <c r="M148" t="s">
        <v>571</v>
      </c>
      <c r="N148">
        <v>1</v>
      </c>
    </row>
    <row r="149" spans="1:18" x14ac:dyDescent="0.25">
      <c r="A149" t="s">
        <v>480</v>
      </c>
      <c r="B149" s="5">
        <v>2</v>
      </c>
      <c r="C149" s="5">
        <v>2</v>
      </c>
      <c r="D149" s="5"/>
      <c r="E149" s="5">
        <v>2</v>
      </c>
      <c r="F149" s="5">
        <v>2</v>
      </c>
      <c r="G149" s="5"/>
      <c r="H149" s="5"/>
      <c r="I149" s="5"/>
      <c r="J149" s="5"/>
      <c r="M149" t="s">
        <v>1280</v>
      </c>
      <c r="Q149">
        <v>1</v>
      </c>
    </row>
    <row r="150" spans="1:18" x14ac:dyDescent="0.25">
      <c r="A150" t="s">
        <v>696</v>
      </c>
      <c r="B150" s="5"/>
      <c r="C150" s="5"/>
      <c r="D150" s="5"/>
      <c r="E150" s="5">
        <v>1</v>
      </c>
      <c r="F150" s="5"/>
      <c r="G150" s="5"/>
      <c r="H150" s="5"/>
      <c r="I150" s="5"/>
      <c r="J150" s="5"/>
      <c r="M150" t="s">
        <v>558</v>
      </c>
      <c r="N150">
        <v>1</v>
      </c>
    </row>
    <row r="151" spans="1:18" x14ac:dyDescent="0.25">
      <c r="A151" t="s">
        <v>467</v>
      </c>
      <c r="B151" s="5">
        <v>1</v>
      </c>
      <c r="C151" s="5"/>
      <c r="D151" s="5"/>
      <c r="E151" s="5"/>
      <c r="F151" s="5"/>
      <c r="G151" s="5"/>
      <c r="H151" s="5"/>
      <c r="I151" s="5"/>
      <c r="J151" s="5"/>
      <c r="M151" t="s">
        <v>1307</v>
      </c>
      <c r="N151">
        <v>2</v>
      </c>
      <c r="Q151">
        <v>2</v>
      </c>
    </row>
    <row r="152" spans="1:18" x14ac:dyDescent="0.25">
      <c r="A152" t="s">
        <v>707</v>
      </c>
      <c r="B152" s="5">
        <v>1</v>
      </c>
      <c r="C152" s="5"/>
      <c r="D152" s="5"/>
      <c r="E152" s="5"/>
      <c r="F152" s="5"/>
      <c r="G152" s="5"/>
      <c r="H152" s="5"/>
      <c r="I152" s="5"/>
      <c r="J152" s="5"/>
      <c r="M152" t="s">
        <v>742</v>
      </c>
      <c r="Q152">
        <v>1</v>
      </c>
    </row>
    <row r="153" spans="1:18" x14ac:dyDescent="0.25">
      <c r="A153" t="s">
        <v>574</v>
      </c>
      <c r="B153" s="5"/>
      <c r="C153" s="5"/>
      <c r="D153" s="5"/>
      <c r="E153" s="5">
        <v>1</v>
      </c>
      <c r="F153" s="5"/>
      <c r="G153" s="5"/>
      <c r="H153" s="5"/>
      <c r="I153" s="5"/>
      <c r="J153" s="5"/>
      <c r="M153" t="s">
        <v>533</v>
      </c>
      <c r="R153">
        <v>1</v>
      </c>
    </row>
    <row r="154" spans="1:18" x14ac:dyDescent="0.25">
      <c r="A154" t="s">
        <v>504</v>
      </c>
      <c r="B154" s="5"/>
      <c r="C154" s="5"/>
      <c r="D154" s="5"/>
      <c r="E154" s="5">
        <v>1</v>
      </c>
      <c r="F154" s="5"/>
      <c r="G154" s="5"/>
      <c r="H154" s="5"/>
      <c r="I154" s="5"/>
      <c r="J154" s="5"/>
      <c r="M154" t="s">
        <v>568</v>
      </c>
      <c r="Q154">
        <v>1</v>
      </c>
      <c r="R154">
        <v>1</v>
      </c>
    </row>
    <row r="155" spans="1:18" x14ac:dyDescent="0.25">
      <c r="A155" t="s">
        <v>518</v>
      </c>
      <c r="B155" s="5">
        <v>1</v>
      </c>
      <c r="C155" s="5"/>
      <c r="D155" s="5"/>
      <c r="E155" s="5"/>
      <c r="F155" s="5"/>
      <c r="G155" s="5"/>
      <c r="H155" s="5"/>
      <c r="I155" s="5"/>
      <c r="J155" s="5"/>
      <c r="M155" t="s">
        <v>602</v>
      </c>
      <c r="Q155">
        <v>1</v>
      </c>
      <c r="R155">
        <v>1</v>
      </c>
    </row>
    <row r="156" spans="1:18" x14ac:dyDescent="0.25">
      <c r="A156" t="s">
        <v>586</v>
      </c>
      <c r="B156" s="5">
        <v>1</v>
      </c>
      <c r="C156" s="5"/>
      <c r="D156" s="5"/>
      <c r="E156" s="5"/>
      <c r="F156" s="5"/>
      <c r="G156" s="5"/>
      <c r="H156" s="5"/>
      <c r="I156" s="5"/>
      <c r="J156" s="5"/>
      <c r="M156" t="s">
        <v>630</v>
      </c>
      <c r="Q156">
        <v>1</v>
      </c>
      <c r="R156">
        <v>1</v>
      </c>
    </row>
    <row r="157" spans="1:18" x14ac:dyDescent="0.25">
      <c r="A157" t="s">
        <v>591</v>
      </c>
      <c r="B157" s="5">
        <v>1</v>
      </c>
      <c r="C157" s="5"/>
      <c r="D157" s="5"/>
      <c r="E157" s="5"/>
      <c r="F157" s="5"/>
      <c r="G157" s="5"/>
      <c r="H157" s="5"/>
      <c r="I157" s="5"/>
      <c r="J157" s="5"/>
      <c r="M157" t="s">
        <v>702</v>
      </c>
      <c r="N157">
        <v>1</v>
      </c>
    </row>
    <row r="158" spans="1:18" x14ac:dyDescent="0.25">
      <c r="A158" t="s">
        <v>515</v>
      </c>
      <c r="B158" s="5">
        <v>1</v>
      </c>
      <c r="C158" s="5"/>
      <c r="D158" s="5"/>
      <c r="E158" s="5"/>
      <c r="F158" s="5"/>
      <c r="G158" s="5"/>
      <c r="H158" s="5"/>
      <c r="I158" s="5"/>
      <c r="J158" s="5"/>
      <c r="M158" t="s">
        <v>710</v>
      </c>
      <c r="Q158">
        <v>1</v>
      </c>
    </row>
    <row r="159" spans="1:18" x14ac:dyDescent="0.25">
      <c r="A159" t="s">
        <v>640</v>
      </c>
      <c r="B159" s="5">
        <v>1</v>
      </c>
      <c r="C159" s="5"/>
      <c r="D159" s="5"/>
      <c r="E159" s="5">
        <v>1</v>
      </c>
      <c r="F159" s="5"/>
      <c r="G159" s="5"/>
      <c r="H159" s="5"/>
      <c r="I159" s="5"/>
      <c r="J159" s="5"/>
      <c r="M159" t="s">
        <v>1288</v>
      </c>
      <c r="N159">
        <v>1</v>
      </c>
    </row>
    <row r="160" spans="1:18" x14ac:dyDescent="0.25">
      <c r="A160" t="s">
        <v>599</v>
      </c>
      <c r="B160" s="5"/>
      <c r="C160" s="5"/>
      <c r="D160" s="5"/>
      <c r="E160" s="5">
        <v>1</v>
      </c>
      <c r="F160" s="5">
        <v>1</v>
      </c>
      <c r="G160" s="5"/>
      <c r="H160" s="5"/>
      <c r="I160" s="5"/>
      <c r="J160" s="5"/>
      <c r="M160" t="s">
        <v>718</v>
      </c>
      <c r="N160">
        <v>1</v>
      </c>
    </row>
    <row r="161" spans="1:18" x14ac:dyDescent="0.25">
      <c r="A161" t="s">
        <v>582</v>
      </c>
      <c r="B161" s="5">
        <v>1</v>
      </c>
      <c r="C161" s="5"/>
      <c r="D161" s="5"/>
      <c r="E161" s="5">
        <v>1</v>
      </c>
      <c r="F161" s="5"/>
      <c r="G161" s="5"/>
      <c r="H161" s="5"/>
      <c r="I161" s="5"/>
      <c r="J161" s="5"/>
      <c r="M161" t="s">
        <v>535</v>
      </c>
      <c r="N161">
        <v>1</v>
      </c>
    </row>
    <row r="162" spans="1:18" x14ac:dyDescent="0.25">
      <c r="A162" t="s">
        <v>122</v>
      </c>
      <c r="B162" s="5">
        <v>1</v>
      </c>
      <c r="C162" s="5"/>
      <c r="D162" s="5">
        <v>1</v>
      </c>
      <c r="E162" s="5">
        <v>1</v>
      </c>
      <c r="F162" s="5"/>
      <c r="G162" s="5">
        <v>1</v>
      </c>
      <c r="H162" s="5"/>
      <c r="I162" s="5"/>
      <c r="J162" s="5"/>
      <c r="M162" t="s">
        <v>621</v>
      </c>
      <c r="Q162">
        <v>1</v>
      </c>
      <c r="R162">
        <v>1</v>
      </c>
    </row>
    <row r="163" spans="1:18" x14ac:dyDescent="0.25">
      <c r="A163" t="s">
        <v>643</v>
      </c>
      <c r="B163" s="5"/>
      <c r="C163" s="5"/>
      <c r="D163" s="5"/>
      <c r="E163" s="5">
        <v>1</v>
      </c>
      <c r="F163" s="5">
        <v>1</v>
      </c>
      <c r="G163" s="5"/>
      <c r="H163" s="5"/>
      <c r="I163" s="5"/>
      <c r="J163" s="5"/>
      <c r="M163" t="s">
        <v>481</v>
      </c>
      <c r="N163">
        <v>3</v>
      </c>
      <c r="O163">
        <v>2</v>
      </c>
      <c r="P163">
        <v>2</v>
      </c>
      <c r="Q163">
        <v>2</v>
      </c>
      <c r="R163">
        <v>2</v>
      </c>
    </row>
    <row r="164" spans="1:18" x14ac:dyDescent="0.25">
      <c r="A164" t="s">
        <v>603</v>
      </c>
      <c r="B164" s="5">
        <v>1</v>
      </c>
      <c r="C164" s="5">
        <v>1</v>
      </c>
      <c r="D164" s="5"/>
      <c r="E164" s="5"/>
      <c r="F164" s="5"/>
      <c r="G164" s="5"/>
      <c r="H164" s="5"/>
      <c r="I164" s="5"/>
      <c r="J164" s="5"/>
      <c r="M164" t="s">
        <v>459</v>
      </c>
      <c r="Q164">
        <v>1</v>
      </c>
      <c r="R164">
        <v>1</v>
      </c>
    </row>
    <row r="165" spans="1:18" x14ac:dyDescent="0.25">
      <c r="A165" t="s">
        <v>566</v>
      </c>
      <c r="B165" s="5">
        <v>1</v>
      </c>
      <c r="C165" s="5">
        <v>1</v>
      </c>
      <c r="D165" s="5"/>
      <c r="E165" s="5"/>
      <c r="F165" s="5"/>
      <c r="G165" s="5"/>
      <c r="H165" s="5"/>
      <c r="I165" s="5"/>
      <c r="J165" s="5"/>
      <c r="M165" t="s">
        <v>519</v>
      </c>
      <c r="N165">
        <v>1</v>
      </c>
      <c r="O165">
        <v>1</v>
      </c>
    </row>
    <row r="166" spans="1:18" x14ac:dyDescent="0.25">
      <c r="A166" t="s">
        <v>509</v>
      </c>
      <c r="B166" s="5">
        <v>1</v>
      </c>
      <c r="C166" s="5">
        <v>1</v>
      </c>
      <c r="D166" s="5"/>
      <c r="E166" s="5"/>
      <c r="F166" s="5"/>
      <c r="G166" s="5"/>
      <c r="H166" s="5"/>
      <c r="I166" s="5"/>
      <c r="J166" s="5"/>
      <c r="M166" t="s">
        <v>744</v>
      </c>
      <c r="Q166">
        <v>1</v>
      </c>
      <c r="R166">
        <v>1</v>
      </c>
    </row>
    <row r="167" spans="1:18" x14ac:dyDescent="0.25">
      <c r="A167" t="s">
        <v>496</v>
      </c>
      <c r="B167" s="5"/>
      <c r="C167" s="5"/>
      <c r="D167" s="5"/>
      <c r="E167" s="5">
        <v>1</v>
      </c>
      <c r="F167" s="5">
        <v>1</v>
      </c>
      <c r="G167" s="5"/>
      <c r="H167" s="5"/>
      <c r="I167" s="5"/>
      <c r="J167" s="5"/>
      <c r="M167" t="s">
        <v>490</v>
      </c>
      <c r="Q167">
        <v>1</v>
      </c>
      <c r="R167">
        <v>1</v>
      </c>
    </row>
    <row r="168" spans="1:18" x14ac:dyDescent="0.25">
      <c r="A168" t="s">
        <v>539</v>
      </c>
      <c r="B168" s="5">
        <v>1</v>
      </c>
      <c r="C168" s="5">
        <v>1</v>
      </c>
      <c r="D168" s="5"/>
      <c r="E168" s="5"/>
      <c r="F168" s="5"/>
      <c r="G168" s="5"/>
      <c r="H168" s="5"/>
      <c r="I168" s="5"/>
      <c r="J168" s="5"/>
      <c r="M168" t="s">
        <v>534</v>
      </c>
      <c r="Q168">
        <v>1</v>
      </c>
      <c r="R168">
        <v>1</v>
      </c>
    </row>
    <row r="169" spans="1:18" x14ac:dyDescent="0.25">
      <c r="A169" t="s">
        <v>524</v>
      </c>
      <c r="B169" s="5"/>
      <c r="C169" s="5"/>
      <c r="D169" s="5"/>
      <c r="E169" s="5">
        <v>1</v>
      </c>
      <c r="F169" s="5">
        <v>1</v>
      </c>
      <c r="G169" s="5"/>
      <c r="H169" s="5"/>
      <c r="I169" s="5"/>
      <c r="J169" s="5"/>
      <c r="M169" t="s">
        <v>545</v>
      </c>
      <c r="N169">
        <v>1</v>
      </c>
    </row>
    <row r="170" spans="1:18" x14ac:dyDescent="0.25">
      <c r="A170" t="s">
        <v>588</v>
      </c>
      <c r="B170" s="5">
        <v>1</v>
      </c>
      <c r="C170" s="5"/>
      <c r="D170" s="5"/>
      <c r="E170" s="5">
        <v>1</v>
      </c>
      <c r="F170" s="5"/>
      <c r="G170" s="5"/>
      <c r="H170" s="5"/>
      <c r="I170" s="5"/>
      <c r="J170" s="5"/>
      <c r="M170" t="s">
        <v>548</v>
      </c>
      <c r="N170">
        <v>1</v>
      </c>
      <c r="O170">
        <v>1</v>
      </c>
    </row>
    <row r="171" spans="1:18" x14ac:dyDescent="0.25">
      <c r="A171" t="s">
        <v>501</v>
      </c>
      <c r="B171" s="5">
        <v>1</v>
      </c>
      <c r="C171" s="5"/>
      <c r="D171" s="5"/>
      <c r="E171" s="5">
        <v>1</v>
      </c>
      <c r="F171" s="5"/>
      <c r="G171" s="5"/>
      <c r="H171" s="5"/>
      <c r="I171" s="5"/>
      <c r="J171" s="5"/>
      <c r="M171" t="s">
        <v>713</v>
      </c>
      <c r="N171">
        <v>1</v>
      </c>
      <c r="O171">
        <v>1</v>
      </c>
      <c r="Q171">
        <v>1</v>
      </c>
      <c r="R171">
        <v>1</v>
      </c>
    </row>
    <row r="172" spans="1:18" x14ac:dyDescent="0.25">
      <c r="A172" t="s">
        <v>446</v>
      </c>
      <c r="B172" s="5">
        <v>1</v>
      </c>
      <c r="C172" s="5"/>
      <c r="D172" s="5"/>
      <c r="E172" s="5">
        <v>1</v>
      </c>
      <c r="F172" s="5"/>
      <c r="G172" s="5"/>
      <c r="H172" s="5"/>
      <c r="I172" s="5"/>
      <c r="J172" s="5"/>
      <c r="M172" t="s">
        <v>455</v>
      </c>
      <c r="Q172">
        <v>1</v>
      </c>
    </row>
    <row r="173" spans="1:18" x14ac:dyDescent="0.25">
      <c r="A173" t="s">
        <v>748</v>
      </c>
      <c r="B173" s="5"/>
      <c r="C173" s="5"/>
      <c r="D173" s="5"/>
      <c r="E173" s="5">
        <v>1</v>
      </c>
      <c r="F173" s="5"/>
      <c r="G173" s="5"/>
      <c r="H173" s="5"/>
      <c r="I173" s="5"/>
      <c r="J173" s="5"/>
      <c r="M173" t="s">
        <v>502</v>
      </c>
      <c r="Q173">
        <v>1</v>
      </c>
    </row>
    <row r="174" spans="1:18" x14ac:dyDescent="0.25">
      <c r="A174" t="s">
        <v>571</v>
      </c>
      <c r="B174" s="5">
        <v>1</v>
      </c>
      <c r="C174" s="5"/>
      <c r="D174" s="5"/>
      <c r="E174" s="5"/>
      <c r="F174" s="5"/>
      <c r="G174" s="5"/>
      <c r="H174" s="5"/>
      <c r="I174" s="5"/>
      <c r="J174" s="5"/>
      <c r="M174" t="s">
        <v>559</v>
      </c>
      <c r="N174">
        <v>1</v>
      </c>
    </row>
    <row r="175" spans="1:18" x14ac:dyDescent="0.25">
      <c r="A175" t="s">
        <v>492</v>
      </c>
      <c r="B175" s="5"/>
      <c r="C175" s="5"/>
      <c r="D175" s="5"/>
      <c r="E175" s="5">
        <v>1</v>
      </c>
      <c r="F175" s="5"/>
      <c r="G175" s="5"/>
      <c r="H175" s="5"/>
      <c r="I175" s="5"/>
      <c r="J175" s="5"/>
      <c r="M175" t="s">
        <v>530</v>
      </c>
      <c r="Q175">
        <v>1</v>
      </c>
    </row>
    <row r="176" spans="1:18" x14ac:dyDescent="0.25">
      <c r="A176" t="s">
        <v>584</v>
      </c>
      <c r="B176" s="5">
        <v>1</v>
      </c>
      <c r="C176" s="5"/>
      <c r="D176" s="5"/>
      <c r="E176" s="5"/>
      <c r="F176" s="5"/>
      <c r="G176" s="5"/>
      <c r="H176" s="5"/>
      <c r="I176" s="5"/>
      <c r="J176" s="5"/>
      <c r="M176" t="s">
        <v>577</v>
      </c>
      <c r="N176">
        <v>1</v>
      </c>
      <c r="Q176">
        <v>1</v>
      </c>
    </row>
    <row r="177" spans="1:18" x14ac:dyDescent="0.25">
      <c r="A177" t="s">
        <v>558</v>
      </c>
      <c r="B177" s="5">
        <v>1</v>
      </c>
      <c r="C177" s="5"/>
      <c r="D177" s="5"/>
      <c r="E177" s="5"/>
      <c r="F177" s="5"/>
      <c r="G177" s="5"/>
      <c r="H177" s="5"/>
      <c r="I177" s="5"/>
      <c r="J177" s="5"/>
      <c r="M177" t="s">
        <v>598</v>
      </c>
      <c r="Q177">
        <v>1</v>
      </c>
      <c r="R177">
        <v>1</v>
      </c>
    </row>
    <row r="178" spans="1:18" x14ac:dyDescent="0.25">
      <c r="A178" t="s">
        <v>742</v>
      </c>
      <c r="B178" s="5"/>
      <c r="C178" s="5"/>
      <c r="D178" s="5"/>
      <c r="E178" s="5">
        <v>1</v>
      </c>
      <c r="F178" s="5"/>
      <c r="G178" s="5"/>
      <c r="H178" s="5"/>
      <c r="I178" s="5"/>
      <c r="J178" s="5"/>
      <c r="M178" t="s">
        <v>700</v>
      </c>
      <c r="N178">
        <v>1</v>
      </c>
      <c r="Q178">
        <v>1</v>
      </c>
    </row>
    <row r="179" spans="1:18" x14ac:dyDescent="0.25">
      <c r="A179" t="s">
        <v>533</v>
      </c>
      <c r="B179" s="5"/>
      <c r="C179" s="5"/>
      <c r="D179" s="5"/>
      <c r="E179" s="5">
        <v>1</v>
      </c>
      <c r="F179" s="5"/>
      <c r="G179" s="5"/>
      <c r="H179" s="5"/>
      <c r="I179" s="5"/>
      <c r="J179" s="5"/>
      <c r="M179" t="s">
        <v>522</v>
      </c>
      <c r="N179">
        <v>1</v>
      </c>
      <c r="Q179">
        <v>1</v>
      </c>
    </row>
    <row r="180" spans="1:18" x14ac:dyDescent="0.25">
      <c r="A180" t="s">
        <v>540</v>
      </c>
      <c r="B180" s="5">
        <v>1</v>
      </c>
      <c r="C180" s="5"/>
      <c r="D180" s="5"/>
      <c r="E180" s="5">
        <v>1</v>
      </c>
      <c r="F180" s="5"/>
      <c r="G180" s="5"/>
      <c r="H180" s="5"/>
      <c r="I180" s="5"/>
      <c r="J180" s="5"/>
      <c r="M180" t="s">
        <v>576</v>
      </c>
      <c r="N180">
        <v>1</v>
      </c>
    </row>
    <row r="181" spans="1:18" x14ac:dyDescent="0.25">
      <c r="A181" t="s">
        <v>564</v>
      </c>
      <c r="B181" s="5">
        <v>1</v>
      </c>
      <c r="C181" s="5">
        <v>1</v>
      </c>
      <c r="D181" s="5"/>
      <c r="E181" s="5">
        <v>1</v>
      </c>
      <c r="F181" s="5">
        <v>1</v>
      </c>
      <c r="G181" s="5"/>
      <c r="H181" s="5"/>
      <c r="I181" s="5"/>
      <c r="J181" s="5"/>
      <c r="M181" t="s">
        <v>752</v>
      </c>
      <c r="Q181">
        <v>1</v>
      </c>
    </row>
    <row r="182" spans="1:18" x14ac:dyDescent="0.25">
      <c r="A182" t="s">
        <v>469</v>
      </c>
      <c r="B182" s="5">
        <v>1</v>
      </c>
      <c r="C182" s="5">
        <v>1</v>
      </c>
      <c r="D182" s="5"/>
      <c r="E182" s="5"/>
      <c r="F182" s="5"/>
      <c r="G182" s="5"/>
      <c r="H182" s="5"/>
      <c r="I182" s="5"/>
      <c r="J182" s="5"/>
      <c r="M182" t="s">
        <v>537</v>
      </c>
      <c r="N182">
        <v>1</v>
      </c>
    </row>
    <row r="183" spans="1:18" x14ac:dyDescent="0.25">
      <c r="A183" t="s">
        <v>507</v>
      </c>
      <c r="B183" s="5">
        <v>1</v>
      </c>
      <c r="C183" s="5">
        <v>1</v>
      </c>
      <c r="D183" s="5"/>
      <c r="E183" s="5"/>
      <c r="F183" s="5"/>
      <c r="G183" s="5"/>
      <c r="H183" s="5"/>
      <c r="I183" s="5"/>
      <c r="J183" s="5"/>
      <c r="M183" t="s">
        <v>476</v>
      </c>
      <c r="N183">
        <v>1</v>
      </c>
      <c r="Q183">
        <v>1</v>
      </c>
    </row>
    <row r="184" spans="1:18" x14ac:dyDescent="0.25">
      <c r="A184" t="s">
        <v>568</v>
      </c>
      <c r="B184" s="5"/>
      <c r="C184" s="5"/>
      <c r="D184" s="5"/>
      <c r="E184" s="5">
        <v>1</v>
      </c>
      <c r="F184" s="5">
        <v>1</v>
      </c>
      <c r="G184" s="5"/>
      <c r="H184" s="5"/>
      <c r="I184" s="5"/>
      <c r="J184" s="5"/>
      <c r="M184" t="s">
        <v>544</v>
      </c>
      <c r="N184">
        <v>1</v>
      </c>
    </row>
    <row r="185" spans="1:18" x14ac:dyDescent="0.25">
      <c r="A185" t="s">
        <v>602</v>
      </c>
      <c r="B185" s="5"/>
      <c r="C185" s="5"/>
      <c r="D185" s="5"/>
      <c r="E185" s="5">
        <v>1</v>
      </c>
      <c r="F185" s="5">
        <v>1</v>
      </c>
      <c r="G185" s="5"/>
      <c r="H185" s="5"/>
      <c r="I185" s="5"/>
      <c r="J185" s="5"/>
      <c r="M185" t="s">
        <v>708</v>
      </c>
      <c r="N185">
        <v>1</v>
      </c>
    </row>
    <row r="186" spans="1:18" x14ac:dyDescent="0.25">
      <c r="A186" t="s">
        <v>630</v>
      </c>
      <c r="B186" s="5"/>
      <c r="C186" s="5"/>
      <c r="D186" s="5"/>
      <c r="E186" s="5">
        <v>1</v>
      </c>
      <c r="F186" s="5">
        <v>1</v>
      </c>
      <c r="G186" s="5"/>
      <c r="H186" s="5"/>
      <c r="I186" s="5"/>
      <c r="J186" s="5"/>
      <c r="M186" t="s">
        <v>462</v>
      </c>
      <c r="N186">
        <v>1</v>
      </c>
    </row>
    <row r="187" spans="1:18" x14ac:dyDescent="0.25">
      <c r="A187" t="s">
        <v>642</v>
      </c>
      <c r="B187" s="5">
        <v>1</v>
      </c>
      <c r="C187" s="5">
        <v>1</v>
      </c>
      <c r="D187" s="5"/>
      <c r="E187" s="5"/>
      <c r="F187" s="5"/>
      <c r="G187" s="5"/>
      <c r="H187" s="5"/>
      <c r="I187" s="5"/>
      <c r="J187" s="5"/>
      <c r="M187" t="s">
        <v>448</v>
      </c>
      <c r="Q187">
        <v>1</v>
      </c>
    </row>
    <row r="188" spans="1:18" x14ac:dyDescent="0.25">
      <c r="A188" t="s">
        <v>702</v>
      </c>
      <c r="B188" s="5">
        <v>1</v>
      </c>
      <c r="C188" s="5"/>
      <c r="D188" s="5"/>
      <c r="E188" s="5"/>
      <c r="F188" s="5"/>
      <c r="G188" s="5"/>
      <c r="H188" s="5"/>
      <c r="I188" s="5"/>
      <c r="J188" s="5"/>
      <c r="M188" t="s">
        <v>1247</v>
      </c>
      <c r="Q188">
        <v>1</v>
      </c>
    </row>
    <row r="189" spans="1:18" x14ac:dyDescent="0.25">
      <c r="A189" t="s">
        <v>751</v>
      </c>
      <c r="B189" s="5">
        <v>1</v>
      </c>
      <c r="C189" s="5">
        <v>1</v>
      </c>
      <c r="D189" s="5"/>
      <c r="E189" s="5">
        <v>1</v>
      </c>
      <c r="F189" s="5"/>
      <c r="G189" s="5"/>
      <c r="H189" s="5"/>
      <c r="I189" s="5"/>
      <c r="J189" s="5"/>
      <c r="M189" t="s">
        <v>506</v>
      </c>
      <c r="N189">
        <v>1</v>
      </c>
      <c r="Q189">
        <v>1</v>
      </c>
    </row>
    <row r="190" spans="1:18" x14ac:dyDescent="0.25">
      <c r="A190" t="s">
        <v>710</v>
      </c>
      <c r="B190" s="5"/>
      <c r="C190" s="5"/>
      <c r="D190" s="5"/>
      <c r="E190" s="5">
        <v>1</v>
      </c>
      <c r="F190" s="5"/>
      <c r="G190" s="5"/>
      <c r="H190" s="5"/>
      <c r="I190" s="5"/>
      <c r="J190" s="5"/>
      <c r="M190" t="s">
        <v>734</v>
      </c>
      <c r="N190">
        <v>1</v>
      </c>
    </row>
    <row r="191" spans="1:18" x14ac:dyDescent="0.25">
      <c r="A191" t="s">
        <v>718</v>
      </c>
      <c r="B191" s="5">
        <v>1</v>
      </c>
      <c r="C191" s="5"/>
      <c r="D191" s="5"/>
      <c r="E191" s="5"/>
      <c r="F191" s="5"/>
      <c r="G191" s="5"/>
      <c r="H191" s="5"/>
      <c r="I191" s="5"/>
      <c r="J191" s="5"/>
      <c r="M191" t="s">
        <v>536</v>
      </c>
      <c r="N191">
        <v>1</v>
      </c>
    </row>
    <row r="192" spans="1:18" x14ac:dyDescent="0.25">
      <c r="A192" t="s">
        <v>535</v>
      </c>
      <c r="B192" s="5">
        <v>1</v>
      </c>
      <c r="C192" s="5"/>
      <c r="D192" s="5"/>
      <c r="E192" s="5"/>
      <c r="F192" s="5"/>
      <c r="G192" s="5"/>
      <c r="H192" s="5"/>
      <c r="I192" s="5"/>
      <c r="J192" s="5"/>
      <c r="M192" t="s">
        <v>1249</v>
      </c>
      <c r="Q192">
        <v>1</v>
      </c>
    </row>
    <row r="193" spans="1:17" x14ac:dyDescent="0.25">
      <c r="A193" t="s">
        <v>621</v>
      </c>
      <c r="B193" s="5"/>
      <c r="C193" s="5"/>
      <c r="D193" s="5"/>
      <c r="E193" s="5">
        <v>1</v>
      </c>
      <c r="F193" s="5">
        <v>1</v>
      </c>
      <c r="G193" s="5"/>
      <c r="H193" s="5"/>
      <c r="I193" s="5"/>
      <c r="J193" s="5"/>
      <c r="M193" t="s">
        <v>565</v>
      </c>
      <c r="N193">
        <v>1</v>
      </c>
      <c r="Q193">
        <v>1</v>
      </c>
    </row>
    <row r="194" spans="1:17" x14ac:dyDescent="0.25">
      <c r="A194" t="s">
        <v>481</v>
      </c>
      <c r="B194" s="5">
        <v>2</v>
      </c>
      <c r="C194" s="5">
        <v>1</v>
      </c>
      <c r="D194" s="5">
        <v>1</v>
      </c>
      <c r="E194" s="5">
        <v>1</v>
      </c>
      <c r="F194" s="5">
        <v>1</v>
      </c>
      <c r="G194" s="5">
        <v>1</v>
      </c>
      <c r="H194" s="5"/>
      <c r="I194" s="5"/>
      <c r="J194" s="5"/>
      <c r="M194" t="s">
        <v>450</v>
      </c>
      <c r="Q194">
        <v>1</v>
      </c>
    </row>
    <row r="195" spans="1:17" x14ac:dyDescent="0.25">
      <c r="A195" t="s">
        <v>459</v>
      </c>
      <c r="B195" s="5"/>
      <c r="C195" s="5"/>
      <c r="D195" s="5"/>
      <c r="E195" s="5">
        <v>1</v>
      </c>
      <c r="F195" s="5">
        <v>1</v>
      </c>
      <c r="G195" s="5"/>
      <c r="H195" s="5"/>
      <c r="I195" s="5"/>
      <c r="J195" s="5"/>
      <c r="M195" t="s">
        <v>606</v>
      </c>
      <c r="N195">
        <v>1</v>
      </c>
    </row>
    <row r="196" spans="1:17" x14ac:dyDescent="0.25">
      <c r="A196" t="s">
        <v>575</v>
      </c>
      <c r="B196" s="5">
        <v>1</v>
      </c>
      <c r="C196" s="5">
        <v>1</v>
      </c>
      <c r="D196" s="5"/>
      <c r="E196" s="5"/>
      <c r="F196" s="5"/>
      <c r="G196" s="5"/>
      <c r="H196" s="5"/>
      <c r="I196" s="5"/>
      <c r="J196" s="5"/>
      <c r="M196" t="s">
        <v>495</v>
      </c>
      <c r="Q196">
        <v>1</v>
      </c>
    </row>
    <row r="197" spans="1:17" x14ac:dyDescent="0.25">
      <c r="A197" t="s">
        <v>519</v>
      </c>
      <c r="B197" s="5">
        <v>1</v>
      </c>
      <c r="C197" s="5">
        <v>1</v>
      </c>
      <c r="D197" s="5"/>
      <c r="E197" s="5"/>
      <c r="F197" s="5"/>
      <c r="G197" s="5"/>
      <c r="H197" s="5"/>
      <c r="I197" s="5"/>
      <c r="J197" s="5"/>
      <c r="M197" t="s">
        <v>745</v>
      </c>
      <c r="Q197">
        <v>1</v>
      </c>
    </row>
    <row r="198" spans="1:17" x14ac:dyDescent="0.25">
      <c r="A198" t="s">
        <v>744</v>
      </c>
      <c r="B198" s="5"/>
      <c r="C198" s="5"/>
      <c r="D198" s="5"/>
      <c r="E198" s="5">
        <v>1</v>
      </c>
      <c r="F198" s="5">
        <v>1</v>
      </c>
      <c r="G198" s="5"/>
      <c r="H198" s="5"/>
      <c r="I198" s="5"/>
      <c r="J198" s="5"/>
      <c r="M198" t="s">
        <v>508</v>
      </c>
      <c r="N198">
        <v>1</v>
      </c>
    </row>
    <row r="199" spans="1:17" x14ac:dyDescent="0.25">
      <c r="A199" t="s">
        <v>490</v>
      </c>
      <c r="B199" s="5"/>
      <c r="C199" s="5"/>
      <c r="D199" s="5"/>
      <c r="E199" s="5">
        <v>1</v>
      </c>
      <c r="F199" s="5">
        <v>1</v>
      </c>
      <c r="G199" s="5"/>
      <c r="H199" s="5"/>
      <c r="I199" s="5"/>
      <c r="J199" s="5"/>
      <c r="M199" t="s">
        <v>538</v>
      </c>
      <c r="N199">
        <v>1</v>
      </c>
      <c r="Q199">
        <v>1</v>
      </c>
    </row>
    <row r="200" spans="1:17" x14ac:dyDescent="0.25">
      <c r="A200" t="s">
        <v>587</v>
      </c>
      <c r="B200" s="5"/>
      <c r="C200" s="5">
        <v>1</v>
      </c>
      <c r="D200" s="5"/>
      <c r="E200" s="5"/>
      <c r="F200" s="5"/>
      <c r="G200" s="5"/>
      <c r="H200" s="5"/>
      <c r="I200" s="5"/>
      <c r="J200" s="5"/>
      <c r="M200" t="s">
        <v>552</v>
      </c>
      <c r="N200">
        <v>1</v>
      </c>
    </row>
    <row r="201" spans="1:17" x14ac:dyDescent="0.25">
      <c r="A201" t="s">
        <v>534</v>
      </c>
      <c r="B201" s="5"/>
      <c r="C201" s="5"/>
      <c r="D201" s="5"/>
      <c r="E201" s="5">
        <v>1</v>
      </c>
      <c r="F201" s="5">
        <v>1</v>
      </c>
      <c r="G201" s="5"/>
      <c r="H201" s="5"/>
      <c r="I201" s="5"/>
      <c r="J201" s="5"/>
      <c r="M201" t="s">
        <v>1322</v>
      </c>
      <c r="Q201">
        <v>1</v>
      </c>
    </row>
    <row r="202" spans="1:17" x14ac:dyDescent="0.25">
      <c r="A202" t="s">
        <v>592</v>
      </c>
      <c r="B202" s="5"/>
      <c r="C202" s="5"/>
      <c r="D202" s="5"/>
      <c r="E202" s="5">
        <v>1</v>
      </c>
      <c r="F202" s="5">
        <v>1</v>
      </c>
      <c r="G202" s="5"/>
      <c r="H202" s="5"/>
      <c r="I202" s="5"/>
      <c r="J202" s="5"/>
      <c r="M202" t="s">
        <v>516</v>
      </c>
      <c r="N202">
        <v>1</v>
      </c>
    </row>
    <row r="203" spans="1:17" x14ac:dyDescent="0.25">
      <c r="A203" t="s">
        <v>545</v>
      </c>
      <c r="B203" s="5">
        <v>1</v>
      </c>
      <c r="C203" s="5"/>
      <c r="D203" s="5"/>
      <c r="E203" s="5"/>
      <c r="F203" s="5"/>
      <c r="G203" s="5"/>
      <c r="H203" s="5"/>
      <c r="I203" s="5"/>
      <c r="J203" s="5"/>
    </row>
    <row r="204" spans="1:17" x14ac:dyDescent="0.25">
      <c r="A204" t="s">
        <v>548</v>
      </c>
      <c r="B204" s="5">
        <v>1</v>
      </c>
      <c r="C204" s="5">
        <v>1</v>
      </c>
      <c r="D204" s="5"/>
      <c r="E204" s="5"/>
      <c r="F204" s="5"/>
      <c r="G204" s="5"/>
      <c r="H204" s="5"/>
      <c r="I204" s="5"/>
      <c r="J204" s="5"/>
    </row>
    <row r="205" spans="1:17" x14ac:dyDescent="0.25">
      <c r="A205" t="s">
        <v>713</v>
      </c>
      <c r="B205" s="5">
        <v>1</v>
      </c>
      <c r="C205" s="5">
        <v>1</v>
      </c>
      <c r="D205" s="5">
        <v>1</v>
      </c>
      <c r="E205" s="5">
        <v>1</v>
      </c>
      <c r="F205" s="5">
        <v>1</v>
      </c>
      <c r="G205" s="5">
        <v>1</v>
      </c>
      <c r="H205" s="5"/>
      <c r="I205" s="5"/>
      <c r="J205" s="5"/>
    </row>
    <row r="206" spans="1:17" x14ac:dyDescent="0.25">
      <c r="A206" t="s">
        <v>579</v>
      </c>
      <c r="B206" s="5">
        <v>1</v>
      </c>
      <c r="C206" s="5"/>
      <c r="D206" s="5"/>
      <c r="E206" s="5"/>
      <c r="F206" s="5"/>
      <c r="G206" s="5"/>
      <c r="H206" s="5"/>
      <c r="I206" s="5"/>
      <c r="J206" s="5"/>
    </row>
    <row r="207" spans="1:17" x14ac:dyDescent="0.25">
      <c r="A207" t="s">
        <v>721</v>
      </c>
      <c r="B207" s="5"/>
      <c r="C207" s="5"/>
      <c r="D207" s="5"/>
      <c r="E207" s="5">
        <v>1</v>
      </c>
      <c r="F207" s="5"/>
      <c r="G207" s="5"/>
      <c r="H207" s="5"/>
      <c r="I207" s="5"/>
      <c r="J207" s="5"/>
    </row>
    <row r="208" spans="1:17" x14ac:dyDescent="0.25">
      <c r="A208" t="s">
        <v>455</v>
      </c>
      <c r="B208" s="5"/>
      <c r="C208" s="5"/>
      <c r="D208" s="5"/>
      <c r="E208" s="5">
        <v>1</v>
      </c>
      <c r="F208" s="5"/>
      <c r="G208" s="5"/>
      <c r="H208" s="5"/>
      <c r="I208" s="5"/>
      <c r="J208" s="5"/>
    </row>
    <row r="209" spans="1:10" x14ac:dyDescent="0.25">
      <c r="A209" t="s">
        <v>502</v>
      </c>
      <c r="B209" s="5"/>
      <c r="C209" s="5"/>
      <c r="D209" s="5"/>
      <c r="E209" s="5">
        <v>1</v>
      </c>
      <c r="F209" s="5"/>
      <c r="G209" s="5"/>
      <c r="H209" s="5"/>
      <c r="I209" s="5"/>
      <c r="J209" s="5"/>
    </row>
    <row r="210" spans="1:10" x14ac:dyDescent="0.25">
      <c r="A210" t="s">
        <v>559</v>
      </c>
      <c r="B210" s="5">
        <v>1</v>
      </c>
      <c r="C210" s="5"/>
      <c r="D210" s="5"/>
      <c r="E210" s="5"/>
      <c r="F210" s="5"/>
      <c r="G210" s="5"/>
      <c r="H210" s="5"/>
      <c r="I210" s="5"/>
      <c r="J210" s="5"/>
    </row>
    <row r="211" spans="1:10" x14ac:dyDescent="0.25">
      <c r="A211" t="s">
        <v>530</v>
      </c>
      <c r="B211" s="5"/>
      <c r="C211" s="5"/>
      <c r="D211" s="5"/>
      <c r="E211" s="5">
        <v>1</v>
      </c>
      <c r="F211" s="5"/>
      <c r="G211" s="5"/>
      <c r="H211" s="5"/>
      <c r="I211" s="5"/>
      <c r="J211" s="5"/>
    </row>
    <row r="212" spans="1:10" x14ac:dyDescent="0.25">
      <c r="A212" t="s">
        <v>577</v>
      </c>
      <c r="B212" s="5">
        <v>1</v>
      </c>
      <c r="C212" s="5"/>
      <c r="D212" s="5"/>
      <c r="E212" s="5">
        <v>1</v>
      </c>
      <c r="F212" s="5"/>
      <c r="G212" s="5"/>
      <c r="H212" s="5"/>
      <c r="I212" s="5"/>
      <c r="J212" s="5"/>
    </row>
    <row r="213" spans="1:10" x14ac:dyDescent="0.25">
      <c r="A213" t="s">
        <v>598</v>
      </c>
      <c r="B213" s="5"/>
      <c r="C213" s="5"/>
      <c r="D213" s="5"/>
      <c r="E213" s="5">
        <v>1</v>
      </c>
      <c r="F213" s="5">
        <v>1</v>
      </c>
      <c r="G213" s="5"/>
      <c r="H213" s="5"/>
      <c r="I213" s="5"/>
      <c r="J213" s="5"/>
    </row>
    <row r="214" spans="1:10" x14ac:dyDescent="0.25">
      <c r="A214" t="s">
        <v>636</v>
      </c>
      <c r="B214" s="5">
        <v>1</v>
      </c>
      <c r="C214" s="5"/>
      <c r="D214" s="5"/>
      <c r="E214" s="5"/>
      <c r="F214" s="5"/>
      <c r="G214" s="5"/>
      <c r="H214" s="5"/>
      <c r="I214" s="5"/>
      <c r="J214" s="5"/>
    </row>
    <row r="215" spans="1:10" x14ac:dyDescent="0.25">
      <c r="A215" t="s">
        <v>700</v>
      </c>
      <c r="B215" s="5">
        <v>1</v>
      </c>
      <c r="C215" s="5"/>
      <c r="D215" s="5"/>
      <c r="E215" s="5">
        <v>1</v>
      </c>
      <c r="F215" s="5"/>
      <c r="G215" s="5"/>
      <c r="H215" s="5"/>
      <c r="I215" s="5"/>
      <c r="J215" s="5"/>
    </row>
    <row r="216" spans="1:10" x14ac:dyDescent="0.25">
      <c r="A216" t="s">
        <v>522</v>
      </c>
      <c r="B216" s="5">
        <v>1</v>
      </c>
      <c r="C216" s="5"/>
      <c r="D216" s="5"/>
      <c r="E216" s="5">
        <v>1</v>
      </c>
      <c r="F216" s="5"/>
      <c r="G216" s="5"/>
      <c r="H216" s="5"/>
      <c r="I216" s="5"/>
      <c r="J216" s="5"/>
    </row>
    <row r="217" spans="1:10" x14ac:dyDescent="0.25">
      <c r="A217" t="s">
        <v>576</v>
      </c>
      <c r="B217" s="5">
        <v>1</v>
      </c>
      <c r="C217" s="5"/>
      <c r="D217" s="5"/>
      <c r="E217" s="5"/>
      <c r="F217" s="5"/>
      <c r="G217" s="5"/>
      <c r="H217" s="5"/>
      <c r="I217" s="5"/>
      <c r="J217" s="5"/>
    </row>
    <row r="218" spans="1:10" x14ac:dyDescent="0.25">
      <c r="A218" t="s">
        <v>752</v>
      </c>
      <c r="B218" s="5"/>
      <c r="C218" s="5"/>
      <c r="D218" s="5"/>
      <c r="E218" s="5">
        <v>1</v>
      </c>
      <c r="F218" s="5"/>
      <c r="G218" s="5"/>
      <c r="H218" s="5"/>
      <c r="I218" s="5"/>
      <c r="J218" s="5"/>
    </row>
    <row r="219" spans="1:10" x14ac:dyDescent="0.25">
      <c r="A219" t="s">
        <v>537</v>
      </c>
      <c r="B219" s="5">
        <v>1</v>
      </c>
      <c r="C219" s="5"/>
      <c r="D219" s="5"/>
      <c r="E219" s="5"/>
      <c r="F219" s="5"/>
      <c r="G219" s="5"/>
      <c r="H219" s="5"/>
      <c r="I219" s="5"/>
      <c r="J219" s="5"/>
    </row>
    <row r="220" spans="1:10" x14ac:dyDescent="0.25">
      <c r="A220" t="s">
        <v>468</v>
      </c>
      <c r="B220" s="5">
        <v>1</v>
      </c>
      <c r="C220" s="5"/>
      <c r="D220" s="5"/>
      <c r="E220" s="5">
        <v>1</v>
      </c>
      <c r="F220" s="5"/>
      <c r="G220" s="5"/>
      <c r="H220" s="5"/>
      <c r="I220" s="5"/>
      <c r="J220" s="5"/>
    </row>
    <row r="221" spans="1:10" x14ac:dyDescent="0.25">
      <c r="A221" t="s">
        <v>476</v>
      </c>
      <c r="B221" s="5">
        <v>1</v>
      </c>
      <c r="C221" s="5"/>
      <c r="D221" s="5"/>
      <c r="E221" s="5">
        <v>1</v>
      </c>
      <c r="F221" s="5"/>
      <c r="G221" s="5"/>
      <c r="H221" s="5"/>
      <c r="I221" s="5"/>
      <c r="J221" s="5"/>
    </row>
    <row r="222" spans="1:10" x14ac:dyDescent="0.25">
      <c r="A222" t="s">
        <v>544</v>
      </c>
      <c r="B222" s="5">
        <v>1</v>
      </c>
      <c r="C222" s="5"/>
      <c r="D222" s="5"/>
      <c r="E222" s="5"/>
      <c r="F222" s="5"/>
      <c r="G222" s="5"/>
      <c r="H222" s="5"/>
      <c r="I222" s="5"/>
      <c r="J222" s="5"/>
    </row>
    <row r="223" spans="1:10" x14ac:dyDescent="0.25">
      <c r="A223" t="s">
        <v>708</v>
      </c>
      <c r="B223" s="5">
        <v>1</v>
      </c>
      <c r="C223" s="5"/>
      <c r="D223" s="5">
        <v>1</v>
      </c>
      <c r="E223" s="5"/>
      <c r="F223" s="5"/>
      <c r="G223" s="5"/>
      <c r="H223" s="5"/>
      <c r="I223" s="5"/>
      <c r="J223" s="5"/>
    </row>
    <row r="224" spans="1:10" x14ac:dyDescent="0.25">
      <c r="A224" t="s">
        <v>529</v>
      </c>
      <c r="B224" s="5"/>
      <c r="C224" s="5"/>
      <c r="D224" s="5"/>
      <c r="E224" s="5">
        <v>1</v>
      </c>
      <c r="F224" s="5"/>
      <c r="G224" s="5"/>
      <c r="H224" s="5"/>
      <c r="I224" s="5"/>
      <c r="J224" s="5"/>
    </row>
    <row r="225" spans="1:10" x14ac:dyDescent="0.25">
      <c r="A225" t="s">
        <v>475</v>
      </c>
      <c r="B225" s="5">
        <v>1</v>
      </c>
      <c r="C225" s="5">
        <v>1</v>
      </c>
      <c r="D225" s="5"/>
      <c r="E225" s="5"/>
      <c r="F225" s="5"/>
      <c r="G225" s="5"/>
      <c r="H225" s="5"/>
      <c r="I225" s="5"/>
      <c r="J225" s="5"/>
    </row>
    <row r="226" spans="1:10" x14ac:dyDescent="0.25">
      <c r="A226" t="s">
        <v>641</v>
      </c>
      <c r="B226" s="5">
        <v>1</v>
      </c>
      <c r="C226" s="5">
        <v>1</v>
      </c>
      <c r="D226" s="5"/>
      <c r="E226" s="5"/>
      <c r="F226" s="5"/>
      <c r="G226" s="5"/>
      <c r="H226" s="5"/>
      <c r="I226" s="5"/>
      <c r="J226" s="5"/>
    </row>
    <row r="227" spans="1:10" x14ac:dyDescent="0.25">
      <c r="A227" t="s">
        <v>462</v>
      </c>
      <c r="B227" s="5">
        <v>1</v>
      </c>
      <c r="C227" s="5"/>
      <c r="D227" s="5"/>
      <c r="E227" s="5"/>
      <c r="F227" s="5"/>
      <c r="G227" s="5"/>
      <c r="H227" s="5"/>
      <c r="I227" s="5"/>
      <c r="J227" s="5"/>
    </row>
    <row r="228" spans="1:10" x14ac:dyDescent="0.25">
      <c r="A228" t="s">
        <v>448</v>
      </c>
      <c r="B228" s="5"/>
      <c r="C228" s="5"/>
      <c r="D228" s="5"/>
      <c r="E228" s="5">
        <v>1</v>
      </c>
      <c r="F228" s="5"/>
      <c r="G228" s="5"/>
      <c r="H228" s="5"/>
      <c r="I228" s="5"/>
      <c r="J228" s="5"/>
    </row>
    <row r="229" spans="1:10" x14ac:dyDescent="0.25">
      <c r="A229" t="s">
        <v>506</v>
      </c>
      <c r="B229" s="5">
        <v>1</v>
      </c>
      <c r="C229" s="5"/>
      <c r="D229" s="5"/>
      <c r="E229" s="5">
        <v>1</v>
      </c>
      <c r="F229" s="5"/>
      <c r="G229" s="5"/>
      <c r="H229" s="5"/>
      <c r="I229" s="5"/>
      <c r="J229" s="5"/>
    </row>
    <row r="230" spans="1:10" x14ac:dyDescent="0.25">
      <c r="A230" t="s">
        <v>493</v>
      </c>
      <c r="B230" s="5"/>
      <c r="C230" s="5"/>
      <c r="D230" s="5"/>
      <c r="E230" s="5">
        <v>1</v>
      </c>
      <c r="F230" s="5"/>
      <c r="G230" s="5"/>
      <c r="H230" s="5"/>
      <c r="I230" s="5"/>
      <c r="J230" s="5"/>
    </row>
    <row r="231" spans="1:10" x14ac:dyDescent="0.25">
      <c r="A231" t="s">
        <v>734</v>
      </c>
      <c r="B231" s="5">
        <v>1</v>
      </c>
      <c r="C231" s="5"/>
      <c r="D231" s="5"/>
      <c r="E231" s="5"/>
      <c r="F231" s="5"/>
      <c r="G231" s="5"/>
      <c r="H231" s="5"/>
      <c r="I231" s="5"/>
      <c r="J231" s="5"/>
    </row>
    <row r="232" spans="1:10" x14ac:dyDescent="0.25">
      <c r="A232" t="s">
        <v>536</v>
      </c>
      <c r="B232" s="5">
        <v>1</v>
      </c>
      <c r="C232" s="5"/>
      <c r="D232" s="5"/>
      <c r="E232" s="5"/>
      <c r="F232" s="5"/>
      <c r="G232" s="5"/>
      <c r="H232" s="5"/>
      <c r="I232" s="5"/>
      <c r="J232" s="5"/>
    </row>
    <row r="233" spans="1:10" x14ac:dyDescent="0.25">
      <c r="A233" t="s">
        <v>521</v>
      </c>
      <c r="B233" s="5"/>
      <c r="C233" s="5"/>
      <c r="D233" s="5"/>
      <c r="E233" s="5">
        <v>1</v>
      </c>
      <c r="F233" s="5"/>
      <c r="G233" s="5"/>
      <c r="H233" s="5"/>
      <c r="I233" s="5"/>
      <c r="J233" s="5"/>
    </row>
    <row r="234" spans="1:10" x14ac:dyDescent="0.25">
      <c r="A234" t="s">
        <v>581</v>
      </c>
      <c r="B234" s="5"/>
      <c r="C234" s="5"/>
      <c r="D234" s="5"/>
      <c r="E234" s="5">
        <v>1</v>
      </c>
      <c r="F234" s="5"/>
      <c r="G234" s="5"/>
      <c r="H234" s="5"/>
      <c r="I234" s="5"/>
      <c r="J234" s="5"/>
    </row>
    <row r="235" spans="1:10" x14ac:dyDescent="0.25">
      <c r="A235" t="s">
        <v>644</v>
      </c>
      <c r="B235" s="5">
        <v>1</v>
      </c>
      <c r="C235" s="5"/>
      <c r="D235" s="5"/>
      <c r="E235" s="5">
        <v>1</v>
      </c>
      <c r="F235" s="5"/>
      <c r="G235" s="5"/>
      <c r="H235" s="5"/>
      <c r="I235" s="5"/>
      <c r="J235" s="5"/>
    </row>
    <row r="236" spans="1:10" x14ac:dyDescent="0.25">
      <c r="A236" t="s">
        <v>637</v>
      </c>
      <c r="B236" s="5">
        <v>1</v>
      </c>
      <c r="C236" s="5"/>
      <c r="D236" s="5"/>
      <c r="E236" s="5"/>
      <c r="F236" s="5"/>
      <c r="G236" s="5"/>
      <c r="H236" s="5"/>
      <c r="I236" s="5"/>
      <c r="J236" s="5"/>
    </row>
    <row r="237" spans="1:10" x14ac:dyDescent="0.25">
      <c r="A237" t="s">
        <v>565</v>
      </c>
      <c r="B237" s="5">
        <v>1</v>
      </c>
      <c r="C237" s="5"/>
      <c r="D237" s="5"/>
      <c r="E237" s="5">
        <v>1</v>
      </c>
      <c r="F237" s="5"/>
      <c r="G237" s="5"/>
      <c r="H237" s="5"/>
      <c r="I237" s="5"/>
      <c r="J237" s="5"/>
    </row>
    <row r="238" spans="1:10" x14ac:dyDescent="0.25">
      <c r="A238" t="s">
        <v>450</v>
      </c>
      <c r="B238" s="5"/>
      <c r="C238" s="5"/>
      <c r="D238" s="5"/>
      <c r="E238" s="5">
        <v>1</v>
      </c>
      <c r="F238" s="5"/>
      <c r="G238" s="5"/>
      <c r="H238" s="5"/>
      <c r="I238" s="5"/>
      <c r="J238" s="5"/>
    </row>
    <row r="239" spans="1:10" x14ac:dyDescent="0.25">
      <c r="A239" t="s">
        <v>606</v>
      </c>
      <c r="B239" s="5">
        <v>1</v>
      </c>
      <c r="C239" s="5"/>
      <c r="D239" s="5"/>
      <c r="E239" s="5"/>
      <c r="F239" s="5"/>
      <c r="G239" s="5"/>
      <c r="H239" s="5"/>
      <c r="I239" s="5"/>
      <c r="J239" s="5"/>
    </row>
    <row r="240" spans="1:10" x14ac:dyDescent="0.25">
      <c r="A240" t="s">
        <v>578</v>
      </c>
      <c r="B240" s="5">
        <v>1</v>
      </c>
      <c r="C240" s="5"/>
      <c r="D240" s="5"/>
      <c r="E240" s="5"/>
      <c r="F240" s="5"/>
      <c r="G240" s="5"/>
      <c r="H240" s="5"/>
      <c r="I240" s="5"/>
      <c r="J240" s="5"/>
    </row>
    <row r="241" spans="1:10" x14ac:dyDescent="0.25">
      <c r="A241" t="s">
        <v>609</v>
      </c>
      <c r="B241" s="5">
        <v>1</v>
      </c>
      <c r="C241" s="5"/>
      <c r="D241" s="5"/>
      <c r="E241" s="5"/>
      <c r="F241" s="5"/>
      <c r="G241" s="5"/>
      <c r="H241" s="5"/>
      <c r="I241" s="5"/>
      <c r="J241" s="5"/>
    </row>
    <row r="242" spans="1:10" x14ac:dyDescent="0.25">
      <c r="A242" t="s">
        <v>616</v>
      </c>
      <c r="B242" s="5">
        <v>1</v>
      </c>
      <c r="C242" s="5"/>
      <c r="D242" s="5"/>
      <c r="E242" s="5"/>
      <c r="F242" s="5"/>
      <c r="G242" s="5"/>
      <c r="H242" s="5"/>
      <c r="I242" s="5"/>
      <c r="J242" s="5"/>
    </row>
    <row r="243" spans="1:10" x14ac:dyDescent="0.25">
      <c r="A243" t="s">
        <v>495</v>
      </c>
      <c r="B243" s="5"/>
      <c r="C243" s="5"/>
      <c r="D243" s="5"/>
      <c r="E243" s="5">
        <v>1</v>
      </c>
      <c r="F243" s="5"/>
      <c r="G243" s="5"/>
      <c r="H243" s="5"/>
      <c r="I243" s="5"/>
      <c r="J243" s="5"/>
    </row>
    <row r="244" spans="1:10" x14ac:dyDescent="0.25">
      <c r="A244" t="s">
        <v>745</v>
      </c>
      <c r="B244" s="5"/>
      <c r="C244" s="5"/>
      <c r="D244" s="5"/>
      <c r="E244" s="5">
        <v>1</v>
      </c>
      <c r="F244" s="5"/>
      <c r="G244" s="5"/>
      <c r="H244" s="5"/>
      <c r="I244" s="5"/>
      <c r="J244" s="5"/>
    </row>
    <row r="245" spans="1:10" x14ac:dyDescent="0.25">
      <c r="A245" t="s">
        <v>508</v>
      </c>
      <c r="B245" s="5">
        <v>1</v>
      </c>
      <c r="C245" s="5"/>
      <c r="D245" s="5"/>
      <c r="E245" s="5"/>
      <c r="F245" s="5"/>
      <c r="G245" s="5"/>
      <c r="H245" s="5"/>
      <c r="I245" s="5"/>
      <c r="J245" s="5"/>
    </row>
    <row r="246" spans="1:10" x14ac:dyDescent="0.25">
      <c r="A246" t="s">
        <v>538</v>
      </c>
      <c r="B246" s="5">
        <v>1</v>
      </c>
      <c r="C246" s="5"/>
      <c r="D246" s="5"/>
      <c r="E246" s="5"/>
      <c r="F246" s="5"/>
      <c r="G246" s="5"/>
      <c r="H246" s="5"/>
      <c r="I246" s="5"/>
      <c r="J246" s="5"/>
    </row>
    <row r="247" spans="1:10" x14ac:dyDescent="0.25">
      <c r="A247" t="s">
        <v>552</v>
      </c>
      <c r="B247" s="5">
        <v>1</v>
      </c>
      <c r="C247" s="5"/>
      <c r="D247" s="5"/>
      <c r="E247" s="5"/>
      <c r="F247" s="5"/>
      <c r="G247" s="5"/>
      <c r="H247" s="5"/>
      <c r="I247" s="5"/>
      <c r="J247" s="5"/>
    </row>
    <row r="248" spans="1:10" x14ac:dyDescent="0.25">
      <c r="A248" t="s">
        <v>516</v>
      </c>
      <c r="B248" s="5">
        <v>1</v>
      </c>
      <c r="C248" s="5"/>
      <c r="D248" s="5"/>
      <c r="E248" s="5"/>
      <c r="F248" s="5"/>
      <c r="G248" s="5"/>
      <c r="H248" s="5"/>
      <c r="I248" s="5"/>
      <c r="J248" s="5"/>
    </row>
    <row r="249" spans="1:10" x14ac:dyDescent="0.25">
      <c r="A249" t="s">
        <v>624</v>
      </c>
      <c r="B249" s="5">
        <v>1</v>
      </c>
      <c r="C249" s="5"/>
      <c r="D249" s="5"/>
      <c r="E249" s="5"/>
      <c r="F249" s="5"/>
      <c r="G249" s="5"/>
      <c r="H249" s="5"/>
      <c r="I249" s="5"/>
      <c r="J249" s="5"/>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8"/>
  <sheetViews>
    <sheetView zoomScale="85" zoomScaleNormal="85" workbookViewId="0">
      <selection activeCell="AF118" sqref="AF118"/>
    </sheetView>
  </sheetViews>
  <sheetFormatPr defaultRowHeight="15" x14ac:dyDescent="0.25"/>
  <cols>
    <col min="1" max="1" width="11.25" style="316" bestFit="1" customWidth="1"/>
    <col min="2" max="2" width="65.875" style="316" bestFit="1" customWidth="1"/>
    <col min="3" max="3" width="11.625" style="316" bestFit="1" customWidth="1"/>
    <col min="4" max="4" width="159" style="316" customWidth="1"/>
    <col min="5" max="16384" width="9" style="316"/>
  </cols>
  <sheetData>
    <row r="1" spans="1:4" x14ac:dyDescent="0.25">
      <c r="A1" s="317" t="s">
        <v>335</v>
      </c>
      <c r="B1" s="316" t="s">
        <v>221</v>
      </c>
      <c r="D1" s="316" t="s">
        <v>1334</v>
      </c>
    </row>
    <row r="2" spans="1:4" x14ac:dyDescent="0.25">
      <c r="B2" s="316" t="s">
        <v>205</v>
      </c>
      <c r="C2" s="317" t="s">
        <v>350</v>
      </c>
      <c r="D2" s="316" t="s">
        <v>1335</v>
      </c>
    </row>
    <row r="3" spans="1:4" x14ac:dyDescent="0.25">
      <c r="B3" s="316" t="s">
        <v>410</v>
      </c>
      <c r="C3" s="317" t="s">
        <v>352</v>
      </c>
      <c r="D3" s="316" t="s">
        <v>1336</v>
      </c>
    </row>
    <row r="4" spans="1:4" x14ac:dyDescent="0.25">
      <c r="B4" s="316" t="s">
        <v>413</v>
      </c>
      <c r="C4" s="315" t="s">
        <v>353</v>
      </c>
    </row>
    <row r="5" spans="1:4" x14ac:dyDescent="0.25">
      <c r="B5" s="316" t="s">
        <v>414</v>
      </c>
      <c r="C5" s="315" t="s">
        <v>354</v>
      </c>
    </row>
    <row r="6" spans="1:4" x14ac:dyDescent="0.25">
      <c r="B6" s="316" t="s">
        <v>445</v>
      </c>
      <c r="C6" s="315" t="s">
        <v>355</v>
      </c>
    </row>
    <row r="7" spans="1:4" x14ac:dyDescent="0.25">
      <c r="B7" s="316" t="s">
        <v>213</v>
      </c>
      <c r="C7" s="315" t="s">
        <v>356</v>
      </c>
    </row>
    <row r="8" spans="1:4" x14ac:dyDescent="0.25">
      <c r="B8" s="316" t="s">
        <v>482</v>
      </c>
      <c r="C8" s="315" t="s">
        <v>357</v>
      </c>
    </row>
    <row r="9" spans="1:4" ht="30" x14ac:dyDescent="0.25">
      <c r="A9" s="318" t="s">
        <v>337</v>
      </c>
      <c r="B9" s="316" t="s">
        <v>221</v>
      </c>
      <c r="D9" s="319" t="s">
        <v>1337</v>
      </c>
    </row>
    <row r="10" spans="1:4" x14ac:dyDescent="0.25">
      <c r="B10" s="316" t="s">
        <v>205</v>
      </c>
      <c r="C10" s="317" t="s">
        <v>350</v>
      </c>
      <c r="D10" s="316" t="s">
        <v>1335</v>
      </c>
    </row>
    <row r="11" spans="1:4" x14ac:dyDescent="0.25">
      <c r="B11" s="316" t="s">
        <v>413</v>
      </c>
      <c r="C11" s="315" t="s">
        <v>353</v>
      </c>
    </row>
    <row r="12" spans="1:4" x14ac:dyDescent="0.25">
      <c r="B12" s="316" t="s">
        <v>414</v>
      </c>
      <c r="C12" s="315" t="s">
        <v>354</v>
      </c>
    </row>
    <row r="13" spans="1:4" x14ac:dyDescent="0.25">
      <c r="B13" s="316" t="s">
        <v>445</v>
      </c>
      <c r="C13" s="315" t="s">
        <v>355</v>
      </c>
    </row>
    <row r="14" spans="1:4" x14ac:dyDescent="0.25">
      <c r="B14" s="316" t="s">
        <v>213</v>
      </c>
      <c r="C14" s="315" t="s">
        <v>356</v>
      </c>
    </row>
    <row r="15" spans="1:4" x14ac:dyDescent="0.25">
      <c r="B15" s="316" t="s">
        <v>482</v>
      </c>
      <c r="C15" s="315" t="s">
        <v>357</v>
      </c>
    </row>
    <row r="16" spans="1:4" x14ac:dyDescent="0.25">
      <c r="A16" s="317" t="s">
        <v>338</v>
      </c>
      <c r="B16" s="316" t="s">
        <v>221</v>
      </c>
      <c r="D16" s="316" t="s">
        <v>1338</v>
      </c>
    </row>
    <row r="17" spans="1:4" x14ac:dyDescent="0.25">
      <c r="B17" s="316" t="s">
        <v>205</v>
      </c>
      <c r="C17" s="317" t="s">
        <v>350</v>
      </c>
      <c r="D17" s="316" t="s">
        <v>1335</v>
      </c>
    </row>
    <row r="18" spans="1:4" ht="15.75" x14ac:dyDescent="0.25">
      <c r="B18" s="316" t="s">
        <v>412</v>
      </c>
      <c r="C18" s="317" t="s">
        <v>358</v>
      </c>
      <c r="D18" s="322" t="s">
        <v>1339</v>
      </c>
    </row>
    <row r="19" spans="1:4" x14ac:dyDescent="0.25">
      <c r="B19" s="316" t="s">
        <v>413</v>
      </c>
      <c r="C19" s="315" t="s">
        <v>353</v>
      </c>
    </row>
    <row r="20" spans="1:4" x14ac:dyDescent="0.25">
      <c r="B20" s="316" t="s">
        <v>414</v>
      </c>
      <c r="C20" s="315" t="s">
        <v>354</v>
      </c>
    </row>
    <row r="21" spans="1:4" x14ac:dyDescent="0.25">
      <c r="B21" s="316" t="s">
        <v>445</v>
      </c>
      <c r="C21" s="315" t="s">
        <v>355</v>
      </c>
    </row>
    <row r="22" spans="1:4" x14ac:dyDescent="0.25">
      <c r="B22" s="316" t="s">
        <v>213</v>
      </c>
      <c r="C22" s="315" t="s">
        <v>356</v>
      </c>
    </row>
    <row r="23" spans="1:4" x14ac:dyDescent="0.25">
      <c r="B23" s="316" t="s">
        <v>482</v>
      </c>
      <c r="C23" s="315" t="s">
        <v>357</v>
      </c>
    </row>
    <row r="24" spans="1:4" x14ac:dyDescent="0.25">
      <c r="A24" s="315" t="s">
        <v>339</v>
      </c>
      <c r="B24" s="316" t="s">
        <v>221</v>
      </c>
    </row>
    <row r="25" spans="1:4" x14ac:dyDescent="0.25">
      <c r="B25" s="316" t="s">
        <v>205</v>
      </c>
      <c r="C25" s="317" t="s">
        <v>350</v>
      </c>
      <c r="D25" s="316" t="s">
        <v>1335</v>
      </c>
    </row>
    <row r="26" spans="1:4" ht="31.5" x14ac:dyDescent="0.25">
      <c r="B26" s="316" t="s">
        <v>402</v>
      </c>
      <c r="C26" s="320" t="s">
        <v>359</v>
      </c>
      <c r="D26" s="323" t="s">
        <v>1340</v>
      </c>
    </row>
    <row r="27" spans="1:4" x14ac:dyDescent="0.25">
      <c r="B27" s="316" t="s">
        <v>414</v>
      </c>
      <c r="C27" s="315" t="s">
        <v>354</v>
      </c>
    </row>
    <row r="28" spans="1:4" x14ac:dyDescent="0.25">
      <c r="B28" s="316" t="s">
        <v>445</v>
      </c>
      <c r="C28" s="315" t="s">
        <v>355</v>
      </c>
    </row>
    <row r="29" spans="1:4" x14ac:dyDescent="0.25">
      <c r="B29" s="316" t="s">
        <v>213</v>
      </c>
      <c r="C29" s="315" t="s">
        <v>356</v>
      </c>
    </row>
    <row r="30" spans="1:4" x14ac:dyDescent="0.25">
      <c r="B30" s="316" t="s">
        <v>482</v>
      </c>
      <c r="C30" s="315" t="s">
        <v>357</v>
      </c>
    </row>
    <row r="31" spans="1:4" x14ac:dyDescent="0.25">
      <c r="B31" s="316" t="s">
        <v>491</v>
      </c>
      <c r="C31" s="315" t="s">
        <v>360</v>
      </c>
    </row>
    <row r="32" spans="1:4" x14ac:dyDescent="0.25">
      <c r="B32" s="316" t="s">
        <v>505</v>
      </c>
      <c r="C32" s="315" t="s">
        <v>361</v>
      </c>
    </row>
    <row r="33" spans="1:4" x14ac:dyDescent="0.25">
      <c r="B33" s="316" t="s">
        <v>520</v>
      </c>
      <c r="C33" s="317" t="s">
        <v>217</v>
      </c>
      <c r="D33" s="316" t="s">
        <v>1341</v>
      </c>
    </row>
    <row r="34" spans="1:4" x14ac:dyDescent="0.25">
      <c r="A34" s="315" t="s">
        <v>340</v>
      </c>
      <c r="B34" s="316" t="s">
        <v>221</v>
      </c>
    </row>
    <row r="35" spans="1:4" x14ac:dyDescent="0.25">
      <c r="B35" s="316" t="s">
        <v>205</v>
      </c>
      <c r="C35" s="317" t="s">
        <v>350</v>
      </c>
      <c r="D35" s="316" t="s">
        <v>1335</v>
      </c>
    </row>
    <row r="36" spans="1:4" x14ac:dyDescent="0.25">
      <c r="B36" s="316" t="s">
        <v>403</v>
      </c>
      <c r="C36" s="315" t="s">
        <v>362</v>
      </c>
    </row>
    <row r="37" spans="1:4" x14ac:dyDescent="0.25">
      <c r="B37" s="316" t="s">
        <v>413</v>
      </c>
      <c r="C37" s="315" t="s">
        <v>353</v>
      </c>
    </row>
    <row r="38" spans="1:4" x14ac:dyDescent="0.25">
      <c r="B38" s="316" t="s">
        <v>213</v>
      </c>
      <c r="C38" s="315" t="s">
        <v>356</v>
      </c>
    </row>
    <row r="39" spans="1:4" x14ac:dyDescent="0.25">
      <c r="B39" s="316" t="s">
        <v>482</v>
      </c>
      <c r="C39" s="315" t="s">
        <v>357</v>
      </c>
    </row>
    <row r="40" spans="1:4" x14ac:dyDescent="0.25">
      <c r="B40" s="316" t="s">
        <v>491</v>
      </c>
      <c r="C40" s="315" t="s">
        <v>360</v>
      </c>
    </row>
    <row r="41" spans="1:4" x14ac:dyDescent="0.25">
      <c r="B41" s="316" t="s">
        <v>505</v>
      </c>
      <c r="C41" s="315" t="s">
        <v>361</v>
      </c>
    </row>
    <row r="42" spans="1:4" x14ac:dyDescent="0.25">
      <c r="B42" s="316" t="s">
        <v>520</v>
      </c>
      <c r="C42" s="317" t="s">
        <v>217</v>
      </c>
      <c r="D42" s="316" t="s">
        <v>1341</v>
      </c>
    </row>
    <row r="43" spans="1:4" x14ac:dyDescent="0.25">
      <c r="A43" s="315" t="s">
        <v>341</v>
      </c>
      <c r="B43" s="316" t="s">
        <v>221</v>
      </c>
    </row>
    <row r="44" spans="1:4" x14ac:dyDescent="0.25">
      <c r="B44" s="316" t="s">
        <v>205</v>
      </c>
      <c r="C44" s="317" t="s">
        <v>350</v>
      </c>
      <c r="D44" s="316" t="s">
        <v>1335</v>
      </c>
    </row>
    <row r="45" spans="1:4" x14ac:dyDescent="0.25">
      <c r="B45" s="316" t="s">
        <v>405</v>
      </c>
      <c r="C45" s="315" t="s">
        <v>363</v>
      </c>
    </row>
    <row r="46" spans="1:4" x14ac:dyDescent="0.25">
      <c r="B46" s="316" t="s">
        <v>413</v>
      </c>
      <c r="C46" s="315" t="s">
        <v>353</v>
      </c>
    </row>
    <row r="47" spans="1:4" x14ac:dyDescent="0.25">
      <c r="B47" s="316" t="s">
        <v>213</v>
      </c>
      <c r="C47" s="315" t="s">
        <v>356</v>
      </c>
    </row>
    <row r="48" spans="1:4" x14ac:dyDescent="0.25">
      <c r="B48" s="316" t="s">
        <v>482</v>
      </c>
      <c r="C48" s="315" t="s">
        <v>357</v>
      </c>
    </row>
    <row r="49" spans="1:4" x14ac:dyDescent="0.25">
      <c r="B49" s="316" t="s">
        <v>491</v>
      </c>
      <c r="C49" s="315" t="s">
        <v>360</v>
      </c>
    </row>
    <row r="50" spans="1:4" x14ac:dyDescent="0.25">
      <c r="B50" s="316" t="s">
        <v>505</v>
      </c>
      <c r="C50" s="315" t="s">
        <v>361</v>
      </c>
    </row>
    <row r="51" spans="1:4" x14ac:dyDescent="0.25">
      <c r="B51" s="316" t="s">
        <v>520</v>
      </c>
      <c r="C51" s="317" t="s">
        <v>217</v>
      </c>
      <c r="D51" s="316" t="s">
        <v>1341</v>
      </c>
    </row>
    <row r="52" spans="1:4" x14ac:dyDescent="0.25">
      <c r="A52" s="315" t="s">
        <v>342</v>
      </c>
      <c r="B52" s="316" t="s">
        <v>221</v>
      </c>
    </row>
    <row r="53" spans="1:4" x14ac:dyDescent="0.25">
      <c r="B53" s="316" t="s">
        <v>205</v>
      </c>
      <c r="C53" s="317" t="s">
        <v>350</v>
      </c>
      <c r="D53" s="316" t="s">
        <v>1335</v>
      </c>
    </row>
    <row r="54" spans="1:4" x14ac:dyDescent="0.25">
      <c r="B54" s="316" t="s">
        <v>406</v>
      </c>
      <c r="C54" s="315" t="s">
        <v>364</v>
      </c>
    </row>
    <row r="55" spans="1:4" x14ac:dyDescent="0.25">
      <c r="B55" s="316" t="s">
        <v>413</v>
      </c>
      <c r="C55" s="315" t="s">
        <v>353</v>
      </c>
    </row>
    <row r="56" spans="1:4" x14ac:dyDescent="0.25">
      <c r="B56" s="316" t="s">
        <v>213</v>
      </c>
      <c r="C56" s="315" t="s">
        <v>356</v>
      </c>
    </row>
    <row r="57" spans="1:4" x14ac:dyDescent="0.25">
      <c r="B57" s="316" t="s">
        <v>482</v>
      </c>
      <c r="C57" s="315" t="s">
        <v>357</v>
      </c>
    </row>
    <row r="58" spans="1:4" x14ac:dyDescent="0.25">
      <c r="B58" s="316" t="s">
        <v>491</v>
      </c>
      <c r="C58" s="315" t="s">
        <v>360</v>
      </c>
    </row>
    <row r="59" spans="1:4" x14ac:dyDescent="0.25">
      <c r="B59" s="316" t="s">
        <v>505</v>
      </c>
      <c r="C59" s="315" t="s">
        <v>361</v>
      </c>
    </row>
    <row r="60" spans="1:4" x14ac:dyDescent="0.25">
      <c r="B60" s="316" t="s">
        <v>520</v>
      </c>
      <c r="C60" s="317" t="s">
        <v>217</v>
      </c>
      <c r="D60" s="316" t="s">
        <v>1341</v>
      </c>
    </row>
    <row r="61" spans="1:4" x14ac:dyDescent="0.25">
      <c r="A61" s="318" t="s">
        <v>343</v>
      </c>
      <c r="B61" s="316" t="s">
        <v>221</v>
      </c>
      <c r="D61" s="316" t="s">
        <v>1342</v>
      </c>
    </row>
    <row r="62" spans="1:4" x14ac:dyDescent="0.25">
      <c r="B62" s="316" t="s">
        <v>205</v>
      </c>
      <c r="C62" s="317" t="s">
        <v>350</v>
      </c>
      <c r="D62" s="316" t="s">
        <v>1335</v>
      </c>
    </row>
    <row r="63" spans="1:4" x14ac:dyDescent="0.25">
      <c r="B63" s="316" t="s">
        <v>407</v>
      </c>
      <c r="C63" s="315" t="s">
        <v>365</v>
      </c>
    </row>
    <row r="64" spans="1:4" x14ac:dyDescent="0.25">
      <c r="B64" s="316" t="s">
        <v>413</v>
      </c>
      <c r="C64" s="315" t="s">
        <v>353</v>
      </c>
    </row>
    <row r="65" spans="1:4" x14ac:dyDescent="0.25">
      <c r="B65" s="316" t="s">
        <v>213</v>
      </c>
      <c r="C65" s="315" t="s">
        <v>356</v>
      </c>
    </row>
    <row r="66" spans="1:4" x14ac:dyDescent="0.25">
      <c r="B66" s="316" t="s">
        <v>482</v>
      </c>
      <c r="C66" s="315" t="s">
        <v>357</v>
      </c>
    </row>
    <row r="67" spans="1:4" x14ac:dyDescent="0.25">
      <c r="B67" s="316" t="s">
        <v>491</v>
      </c>
      <c r="C67" s="315" t="s">
        <v>360</v>
      </c>
    </row>
    <row r="68" spans="1:4" x14ac:dyDescent="0.25">
      <c r="B68" s="316" t="s">
        <v>505</v>
      </c>
      <c r="C68" s="315" t="s">
        <v>361</v>
      </c>
    </row>
    <row r="69" spans="1:4" x14ac:dyDescent="0.25">
      <c r="B69" s="316" t="s">
        <v>520</v>
      </c>
      <c r="C69" s="317" t="s">
        <v>217</v>
      </c>
      <c r="D69" s="316" t="s">
        <v>1341</v>
      </c>
    </row>
    <row r="70" spans="1:4" x14ac:dyDescent="0.25">
      <c r="A70" s="315" t="s">
        <v>344</v>
      </c>
      <c r="B70" s="316" t="s">
        <v>221</v>
      </c>
    </row>
    <row r="71" spans="1:4" x14ac:dyDescent="0.25">
      <c r="B71" s="316" t="s">
        <v>205</v>
      </c>
      <c r="C71" s="317" t="s">
        <v>350</v>
      </c>
      <c r="D71" s="316" t="s">
        <v>1335</v>
      </c>
    </row>
    <row r="72" spans="1:4" ht="45" x14ac:dyDescent="0.25">
      <c r="B72" s="316" t="s">
        <v>409</v>
      </c>
      <c r="C72" s="317" t="s">
        <v>366</v>
      </c>
      <c r="D72" s="319" t="s">
        <v>1343</v>
      </c>
    </row>
    <row r="73" spans="1:4" x14ac:dyDescent="0.25">
      <c r="B73" s="316" t="s">
        <v>413</v>
      </c>
      <c r="C73" s="315" t="s">
        <v>353</v>
      </c>
    </row>
    <row r="74" spans="1:4" x14ac:dyDescent="0.25">
      <c r="B74" s="316" t="s">
        <v>414</v>
      </c>
      <c r="C74" s="315" t="s">
        <v>354</v>
      </c>
    </row>
    <row r="75" spans="1:4" x14ac:dyDescent="0.25">
      <c r="B75" s="316" t="s">
        <v>445</v>
      </c>
      <c r="C75" s="315" t="s">
        <v>355</v>
      </c>
    </row>
    <row r="76" spans="1:4" x14ac:dyDescent="0.25">
      <c r="B76" s="316" t="s">
        <v>482</v>
      </c>
      <c r="C76" s="315" t="s">
        <v>357</v>
      </c>
    </row>
    <row r="77" spans="1:4" x14ac:dyDescent="0.25">
      <c r="B77" s="316" t="s">
        <v>491</v>
      </c>
      <c r="C77" s="315" t="s">
        <v>360</v>
      </c>
    </row>
    <row r="78" spans="1:4" x14ac:dyDescent="0.25">
      <c r="B78" s="316" t="s">
        <v>505</v>
      </c>
      <c r="C78" s="315" t="s">
        <v>361</v>
      </c>
    </row>
    <row r="79" spans="1:4" x14ac:dyDescent="0.25">
      <c r="B79" s="316" t="s">
        <v>520</v>
      </c>
      <c r="C79" s="317" t="s">
        <v>217</v>
      </c>
      <c r="D79" s="316" t="s">
        <v>1341</v>
      </c>
    </row>
    <row r="80" spans="1:4" x14ac:dyDescent="0.25">
      <c r="A80" s="320" t="s">
        <v>345</v>
      </c>
      <c r="B80" s="316" t="s">
        <v>221</v>
      </c>
      <c r="D80" s="316" t="s">
        <v>1344</v>
      </c>
    </row>
    <row r="81" spans="1:4" x14ac:dyDescent="0.25">
      <c r="B81" s="316" t="s">
        <v>205</v>
      </c>
      <c r="C81" s="317" t="s">
        <v>350</v>
      </c>
      <c r="D81" s="316" t="s">
        <v>1335</v>
      </c>
    </row>
    <row r="82" spans="1:4" x14ac:dyDescent="0.25">
      <c r="B82" s="316" t="s">
        <v>208</v>
      </c>
      <c r="C82" s="317" t="s">
        <v>367</v>
      </c>
      <c r="D82" s="316" t="s">
        <v>1345</v>
      </c>
    </row>
    <row r="83" spans="1:4" x14ac:dyDescent="0.25">
      <c r="A83" s="315" t="s">
        <v>346</v>
      </c>
      <c r="B83" s="316" t="s">
        <v>221</v>
      </c>
    </row>
    <row r="84" spans="1:4" x14ac:dyDescent="0.25">
      <c r="B84" s="316" t="s">
        <v>399</v>
      </c>
      <c r="C84" s="317" t="s">
        <v>368</v>
      </c>
      <c r="D84" s="316" t="s">
        <v>1346</v>
      </c>
    </row>
    <row r="85" spans="1:4" x14ac:dyDescent="0.25">
      <c r="B85" s="316" t="s">
        <v>413</v>
      </c>
      <c r="C85" s="315" t="s">
        <v>353</v>
      </c>
    </row>
    <row r="86" spans="1:4" x14ac:dyDescent="0.25">
      <c r="B86" s="316" t="s">
        <v>414</v>
      </c>
      <c r="C86" s="315" t="s">
        <v>354</v>
      </c>
    </row>
    <row r="87" spans="1:4" x14ac:dyDescent="0.25">
      <c r="B87" s="316" t="s">
        <v>445</v>
      </c>
      <c r="C87" s="315" t="s">
        <v>355</v>
      </c>
    </row>
    <row r="88" spans="1:4" x14ac:dyDescent="0.25">
      <c r="B88" s="316" t="s">
        <v>213</v>
      </c>
      <c r="C88" s="315" t="s">
        <v>356</v>
      </c>
    </row>
    <row r="89" spans="1:4" x14ac:dyDescent="0.25">
      <c r="B89" s="316" t="s">
        <v>491</v>
      </c>
      <c r="C89" s="315" t="s">
        <v>360</v>
      </c>
    </row>
    <row r="90" spans="1:4" x14ac:dyDescent="0.25">
      <c r="B90" s="316" t="s">
        <v>505</v>
      </c>
      <c r="C90" s="315" t="s">
        <v>361</v>
      </c>
    </row>
    <row r="91" spans="1:4" x14ac:dyDescent="0.25">
      <c r="B91" s="316" t="s">
        <v>520</v>
      </c>
      <c r="C91" s="317" t="s">
        <v>217</v>
      </c>
      <c r="D91" s="316" t="s">
        <v>1341</v>
      </c>
    </row>
    <row r="92" spans="1:4" x14ac:dyDescent="0.25">
      <c r="A92" s="315" t="s">
        <v>347</v>
      </c>
      <c r="B92" s="316" t="s">
        <v>221</v>
      </c>
    </row>
    <row r="93" spans="1:4" x14ac:dyDescent="0.25">
      <c r="B93" s="316" t="s">
        <v>401</v>
      </c>
      <c r="C93" s="315" t="s">
        <v>369</v>
      </c>
    </row>
    <row r="94" spans="1:4" x14ac:dyDescent="0.25">
      <c r="B94" s="316" t="s">
        <v>413</v>
      </c>
      <c r="C94" s="315" t="s">
        <v>353</v>
      </c>
    </row>
    <row r="95" spans="1:4" x14ac:dyDescent="0.25">
      <c r="B95" s="316" t="s">
        <v>414</v>
      </c>
      <c r="C95" s="315" t="s">
        <v>354</v>
      </c>
    </row>
    <row r="96" spans="1:4" x14ac:dyDescent="0.25">
      <c r="B96" s="316" t="s">
        <v>445</v>
      </c>
      <c r="C96" s="315" t="s">
        <v>355</v>
      </c>
    </row>
    <row r="97" spans="1:4" x14ac:dyDescent="0.25">
      <c r="B97" s="316" t="s">
        <v>213</v>
      </c>
      <c r="C97" s="315" t="s">
        <v>356</v>
      </c>
    </row>
    <row r="98" spans="1:4" x14ac:dyDescent="0.25">
      <c r="B98" s="316" t="s">
        <v>491</v>
      </c>
      <c r="C98" s="315" t="s">
        <v>360</v>
      </c>
    </row>
    <row r="99" spans="1:4" x14ac:dyDescent="0.25">
      <c r="B99" s="316" t="s">
        <v>505</v>
      </c>
      <c r="C99" s="315" t="s">
        <v>361</v>
      </c>
    </row>
    <row r="100" spans="1:4" x14ac:dyDescent="0.25">
      <c r="B100" s="316" t="s">
        <v>520</v>
      </c>
      <c r="C100" s="317" t="s">
        <v>217</v>
      </c>
      <c r="D100" s="316" t="s">
        <v>1341</v>
      </c>
    </row>
    <row r="101" spans="1:4" x14ac:dyDescent="0.25">
      <c r="A101" s="315" t="s">
        <v>348</v>
      </c>
      <c r="B101" s="316" t="s">
        <v>221</v>
      </c>
    </row>
    <row r="102" spans="1:4" x14ac:dyDescent="0.25">
      <c r="B102" s="316" t="s">
        <v>408</v>
      </c>
      <c r="C102" s="317" t="s">
        <v>370</v>
      </c>
      <c r="D102" s="316" t="s">
        <v>1347</v>
      </c>
    </row>
    <row r="103" spans="1:4" x14ac:dyDescent="0.25">
      <c r="B103" s="316" t="s">
        <v>413</v>
      </c>
      <c r="C103" s="315" t="s">
        <v>353</v>
      </c>
    </row>
    <row r="104" spans="1:4" x14ac:dyDescent="0.25">
      <c r="B104" s="316" t="s">
        <v>414</v>
      </c>
      <c r="C104" s="315" t="s">
        <v>354</v>
      </c>
    </row>
    <row r="105" spans="1:4" x14ac:dyDescent="0.25">
      <c r="B105" s="316" t="s">
        <v>445</v>
      </c>
      <c r="C105" s="315" t="s">
        <v>355</v>
      </c>
    </row>
    <row r="106" spans="1:4" x14ac:dyDescent="0.25">
      <c r="B106" s="316" t="s">
        <v>213</v>
      </c>
      <c r="C106" s="315" t="s">
        <v>356</v>
      </c>
    </row>
    <row r="107" spans="1:4" x14ac:dyDescent="0.25">
      <c r="B107" s="316" t="s">
        <v>491</v>
      </c>
      <c r="C107" s="315" t="s">
        <v>360</v>
      </c>
    </row>
    <row r="108" spans="1:4" x14ac:dyDescent="0.25">
      <c r="B108" s="316" t="s">
        <v>505</v>
      </c>
      <c r="C108" s="315" t="s">
        <v>361</v>
      </c>
    </row>
    <row r="109" spans="1:4" x14ac:dyDescent="0.25">
      <c r="B109" s="316" t="s">
        <v>520</v>
      </c>
      <c r="C109" s="317" t="s">
        <v>217</v>
      </c>
      <c r="D109" s="316" t="s">
        <v>1341</v>
      </c>
    </row>
    <row r="110" spans="1:4" x14ac:dyDescent="0.25">
      <c r="A110" s="315" t="s">
        <v>336</v>
      </c>
      <c r="B110" s="316" t="s">
        <v>753</v>
      </c>
    </row>
    <row r="111" spans="1:4" ht="30" x14ac:dyDescent="0.25">
      <c r="A111" s="317" t="s">
        <v>349</v>
      </c>
      <c r="B111" s="316" t="s">
        <v>221</v>
      </c>
      <c r="D111" s="319" t="s">
        <v>1348</v>
      </c>
    </row>
    <row r="112" spans="1:4" ht="15.75" x14ac:dyDescent="0.25">
      <c r="B112" s="316" t="s">
        <v>411</v>
      </c>
      <c r="C112" s="317" t="s">
        <v>371</v>
      </c>
      <c r="D112" s="322" t="s">
        <v>1349</v>
      </c>
    </row>
    <row r="113" spans="1:4" x14ac:dyDescent="0.25">
      <c r="B113" s="316" t="s">
        <v>413</v>
      </c>
      <c r="C113" s="315" t="s">
        <v>353</v>
      </c>
    </row>
    <row r="114" spans="1:4" x14ac:dyDescent="0.25">
      <c r="B114" s="316" t="s">
        <v>414</v>
      </c>
      <c r="C114" s="315" t="s">
        <v>354</v>
      </c>
    </row>
    <row r="115" spans="1:4" x14ac:dyDescent="0.25">
      <c r="B115" s="316" t="s">
        <v>445</v>
      </c>
      <c r="C115" s="315" t="s">
        <v>355</v>
      </c>
    </row>
    <row r="116" spans="1:4" x14ac:dyDescent="0.25">
      <c r="B116" s="316" t="s">
        <v>213</v>
      </c>
      <c r="C116" s="315" t="s">
        <v>356</v>
      </c>
    </row>
    <row r="117" spans="1:4" x14ac:dyDescent="0.25">
      <c r="B117" s="316" t="s">
        <v>491</v>
      </c>
      <c r="C117" s="315" t="s">
        <v>360</v>
      </c>
    </row>
    <row r="118" spans="1:4" x14ac:dyDescent="0.25">
      <c r="B118" s="316" t="s">
        <v>505</v>
      </c>
      <c r="C118" s="315" t="s">
        <v>361</v>
      </c>
    </row>
    <row r="119" spans="1:4" x14ac:dyDescent="0.25">
      <c r="B119" s="316" t="s">
        <v>520</v>
      </c>
      <c r="C119" s="317" t="s">
        <v>217</v>
      </c>
      <c r="D119" s="316" t="s">
        <v>1341</v>
      </c>
    </row>
    <row r="120" spans="1:4" ht="15.75" x14ac:dyDescent="0.25">
      <c r="A120" s="316" t="s">
        <v>107</v>
      </c>
      <c r="D120" s="322" t="s">
        <v>1350</v>
      </c>
    </row>
    <row r="121" spans="1:4" ht="15.75" x14ac:dyDescent="0.25">
      <c r="A121" s="322" t="s">
        <v>90</v>
      </c>
      <c r="D121" s="322" t="s">
        <v>1351</v>
      </c>
    </row>
    <row r="122" spans="1:4" ht="15.75" x14ac:dyDescent="0.25">
      <c r="A122" s="322" t="s">
        <v>109</v>
      </c>
      <c r="D122" s="322" t="s">
        <v>1352</v>
      </c>
    </row>
    <row r="123" spans="1:4" ht="15.75" x14ac:dyDescent="0.25">
      <c r="A123" s="316" t="s">
        <v>91</v>
      </c>
      <c r="D123" s="322" t="s">
        <v>1353</v>
      </c>
    </row>
    <row r="124" spans="1:4" ht="15.75" x14ac:dyDescent="0.25">
      <c r="A124" s="316" t="s">
        <v>153</v>
      </c>
      <c r="D124" s="322" t="s">
        <v>1354</v>
      </c>
    </row>
    <row r="125" spans="1:4" ht="15.75" x14ac:dyDescent="0.25">
      <c r="A125" s="322" t="s">
        <v>545</v>
      </c>
      <c r="D125" s="322" t="s">
        <v>1355</v>
      </c>
    </row>
    <row r="126" spans="1:4" ht="15.75" x14ac:dyDescent="0.25">
      <c r="A126" s="322" t="s">
        <v>455</v>
      </c>
      <c r="D126" s="322" t="s">
        <v>1356</v>
      </c>
    </row>
    <row r="127" spans="1:4" ht="15.75" x14ac:dyDescent="0.25">
      <c r="A127" s="322" t="s">
        <v>502</v>
      </c>
      <c r="D127" s="322" t="s">
        <v>1357</v>
      </c>
    </row>
    <row r="128" spans="1:4" x14ac:dyDescent="0.25">
      <c r="C128" s="370"/>
      <c r="D128" s="37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elements/1.1/"/>
    <ds:schemaRef ds:uri="http://purl.org/dc/terms/"/>
    <ds:schemaRef ds:uri="http://schemas.microsoft.com/office/2006/metadata/properties"/>
    <ds:schemaRef ds:uri="http://schemas.openxmlformats.org/package/2006/metadata/core-properties"/>
    <ds:schemaRef ds:uri="http://purl.org/dc/dcmitype/"/>
    <ds:schemaRef ds:uri="http://www.w3.org/XML/1998/namespace"/>
    <ds:schemaRef ds:uri="cc9cb892-206f-4052-b06f-5783104e029f"/>
    <ds:schemaRef ds:uri="http://schemas.microsoft.com/office/2006/documentManagement/types"/>
    <ds:schemaRef ds:uri="http://schemas.microsoft.com/office/infopath/2007/PartnerControls"/>
    <ds:schemaRef ds:uri="ba69df13-0c3c-4942-8695-6ca01564010c"/>
  </ds:schemaRefs>
</ds:datastoreItem>
</file>

<file path=customXml/itemProps3.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Planner B-EdStudies</vt:lpstr>
      <vt:lpstr>Planner B-Ed (ECE)</vt:lpstr>
      <vt:lpstr>Planner B-Ed (Prim)</vt:lpstr>
      <vt:lpstr>Unitsets</vt:lpstr>
      <vt:lpstr>Planner B-Ed (Sec)</vt:lpstr>
      <vt:lpstr>Planner B-Ed (Sec) No Methods</vt:lpstr>
      <vt:lpstr>UnitsetsSecondary</vt:lpstr>
      <vt:lpstr>Handbook</vt:lpstr>
      <vt:lpstr>Structures</vt:lpstr>
      <vt:lpstr>Availabilities</vt:lpstr>
      <vt:lpstr>Issues Log</vt:lpstr>
      <vt:lpstr>'Planner B-Ed (ECE)'!Print_Area</vt:lpstr>
      <vt:lpstr>'Planner B-Ed (Prim)'!Print_Area</vt:lpstr>
      <vt:lpstr>'Planner B-Ed (Sec)'!Print_Area</vt:lpstr>
      <vt:lpstr>'Planner B-Ed (Sec) No Methods'!Print_Area</vt:lpstr>
      <vt:lpstr>'Planner B-EdStudies'!Print_Area</vt:lpstr>
      <vt:lpstr>RangeMajorsSec</vt:lpstr>
      <vt:lpstr>RangeMathNoMethods</vt:lpstr>
      <vt:lpstr>RangeOptions</vt:lpstr>
      <vt:lpstr>RangeStreamsAltCore</vt:lpstr>
      <vt:lpstr>RangeStreamsSec</vt:lpstr>
      <vt:lpstr>RangeTeachingAreaStreams</vt:lpstr>
      <vt:lpstr>RangeUnitsets</vt:lpstr>
      <vt:lpstr>RangeUnitSetsSec</vt:lpstr>
      <vt:lpstr>Streams</vt:lpstr>
      <vt:lpstr>StreamsARDR1</vt:lpstr>
      <vt:lpstr>StreamsARME1</vt:lpstr>
      <vt:lpstr>StreamsARVA1</vt:lpstr>
      <vt:lpstr>StreamsENGL1</vt:lpstr>
      <vt:lpstr>StreamsHSEC1</vt:lpstr>
      <vt:lpstr>StreamsHSGE1</vt:lpstr>
      <vt:lpstr>StreamsHSHI1</vt:lpstr>
      <vt:lpstr>StreamsHSPL1</vt:lpstr>
      <vt:lpstr>StreamsMATH1</vt:lpstr>
      <vt:lpstr>StreamsMathsNoMethods</vt:lpstr>
      <vt:lpstr>StreamsPHYSE</vt:lpstr>
      <vt:lpstr>StreamsSCBI1</vt:lpstr>
      <vt:lpstr>StreamsSCCH1</vt:lpstr>
      <vt:lpstr>StreamsSCHB1</vt:lpstr>
      <vt:lpstr>StreamsSCPH1</vt:lpstr>
      <vt:lpstr>StreamsSCPS1</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2024-11-26T03:35:38Z</cp:lastPrinted>
  <dcterms:created xsi:type="dcterms:W3CDTF">2022-02-28T04:48:12Z</dcterms:created>
  <dcterms:modified xsi:type="dcterms:W3CDTF">2024-11-26T03:47:50Z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