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4CF1C295-7C93-49E1-9722-24C5DB9164AC}" xr6:coauthVersionLast="47" xr6:coauthVersionMax="47" xr10:uidLastSave="{00000000-0000-0000-0000-000000000000}"/>
  <workbookProtection workbookAlgorithmName="SHA-512" workbookHashValue="WKHwZ2Td5od9BL/v2Sqauc03LpEycbTxZ+HiJTYRHBCJFYgeozruheTWVoq7PcWl+NyqOaYCif5izF7AfX8PxA==" workbookSaltValue="2oG9hanxt8Bg8QR2G3/KkA==" workbookSpinCount="100000" lockStructure="1"/>
  <bookViews>
    <workbookView xWindow="28680" yWindow="10680" windowWidth="29040" windowHeight="17520" xr2:uid="{00000000-000D-0000-FFFF-FFFF00000000}"/>
  </bookViews>
  <sheets>
    <sheet name="Construction Management"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'Construction Management'!$A$3:$L$76</definedName>
    <definedName name="RangeSpecSets">Unitsets!$L$40:$W$61</definedName>
    <definedName name="RangeUnitsets">Unitsets!$L$3:$W$35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3" l="1"/>
  <c r="H8" i="3"/>
  <c r="I8" i="3"/>
  <c r="J8" i="3"/>
  <c r="G6" i="3"/>
  <c r="H6" i="3"/>
  <c r="I6" i="3"/>
  <c r="J6" i="3"/>
  <c r="G5" i="3"/>
  <c r="H5" i="3"/>
  <c r="I5" i="3"/>
  <c r="J5" i="3"/>
  <c r="G7" i="3"/>
  <c r="H7" i="3"/>
  <c r="I7" i="3"/>
  <c r="J7" i="3"/>
  <c r="G69" i="3" l="1"/>
  <c r="H69" i="3"/>
  <c r="I69" i="3"/>
  <c r="J69" i="3"/>
  <c r="J101" i="3" l="1"/>
  <c r="I101" i="3"/>
  <c r="H101" i="3"/>
  <c r="G101" i="3"/>
  <c r="J100" i="3"/>
  <c r="I100" i="3"/>
  <c r="H100" i="3"/>
  <c r="G100" i="3"/>
  <c r="J99" i="3"/>
  <c r="I99" i="3"/>
  <c r="H99" i="3"/>
  <c r="G99" i="3"/>
  <c r="J98" i="3"/>
  <c r="I98" i="3"/>
  <c r="H98" i="3"/>
  <c r="G98" i="3"/>
  <c r="J96" i="3"/>
  <c r="I96" i="3"/>
  <c r="H96" i="3"/>
  <c r="G96" i="3"/>
  <c r="J97" i="3"/>
  <c r="I97" i="3"/>
  <c r="H97" i="3"/>
  <c r="G97" i="3"/>
  <c r="J94" i="3"/>
  <c r="I94" i="3"/>
  <c r="H94" i="3"/>
  <c r="G94" i="3"/>
  <c r="J95" i="3"/>
  <c r="I95" i="3"/>
  <c r="H95" i="3"/>
  <c r="G95"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8" i="3"/>
  <c r="I68" i="3"/>
  <c r="H68" i="3"/>
  <c r="G68" i="3"/>
  <c r="J67" i="3"/>
  <c r="I67" i="3"/>
  <c r="H67" i="3"/>
  <c r="G67" i="3"/>
  <c r="J66" i="3"/>
  <c r="I66" i="3"/>
  <c r="H66" i="3"/>
  <c r="G66" i="3"/>
  <c r="J64" i="3"/>
  <c r="I64" i="3"/>
  <c r="H64" i="3"/>
  <c r="G64" i="3"/>
  <c r="J65" i="3"/>
  <c r="I65" i="3"/>
  <c r="H65" i="3"/>
  <c r="G65" i="3"/>
  <c r="J62" i="3"/>
  <c r="I62" i="3"/>
  <c r="H62" i="3"/>
  <c r="G62" i="3"/>
  <c r="J63" i="3"/>
  <c r="I63" i="3"/>
  <c r="H63" i="3"/>
  <c r="G63"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4" i="3"/>
  <c r="I4" i="3"/>
  <c r="H4" i="3"/>
  <c r="G4" i="3"/>
  <c r="A100" i="8" l="1"/>
  <c r="A101" i="8"/>
  <c r="B100" i="8"/>
  <c r="B101" i="8"/>
  <c r="D100" i="8"/>
  <c r="D101" i="8"/>
  <c r="E100" i="8"/>
  <c r="E101" i="8"/>
  <c r="A68" i="8" l="1"/>
  <c r="A69" i="8"/>
  <c r="B68" i="8"/>
  <c r="B69" i="8"/>
  <c r="D68" i="8"/>
  <c r="D69" i="8"/>
  <c r="E68" i="8"/>
  <c r="E69" i="8"/>
  <c r="A32" i="8" l="1"/>
  <c r="B32" i="8"/>
  <c r="D32" i="8"/>
  <c r="E32" i="8"/>
  <c r="G8" i="5" l="1"/>
  <c r="T1" i="3" l="1"/>
  <c r="S1" i="3"/>
  <c r="R1" i="3"/>
  <c r="Q1" i="3"/>
  <c r="P1" i="3"/>
  <c r="O1" i="3"/>
  <c r="N1" i="3"/>
  <c r="M1" i="3"/>
  <c r="L1" i="3"/>
  <c r="K1" i="3"/>
  <c r="J1" i="3"/>
  <c r="I1" i="3"/>
  <c r="H1" i="3"/>
  <c r="G1" i="3"/>
  <c r="F1" i="3"/>
  <c r="E1" i="3"/>
  <c r="D1" i="3"/>
  <c r="C1" i="3"/>
  <c r="B1" i="3"/>
  <c r="A1" i="3"/>
  <c r="H51" i="5"/>
  <c r="L52" i="5"/>
  <c r="K52" i="5"/>
  <c r="J52" i="5"/>
  <c r="I52" i="5"/>
  <c r="H52" i="5"/>
  <c r="L40" i="5"/>
  <c r="K40" i="5"/>
  <c r="J40" i="5"/>
  <c r="I40" i="5"/>
  <c r="H40" i="5"/>
  <c r="L30" i="5"/>
  <c r="K30" i="5"/>
  <c r="J30" i="5"/>
  <c r="I30" i="5"/>
  <c r="H30" i="5"/>
  <c r="L20" i="5"/>
  <c r="K20" i="5"/>
  <c r="J20" i="5"/>
  <c r="I20" i="5"/>
  <c r="H20" i="5"/>
  <c r="J3" i="3" l="1"/>
  <c r="I3" i="3"/>
  <c r="H3" i="3"/>
  <c r="G3" i="3"/>
  <c r="A27" i="8" l="1"/>
  <c r="A28" i="8"/>
  <c r="B27" i="8"/>
  <c r="B28" i="8"/>
  <c r="D27" i="8"/>
  <c r="D28" i="8"/>
  <c r="E27" i="8"/>
  <c r="E28" i="8"/>
  <c r="A81" i="8" l="1"/>
  <c r="A82" i="8"/>
  <c r="A83" i="8"/>
  <c r="A84" i="8"/>
  <c r="A85" i="8"/>
  <c r="A86" i="8"/>
  <c r="A87" i="8"/>
  <c r="A88" i="8"/>
  <c r="A89" i="8"/>
  <c r="A90" i="8"/>
  <c r="A91" i="8"/>
  <c r="B81" i="8"/>
  <c r="B82" i="8"/>
  <c r="B83" i="8"/>
  <c r="B84" i="8"/>
  <c r="B85" i="8"/>
  <c r="B86" i="8"/>
  <c r="B87" i="8"/>
  <c r="B88" i="8"/>
  <c r="B89" i="8"/>
  <c r="B90" i="8"/>
  <c r="B91" i="8"/>
  <c r="D81" i="8"/>
  <c r="D82" i="8"/>
  <c r="D83" i="8"/>
  <c r="D84" i="8"/>
  <c r="D85" i="8"/>
  <c r="D86" i="8"/>
  <c r="D87" i="8"/>
  <c r="D88" i="8"/>
  <c r="D89" i="8"/>
  <c r="D90" i="8"/>
  <c r="D91" i="8"/>
  <c r="E81" i="8"/>
  <c r="E82" i="8"/>
  <c r="E83" i="8"/>
  <c r="E84" i="8"/>
  <c r="E85" i="8"/>
  <c r="E86" i="8"/>
  <c r="E87" i="8"/>
  <c r="E88" i="8"/>
  <c r="E89" i="8"/>
  <c r="E90" i="8"/>
  <c r="E91" i="8"/>
  <c r="A80" i="8" l="1"/>
  <c r="B80" i="8"/>
  <c r="D80" i="8"/>
  <c r="E80" i="8"/>
  <c r="A51" i="5" l="1"/>
  <c r="L51" i="5" l="1"/>
  <c r="A71" i="5" s="1"/>
  <c r="K71" i="5" l="1"/>
  <c r="G71" i="5"/>
  <c r="D71" i="5"/>
  <c r="H71" i="5"/>
  <c r="C71" i="5"/>
  <c r="F71" i="5"/>
  <c r="I71" i="5"/>
  <c r="B71" i="5"/>
  <c r="J71" i="5"/>
  <c r="A59" i="5"/>
  <c r="A69" i="5"/>
  <c r="A73" i="5"/>
  <c r="A68" i="5"/>
  <c r="A65" i="5"/>
  <c r="A62" i="5"/>
  <c r="A67" i="5"/>
  <c r="A61" i="5"/>
  <c r="A64" i="5"/>
  <c r="A72" i="5"/>
  <c r="A66" i="5"/>
  <c r="A70" i="5"/>
  <c r="A63" i="5"/>
  <c r="A60" i="5"/>
  <c r="F60" i="5" s="1"/>
  <c r="A53" i="5"/>
  <c r="A54" i="5"/>
  <c r="A55" i="5"/>
  <c r="A56" i="5"/>
  <c r="A57" i="5"/>
  <c r="A58" i="5"/>
  <c r="F58" i="5" s="1"/>
  <c r="I67" i="5" l="1"/>
  <c r="B67" i="5"/>
  <c r="G67" i="5"/>
  <c r="J67" i="5"/>
  <c r="F67" i="5"/>
  <c r="K67" i="5"/>
  <c r="D67" i="5"/>
  <c r="C67" i="5"/>
  <c r="H67" i="5"/>
  <c r="G60" i="5"/>
  <c r="H60" i="5"/>
  <c r="I60" i="5"/>
  <c r="B60" i="5"/>
  <c r="J60" i="5"/>
  <c r="K60" i="5"/>
  <c r="C60" i="5"/>
  <c r="D60" i="5"/>
  <c r="K62" i="5"/>
  <c r="C62" i="5"/>
  <c r="D62" i="5"/>
  <c r="F62" i="5"/>
  <c r="I62" i="5"/>
  <c r="J62" i="5"/>
  <c r="B62" i="5"/>
  <c r="G62" i="5"/>
  <c r="H62" i="5"/>
  <c r="I63" i="5"/>
  <c r="B63" i="5"/>
  <c r="K63" i="5"/>
  <c r="D63" i="5"/>
  <c r="F63" i="5"/>
  <c r="J63" i="5"/>
  <c r="C63" i="5"/>
  <c r="G63" i="5"/>
  <c r="H63" i="5"/>
  <c r="D65" i="5"/>
  <c r="C65" i="5"/>
  <c r="G65" i="5"/>
  <c r="H65" i="5"/>
  <c r="F65" i="5"/>
  <c r="J65" i="5"/>
  <c r="I65" i="5"/>
  <c r="B65" i="5"/>
  <c r="K65" i="5"/>
  <c r="K70" i="5"/>
  <c r="D70" i="5"/>
  <c r="G70" i="5"/>
  <c r="J70" i="5"/>
  <c r="F70" i="5"/>
  <c r="C70" i="5"/>
  <c r="H70" i="5"/>
  <c r="I70" i="5"/>
  <c r="B70" i="5"/>
  <c r="G68" i="5"/>
  <c r="F68" i="5"/>
  <c r="J68" i="5"/>
  <c r="I68" i="5"/>
  <c r="D68" i="5"/>
  <c r="C68" i="5"/>
  <c r="H68" i="5"/>
  <c r="K68" i="5"/>
  <c r="B68" i="5"/>
  <c r="K66" i="5"/>
  <c r="C66" i="5"/>
  <c r="F66" i="5"/>
  <c r="H66" i="5"/>
  <c r="D66" i="5"/>
  <c r="G66" i="5"/>
  <c r="B66" i="5"/>
  <c r="I66" i="5"/>
  <c r="J66" i="5"/>
  <c r="G73" i="5"/>
  <c r="H73" i="5"/>
  <c r="D73" i="5"/>
  <c r="J73" i="5"/>
  <c r="B73" i="5"/>
  <c r="F73" i="5"/>
  <c r="K73" i="5"/>
  <c r="I73" i="5"/>
  <c r="C73" i="5"/>
  <c r="I72" i="5"/>
  <c r="K72" i="5"/>
  <c r="B72" i="5"/>
  <c r="D72" i="5"/>
  <c r="H72" i="5"/>
  <c r="C72" i="5"/>
  <c r="J72" i="5"/>
  <c r="F72" i="5"/>
  <c r="G72" i="5"/>
  <c r="D69" i="5"/>
  <c r="G69" i="5"/>
  <c r="H69" i="5"/>
  <c r="I69" i="5"/>
  <c r="F69" i="5"/>
  <c r="B69" i="5"/>
  <c r="J69" i="5"/>
  <c r="K69" i="5"/>
  <c r="C69" i="5"/>
  <c r="G64" i="5"/>
  <c r="H64" i="5"/>
  <c r="J64" i="5"/>
  <c r="B64" i="5"/>
  <c r="C64" i="5"/>
  <c r="K64" i="5"/>
  <c r="D64" i="5"/>
  <c r="I64" i="5"/>
  <c r="F64" i="5"/>
  <c r="D61" i="5"/>
  <c r="G61" i="5"/>
  <c r="B61" i="5"/>
  <c r="K61" i="5"/>
  <c r="I61" i="5"/>
  <c r="C61" i="5"/>
  <c r="H61" i="5"/>
  <c r="J61" i="5"/>
  <c r="F61" i="5"/>
  <c r="K56" i="5"/>
  <c r="J56" i="5"/>
  <c r="I56" i="5"/>
  <c r="H56" i="5"/>
  <c r="W27" i="2"/>
  <c r="W26" i="2"/>
  <c r="W25" i="2"/>
  <c r="W24" i="2"/>
  <c r="W23" i="2"/>
  <c r="W22" i="2"/>
  <c r="W21" i="2"/>
  <c r="W20" i="2"/>
  <c r="W19" i="2"/>
  <c r="W18" i="2"/>
  <c r="W17" i="2"/>
  <c r="W16" i="2"/>
  <c r="W15" i="2"/>
  <c r="W14" i="2"/>
  <c r="W13" i="2"/>
  <c r="W12" i="2"/>
  <c r="W11" i="2"/>
  <c r="W10" i="2"/>
  <c r="W9" i="2"/>
  <c r="W8" i="2"/>
  <c r="W7" i="2"/>
  <c r="W6" i="2"/>
  <c r="W5" i="2"/>
  <c r="W4" i="2"/>
  <c r="U27" i="2"/>
  <c r="U26" i="2"/>
  <c r="U25" i="2"/>
  <c r="U24" i="2"/>
  <c r="U23" i="2"/>
  <c r="U22" i="2"/>
  <c r="U21" i="2"/>
  <c r="U20" i="2"/>
  <c r="U19" i="2"/>
  <c r="U18" i="2"/>
  <c r="U17" i="2"/>
  <c r="U16" i="2"/>
  <c r="U15" i="2"/>
  <c r="U14" i="2"/>
  <c r="U13" i="2"/>
  <c r="U12" i="2"/>
  <c r="U11" i="2"/>
  <c r="U10" i="2"/>
  <c r="U9" i="2"/>
  <c r="U8" i="2"/>
  <c r="U7" i="2"/>
  <c r="U6" i="2"/>
  <c r="U5" i="2"/>
  <c r="U4" i="2"/>
  <c r="S27" i="2"/>
  <c r="S26" i="2"/>
  <c r="S25" i="2"/>
  <c r="S24" i="2"/>
  <c r="S23" i="2"/>
  <c r="S22" i="2"/>
  <c r="S21" i="2"/>
  <c r="S20" i="2"/>
  <c r="S19" i="2"/>
  <c r="S18" i="2"/>
  <c r="S17" i="2"/>
  <c r="S16" i="2"/>
  <c r="S15" i="2"/>
  <c r="S14" i="2"/>
  <c r="S13" i="2"/>
  <c r="S12" i="2"/>
  <c r="S11" i="2"/>
  <c r="S10" i="2"/>
  <c r="S9" i="2"/>
  <c r="S8" i="2"/>
  <c r="S7" i="2"/>
  <c r="S6" i="2"/>
  <c r="S5" i="2"/>
  <c r="S4" i="2"/>
  <c r="Q27" i="2"/>
  <c r="Q26" i="2"/>
  <c r="Q25" i="2"/>
  <c r="Q24" i="2"/>
  <c r="Q23" i="2"/>
  <c r="Q22" i="2"/>
  <c r="Q21" i="2"/>
  <c r="Q20" i="2"/>
  <c r="Q19" i="2"/>
  <c r="Q18" i="2"/>
  <c r="Q17" i="2"/>
  <c r="Q16" i="2"/>
  <c r="Q15" i="2"/>
  <c r="Q14" i="2"/>
  <c r="Q13" i="2"/>
  <c r="Q12" i="2"/>
  <c r="Q11" i="2"/>
  <c r="Q10" i="2"/>
  <c r="Q9" i="2"/>
  <c r="Q8" i="2"/>
  <c r="Q7" i="2"/>
  <c r="Q6" i="2"/>
  <c r="Q5" i="2"/>
  <c r="Q4" i="2"/>
  <c r="G7" i="5" l="1"/>
  <c r="G6" i="5"/>
  <c r="K59" i="5" l="1"/>
  <c r="J59" i="5"/>
  <c r="I59" i="5"/>
  <c r="H59" i="5"/>
  <c r="K58" i="5"/>
  <c r="J58" i="5"/>
  <c r="I58" i="5"/>
  <c r="H58" i="5"/>
  <c r="K55" i="5"/>
  <c r="J55" i="5"/>
  <c r="I55" i="5"/>
  <c r="H55" i="5"/>
  <c r="K54" i="5"/>
  <c r="J54" i="5"/>
  <c r="I54" i="5"/>
  <c r="H54" i="5"/>
  <c r="K53" i="5"/>
  <c r="J53" i="5"/>
  <c r="I53" i="5"/>
  <c r="H53" i="5"/>
  <c r="K57" i="5"/>
  <c r="J57" i="5"/>
  <c r="I57" i="5"/>
  <c r="H57" i="5"/>
  <c r="E42" i="8" l="1"/>
  <c r="D42" i="8"/>
  <c r="B42" i="8"/>
  <c r="A42" i="8"/>
  <c r="E41" i="8"/>
  <c r="D41" i="8"/>
  <c r="B41" i="8"/>
  <c r="A41" i="8"/>
  <c r="E40" i="8"/>
  <c r="D40" i="8"/>
  <c r="B40" i="8"/>
  <c r="A40" i="8"/>
  <c r="E39" i="8"/>
  <c r="D39" i="8"/>
  <c r="B39" i="8"/>
  <c r="A39" i="8"/>
  <c r="E38" i="8"/>
  <c r="D38" i="8"/>
  <c r="B38" i="8"/>
  <c r="A38" i="8"/>
  <c r="E37" i="8"/>
  <c r="D37" i="8"/>
  <c r="B37" i="8"/>
  <c r="A37" i="8"/>
  <c r="E36" i="8"/>
  <c r="D36" i="8"/>
  <c r="B36" i="8"/>
  <c r="A36" i="8"/>
  <c r="A51" i="8"/>
  <c r="B51" i="8"/>
  <c r="D51" i="8"/>
  <c r="E51" i="8"/>
  <c r="E50" i="8"/>
  <c r="D50" i="8"/>
  <c r="B50" i="8"/>
  <c r="A50" i="8"/>
  <c r="E49" i="8"/>
  <c r="D49" i="8"/>
  <c r="B49" i="8"/>
  <c r="A49" i="8"/>
  <c r="E48" i="8"/>
  <c r="D48" i="8"/>
  <c r="B48" i="8"/>
  <c r="A48" i="8"/>
  <c r="E47" i="8"/>
  <c r="D47" i="8"/>
  <c r="B47" i="8"/>
  <c r="A47" i="8"/>
  <c r="E46" i="8"/>
  <c r="D46" i="8"/>
  <c r="B46" i="8"/>
  <c r="A46" i="8"/>
  <c r="E45" i="8"/>
  <c r="D45" i="8"/>
  <c r="B45" i="8"/>
  <c r="A45" i="8"/>
  <c r="A55" i="8"/>
  <c r="M8" i="3" l="1"/>
  <c r="M6" i="3"/>
  <c r="M5" i="3"/>
  <c r="M7" i="3"/>
  <c r="M69" i="3"/>
  <c r="M12" i="3"/>
  <c r="M64" i="3"/>
  <c r="M62" i="3"/>
  <c r="N8" i="3"/>
  <c r="N6" i="3"/>
  <c r="N5" i="3"/>
  <c r="N7" i="3"/>
  <c r="N69" i="3"/>
  <c r="N12" i="3"/>
  <c r="N64" i="3"/>
  <c r="N62" i="3"/>
  <c r="N94" i="3"/>
  <c r="N96" i="3"/>
  <c r="M94" i="3"/>
  <c r="M96" i="3"/>
  <c r="M84" i="3"/>
  <c r="N84" i="3"/>
  <c r="M70" i="3"/>
  <c r="M71" i="3"/>
  <c r="M72" i="3"/>
  <c r="M10" i="3"/>
  <c r="M11" i="3"/>
  <c r="N70" i="3"/>
  <c r="N71" i="3"/>
  <c r="N72" i="3"/>
  <c r="N10" i="3"/>
  <c r="N11" i="3"/>
  <c r="M82" i="3"/>
  <c r="N82" i="3"/>
  <c r="N55" i="3"/>
  <c r="N68" i="3"/>
  <c r="N85" i="3"/>
  <c r="N93" i="3"/>
  <c r="N95" i="3"/>
  <c r="N14" i="3"/>
  <c r="N15" i="3"/>
  <c r="N100" i="3"/>
  <c r="N60" i="3"/>
  <c r="N58" i="3"/>
  <c r="N86" i="3"/>
  <c r="N53" i="3"/>
  <c r="N97" i="3"/>
  <c r="N80" i="3"/>
  <c r="N98" i="3"/>
  <c r="N101" i="3"/>
  <c r="N57" i="3"/>
  <c r="N91" i="3"/>
  <c r="M85" i="3"/>
  <c r="M98" i="3"/>
  <c r="M15" i="3"/>
  <c r="M86" i="3"/>
  <c r="M58" i="3"/>
  <c r="M55" i="3"/>
  <c r="M100" i="3"/>
  <c r="M97" i="3"/>
  <c r="M57" i="3"/>
  <c r="M101" i="3"/>
  <c r="M91" i="3"/>
  <c r="M14" i="3"/>
  <c r="M80" i="3"/>
  <c r="M93" i="3"/>
  <c r="M68" i="3"/>
  <c r="M95" i="3"/>
  <c r="M60" i="3"/>
  <c r="M53" i="3"/>
  <c r="M77" i="3"/>
  <c r="M41" i="3"/>
  <c r="N77" i="3"/>
  <c r="N41" i="3"/>
  <c r="M4" i="3"/>
  <c r="M87" i="3"/>
  <c r="M88" i="3"/>
  <c r="M89" i="3"/>
  <c r="M90" i="3"/>
  <c r="M73" i="3"/>
  <c r="M74" i="3"/>
  <c r="M75" i="3"/>
  <c r="M76" i="3"/>
  <c r="M66" i="3"/>
  <c r="M65" i="3"/>
  <c r="M50" i="3"/>
  <c r="M61" i="3"/>
  <c r="M63" i="3"/>
  <c r="M67" i="3"/>
  <c r="M54" i="3"/>
  <c r="M56" i="3"/>
  <c r="M43" i="3"/>
  <c r="M44" i="3"/>
  <c r="M45" i="3"/>
  <c r="M46" i="3"/>
  <c r="M47" i="3"/>
  <c r="M59" i="3"/>
  <c r="M48" i="3"/>
  <c r="M49" i="3"/>
  <c r="M51" i="3"/>
  <c r="M52" i="3"/>
  <c r="M99" i="3"/>
  <c r="M38" i="3"/>
  <c r="M40" i="3"/>
  <c r="M3" i="3"/>
  <c r="M42" i="3"/>
  <c r="M13" i="3"/>
  <c r="M20" i="3"/>
  <c r="M21" i="3"/>
  <c r="M17" i="3"/>
  <c r="M19" i="3"/>
  <c r="M16" i="3"/>
  <c r="M18" i="3"/>
  <c r="M24" i="3"/>
  <c r="M22" i="3"/>
  <c r="M26" i="3"/>
  <c r="M27" i="3"/>
  <c r="M23" i="3"/>
  <c r="M25" i="3"/>
  <c r="M30" i="3"/>
  <c r="M29" i="3"/>
  <c r="M28" i="3"/>
  <c r="M92" i="3"/>
  <c r="M32" i="3"/>
  <c r="M31" i="3"/>
  <c r="M9" i="3"/>
  <c r="M78" i="3"/>
  <c r="M79" i="3"/>
  <c r="M81" i="3"/>
  <c r="M83" i="3"/>
  <c r="M39" i="3"/>
  <c r="M36" i="3"/>
  <c r="M37" i="3"/>
  <c r="M35" i="3"/>
  <c r="M34" i="3"/>
  <c r="M33" i="3"/>
  <c r="N4" i="3"/>
  <c r="N87" i="3"/>
  <c r="N88" i="3"/>
  <c r="N89" i="3"/>
  <c r="N90" i="3"/>
  <c r="N73" i="3"/>
  <c r="N74" i="3"/>
  <c r="N75" i="3"/>
  <c r="N76" i="3"/>
  <c r="N66" i="3"/>
  <c r="N65" i="3"/>
  <c r="N50" i="3"/>
  <c r="N61" i="3"/>
  <c r="N63" i="3"/>
  <c r="N67" i="3"/>
  <c r="N54" i="3"/>
  <c r="N56" i="3"/>
  <c r="N43" i="3"/>
  <c r="N44" i="3"/>
  <c r="N45" i="3"/>
  <c r="N46" i="3"/>
  <c r="N47" i="3"/>
  <c r="N59" i="3"/>
  <c r="N48" i="3"/>
  <c r="N49" i="3"/>
  <c r="N51" i="3"/>
  <c r="N52" i="3"/>
  <c r="N99" i="3"/>
  <c r="N38" i="3"/>
  <c r="N40" i="3"/>
  <c r="N3" i="3"/>
  <c r="N42" i="3"/>
  <c r="N13" i="3"/>
  <c r="N20" i="3"/>
  <c r="N21" i="3"/>
  <c r="N17" i="3"/>
  <c r="N19" i="3"/>
  <c r="N16" i="3"/>
  <c r="N18" i="3"/>
  <c r="N24" i="3"/>
  <c r="N22" i="3"/>
  <c r="N26" i="3"/>
  <c r="N27" i="3"/>
  <c r="N23" i="3"/>
  <c r="N25" i="3"/>
  <c r="N30" i="3"/>
  <c r="N29" i="3"/>
  <c r="N28" i="3"/>
  <c r="N92" i="3"/>
  <c r="N32" i="3"/>
  <c r="N31" i="3"/>
  <c r="N9" i="3"/>
  <c r="N78" i="3"/>
  <c r="N79" i="3"/>
  <c r="N81" i="3"/>
  <c r="N83" i="3"/>
  <c r="N39" i="3"/>
  <c r="N36" i="3"/>
  <c r="N37" i="3"/>
  <c r="N35" i="3"/>
  <c r="N34" i="3"/>
  <c r="N33" i="3"/>
  <c r="A98" i="8" l="1"/>
  <c r="A99" i="8"/>
  <c r="A102" i="8"/>
  <c r="A103" i="8"/>
  <c r="B98" i="8"/>
  <c r="B99" i="8"/>
  <c r="B102" i="8"/>
  <c r="B103" i="8"/>
  <c r="D98" i="8"/>
  <c r="D99" i="8"/>
  <c r="D102" i="8"/>
  <c r="D103" i="8"/>
  <c r="E98" i="8"/>
  <c r="E99" i="8"/>
  <c r="E102" i="8"/>
  <c r="E103" i="8"/>
  <c r="A79" i="8" l="1"/>
  <c r="B79" i="8"/>
  <c r="D79" i="8"/>
  <c r="E79" i="8"/>
  <c r="A78" i="8" l="1"/>
  <c r="B78" i="8"/>
  <c r="D78" i="8"/>
  <c r="E78" i="8"/>
  <c r="A63" i="8" l="1"/>
  <c r="A66" i="8"/>
  <c r="A67" i="8"/>
  <c r="A70" i="8"/>
  <c r="A71" i="8"/>
  <c r="B66" i="8"/>
  <c r="B67" i="8"/>
  <c r="B70" i="8"/>
  <c r="B71" i="8"/>
  <c r="D66" i="8"/>
  <c r="D67" i="8"/>
  <c r="D70" i="8"/>
  <c r="D71" i="8"/>
  <c r="E66" i="8"/>
  <c r="E67" i="8"/>
  <c r="E70" i="8"/>
  <c r="E71" i="8"/>
  <c r="L4" i="5" l="1"/>
  <c r="A38" i="5" l="1"/>
  <c r="A28" i="5"/>
  <c r="A27" i="5"/>
  <c r="A33" i="5"/>
  <c r="A31" i="5"/>
  <c r="A37" i="5"/>
  <c r="A32" i="5"/>
  <c r="A36" i="5"/>
  <c r="A26" i="5"/>
  <c r="A34" i="5"/>
  <c r="A24" i="5"/>
  <c r="A29" i="5"/>
  <c r="A39" i="5"/>
  <c r="A16" i="5"/>
  <c r="D16" i="5" s="1"/>
  <c r="A14" i="5"/>
  <c r="A18" i="5"/>
  <c r="A17" i="5"/>
  <c r="A19" i="5"/>
  <c r="A41" i="5"/>
  <c r="A43" i="5"/>
  <c r="A46" i="5"/>
  <c r="A42" i="5"/>
  <c r="A44" i="5"/>
  <c r="A47" i="5"/>
  <c r="A48" i="5"/>
  <c r="A49" i="5"/>
  <c r="A21" i="5"/>
  <c r="A22" i="5"/>
  <c r="A13" i="5"/>
  <c r="A11" i="5"/>
  <c r="E11" i="5" s="1"/>
  <c r="A23" i="5"/>
  <c r="A12" i="5"/>
  <c r="G48" i="5" l="1"/>
  <c r="F48" i="5"/>
  <c r="E12" i="5"/>
  <c r="E13" i="5" s="1"/>
  <c r="E14" i="5" s="1"/>
  <c r="G47" i="5"/>
  <c r="F47" i="5"/>
  <c r="F46" i="5"/>
  <c r="E46" i="5"/>
  <c r="E47" i="5" s="1"/>
  <c r="E48" i="5" s="1"/>
  <c r="G46" i="5"/>
  <c r="F43" i="5"/>
  <c r="G43" i="5"/>
  <c r="F44" i="5"/>
  <c r="G44" i="5"/>
  <c r="G42" i="5"/>
  <c r="F42" i="5"/>
  <c r="G41" i="5"/>
  <c r="F41" i="5"/>
  <c r="E41" i="5"/>
  <c r="E42" i="5" s="1"/>
  <c r="E43" i="5" s="1"/>
  <c r="E44" i="5" s="1"/>
  <c r="E49" i="5"/>
  <c r="G49" i="5"/>
  <c r="F49" i="5"/>
  <c r="K48" i="5"/>
  <c r="J48" i="5"/>
  <c r="I48" i="5"/>
  <c r="H48" i="5"/>
  <c r="I12" i="5"/>
  <c r="H12" i="5"/>
  <c r="J12" i="5"/>
  <c r="K12" i="5"/>
  <c r="K47" i="5"/>
  <c r="I47" i="5"/>
  <c r="H47" i="5"/>
  <c r="J47" i="5"/>
  <c r="K18" i="5"/>
  <c r="J18" i="5"/>
  <c r="I18" i="5"/>
  <c r="H18" i="5"/>
  <c r="E36" i="5"/>
  <c r="E37" i="5" s="1"/>
  <c r="E38" i="5" s="1"/>
  <c r="E39" i="5" s="1"/>
  <c r="K36" i="5"/>
  <c r="J36" i="5"/>
  <c r="I36" i="5"/>
  <c r="H36" i="5"/>
  <c r="K13" i="5"/>
  <c r="J13" i="5"/>
  <c r="I13" i="5"/>
  <c r="H13" i="5"/>
  <c r="E26" i="5"/>
  <c r="E27" i="5" s="1"/>
  <c r="E28" i="5" s="1"/>
  <c r="E29" i="5" s="1"/>
  <c r="J26" i="5"/>
  <c r="K26" i="5"/>
  <c r="I26" i="5"/>
  <c r="H26" i="5"/>
  <c r="K23" i="5"/>
  <c r="J23" i="5"/>
  <c r="I23" i="5"/>
  <c r="H23" i="5"/>
  <c r="K44" i="5"/>
  <c r="I44" i="5"/>
  <c r="H44" i="5"/>
  <c r="J44" i="5"/>
  <c r="K14" i="5"/>
  <c r="I14" i="5"/>
  <c r="H14" i="5"/>
  <c r="J14" i="5"/>
  <c r="K32" i="5"/>
  <c r="I32" i="5"/>
  <c r="J32" i="5"/>
  <c r="H32" i="5"/>
  <c r="K19" i="5"/>
  <c r="I19" i="5"/>
  <c r="J19" i="5"/>
  <c r="H19" i="5"/>
  <c r="K11" i="5"/>
  <c r="J11" i="5"/>
  <c r="I11" i="5"/>
  <c r="H11" i="5"/>
  <c r="K42" i="5"/>
  <c r="I42" i="5"/>
  <c r="J42" i="5"/>
  <c r="H42" i="5"/>
  <c r="E16" i="5"/>
  <c r="E17" i="5" s="1"/>
  <c r="E18" i="5" s="1"/>
  <c r="E19" i="5" s="1"/>
  <c r="K16" i="5"/>
  <c r="J16" i="5"/>
  <c r="I16" i="5"/>
  <c r="H16" i="5"/>
  <c r="K37" i="5"/>
  <c r="J37" i="5"/>
  <c r="I37" i="5"/>
  <c r="H37" i="5"/>
  <c r="J46" i="5"/>
  <c r="K46" i="5"/>
  <c r="I46" i="5"/>
  <c r="H46" i="5"/>
  <c r="K39" i="5"/>
  <c r="I39" i="5"/>
  <c r="H39" i="5"/>
  <c r="J39" i="5"/>
  <c r="E31" i="5"/>
  <c r="E32" i="5" s="1"/>
  <c r="E33" i="5" s="1"/>
  <c r="E34" i="5" s="1"/>
  <c r="J31" i="5"/>
  <c r="K31" i="5"/>
  <c r="I31" i="5"/>
  <c r="H31" i="5"/>
  <c r="K43" i="5"/>
  <c r="J43" i="5"/>
  <c r="I43" i="5"/>
  <c r="H43" i="5"/>
  <c r="K33" i="5"/>
  <c r="J33" i="5"/>
  <c r="I33" i="5"/>
  <c r="H33" i="5"/>
  <c r="K22" i="5"/>
  <c r="I22" i="5"/>
  <c r="H22" i="5"/>
  <c r="J22" i="5"/>
  <c r="K29" i="5"/>
  <c r="I29" i="5"/>
  <c r="H29" i="5"/>
  <c r="J29" i="5"/>
  <c r="E21" i="5"/>
  <c r="E22" i="5" s="1"/>
  <c r="E23" i="5" s="1"/>
  <c r="E24" i="5" s="1"/>
  <c r="J21" i="5"/>
  <c r="K21" i="5"/>
  <c r="I21" i="5"/>
  <c r="H21" i="5"/>
  <c r="K41" i="5"/>
  <c r="J41" i="5"/>
  <c r="I41" i="5"/>
  <c r="H41" i="5"/>
  <c r="K24" i="5"/>
  <c r="J24" i="5"/>
  <c r="I24" i="5"/>
  <c r="H24" i="5"/>
  <c r="K27" i="5"/>
  <c r="I27" i="5"/>
  <c r="H27" i="5"/>
  <c r="J27" i="5"/>
  <c r="K34" i="5"/>
  <c r="I34" i="5"/>
  <c r="H34" i="5"/>
  <c r="J34" i="5"/>
  <c r="K28" i="5"/>
  <c r="J28" i="5"/>
  <c r="I28" i="5"/>
  <c r="H28" i="5"/>
  <c r="K17" i="5"/>
  <c r="I17" i="5"/>
  <c r="H17" i="5"/>
  <c r="J17" i="5"/>
  <c r="K38" i="5"/>
  <c r="J38" i="5"/>
  <c r="I38" i="5"/>
  <c r="H38" i="5"/>
  <c r="E115" i="8" l="1"/>
  <c r="D115" i="8"/>
  <c r="B115" i="8"/>
  <c r="A115" i="8"/>
  <c r="E114" i="8"/>
  <c r="D114" i="8"/>
  <c r="B114" i="8"/>
  <c r="A114" i="8"/>
  <c r="E113" i="8"/>
  <c r="D113" i="8"/>
  <c r="B113" i="8"/>
  <c r="A113" i="8"/>
  <c r="E112" i="8"/>
  <c r="D112" i="8"/>
  <c r="B112" i="8"/>
  <c r="A112" i="8"/>
  <c r="E77" i="8"/>
  <c r="D77" i="8"/>
  <c r="B77" i="8"/>
  <c r="A77" i="8"/>
  <c r="E76" i="8"/>
  <c r="D76" i="8"/>
  <c r="B76" i="8"/>
  <c r="A76" i="8"/>
  <c r="E75" i="8"/>
  <c r="D75" i="8"/>
  <c r="B75" i="8"/>
  <c r="A75" i="8"/>
  <c r="E74" i="8"/>
  <c r="D74" i="8"/>
  <c r="B74" i="8"/>
  <c r="A74" i="8"/>
  <c r="Q8" i="3" l="1"/>
  <c r="Q6" i="3"/>
  <c r="Q5" i="3"/>
  <c r="Q7" i="3"/>
  <c r="Q69" i="3"/>
  <c r="Q12" i="3"/>
  <c r="Q64" i="3"/>
  <c r="Q62" i="3"/>
  <c r="T8" i="3"/>
  <c r="T6" i="3"/>
  <c r="T5" i="3"/>
  <c r="T7" i="3"/>
  <c r="T69" i="3"/>
  <c r="T62" i="3"/>
  <c r="T12" i="3"/>
  <c r="T64" i="3"/>
  <c r="Q94" i="3"/>
  <c r="Q96" i="3"/>
  <c r="T94" i="3"/>
  <c r="T96" i="3"/>
  <c r="T84" i="3"/>
  <c r="Q84" i="3"/>
  <c r="Q70" i="3"/>
  <c r="Q71" i="3"/>
  <c r="Q72" i="3"/>
  <c r="Q10" i="3"/>
  <c r="Q11" i="3"/>
  <c r="T70" i="3"/>
  <c r="T71" i="3"/>
  <c r="T72" i="3"/>
  <c r="T10" i="3"/>
  <c r="T11" i="3"/>
  <c r="Q82" i="3"/>
  <c r="T82" i="3"/>
  <c r="Q85" i="3"/>
  <c r="Q86" i="3"/>
  <c r="Q80" i="3"/>
  <c r="Q60" i="3"/>
  <c r="Q58" i="3"/>
  <c r="Q53" i="3"/>
  <c r="Q14" i="3"/>
  <c r="Q15" i="3"/>
  <c r="Q55" i="3"/>
  <c r="Q57" i="3"/>
  <c r="Q91" i="3"/>
  <c r="Q93" i="3"/>
  <c r="Q95" i="3"/>
  <c r="Q97" i="3"/>
  <c r="Q98" i="3"/>
  <c r="Q100" i="3"/>
  <c r="Q101" i="3"/>
  <c r="Q68" i="3"/>
  <c r="T85" i="3"/>
  <c r="T86" i="3"/>
  <c r="T80" i="3"/>
  <c r="T60" i="3"/>
  <c r="T58" i="3"/>
  <c r="T53" i="3"/>
  <c r="T14" i="3"/>
  <c r="T15" i="3"/>
  <c r="T55" i="3"/>
  <c r="T57" i="3"/>
  <c r="T91" i="3"/>
  <c r="T93" i="3"/>
  <c r="T95" i="3"/>
  <c r="T97" i="3"/>
  <c r="T98" i="3"/>
  <c r="T100" i="3"/>
  <c r="T101" i="3"/>
  <c r="T68" i="3"/>
  <c r="Q77" i="3"/>
  <c r="Q41" i="3"/>
  <c r="T77" i="3"/>
  <c r="T41" i="3"/>
  <c r="Q4" i="3"/>
  <c r="Q87" i="3"/>
  <c r="Q88" i="3"/>
  <c r="Q89" i="3"/>
  <c r="Q90" i="3"/>
  <c r="Q73" i="3"/>
  <c r="Q74" i="3"/>
  <c r="Q75" i="3"/>
  <c r="Q76" i="3"/>
  <c r="Q66" i="3"/>
  <c r="Q65" i="3"/>
  <c r="Q50" i="3"/>
  <c r="Q61" i="3"/>
  <c r="Q63" i="3"/>
  <c r="Q67" i="3"/>
  <c r="Q54" i="3"/>
  <c r="Q56" i="3"/>
  <c r="Q43" i="3"/>
  <c r="Q44" i="3"/>
  <c r="Q45" i="3"/>
  <c r="Q46" i="3"/>
  <c r="Q47" i="3"/>
  <c r="Q59" i="3"/>
  <c r="Q48" i="3"/>
  <c r="Q49" i="3"/>
  <c r="Q51" i="3"/>
  <c r="Q52" i="3"/>
  <c r="Q99" i="3"/>
  <c r="Q38" i="3"/>
  <c r="Q40" i="3"/>
  <c r="Q3" i="3"/>
  <c r="Q42" i="3"/>
  <c r="Q13" i="3"/>
  <c r="Q20" i="3"/>
  <c r="Q21" i="3"/>
  <c r="Q17" i="3"/>
  <c r="Q19" i="3"/>
  <c r="Q16" i="3"/>
  <c r="Q18" i="3"/>
  <c r="Q24" i="3"/>
  <c r="Q22" i="3"/>
  <c r="Q26" i="3"/>
  <c r="Q27" i="3"/>
  <c r="Q23" i="3"/>
  <c r="Q25" i="3"/>
  <c r="Q30" i="3"/>
  <c r="Q29" i="3"/>
  <c r="Q28" i="3"/>
  <c r="Q92" i="3"/>
  <c r="Q32" i="3"/>
  <c r="Q31" i="3"/>
  <c r="Q9" i="3"/>
  <c r="Q78" i="3"/>
  <c r="Q79" i="3"/>
  <c r="Q81" i="3"/>
  <c r="Q83" i="3"/>
  <c r="Q39" i="3"/>
  <c r="Q36" i="3"/>
  <c r="Q37" i="3"/>
  <c r="Q35" i="3"/>
  <c r="Q34" i="3"/>
  <c r="Q33" i="3"/>
  <c r="T3" i="3"/>
  <c r="T4" i="3"/>
  <c r="T87" i="3"/>
  <c r="T88" i="3"/>
  <c r="T89" i="3"/>
  <c r="T90" i="3"/>
  <c r="T73" i="3"/>
  <c r="T74" i="3"/>
  <c r="T75" i="3"/>
  <c r="T76" i="3"/>
  <c r="T66" i="3"/>
  <c r="T65" i="3"/>
  <c r="T50" i="3"/>
  <c r="T61" i="3"/>
  <c r="T63" i="3"/>
  <c r="T67" i="3"/>
  <c r="T54" i="3"/>
  <c r="T56" i="3"/>
  <c r="T43" i="3"/>
  <c r="T44" i="3"/>
  <c r="T45" i="3"/>
  <c r="T46" i="3"/>
  <c r="T47" i="3"/>
  <c r="T59" i="3"/>
  <c r="T48" i="3"/>
  <c r="T49" i="3"/>
  <c r="T51" i="3"/>
  <c r="T52" i="3"/>
  <c r="T99" i="3"/>
  <c r="T38" i="3"/>
  <c r="T40" i="3"/>
  <c r="T39" i="3"/>
  <c r="T36" i="3"/>
  <c r="T37" i="3"/>
  <c r="T35" i="3"/>
  <c r="T34" i="3"/>
  <c r="T33" i="3"/>
  <c r="T42" i="3"/>
  <c r="T13" i="3"/>
  <c r="T20" i="3"/>
  <c r="T21" i="3"/>
  <c r="T17" i="3"/>
  <c r="T19" i="3"/>
  <c r="T16" i="3"/>
  <c r="T18" i="3"/>
  <c r="T24" i="3"/>
  <c r="T22" i="3"/>
  <c r="T26" i="3"/>
  <c r="T27" i="3"/>
  <c r="T23" i="3"/>
  <c r="T25" i="3"/>
  <c r="T30" i="3"/>
  <c r="T29" i="3"/>
  <c r="T28" i="3"/>
  <c r="T92" i="3"/>
  <c r="T32" i="3"/>
  <c r="T31" i="3"/>
  <c r="T9" i="3"/>
  <c r="T78" i="3"/>
  <c r="T79" i="3"/>
  <c r="T81" i="3"/>
  <c r="T83" i="3"/>
  <c r="A33" i="8"/>
  <c r="B33" i="8"/>
  <c r="D33" i="8"/>
  <c r="E33" i="8"/>
  <c r="C59" i="5" l="1"/>
  <c r="D59" i="5"/>
  <c r="B59" i="5"/>
  <c r="F59" i="5"/>
  <c r="G59" i="5"/>
  <c r="C58" i="5"/>
  <c r="D58" i="5"/>
  <c r="G58" i="5"/>
  <c r="B58" i="5"/>
  <c r="D57" i="5"/>
  <c r="F57" i="5"/>
  <c r="G57" i="5"/>
  <c r="B57" i="5"/>
  <c r="C57" i="5"/>
  <c r="C43" i="5"/>
  <c r="B43" i="5"/>
  <c r="D43" i="5"/>
  <c r="D46" i="5"/>
  <c r="B46" i="5"/>
  <c r="C46" i="5"/>
  <c r="D42" i="5"/>
  <c r="C42" i="5"/>
  <c r="B42" i="5"/>
  <c r="D48" i="5"/>
  <c r="C48" i="5"/>
  <c r="B48" i="5"/>
  <c r="B44" i="5"/>
  <c r="C44" i="5"/>
  <c r="D44" i="5"/>
  <c r="D47" i="5"/>
  <c r="C47" i="5"/>
  <c r="B47" i="5"/>
  <c r="C41" i="5"/>
  <c r="D41" i="5"/>
  <c r="B41" i="5"/>
  <c r="B49" i="5"/>
  <c r="C49" i="5"/>
  <c r="D49" i="5"/>
  <c r="G53" i="5"/>
  <c r="F55" i="5" l="1"/>
  <c r="D56" i="5"/>
  <c r="C53" i="5"/>
  <c r="D53" i="5"/>
  <c r="F53" i="5"/>
  <c r="B53" i="5"/>
  <c r="D54" i="5" l="1"/>
  <c r="B55" i="5"/>
  <c r="C56" i="5"/>
  <c r="G56" i="5"/>
  <c r="B56" i="5"/>
  <c r="F54" i="5"/>
  <c r="B54" i="5"/>
  <c r="G54" i="5"/>
  <c r="F56" i="5"/>
  <c r="D55" i="5"/>
  <c r="G55" i="5"/>
  <c r="C55" i="5"/>
  <c r="C54" i="5"/>
  <c r="I49" i="5"/>
  <c r="H49" i="5" l="1"/>
  <c r="J49" i="5"/>
  <c r="K49" i="5"/>
  <c r="E109" i="8" l="1"/>
  <c r="D109" i="8"/>
  <c r="B109" i="8"/>
  <c r="A109" i="8"/>
  <c r="E108" i="8"/>
  <c r="D108" i="8"/>
  <c r="B108" i="8"/>
  <c r="A108" i="8"/>
  <c r="E107" i="8"/>
  <c r="D107" i="8"/>
  <c r="B107" i="8"/>
  <c r="A107" i="8"/>
  <c r="E106" i="8"/>
  <c r="D106" i="8"/>
  <c r="B106" i="8"/>
  <c r="A106" i="8"/>
  <c r="S8" i="3" l="1"/>
  <c r="S6" i="3"/>
  <c r="S5" i="3"/>
  <c r="S7" i="3"/>
  <c r="S69" i="3"/>
  <c r="S62" i="3"/>
  <c r="S12" i="3"/>
  <c r="S64" i="3"/>
  <c r="S94" i="3"/>
  <c r="S96" i="3"/>
  <c r="S84" i="3"/>
  <c r="S70" i="3"/>
  <c r="S71" i="3"/>
  <c r="S72" i="3"/>
  <c r="S10" i="3"/>
  <c r="S11" i="3"/>
  <c r="S82" i="3"/>
  <c r="S85" i="3"/>
  <c r="S86" i="3"/>
  <c r="S80" i="3"/>
  <c r="S60" i="3"/>
  <c r="S58" i="3"/>
  <c r="S53" i="3"/>
  <c r="S14" i="3"/>
  <c r="S15" i="3"/>
  <c r="S55" i="3"/>
  <c r="S57" i="3"/>
  <c r="S91" i="3"/>
  <c r="S93" i="3"/>
  <c r="S95" i="3"/>
  <c r="S97" i="3"/>
  <c r="S98" i="3"/>
  <c r="S100" i="3"/>
  <c r="S101" i="3"/>
  <c r="S68" i="3"/>
  <c r="S77" i="3"/>
  <c r="S41" i="3"/>
  <c r="S4" i="3"/>
  <c r="S87" i="3"/>
  <c r="S88" i="3"/>
  <c r="S89" i="3"/>
  <c r="S90" i="3"/>
  <c r="S73" i="3"/>
  <c r="S74" i="3"/>
  <c r="S75" i="3"/>
  <c r="S76" i="3"/>
  <c r="S66" i="3"/>
  <c r="S65" i="3"/>
  <c r="S50" i="3"/>
  <c r="S61" i="3"/>
  <c r="S63" i="3"/>
  <c r="S67" i="3"/>
  <c r="S54" i="3"/>
  <c r="S56" i="3"/>
  <c r="S43" i="3"/>
  <c r="S44" i="3"/>
  <c r="S45" i="3"/>
  <c r="S46" i="3"/>
  <c r="S47" i="3"/>
  <c r="S59" i="3"/>
  <c r="S48" i="3"/>
  <c r="S49" i="3"/>
  <c r="S51" i="3"/>
  <c r="S52" i="3"/>
  <c r="S99" i="3"/>
  <c r="S38" i="3"/>
  <c r="S40" i="3"/>
  <c r="S3" i="3"/>
  <c r="S42" i="3"/>
  <c r="S13" i="3"/>
  <c r="S20" i="3"/>
  <c r="S21" i="3"/>
  <c r="S17" i="3"/>
  <c r="S19" i="3"/>
  <c r="S16" i="3"/>
  <c r="S18" i="3"/>
  <c r="S24" i="3"/>
  <c r="S22" i="3"/>
  <c r="S26" i="3"/>
  <c r="S27" i="3"/>
  <c r="S23" i="3"/>
  <c r="S25" i="3"/>
  <c r="S30" i="3"/>
  <c r="S29" i="3"/>
  <c r="S28" i="3"/>
  <c r="S92" i="3"/>
  <c r="S32" i="3"/>
  <c r="S31" i="3"/>
  <c r="S9" i="3"/>
  <c r="S78" i="3"/>
  <c r="S79" i="3"/>
  <c r="S81" i="3"/>
  <c r="S83" i="3"/>
  <c r="S39" i="3"/>
  <c r="S36" i="3"/>
  <c r="S37" i="3"/>
  <c r="S35" i="3"/>
  <c r="S34" i="3"/>
  <c r="S33" i="3"/>
  <c r="E97" i="8"/>
  <c r="D97" i="8"/>
  <c r="B97" i="8"/>
  <c r="A97" i="8"/>
  <c r="E96" i="8"/>
  <c r="D96" i="8"/>
  <c r="B96" i="8"/>
  <c r="A96" i="8"/>
  <c r="E95" i="8"/>
  <c r="D95" i="8"/>
  <c r="B95" i="8"/>
  <c r="A95" i="8"/>
  <c r="E94" i="8"/>
  <c r="D94" i="8"/>
  <c r="B94" i="8"/>
  <c r="A94" i="8"/>
  <c r="R8" i="3" l="1"/>
  <c r="R6" i="3"/>
  <c r="R5" i="3"/>
  <c r="R7" i="3"/>
  <c r="R69" i="3"/>
  <c r="R12" i="3"/>
  <c r="R64" i="3"/>
  <c r="R62" i="3"/>
  <c r="R96" i="3"/>
  <c r="R94" i="3"/>
  <c r="R84" i="3"/>
  <c r="R70" i="3"/>
  <c r="R71" i="3"/>
  <c r="R72" i="3"/>
  <c r="R10" i="3"/>
  <c r="R11" i="3"/>
  <c r="R82" i="3"/>
  <c r="R14" i="3"/>
  <c r="R98" i="3"/>
  <c r="R85" i="3"/>
  <c r="R86" i="3"/>
  <c r="R15" i="3"/>
  <c r="R100" i="3"/>
  <c r="R95" i="3"/>
  <c r="R80" i="3"/>
  <c r="R55" i="3"/>
  <c r="R101" i="3"/>
  <c r="R60" i="3"/>
  <c r="R57" i="3"/>
  <c r="R68" i="3"/>
  <c r="R58" i="3"/>
  <c r="R91" i="3"/>
  <c r="R53" i="3"/>
  <c r="R93" i="3"/>
  <c r="R97" i="3"/>
  <c r="R77" i="3"/>
  <c r="R41" i="3"/>
  <c r="R4" i="3"/>
  <c r="R87" i="3"/>
  <c r="R88" i="3"/>
  <c r="R89" i="3"/>
  <c r="R90" i="3"/>
  <c r="R73" i="3"/>
  <c r="R74" i="3"/>
  <c r="R75" i="3"/>
  <c r="R76" i="3"/>
  <c r="R66" i="3"/>
  <c r="R65" i="3"/>
  <c r="R50" i="3"/>
  <c r="R61" i="3"/>
  <c r="R63" i="3"/>
  <c r="R67" i="3"/>
  <c r="R54" i="3"/>
  <c r="R56" i="3"/>
  <c r="R43" i="3"/>
  <c r="R44" i="3"/>
  <c r="R45" i="3"/>
  <c r="R46" i="3"/>
  <c r="R47" i="3"/>
  <c r="R59" i="3"/>
  <c r="R48" i="3"/>
  <c r="R49" i="3"/>
  <c r="R51" i="3"/>
  <c r="R52" i="3"/>
  <c r="R99" i="3"/>
  <c r="R38" i="3"/>
  <c r="R40" i="3"/>
  <c r="R3" i="3"/>
  <c r="R42" i="3"/>
  <c r="R13" i="3"/>
  <c r="R20" i="3"/>
  <c r="R21" i="3"/>
  <c r="R17" i="3"/>
  <c r="R19" i="3"/>
  <c r="R16" i="3"/>
  <c r="R18" i="3"/>
  <c r="R24" i="3"/>
  <c r="R22" i="3"/>
  <c r="R26" i="3"/>
  <c r="R27" i="3"/>
  <c r="R23" i="3"/>
  <c r="R25" i="3"/>
  <c r="R30" i="3"/>
  <c r="R29" i="3"/>
  <c r="R28" i="3"/>
  <c r="R92" i="3"/>
  <c r="R32" i="3"/>
  <c r="R31" i="3"/>
  <c r="R9" i="3"/>
  <c r="R78" i="3"/>
  <c r="R79" i="3"/>
  <c r="R81" i="3"/>
  <c r="R83" i="3"/>
  <c r="R39" i="3"/>
  <c r="R36" i="3"/>
  <c r="R37" i="3"/>
  <c r="R35" i="3"/>
  <c r="R34" i="3"/>
  <c r="R33" i="3"/>
  <c r="E63" i="8"/>
  <c r="D63" i="8"/>
  <c r="B63" i="8"/>
  <c r="E64" i="8"/>
  <c r="D64" i="8"/>
  <c r="B64" i="8"/>
  <c r="A64" i="8"/>
  <c r="E62" i="8"/>
  <c r="D62" i="8"/>
  <c r="B62" i="8"/>
  <c r="A62" i="8"/>
  <c r="E65" i="8"/>
  <c r="D65" i="8"/>
  <c r="B65" i="8"/>
  <c r="A65" i="8"/>
  <c r="P8" i="3" l="1"/>
  <c r="P6" i="3"/>
  <c r="P5" i="3"/>
  <c r="P7" i="3"/>
  <c r="P69" i="3"/>
  <c r="P12" i="3"/>
  <c r="P64" i="3"/>
  <c r="P62" i="3"/>
  <c r="P96" i="3"/>
  <c r="P94" i="3"/>
  <c r="P84" i="3"/>
  <c r="P70" i="3"/>
  <c r="P71" i="3"/>
  <c r="P72" i="3"/>
  <c r="P10" i="3"/>
  <c r="P11" i="3"/>
  <c r="P82" i="3"/>
  <c r="P95" i="3"/>
  <c r="P85" i="3"/>
  <c r="P53" i="3"/>
  <c r="P58" i="3"/>
  <c r="P14" i="3"/>
  <c r="P98" i="3"/>
  <c r="P86" i="3"/>
  <c r="P15" i="3"/>
  <c r="P100" i="3"/>
  <c r="P68" i="3"/>
  <c r="P80" i="3"/>
  <c r="P55" i="3"/>
  <c r="P101" i="3"/>
  <c r="P91" i="3"/>
  <c r="P60" i="3"/>
  <c r="P57" i="3"/>
  <c r="P93" i="3"/>
  <c r="P97" i="3"/>
  <c r="P41" i="3"/>
  <c r="P77" i="3"/>
  <c r="P4" i="3"/>
  <c r="P87" i="3"/>
  <c r="P88" i="3"/>
  <c r="P89" i="3"/>
  <c r="P90" i="3"/>
  <c r="P73" i="3"/>
  <c r="P74" i="3"/>
  <c r="P75" i="3"/>
  <c r="P76" i="3"/>
  <c r="P66" i="3"/>
  <c r="P65" i="3"/>
  <c r="P50" i="3"/>
  <c r="P61" i="3"/>
  <c r="P63" i="3"/>
  <c r="P67" i="3"/>
  <c r="P54" i="3"/>
  <c r="P56" i="3"/>
  <c r="P43" i="3"/>
  <c r="P44" i="3"/>
  <c r="P45" i="3"/>
  <c r="P46" i="3"/>
  <c r="P47" i="3"/>
  <c r="P59" i="3"/>
  <c r="P48" i="3"/>
  <c r="P49" i="3"/>
  <c r="P51" i="3"/>
  <c r="P52" i="3"/>
  <c r="P99" i="3"/>
  <c r="P38" i="3"/>
  <c r="P40" i="3"/>
  <c r="P3" i="3"/>
  <c r="P42" i="3"/>
  <c r="P13" i="3"/>
  <c r="P20" i="3"/>
  <c r="P21" i="3"/>
  <c r="P17" i="3"/>
  <c r="P19" i="3"/>
  <c r="P16" i="3"/>
  <c r="P18" i="3"/>
  <c r="P24" i="3"/>
  <c r="P22" i="3"/>
  <c r="P26" i="3"/>
  <c r="P27" i="3"/>
  <c r="P23" i="3"/>
  <c r="P25" i="3"/>
  <c r="P30" i="3"/>
  <c r="P29" i="3"/>
  <c r="P28" i="3"/>
  <c r="P92" i="3"/>
  <c r="P32" i="3"/>
  <c r="P31" i="3"/>
  <c r="P9" i="3"/>
  <c r="P78" i="3"/>
  <c r="P79" i="3"/>
  <c r="P81" i="3"/>
  <c r="P83" i="3"/>
  <c r="P39" i="3"/>
  <c r="P36" i="3"/>
  <c r="P37" i="3"/>
  <c r="P35" i="3"/>
  <c r="P34" i="3"/>
  <c r="P33" i="3"/>
  <c r="A25" i="8"/>
  <c r="A26" i="8"/>
  <c r="A29" i="8"/>
  <c r="A30" i="8"/>
  <c r="A31" i="8"/>
  <c r="B25" i="8"/>
  <c r="B26" i="8"/>
  <c r="B29" i="8"/>
  <c r="B30" i="8"/>
  <c r="B31" i="8"/>
  <c r="D25" i="8"/>
  <c r="D26" i="8"/>
  <c r="D29" i="8"/>
  <c r="D30" i="8"/>
  <c r="D31" i="8"/>
  <c r="E25" i="8"/>
  <c r="E26" i="8"/>
  <c r="E29" i="8"/>
  <c r="E30" i="8"/>
  <c r="E31" i="8"/>
  <c r="A24" i="8"/>
  <c r="B24" i="8"/>
  <c r="D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D7" i="8"/>
  <c r="D8" i="8"/>
  <c r="D9" i="8"/>
  <c r="D10" i="8"/>
  <c r="D11" i="8"/>
  <c r="D12" i="8"/>
  <c r="D13" i="8"/>
  <c r="D14" i="8"/>
  <c r="D15" i="8"/>
  <c r="D16" i="8"/>
  <c r="D17" i="8"/>
  <c r="D18" i="8"/>
  <c r="D19" i="8"/>
  <c r="D20" i="8"/>
  <c r="D21" i="8"/>
  <c r="D22" i="8"/>
  <c r="D23" i="8"/>
  <c r="E7" i="8"/>
  <c r="E8" i="8"/>
  <c r="E9" i="8"/>
  <c r="E10" i="8"/>
  <c r="E11" i="8"/>
  <c r="E12" i="8"/>
  <c r="E13" i="8"/>
  <c r="E14" i="8"/>
  <c r="E15" i="8"/>
  <c r="E16" i="8"/>
  <c r="E17" i="8"/>
  <c r="E18" i="8"/>
  <c r="E19" i="8"/>
  <c r="E20" i="8"/>
  <c r="E21" i="8"/>
  <c r="E22" i="8"/>
  <c r="E23" i="8"/>
  <c r="B54" i="8" l="1"/>
  <c r="E54" i="8"/>
  <c r="E55" i="8"/>
  <c r="E56" i="8"/>
  <c r="E57" i="8"/>
  <c r="E58" i="8"/>
  <c r="E59" i="8"/>
  <c r="D54" i="8"/>
  <c r="D55" i="8"/>
  <c r="D56" i="8"/>
  <c r="D57" i="8"/>
  <c r="D58" i="8"/>
  <c r="D59" i="8"/>
  <c r="B55" i="8"/>
  <c r="B56" i="8"/>
  <c r="B57" i="8"/>
  <c r="B58" i="8"/>
  <c r="B59" i="8"/>
  <c r="A54" i="8"/>
  <c r="A56" i="8"/>
  <c r="A57" i="8"/>
  <c r="A58" i="8"/>
  <c r="A59" i="8"/>
  <c r="E3" i="8"/>
  <c r="E4" i="8"/>
  <c r="E5" i="8"/>
  <c r="E6" i="8"/>
  <c r="D3" i="8"/>
  <c r="D4" i="8"/>
  <c r="D5" i="8"/>
  <c r="D6" i="8"/>
  <c r="B3" i="8"/>
  <c r="B4" i="8"/>
  <c r="B5" i="8"/>
  <c r="B6" i="8"/>
  <c r="A4" i="8"/>
  <c r="A5" i="8"/>
  <c r="A6" i="8"/>
  <c r="L42" i="3" l="1"/>
  <c r="L8" i="3"/>
  <c r="L6" i="3"/>
  <c r="L5" i="3"/>
  <c r="L7" i="3"/>
  <c r="L69" i="3"/>
  <c r="L12" i="3"/>
  <c r="L64" i="3"/>
  <c r="L62" i="3"/>
  <c r="O8" i="3"/>
  <c r="O6" i="3"/>
  <c r="O5" i="3"/>
  <c r="O7" i="3"/>
  <c r="O69" i="3"/>
  <c r="O12" i="3"/>
  <c r="O64" i="3"/>
  <c r="O62" i="3"/>
  <c r="O94" i="3"/>
  <c r="O96" i="3"/>
  <c r="L96" i="3"/>
  <c r="L94" i="3"/>
  <c r="L84" i="3"/>
  <c r="O84" i="3"/>
  <c r="L70" i="3"/>
  <c r="L71" i="3"/>
  <c r="L72" i="3"/>
  <c r="L10" i="3"/>
  <c r="L11" i="3"/>
  <c r="O70" i="3"/>
  <c r="O71" i="3"/>
  <c r="O72" i="3"/>
  <c r="O10" i="3"/>
  <c r="O11" i="3"/>
  <c r="L82" i="3"/>
  <c r="O82" i="3"/>
  <c r="L85" i="3"/>
  <c r="L86" i="3"/>
  <c r="L80" i="3"/>
  <c r="L55" i="3"/>
  <c r="L101" i="3"/>
  <c r="L15" i="3"/>
  <c r="L60" i="3"/>
  <c r="L57" i="3"/>
  <c r="L68" i="3"/>
  <c r="L58" i="3"/>
  <c r="L91" i="3"/>
  <c r="L95" i="3"/>
  <c r="L93" i="3"/>
  <c r="L100" i="3"/>
  <c r="L53" i="3"/>
  <c r="L97" i="3"/>
  <c r="L14" i="3"/>
  <c r="L98" i="3"/>
  <c r="O85" i="3"/>
  <c r="O86" i="3"/>
  <c r="O80" i="3"/>
  <c r="O60" i="3"/>
  <c r="O58" i="3"/>
  <c r="O53" i="3"/>
  <c r="O14" i="3"/>
  <c r="O15" i="3"/>
  <c r="O55" i="3"/>
  <c r="O57" i="3"/>
  <c r="O91" i="3"/>
  <c r="O93" i="3"/>
  <c r="O95" i="3"/>
  <c r="O97" i="3"/>
  <c r="O98" i="3"/>
  <c r="O100" i="3"/>
  <c r="O101" i="3"/>
  <c r="O68" i="3"/>
  <c r="L41" i="3"/>
  <c r="O41" i="3"/>
  <c r="L77" i="3"/>
  <c r="O77" i="3"/>
  <c r="L4" i="3"/>
  <c r="L87" i="3"/>
  <c r="L88" i="3"/>
  <c r="L89" i="3"/>
  <c r="L90" i="3"/>
  <c r="L73" i="3"/>
  <c r="L74" i="3"/>
  <c r="L75" i="3"/>
  <c r="L76" i="3"/>
  <c r="L66" i="3"/>
  <c r="L65" i="3"/>
  <c r="L50" i="3"/>
  <c r="L61" i="3"/>
  <c r="L63" i="3"/>
  <c r="L67" i="3"/>
  <c r="L54" i="3"/>
  <c r="L56" i="3"/>
  <c r="L43" i="3"/>
  <c r="L44" i="3"/>
  <c r="L45" i="3"/>
  <c r="L46" i="3"/>
  <c r="L47" i="3"/>
  <c r="L59" i="3"/>
  <c r="L48" i="3"/>
  <c r="L49" i="3"/>
  <c r="L51" i="3"/>
  <c r="L52" i="3"/>
  <c r="L99" i="3"/>
  <c r="L38" i="3"/>
  <c r="L40" i="3"/>
  <c r="L39" i="3"/>
  <c r="L36" i="3"/>
  <c r="L37" i="3"/>
  <c r="L35" i="3"/>
  <c r="L34" i="3"/>
  <c r="L33" i="3"/>
  <c r="L13" i="3"/>
  <c r="L20" i="3"/>
  <c r="L21" i="3"/>
  <c r="L17" i="3"/>
  <c r="L19" i="3"/>
  <c r="L16" i="3"/>
  <c r="L18" i="3"/>
  <c r="L24" i="3"/>
  <c r="L22" i="3"/>
  <c r="L26" i="3"/>
  <c r="L27" i="3"/>
  <c r="L23" i="3"/>
  <c r="L25" i="3"/>
  <c r="L30" i="3"/>
  <c r="L29" i="3"/>
  <c r="L28" i="3"/>
  <c r="L92" i="3"/>
  <c r="L32" i="3"/>
  <c r="L31" i="3"/>
  <c r="L9" i="3"/>
  <c r="L78" i="3"/>
  <c r="L79" i="3"/>
  <c r="L81" i="3"/>
  <c r="L83" i="3"/>
  <c r="O4" i="3"/>
  <c r="O87" i="3"/>
  <c r="O88" i="3"/>
  <c r="O89" i="3"/>
  <c r="O90" i="3"/>
  <c r="O73" i="3"/>
  <c r="O74" i="3"/>
  <c r="O75" i="3"/>
  <c r="O76" i="3"/>
  <c r="O66" i="3"/>
  <c r="O65" i="3"/>
  <c r="O50" i="3"/>
  <c r="O61" i="3"/>
  <c r="O63" i="3"/>
  <c r="O67" i="3"/>
  <c r="O54" i="3"/>
  <c r="O56" i="3"/>
  <c r="O43" i="3"/>
  <c r="O44" i="3"/>
  <c r="O45" i="3"/>
  <c r="O46" i="3"/>
  <c r="O47" i="3"/>
  <c r="O59" i="3"/>
  <c r="O48" i="3"/>
  <c r="O49" i="3"/>
  <c r="O51" i="3"/>
  <c r="O52" i="3"/>
  <c r="O99" i="3"/>
  <c r="O38" i="3"/>
  <c r="O40" i="3"/>
  <c r="O3" i="3"/>
  <c r="O42" i="3"/>
  <c r="O13" i="3"/>
  <c r="O20" i="3"/>
  <c r="O21" i="3"/>
  <c r="O17" i="3"/>
  <c r="O19" i="3"/>
  <c r="O16" i="3"/>
  <c r="O18" i="3"/>
  <c r="O24" i="3"/>
  <c r="O22" i="3"/>
  <c r="O26" i="3"/>
  <c r="O27" i="3"/>
  <c r="O23" i="3"/>
  <c r="O25" i="3"/>
  <c r="O30" i="3"/>
  <c r="O29" i="3"/>
  <c r="O28" i="3"/>
  <c r="O92" i="3"/>
  <c r="O32" i="3"/>
  <c r="O31" i="3"/>
  <c r="O9" i="3"/>
  <c r="O78" i="3"/>
  <c r="O79" i="3"/>
  <c r="O81" i="3"/>
  <c r="O83" i="3"/>
  <c r="O39" i="3"/>
  <c r="O36" i="3"/>
  <c r="O37" i="3"/>
  <c r="O35" i="3"/>
  <c r="O34" i="3"/>
  <c r="O33" i="3"/>
  <c r="L3" i="3"/>
  <c r="C37" i="5" l="1"/>
  <c r="F37" i="5"/>
  <c r="G37" i="5"/>
  <c r="B37" i="5"/>
  <c r="D37" i="5"/>
  <c r="B38" i="5"/>
  <c r="F38" i="5"/>
  <c r="G38" i="5"/>
  <c r="D38" i="5"/>
  <c r="C38" i="5"/>
  <c r="B33" i="5"/>
  <c r="C33" i="5"/>
  <c r="G33" i="5"/>
  <c r="F33" i="5"/>
  <c r="D33" i="5"/>
  <c r="D39" i="5"/>
  <c r="B39" i="5"/>
  <c r="C39" i="5"/>
  <c r="F39" i="5"/>
  <c r="G39" i="5"/>
  <c r="D36" i="5"/>
  <c r="B36" i="5"/>
  <c r="C36" i="5"/>
  <c r="F36" i="5"/>
  <c r="G36" i="5"/>
  <c r="C32" i="5"/>
  <c r="G32" i="5"/>
  <c r="D32" i="5"/>
  <c r="F32" i="5"/>
  <c r="B32" i="5"/>
  <c r="C34" i="5"/>
  <c r="G34" i="5"/>
  <c r="F34" i="5"/>
  <c r="B34" i="5"/>
  <c r="D34" i="5"/>
  <c r="D31" i="5"/>
  <c r="F31" i="5"/>
  <c r="B31" i="5"/>
  <c r="C31" i="5"/>
  <c r="G31" i="5"/>
  <c r="F23" i="5" l="1"/>
  <c r="C23" i="5"/>
  <c r="G23" i="5"/>
  <c r="D23" i="5"/>
  <c r="B23" i="5"/>
  <c r="G16" i="5"/>
  <c r="F16" i="5"/>
  <c r="C16" i="5"/>
  <c r="B16" i="5"/>
  <c r="G21" i="5"/>
  <c r="F21" i="5"/>
  <c r="D21" i="5"/>
  <c r="C21" i="5"/>
  <c r="B21" i="5"/>
  <c r="G14" i="5"/>
  <c r="F14" i="5"/>
  <c r="D14" i="5"/>
  <c r="C14" i="5"/>
  <c r="B14" i="5"/>
  <c r="G29" i="5"/>
  <c r="F29" i="5"/>
  <c r="D29" i="5"/>
  <c r="C29" i="5"/>
  <c r="B29" i="5"/>
  <c r="G17" i="5"/>
  <c r="F17" i="5"/>
  <c r="D17" i="5"/>
  <c r="C17" i="5"/>
  <c r="B17" i="5"/>
  <c r="G11" i="5"/>
  <c r="F11" i="5"/>
  <c r="D11" i="5"/>
  <c r="C11" i="5"/>
  <c r="B11" i="5"/>
  <c r="F13" i="5"/>
  <c r="B13" i="5"/>
  <c r="C13" i="5"/>
  <c r="G13" i="5"/>
  <c r="D13" i="5"/>
  <c r="G18" i="5"/>
  <c r="F18" i="5"/>
  <c r="D18" i="5"/>
  <c r="C18" i="5"/>
  <c r="B18" i="5"/>
  <c r="F22" i="5"/>
  <c r="C22" i="5"/>
  <c r="G22" i="5"/>
  <c r="D22" i="5"/>
  <c r="B22" i="5"/>
  <c r="F24" i="5"/>
  <c r="G24" i="5"/>
  <c r="D24" i="5"/>
  <c r="C24" i="5"/>
  <c r="B24" i="5"/>
  <c r="G26" i="5"/>
  <c r="F26" i="5"/>
  <c r="D26" i="5"/>
  <c r="C26" i="5"/>
  <c r="B26" i="5"/>
  <c r="B12" i="5"/>
  <c r="C12" i="5"/>
  <c r="G12" i="5"/>
  <c r="D12" i="5"/>
  <c r="F12" i="5"/>
  <c r="G27" i="5"/>
  <c r="F27" i="5"/>
  <c r="D27" i="5"/>
  <c r="C27" i="5"/>
  <c r="B27" i="5"/>
  <c r="G28" i="5"/>
  <c r="F28" i="5"/>
  <c r="D28" i="5"/>
  <c r="C28" i="5"/>
  <c r="B28" i="5"/>
  <c r="G19" i="5"/>
  <c r="F19" i="5"/>
  <c r="D19" i="5"/>
  <c r="C19" i="5"/>
  <c r="B19" i="5"/>
</calcChain>
</file>

<file path=xl/sharedStrings.xml><?xml version="1.0" encoding="utf-8"?>
<sst xmlns="http://schemas.openxmlformats.org/spreadsheetml/2006/main" count="1637" uniqueCount="406">
  <si>
    <t>UDC</t>
  </si>
  <si>
    <t>Ver</t>
  </si>
  <si>
    <t>OUA Cd</t>
  </si>
  <si>
    <t>Unit Title</t>
  </si>
  <si>
    <t>Study Periods</t>
  </si>
  <si>
    <t>Pre-reqs</t>
  </si>
  <si>
    <t>Credits</t>
  </si>
  <si>
    <t>Availabilities</t>
  </si>
  <si>
    <t>Progress Notes</t>
  </si>
  <si>
    <t>\6</t>
  </si>
  <si>
    <r>
      <t>Curtin University</t>
    </r>
    <r>
      <rPr>
        <sz val="11"/>
        <color theme="0"/>
        <rFont val="Arial"/>
        <family val="2"/>
      </rPr>
      <t xml:space="preserve">
School of Design and the Built Environment</t>
    </r>
  </si>
  <si>
    <t>2025 Full-Time Enrolment Planner</t>
  </si>
  <si>
    <t>Student Name:</t>
  </si>
  <si>
    <t xml:space="preserve">Student ID: </t>
  </si>
  <si>
    <t>Course:</t>
  </si>
  <si>
    <t>Bachelor of Applied Science (Construction Management)</t>
  </si>
  <si>
    <t>Course / Stream version:</t>
  </si>
  <si>
    <t>Specialisation:</t>
  </si>
  <si>
    <t>Choose your Specialisation (drop-down list)</t>
  </si>
  <si>
    <t>Specialisation version:</t>
  </si>
  <si>
    <t>Commencing:</t>
  </si>
  <si>
    <t>Semester 1 (February - June)</t>
  </si>
  <si>
    <t>Credits to Complete:</t>
  </si>
  <si>
    <t>2025 Availabilities</t>
  </si>
  <si>
    <t>Year 1</t>
  </si>
  <si>
    <t>Study Period</t>
  </si>
  <si>
    <t>Pre Requisite(s)</t>
  </si>
  <si>
    <t>CP</t>
  </si>
  <si>
    <t>Sem1 BEN</t>
  </si>
  <si>
    <t>Sem1 FO</t>
  </si>
  <si>
    <t>Sem2 BEN</t>
  </si>
  <si>
    <t>Sem2 FO</t>
  </si>
  <si>
    <t>Notes / Progress</t>
  </si>
  <si>
    <t>Year 2</t>
  </si>
  <si>
    <t>Year 3</t>
  </si>
  <si>
    <t>Year 4</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</si>
  <si>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</si>
  <si>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</si>
  <si>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</si>
  <si>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</si>
  <si>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RangeUnitSets</t>
  </si>
  <si>
    <r>
      <t>B-CONM</t>
    </r>
    <r>
      <rPr>
        <b/>
        <sz val="8"/>
        <color rgb="FF00B050"/>
        <rFont val="Arial"/>
        <family val="2"/>
      </rPr>
      <t>Sem1</t>
    </r>
  </si>
  <si>
    <r>
      <t>B-CONM</t>
    </r>
    <r>
      <rPr>
        <b/>
        <sz val="8"/>
        <color rgb="FFFF0000"/>
        <rFont val="Arial"/>
        <family val="2"/>
      </rPr>
      <t>Sem2</t>
    </r>
  </si>
  <si>
    <r>
      <t>B-CONM / STRU-CONMN</t>
    </r>
    <r>
      <rPr>
        <b/>
        <sz val="8"/>
        <color rgb="FF00B050"/>
        <rFont val="Arial"/>
        <family val="2"/>
      </rPr>
      <t>Sem1</t>
    </r>
  </si>
  <si>
    <r>
      <t>B-CONM / STRU-CONMN</t>
    </r>
    <r>
      <rPr>
        <b/>
        <sz val="8"/>
        <color rgb="FFFF0000"/>
        <rFont val="Arial"/>
        <family val="2"/>
      </rPr>
      <t>Sem2</t>
    </r>
  </si>
  <si>
    <r>
      <t>B-CONM / STRH-CONMN</t>
    </r>
    <r>
      <rPr>
        <b/>
        <sz val="8"/>
        <color rgb="FF00B050"/>
        <rFont val="Arial"/>
        <family val="2"/>
      </rPr>
      <t>Sem1</t>
    </r>
  </si>
  <si>
    <r>
      <t>B-CONM / STRH-CONMN</t>
    </r>
    <r>
      <rPr>
        <b/>
        <sz val="8"/>
        <color rgb="FFFF0000"/>
        <rFont val="Arial"/>
        <family val="2"/>
      </rPr>
      <t>Sem2</t>
    </r>
  </si>
  <si>
    <t>Y1Sem1</t>
  </si>
  <si>
    <t>COMS1010</t>
  </si>
  <si>
    <t>Y1Sem2</t>
  </si>
  <si>
    <t>--</t>
  </si>
  <si>
    <t>TableCourses</t>
  </si>
  <si>
    <t>BLDG1000</t>
  </si>
  <si>
    <t>Choose your Construction Management Course (drop-down list)</t>
  </si>
  <si>
    <t>SM Version</t>
  </si>
  <si>
    <t>SM Effective Date</t>
  </si>
  <si>
    <t>Akari Iteration</t>
  </si>
  <si>
    <t>Akari Effective Date</t>
  </si>
  <si>
    <t>Credit Points</t>
  </si>
  <si>
    <t>SM Availabilities</t>
  </si>
  <si>
    <t>BLDG1003</t>
  </si>
  <si>
    <r>
      <rPr>
        <sz val="10"/>
        <color rgb="FF00B050"/>
        <rFont val="Arial"/>
        <family val="2"/>
      </rPr>
      <t>B-CONM</t>
    </r>
    <r>
      <rPr>
        <sz val="10"/>
        <rFont val="Arial"/>
        <family val="2"/>
      </rPr>
      <t xml:space="preserve"> / STRU-CONMN</t>
    </r>
  </si>
  <si>
    <t>v.3 / v.3</t>
  </si>
  <si>
    <t>800 credit points required</t>
  </si>
  <si>
    <t>Sem1; Sem2 (CRL only)</t>
  </si>
  <si>
    <t>Sem2 UNITCKED for 2025</t>
  </si>
  <si>
    <t>BLDG1004</t>
  </si>
  <si>
    <t>Bachelor of Applied Science (Construction Management) (Honours)</t>
  </si>
  <si>
    <r>
      <rPr>
        <sz val="10"/>
        <color rgb="FF00B050"/>
        <rFont val="Arial"/>
        <family val="2"/>
      </rPr>
      <t xml:space="preserve">B-CONM </t>
    </r>
    <r>
      <rPr>
        <sz val="10"/>
        <rFont val="Arial"/>
        <family val="2"/>
      </rPr>
      <t>/ STRH-CONMN</t>
    </r>
  </si>
  <si>
    <t>BLDG1016</t>
  </si>
  <si>
    <t>BLDG1001</t>
  </si>
  <si>
    <t>TableStudyPeriod</t>
  </si>
  <si>
    <t>ARCH1016</t>
  </si>
  <si>
    <t>Choose your commencing study period (drop-down list)</t>
  </si>
  <si>
    <t>START</t>
  </si>
  <si>
    <t>Next</t>
  </si>
  <si>
    <t>BLDG1018</t>
  </si>
  <si>
    <t>Sem1</t>
  </si>
  <si>
    <t>Sem2</t>
  </si>
  <si>
    <t>Y2Sem1</t>
  </si>
  <si>
    <t>BLDG2013</t>
  </si>
  <si>
    <t>Y2Sem2</t>
  </si>
  <si>
    <t>Semester 2 (July -  November)</t>
  </si>
  <si>
    <t>BLDG2023</t>
  </si>
  <si>
    <t>BLDG2024</t>
  </si>
  <si>
    <t>TableStream</t>
  </si>
  <si>
    <t>Spec</t>
  </si>
  <si>
    <t>Choose your Stream</t>
  </si>
  <si>
    <t>BLDG2015</t>
  </si>
  <si>
    <t>Construction Management Fourth Year Stream</t>
  </si>
  <si>
    <t>STRU-CONMN</t>
  </si>
  <si>
    <t>v.3</t>
  </si>
  <si>
    <t>200 credit points</t>
  </si>
  <si>
    <t>BLDG2012</t>
  </si>
  <si>
    <t>Honours Construction Management Stream</t>
  </si>
  <si>
    <t>STRH-CONMN</t>
  </si>
  <si>
    <t>BLDG2033</t>
  </si>
  <si>
    <t>TableSpecialisations</t>
  </si>
  <si>
    <t>Y3Sem1</t>
  </si>
  <si>
    <t>BLDG3034</t>
  </si>
  <si>
    <t>Y3Sem2</t>
  </si>
  <si>
    <t>BLDG3016</t>
  </si>
  <si>
    <t>Animation and Game Architecture Design Specialisation</t>
  </si>
  <si>
    <t>SPUC-ANGAD</t>
  </si>
  <si>
    <t>v.1</t>
  </si>
  <si>
    <t>100 credit points</t>
  </si>
  <si>
    <t>BLDG3012</t>
  </si>
  <si>
    <t>Applied Finance Specialisation</t>
  </si>
  <si>
    <t>SPUC-FINCE</t>
  </si>
  <si>
    <t>Interior Architecture Specialisation</t>
  </si>
  <si>
    <t>SPUC-INARS</t>
  </si>
  <si>
    <t>BLDG3032</t>
  </si>
  <si>
    <t>Innovation and Entrepreneurship Specialisation</t>
  </si>
  <si>
    <t>SPUC-INENT</t>
  </si>
  <si>
    <t>BLDG3030</t>
  </si>
  <si>
    <t>Property Investment Specialisation</t>
  </si>
  <si>
    <t>SPUC-PROPT</t>
  </si>
  <si>
    <t>v.2</t>
  </si>
  <si>
    <t>URDE3007</t>
  </si>
  <si>
    <t>Urban Design and Planning Specialisation</t>
  </si>
  <si>
    <t>SPUC-URDES</t>
  </si>
  <si>
    <t>Y4Sem1</t>
  </si>
  <si>
    <t>Y4Sem2</t>
  </si>
  <si>
    <t>BLDG4028</t>
  </si>
  <si>
    <t>BLDG4034</t>
  </si>
  <si>
    <t>BLDG4027</t>
  </si>
  <si>
    <t>BLDG4010</t>
  </si>
  <si>
    <t>BLDG4007</t>
  </si>
  <si>
    <t>BLDG4001</t>
  </si>
  <si>
    <t>BLDG4011</t>
  </si>
  <si>
    <t>BLDG4032</t>
  </si>
  <si>
    <t>BLDG4000</t>
  </si>
  <si>
    <t>-</t>
  </si>
  <si>
    <t>Spec Unit</t>
  </si>
  <si>
    <t>50CP Unit</t>
  </si>
  <si>
    <t>1)      Update high level course / component &amp; study period details (Unitsets Tab)</t>
  </si>
  <si>
    <t>2)      Update Planner page(s) to reference year of planner e.g. “2025” (Planner Tab)</t>
  </si>
  <si>
    <t>3)      Update structures (Structures Tab)</t>
  </si>
  <si>
    <t>RangeSpecSets</t>
  </si>
  <si>
    <t>4)      Update Handbook unit list from updated structures (Handbook Tab)</t>
  </si>
  <si>
    <t>Spec1</t>
  </si>
  <si>
    <t>-3-</t>
  </si>
  <si>
    <t>-1-</t>
  </si>
  <si>
    <t>AC-INARS</t>
  </si>
  <si>
    <t>-2-</t>
  </si>
  <si>
    <t>-4-</t>
  </si>
  <si>
    <t>5)      Update Availabilities using updated Handbook unit list (Availabilities Tab)</t>
  </si>
  <si>
    <t>Spec2</t>
  </si>
  <si>
    <t>GRDE1001</t>
  </si>
  <si>
    <t>FNCE2000</t>
  </si>
  <si>
    <t>INAR1010</t>
  </si>
  <si>
    <t>MGMT3004</t>
  </si>
  <si>
    <t>PROP2001</t>
  </si>
  <si>
    <t>URDE1002</t>
  </si>
  <si>
    <t>6)      Update Pre Requisites (Handbook Tab)</t>
  </si>
  <si>
    <t>Spec3</t>
  </si>
  <si>
    <t>GRDE1020</t>
  </si>
  <si>
    <t>AND</t>
  </si>
  <si>
    <t>INAR1012</t>
  </si>
  <si>
    <t>MGMT3007</t>
  </si>
  <si>
    <t>PROP2002</t>
  </si>
  <si>
    <t>URDE1010</t>
  </si>
  <si>
    <t>7)      Update sequences for courses / components (Unitsets Tab)</t>
  </si>
  <si>
    <t>Spec4</t>
  </si>
  <si>
    <t>GRDE2037</t>
  </si>
  <si>
    <t>Opt-FINCE</t>
  </si>
  <si>
    <t>PROP3000</t>
  </si>
  <si>
    <t>URDE3002</t>
  </si>
  <si>
    <t>8)      Review Handbook Tab for obvious issues / errors and enter notes (Handbook Tab)</t>
  </si>
  <si>
    <t>Spec5</t>
  </si>
  <si>
    <t>FNCE2003</t>
  </si>
  <si>
    <t>Opt-INENT</t>
  </si>
  <si>
    <t>PROP3002</t>
  </si>
  <si>
    <t>URDE2007</t>
  </si>
  <si>
    <t>9)      Review Planner Tab(s) for obvious issues / errors (Planner Tab)</t>
  </si>
  <si>
    <t>Spec6</t>
  </si>
  <si>
    <t>AC-ANGAD</t>
  </si>
  <si>
    <t>FNCE3000</t>
  </si>
  <si>
    <t>INAR2022</t>
  </si>
  <si>
    <t>GRDE2008</t>
  </si>
  <si>
    <t>Spec7</t>
  </si>
  <si>
    <t>GRDE3030</t>
  </si>
  <si>
    <t>FNCE3001</t>
  </si>
  <si>
    <t>INAR3020</t>
  </si>
  <si>
    <t>MGMT2004</t>
  </si>
  <si>
    <t>Spec8</t>
  </si>
  <si>
    <t>WORK3000</t>
  </si>
  <si>
    <t>FNCE3004</t>
  </si>
  <si>
    <t>MKTG2008</t>
  </si>
  <si>
    <t>Spec9</t>
  </si>
  <si>
    <t>INVE3000</t>
  </si>
  <si>
    <t>Opt-INARS</t>
  </si>
  <si>
    <t>MGMT3002</t>
  </si>
  <si>
    <t>Spec10</t>
  </si>
  <si>
    <t>INVE3001</t>
  </si>
  <si>
    <t>INAR2012</t>
  </si>
  <si>
    <t>MGMT3011</t>
  </si>
  <si>
    <t>Spec11</t>
  </si>
  <si>
    <t>INAR2024</t>
  </si>
  <si>
    <t>Spec12</t>
  </si>
  <si>
    <t>ARCH2012</t>
  </si>
  <si>
    <t>Spec13</t>
  </si>
  <si>
    <t>ARCH3001</t>
  </si>
  <si>
    <t>Spec14</t>
  </si>
  <si>
    <t>URDE3005</t>
  </si>
  <si>
    <t>Spec15</t>
  </si>
  <si>
    <t>WORK2001</t>
  </si>
  <si>
    <t>Spec16</t>
  </si>
  <si>
    <t>WORK2002</t>
  </si>
  <si>
    <t>Spec17</t>
  </si>
  <si>
    <t>WORK2003</t>
  </si>
  <si>
    <t>Spec18</t>
  </si>
  <si>
    <t>WORK2005</t>
  </si>
  <si>
    <t>Spec19</t>
  </si>
  <si>
    <t>Spec20</t>
  </si>
  <si>
    <t>WORK3004</t>
  </si>
  <si>
    <t>Spec21</t>
  </si>
  <si>
    <t>WORK3006</t>
  </si>
  <si>
    <t>Pre Reqs issue for Spec units</t>
  </si>
  <si>
    <t>Sequence/availability issues for CM students</t>
  </si>
  <si>
    <t>Title</t>
  </si>
  <si>
    <t>Pre-reqs (8/10/2024)</t>
  </si>
  <si>
    <t>S1INT</t>
  </si>
  <si>
    <t>S1FO</t>
  </si>
  <si>
    <t>S2INT</t>
  </si>
  <si>
    <t>S2FO</t>
  </si>
  <si>
    <t>Notes</t>
  </si>
  <si>
    <t>B-CONM</t>
  </si>
  <si>
    <t>Please note this is a 50CP unit</t>
  </si>
  <si>
    <t>Semester 2 commencement is only available via CRL or Part-time study</t>
  </si>
  <si>
    <t>Contact Course Coordinator</t>
  </si>
  <si>
    <t>Study this unit:</t>
  </si>
  <si>
    <t>Study both:</t>
  </si>
  <si>
    <t>Study all three of:</t>
  </si>
  <si>
    <t>Study all four of:</t>
  </si>
  <si>
    <t>4th Year Stream</t>
  </si>
  <si>
    <t>Choose Your Fourth Year Stream.  Eligible students may be invited by the School to complete the Honours stream.</t>
  </si>
  <si>
    <t>Study either GRDE3030 or WORK3000</t>
  </si>
  <si>
    <t>Study either INAR1012 and INAR1010</t>
  </si>
  <si>
    <t>AC-INENT</t>
  </si>
  <si>
    <t>Choose MGMT3004 if your are not taking the Management Major.  Choose GRDE2008 if your are taking the Management Major.</t>
  </si>
  <si>
    <t>Architecture and Interior Architecture Methods 1B - Digital Literacy</t>
  </si>
  <si>
    <t>None</t>
  </si>
  <si>
    <t>Built Environment Special Topic (with approval)</t>
  </si>
  <si>
    <t>See Handbook</t>
  </si>
  <si>
    <t>Special Topics in Architecture Construction and Planning (with approval)</t>
  </si>
  <si>
    <t>Low Rise Construction</t>
  </si>
  <si>
    <t>High-rise Construction</t>
  </si>
  <si>
    <t>Structures</t>
  </si>
  <si>
    <t>Introduction to Management in Construction</t>
  </si>
  <si>
    <t>Building Construction Measurement</t>
  </si>
  <si>
    <t>Health, Safety and Quality in the Built Environment</t>
  </si>
  <si>
    <t>Building Services</t>
  </si>
  <si>
    <t>Construction Plant and Equipment</t>
  </si>
  <si>
    <t>150CP</t>
  </si>
  <si>
    <t>Building Information Management and Modelling</t>
  </si>
  <si>
    <t>Specialised Construction</t>
  </si>
  <si>
    <t>BLDG1001 or STEN2006</t>
  </si>
  <si>
    <t>Building Surveying</t>
  </si>
  <si>
    <t>Construction Estimating and Cost Planning</t>
  </si>
  <si>
    <t>BLDG1016 or BLDG2007</t>
  </si>
  <si>
    <t>Cost Management</t>
  </si>
  <si>
    <t>BLDG2033 or BLDG2017</t>
  </si>
  <si>
    <t>Construction Planning and Scheduling</t>
  </si>
  <si>
    <t>Construction Contracts and Procurement</t>
  </si>
  <si>
    <t>350CP</t>
  </si>
  <si>
    <t>Virtual Design and Construction</t>
  </si>
  <si>
    <t>BLDG2015 + BLDG3016</t>
  </si>
  <si>
    <t>Sustainable Construction Practices in Building and Infrastructure</t>
  </si>
  <si>
    <t>Building Dissertation 2</t>
  </si>
  <si>
    <t>Facilities and Asset Management</t>
  </si>
  <si>
    <t>500CP</t>
  </si>
  <si>
    <t>Building Dissertation 1</t>
  </si>
  <si>
    <t>Integrated Construction Project 1</t>
  </si>
  <si>
    <t>BLDG3030 or BLDG3015</t>
  </si>
  <si>
    <t>Project Risk and Development Appraisal</t>
  </si>
  <si>
    <t>BLDG2033 or BLDG3014</t>
  </si>
  <si>
    <t>Professional Practice in Construction</t>
  </si>
  <si>
    <t>600CP</t>
  </si>
  <si>
    <t>Contract Administration</t>
  </si>
  <si>
    <t>BLDG3030 or BLAW3030</t>
  </si>
  <si>
    <t>Integrated Construction Project 2</t>
  </si>
  <si>
    <t>Engineering Measurement</t>
  </si>
  <si>
    <t>Academic and Professional Communications</t>
  </si>
  <si>
    <t>Introduction to Finance Principles</t>
  </si>
  <si>
    <t>Business Analysis for Investment</t>
  </si>
  <si>
    <t>Corporate Finance</t>
  </si>
  <si>
    <t>FNCE2000 or FNCE2003</t>
  </si>
  <si>
    <t>Introduction to Financial Instruments and Markets</t>
  </si>
  <si>
    <t>International Finance</t>
  </si>
  <si>
    <t>Animation Design Introduction</t>
  </si>
  <si>
    <t>Game Design Introduction</t>
  </si>
  <si>
    <t>Design Thinking and Visual Narrative</t>
  </si>
  <si>
    <t>3D Level Design</t>
  </si>
  <si>
    <t>GRDE1001 or GRDE1020</t>
  </si>
  <si>
    <t>Industry Project Development</t>
  </si>
  <si>
    <t>GRDE3001 or GRDE3014 or GRDE3015 or GRDE3029</t>
  </si>
  <si>
    <t>Pre Req - CM students cannot study Pre Req(s)</t>
  </si>
  <si>
    <t>Interior Architecture Studio - Foundation</t>
  </si>
  <si>
    <t>History of the Interior</t>
  </si>
  <si>
    <t>Interior Architecture Studio – Community</t>
  </si>
  <si>
    <t>Philosophy and Practice</t>
  </si>
  <si>
    <t>Design Fabrication</t>
  </si>
  <si>
    <t>Furniture Design</t>
  </si>
  <si>
    <t>Introduction to Derivative Securities</t>
  </si>
  <si>
    <t>(FNCE2000 or FNCE2003) + (FNCE3001 or MATH2009)</t>
  </si>
  <si>
    <t>Portfolio Management</t>
  </si>
  <si>
    <t>Business and Sustainable Development</t>
  </si>
  <si>
    <t>100CP in B-CONM</t>
  </si>
  <si>
    <t>Managing Change</t>
  </si>
  <si>
    <t>300CP</t>
  </si>
  <si>
    <t>New Version</t>
  </si>
  <si>
    <t>MGMT3002.PO</t>
  </si>
  <si>
    <t>Phasing Out</t>
  </si>
  <si>
    <t>Entrepreneurship</t>
  </si>
  <si>
    <t>100CP</t>
  </si>
  <si>
    <t>MGMT3004.PO</t>
  </si>
  <si>
    <t>Management of Innovation</t>
  </si>
  <si>
    <t>Managing Operations</t>
  </si>
  <si>
    <t>UX Accessibility and Analytics</t>
  </si>
  <si>
    <t>MKTG2007*</t>
  </si>
  <si>
    <t>Pre Req - not available to CM students</t>
  </si>
  <si>
    <t>MKTG2008.PO</t>
  </si>
  <si>
    <t>Digital Interactive Prototyping in Marketing</t>
  </si>
  <si>
    <t>Study 3 units from the Option list below</t>
  </si>
  <si>
    <t>Study 1 unit from the Option list below</t>
  </si>
  <si>
    <t>Study 2 units from the Option list below</t>
  </si>
  <si>
    <t>Property Economics and Policy</t>
  </si>
  <si>
    <t>Introduction to Property Markets</t>
  </si>
  <si>
    <t>Property Investment Analysis</t>
  </si>
  <si>
    <t>Property Finance and Capital Markets</t>
  </si>
  <si>
    <t>PROP2002 + PROP3000</t>
  </si>
  <si>
    <t>Study one unit from your chosen specialisation (see below)</t>
  </si>
  <si>
    <t>See below</t>
  </si>
  <si>
    <t>Alt Core Pre Req not available to CM students</t>
  </si>
  <si>
    <t>Option unit Pre Req not available to CM students</t>
  </si>
  <si>
    <t>Availability issues for sequencing and Pre Reqs</t>
  </si>
  <si>
    <t>SPUE-QSURV</t>
  </si>
  <si>
    <t>Quantity Surveying Specialisation</t>
  </si>
  <si>
    <t>MIRI Only, not included in selectable Specialisations</t>
  </si>
  <si>
    <t>Planning Graphics and Design</t>
  </si>
  <si>
    <t>Urban Transport Systems</t>
  </si>
  <si>
    <t>Site Planning</t>
  </si>
  <si>
    <t>Urban Regeneration</t>
  </si>
  <si>
    <t>200CP or Admitted to MG-URPLAN2</t>
  </si>
  <si>
    <t>Special Topics in Urban &amp; Regional Planning (with approval)</t>
  </si>
  <si>
    <t>Design and Built Environment Research Methods</t>
  </si>
  <si>
    <t>Balance of the Planet (with approval)</t>
  </si>
  <si>
    <t>Changemakers Innovation Lab (with approval)</t>
  </si>
  <si>
    <t>WORK2002.PO</t>
  </si>
  <si>
    <t>Sustainability and Innovation Foundations (with approval)</t>
  </si>
  <si>
    <t>Regional Industry Internship (with approval)</t>
  </si>
  <si>
    <t>WORK2003.PO</t>
  </si>
  <si>
    <t>Regional Industry Placement 2 (with approval)</t>
  </si>
  <si>
    <t>Go Global - Internship 2 (with approval)</t>
  </si>
  <si>
    <t>Work Based Project (with approval)</t>
  </si>
  <si>
    <t>Go Practice - Internship (with approval)</t>
  </si>
  <si>
    <t>Go Global - Internship 4 (with approval)</t>
  </si>
  <si>
    <t>Effective:</t>
  </si>
  <si>
    <t>Downloaded:</t>
  </si>
  <si>
    <t>V</t>
  </si>
  <si>
    <t>OUA Code</t>
  </si>
  <si>
    <t>CPs</t>
  </si>
  <si>
    <t>No.</t>
  </si>
  <si>
    <t>Component Type</t>
  </si>
  <si>
    <t>Year Level</t>
  </si>
  <si>
    <t>Study Package Code</t>
  </si>
  <si>
    <t>Structure Line</t>
  </si>
  <si>
    <t>Effective</t>
  </si>
  <si>
    <t>Discont.</t>
  </si>
  <si>
    <t>Column1</t>
  </si>
  <si>
    <t>Column2</t>
  </si>
  <si>
    <t>Core</t>
  </si>
  <si>
    <t>NA</t>
  </si>
  <si>
    <t>Option</t>
  </si>
  <si>
    <t>Specialisation</t>
  </si>
  <si>
    <t>Choose a Specialisation. SPUE-QSURV is only available for Miri Students. Students at Miri Sarawak can only choose SPUC-FINCE or SPUC-INENT.  You should enrol into two units in Year 2 and two units in Year 3 for your selected specialisation.</t>
  </si>
  <si>
    <t>AltCore</t>
  </si>
  <si>
    <t>Project Development and Appraisal</t>
  </si>
  <si>
    <t>Research in Professional Practice in Construction</t>
  </si>
  <si>
    <t>Choose GRDE3030 or WORK3000</t>
  </si>
  <si>
    <t>AltCoreANGAD</t>
  </si>
  <si>
    <t>Work Based Project</t>
  </si>
  <si>
    <t>AC-FINCE</t>
  </si>
  <si>
    <t>You must complete FNCE2000 as it is a foundation unit for the Finance specialisation. If you have already completed FNCE2000 choose FNCE2003.</t>
  </si>
  <si>
    <t>Choose an Option</t>
  </si>
  <si>
    <t>OptionFINCE</t>
  </si>
  <si>
    <t>Choose INAR1012 or INAR1010</t>
  </si>
  <si>
    <t>AltCoreINARS</t>
  </si>
  <si>
    <t>OptionINARS</t>
  </si>
  <si>
    <t>Built Environment Special Topic</t>
  </si>
  <si>
    <t>Special Topics in Architecture Construction and Planning</t>
  </si>
  <si>
    <t>Special Topics in Urban &amp; Regional Planning</t>
  </si>
  <si>
    <t>Balance of the Planet</t>
  </si>
  <si>
    <t>Changemakers Innovation Lab</t>
  </si>
  <si>
    <t>Regional Industry Internship</t>
  </si>
  <si>
    <t>Go Global - Internship 2</t>
  </si>
  <si>
    <t>Go Practice - Internship</t>
  </si>
  <si>
    <t>Go Global - Internship 4</t>
  </si>
  <si>
    <t>OptionINENT</t>
  </si>
  <si>
    <t>Downloaded 2024:</t>
  </si>
  <si>
    <t>Row Labels</t>
  </si>
  <si>
    <t>Sem1 Internal</t>
  </si>
  <si>
    <t>Sem1 Online</t>
  </si>
  <si>
    <t>Sem2 Internal</t>
  </si>
  <si>
    <t>Sem2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</si>
</sst>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10"/>
      <color theme="0"/>
      <name val="Arial"/>
      <family val="2"/>
    </font>
    <font>
      <i/>
      <sz val="10"/>
      <color theme="0" tint="-0.34998626667073579"/>
      <name val="Arial"/>
      <family val="2"/>
    </font>
    <font>
      <b/>
      <sz val="8"/>
      <color rgb="FFFF0000"/>
      <name val="Arial"/>
      <family val="2"/>
    </font>
    <font>
      <sz val="8"/>
      <color theme="0" tint="-0.34998626667073579"/>
      <name val="Arial"/>
      <family val="2"/>
    </font>
    <font>
      <b/>
      <sz val="8"/>
      <color rgb="FF00B050"/>
      <name val="Arial"/>
      <family val="2"/>
    </font>
    <font>
      <sz val="12"/>
      <color rgb="FFFF0000"/>
      <name val="Calibri"/>
      <family val="2"/>
      <scheme val="minor"/>
    </font>
    <font>
      <b/>
      <i/>
      <sz val="11"/>
      <color theme="0"/>
      <name val="Segoe UI"/>
      <family val="2"/>
    </font>
    <font>
      <b/>
      <sz val="12"/>
      <color theme="8" tint="-0.499984740745262"/>
      <name val="Calibri"/>
      <family val="2"/>
      <scheme val="minor"/>
    </font>
    <font>
      <b/>
      <sz val="18"/>
      <color theme="1"/>
      <name val="Segoe UI"/>
      <family val="2"/>
    </font>
    <font>
      <sz val="10"/>
      <color theme="0" tint="-0.499984740745262"/>
      <name val="Arial"/>
      <family val="2"/>
    </font>
    <font>
      <b/>
      <sz val="12"/>
      <color rgb="FF2F75B5"/>
      <name val="Calibri"/>
      <family val="2"/>
      <scheme val="minor"/>
    </font>
    <font>
      <b/>
      <u/>
      <sz val="9"/>
      <color theme="1"/>
      <name val="Segoe UI"/>
      <family val="2"/>
    </font>
    <font>
      <b/>
      <sz val="10"/>
      <name val="Segoe UI"/>
      <family val="2"/>
    </font>
    <font>
      <sz val="11"/>
      <color rgb="FF006100"/>
      <name val="Calibri"/>
      <family val="2"/>
      <scheme val="minor"/>
    </font>
    <font>
      <sz val="10"/>
      <color rgb="FF00B050"/>
      <name val="Arial"/>
      <family val="2"/>
    </font>
    <font>
      <b/>
      <i/>
      <sz val="12"/>
      <color rgb="FF00B050"/>
      <name val="Calibri"/>
      <family val="2"/>
      <scheme val="minor"/>
    </font>
    <font>
      <sz val="11"/>
      <color rgb="FFFF0000"/>
      <name val="Calibri"/>
      <family val="2"/>
      <scheme val="minor"/>
    </font>
    <font>
      <sz val="11"/>
      <color rgb="FF00B050"/>
      <name val="Calibri"/>
      <family val="2"/>
      <scheme val="minor"/>
    </font>
    <font>
      <b/>
      <sz val="11"/>
      <color theme="0" tint="-0.14999847407452621"/>
      <name val="Segoe UI"/>
      <family val="2"/>
    </font>
  </fonts>
  <fills count="19">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theme="1"/>
      </patternFill>
    </fill>
    <fill>
      <patternFill patternType="solid">
        <fgColor rgb="FFFFC000"/>
        <bgColor indexed="64"/>
      </patternFill>
    </fill>
    <fill>
      <patternFill patternType="solid">
        <fgColor theme="8"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top style="thin">
        <color theme="1"/>
      </top>
      <bottom/>
      <diagonal/>
    </border>
    <border>
      <left/>
      <right/>
      <top style="thin">
        <color theme="0" tint="-0.14996795556505021"/>
      </top>
      <bottom/>
      <diagonal/>
    </border>
  </borders>
  <cellStyleXfs count="4">
    <xf numFmtId="0" fontId="0" fillId="0" borderId="0"/>
    <xf numFmtId="0" fontId="2" fillId="0" borderId="0"/>
    <xf numFmtId="0" fontId="26" fillId="0" borderId="0" applyNumberFormat="0" applyFill="0" applyBorder="0" applyAlignment="0" applyProtection="0"/>
    <xf numFmtId="0" fontId="57" fillId="15" borderId="0" applyNumberFormat="0" applyBorder="0" applyAlignment="0" applyProtection="0"/>
  </cellStyleXfs>
  <cellXfs count="224">
    <xf numFmtId="0" fontId="0" fillId="0" borderId="0" xfId="0"/>
    <xf numFmtId="0" fontId="4" fillId="0" borderId="0" xfId="0" applyFont="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10" fillId="0" borderId="0" xfId="0" applyFont="1"/>
    <xf numFmtId="0" fontId="6" fillId="0" borderId="0" xfId="0" applyFont="1" applyAlignment="1">
      <alignment horizontal="right"/>
    </xf>
    <xf numFmtId="0" fontId="7" fillId="0" borderId="0" xfId="0" applyFont="1" applyAlignment="1">
      <alignment horizontal="right"/>
    </xf>
    <xf numFmtId="0" fontId="3" fillId="3" borderId="3" xfId="0" applyFont="1" applyFill="1" applyBorder="1" applyAlignment="1">
      <alignment horizontal="right" vertical="center"/>
    </xf>
    <xf numFmtId="0" fontId="3"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2" fillId="0" borderId="0" xfId="1"/>
    <xf numFmtId="0" fontId="2" fillId="0" borderId="0" xfId="1" applyAlignment="1">
      <alignment horizont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16" fillId="0" borderId="0" xfId="0" applyFont="1"/>
    <xf numFmtId="0" fontId="0" fillId="0" borderId="5" xfId="0" applyBorder="1"/>
    <xf numFmtId="0" fontId="3" fillId="3" borderId="1" xfId="0" applyFont="1" applyFill="1" applyBorder="1" applyAlignment="1">
      <alignment horizontal="righ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4" fillId="0" borderId="10" xfId="0" applyFont="1" applyBorder="1" applyAlignment="1">
      <alignment horizontal="center" vertical="center"/>
    </xf>
    <xf numFmtId="0" fontId="42" fillId="0" borderId="0" xfId="0" applyFont="1"/>
    <xf numFmtId="0" fontId="42" fillId="0" borderId="0" xfId="0" applyFont="1" applyAlignment="1">
      <alignment horizontal="right"/>
    </xf>
    <xf numFmtId="0" fontId="0" fillId="0" borderId="24" xfId="0" applyBorder="1" applyAlignment="1">
      <alignment horizontal="center"/>
    </xf>
    <xf numFmtId="14" fontId="7" fillId="0" borderId="0" xfId="0" applyNumberFormat="1" applyFont="1"/>
    <xf numFmtId="0" fontId="10" fillId="0" borderId="0" xfId="0" applyFont="1" applyAlignment="1">
      <alignment horizont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3" fillId="3" borderId="4" xfId="0" applyFont="1" applyFill="1" applyBorder="1" applyAlignment="1">
      <alignment horizontal="right" vertical="center"/>
    </xf>
    <xf numFmtId="0" fontId="3" fillId="3" borderId="5" xfId="0" applyFont="1" applyFill="1" applyBorder="1" applyAlignment="1">
      <alignment horizontal="right" vertical="center"/>
    </xf>
    <xf numFmtId="0" fontId="3" fillId="3" borderId="6" xfId="0" applyFont="1" applyFill="1" applyBorder="1" applyAlignment="1">
      <alignment horizontal="right" vertical="center"/>
    </xf>
    <xf numFmtId="0" fontId="4" fillId="0" borderId="8" xfId="0" applyFont="1" applyBorder="1" applyAlignment="1">
      <alignment horizontal="center" vertical="center"/>
    </xf>
    <xf numFmtId="0" fontId="5" fillId="6" borderId="8"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10" xfId="0" applyFont="1" applyFill="1" applyBorder="1" applyAlignment="1">
      <alignment horizontal="center" vertical="center"/>
    </xf>
    <xf numFmtId="0" fontId="5" fillId="7" borderId="0" xfId="0" applyFont="1" applyFill="1" applyAlignment="1">
      <alignment horizontal="center" vertical="center"/>
    </xf>
    <xf numFmtId="0" fontId="43" fillId="0" borderId="0" xfId="0" applyFont="1"/>
    <xf numFmtId="0" fontId="10" fillId="0" borderId="25" xfId="0" applyFont="1" applyBorder="1"/>
    <xf numFmtId="0" fontId="44" fillId="9" borderId="0" xfId="0" applyFont="1" applyFill="1"/>
    <xf numFmtId="0" fontId="4" fillId="6" borderId="9" xfId="0" applyFont="1" applyFill="1" applyBorder="1" applyAlignment="1">
      <alignment horizontal="center" vertical="center"/>
    </xf>
    <xf numFmtId="0" fontId="45" fillId="0" borderId="0" xfId="0" applyFont="1" applyAlignment="1">
      <alignment horizontal="right"/>
    </xf>
    <xf numFmtId="0" fontId="5" fillId="10" borderId="8" xfId="0" applyFont="1" applyFill="1" applyBorder="1" applyAlignment="1">
      <alignment horizontal="center" vertical="center"/>
    </xf>
    <xf numFmtId="0" fontId="4" fillId="10" borderId="9" xfId="0" applyFont="1" applyFill="1" applyBorder="1" applyAlignment="1">
      <alignment horizontal="center" vertical="center"/>
    </xf>
    <xf numFmtId="0" fontId="5" fillId="0" borderId="6" xfId="0" quotePrefix="1" applyFont="1" applyBorder="1" applyAlignment="1">
      <alignment horizontal="center" vertical="center"/>
    </xf>
    <xf numFmtId="0" fontId="9" fillId="8" borderId="8" xfId="0" applyFont="1" applyFill="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6" xfId="0" quotePrefix="1"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47" fillId="0" borderId="10" xfId="0" applyFont="1" applyBorder="1" applyAlignment="1">
      <alignment horizontal="center" vertical="center"/>
    </xf>
    <xf numFmtId="0" fontId="47" fillId="0" borderId="9" xfId="0" applyFont="1" applyBorder="1" applyAlignment="1">
      <alignment horizontal="center" vertical="center"/>
    </xf>
    <xf numFmtId="0" fontId="49" fillId="0" borderId="0" xfId="0" applyFont="1"/>
    <xf numFmtId="0" fontId="3" fillId="3" borderId="3" xfId="0" applyFont="1" applyFill="1" applyBorder="1" applyAlignment="1">
      <alignment horizontal="right" vertical="center" wrapText="1"/>
    </xf>
    <xf numFmtId="0" fontId="3" fillId="3" borderId="2" xfId="0" applyFont="1" applyFill="1" applyBorder="1" applyAlignment="1">
      <alignment horizontal="right" vertical="center" wrapText="1"/>
    </xf>
    <xf numFmtId="0" fontId="45" fillId="0" borderId="0" xfId="0" applyFont="1" applyAlignment="1">
      <alignment horizontal="left"/>
    </xf>
    <xf numFmtId="0" fontId="27" fillId="12" borderId="0" xfId="2" applyFont="1" applyFill="1" applyAlignment="1" applyProtection="1">
      <alignment vertical="center"/>
    </xf>
    <xf numFmtId="0" fontId="26" fillId="12" borderId="0" xfId="2" applyFill="1" applyAlignment="1" applyProtection="1">
      <alignment vertical="center"/>
    </xf>
    <xf numFmtId="0" fontId="41" fillId="4" borderId="0" xfId="1" applyFont="1" applyFill="1" applyAlignment="1" applyProtection="1">
      <alignment vertical="center"/>
      <protection locked="0"/>
    </xf>
    <xf numFmtId="0" fontId="20" fillId="0" borderId="20" xfId="1" applyFont="1" applyBorder="1" applyAlignment="1" applyProtection="1">
      <alignment horizontal="left" vertical="center" wrapText="1"/>
      <protection locked="0"/>
    </xf>
    <xf numFmtId="0" fontId="42" fillId="0" borderId="0" xfId="0" applyFont="1" applyAlignment="1">
      <alignment horizontal="left"/>
    </xf>
    <xf numFmtId="0" fontId="0" fillId="8" borderId="0" xfId="0" applyFill="1" applyAlignment="1">
      <alignment horizontal="right"/>
    </xf>
    <xf numFmtId="14" fontId="0" fillId="8" borderId="0" xfId="0" applyNumberFormat="1" applyFill="1"/>
    <xf numFmtId="0" fontId="9" fillId="0" borderId="8" xfId="0" applyFont="1" applyBorder="1" applyAlignment="1">
      <alignment horizontal="center" vertical="center"/>
    </xf>
    <xf numFmtId="0" fontId="4" fillId="0" borderId="6" xfId="0" applyFont="1" applyBorder="1" applyAlignment="1">
      <alignment horizontal="center" vertical="center"/>
    </xf>
    <xf numFmtId="0" fontId="43" fillId="0" borderId="0" xfId="0" applyFont="1" applyAlignment="1">
      <alignment horizontal="right"/>
    </xf>
    <xf numFmtId="14" fontId="43" fillId="0" borderId="0" xfId="0" applyNumberFormat="1" applyFont="1" applyAlignment="1">
      <alignment horizontal="left"/>
    </xf>
    <xf numFmtId="14" fontId="43" fillId="0" borderId="0" xfId="0" applyNumberFormat="1" applyFont="1"/>
    <xf numFmtId="0" fontId="2" fillId="0" borderId="0" xfId="1" applyAlignment="1">
      <alignment wrapText="1"/>
    </xf>
    <xf numFmtId="0" fontId="2" fillId="0" borderId="0" xfId="1" applyAlignment="1">
      <alignment horizontal="left"/>
    </xf>
    <xf numFmtId="0" fontId="2" fillId="0" borderId="0" xfId="1" applyAlignment="1">
      <alignment horizontal="left" textRotation="90"/>
    </xf>
    <xf numFmtId="0" fontId="2" fillId="5" borderId="0" xfId="1" applyFill="1"/>
    <xf numFmtId="0" fontId="2" fillId="4" borderId="0" xfId="1" applyFill="1" applyAlignment="1">
      <alignment horizontal="center"/>
    </xf>
    <xf numFmtId="0" fontId="2" fillId="14" borderId="0" xfId="1" applyFill="1" applyAlignment="1">
      <alignment horizontal="center"/>
    </xf>
    <xf numFmtId="0" fontId="53" fillId="0" borderId="0" xfId="0" applyFont="1" applyAlignment="1">
      <alignment horizontal="center"/>
    </xf>
    <xf numFmtId="0" fontId="54" fillId="0" borderId="0" xfId="0" applyFont="1" applyAlignment="1">
      <alignment horizontal="left" textRotation="90"/>
    </xf>
    <xf numFmtId="0" fontId="49" fillId="0" borderId="0" xfId="0" applyFont="1" applyAlignment="1">
      <alignment horizontal="center"/>
    </xf>
    <xf numFmtId="0" fontId="8" fillId="0" borderId="0" xfId="0" applyFont="1" applyAlignment="1">
      <alignment vertical="top"/>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horizontal="center"/>
    </xf>
    <xf numFmtId="0" fontId="7" fillId="0" borderId="25" xfId="0" applyFont="1" applyBorder="1" applyAlignment="1">
      <alignment horizontal="center"/>
    </xf>
    <xf numFmtId="14" fontId="0" fillId="0" borderId="0" xfId="0" applyNumberFormat="1"/>
    <xf numFmtId="0" fontId="8" fillId="16" borderId="0" xfId="0" applyFont="1" applyFill="1" applyAlignment="1">
      <alignment horizontal="center" vertical="top"/>
    </xf>
    <xf numFmtId="0" fontId="8" fillId="17" borderId="0" xfId="0" applyFont="1" applyFill="1" applyAlignment="1">
      <alignment horizontal="center" vertical="top"/>
    </xf>
    <xf numFmtId="14" fontId="8" fillId="17" borderId="0" xfId="0" applyNumberFormat="1" applyFont="1" applyFill="1" applyAlignment="1">
      <alignment horizontal="center" vertical="top"/>
    </xf>
    <xf numFmtId="0" fontId="58" fillId="0" borderId="25" xfId="0" applyFont="1" applyBorder="1" applyAlignment="1">
      <alignment horizontal="center"/>
    </xf>
    <xf numFmtId="14" fontId="58" fillId="0" borderId="0" xfId="0" applyNumberFormat="1" applyFont="1" applyAlignment="1">
      <alignment horizontal="center"/>
    </xf>
    <xf numFmtId="14" fontId="58" fillId="0" borderId="25" xfId="0" applyNumberFormat="1" applyFont="1" applyBorder="1" applyAlignment="1">
      <alignment horizontal="center"/>
    </xf>
    <xf numFmtId="0" fontId="58" fillId="0" borderId="0" xfId="0" applyFont="1" applyAlignment="1">
      <alignment horizontal="center"/>
    </xf>
    <xf numFmtId="0" fontId="8" fillId="18" borderId="0" xfId="0" applyFont="1" applyFill="1" applyAlignment="1">
      <alignment vertical="top"/>
    </xf>
    <xf numFmtId="14" fontId="57" fillId="15" borderId="0" xfId="3" applyNumberFormat="1" applyAlignment="1">
      <alignment horizontal="center"/>
    </xf>
    <xf numFmtId="14" fontId="42" fillId="17" borderId="0" xfId="0" applyNumberFormat="1" applyFont="1" applyFill="1"/>
    <xf numFmtId="0" fontId="42" fillId="17" borderId="0" xfId="0" applyFont="1" applyFill="1" applyAlignment="1">
      <alignment horizontal="center"/>
    </xf>
    <xf numFmtId="0" fontId="59" fillId="0" borderId="0" xfId="0" applyFont="1" applyAlignment="1">
      <alignment horizontal="left"/>
    </xf>
    <xf numFmtId="14" fontId="59" fillId="0" borderId="0" xfId="0" applyNumberFormat="1" applyFont="1"/>
    <xf numFmtId="0" fontId="59" fillId="0" borderId="0" xfId="0" applyFont="1" applyAlignment="1">
      <alignment horizontal="center"/>
    </xf>
    <xf numFmtId="0" fontId="1" fillId="0" borderId="0" xfId="1" applyFont="1"/>
    <xf numFmtId="0" fontId="1" fillId="0" borderId="0" xfId="1" applyFont="1" applyAlignment="1">
      <alignment wrapText="1"/>
    </xf>
    <xf numFmtId="0" fontId="1" fillId="5" borderId="0" xfId="1" applyFont="1" applyFill="1"/>
    <xf numFmtId="0" fontId="2" fillId="0" borderId="0" xfId="1" quotePrefix="1"/>
    <xf numFmtId="0" fontId="4" fillId="0" borderId="8" xfId="0" quotePrefix="1" applyFont="1" applyBorder="1" applyAlignment="1">
      <alignment horizontal="center" vertical="center"/>
    </xf>
    <xf numFmtId="0" fontId="5" fillId="8" borderId="8" xfId="0" applyFont="1" applyFill="1" applyBorder="1" applyAlignment="1">
      <alignment horizontal="center" vertical="center"/>
    </xf>
    <xf numFmtId="0" fontId="61" fillId="5" borderId="0" xfId="1" applyFont="1" applyFill="1"/>
    <xf numFmtId="0" fontId="1" fillId="0" borderId="0" xfId="1" applyFont="1" applyAlignment="1">
      <alignment horizontal="left"/>
    </xf>
    <xf numFmtId="0" fontId="60" fillId="8" borderId="0" xfId="1" applyFont="1" applyFill="1" applyAlignment="1">
      <alignment wrapText="1"/>
    </xf>
    <xf numFmtId="0" fontId="1" fillId="8" borderId="0" xfId="1" applyFont="1" applyFill="1" applyAlignment="1">
      <alignment wrapText="1"/>
    </xf>
    <xf numFmtId="0" fontId="46" fillId="8" borderId="6" xfId="0" applyFont="1" applyFill="1" applyBorder="1" applyAlignment="1">
      <alignment horizontal="right" vertical="center"/>
    </xf>
    <xf numFmtId="0" fontId="20" fillId="2" borderId="20" xfId="1" applyFont="1" applyFill="1" applyBorder="1" applyAlignment="1" applyProtection="1">
      <alignment horizontal="center" vertical="center" wrapText="1"/>
      <protection locked="0"/>
    </xf>
    <xf numFmtId="0" fontId="20" fillId="0" borderId="20" xfId="1" applyFont="1" applyBorder="1" applyAlignment="1" applyProtection="1">
      <alignment horizontal="center" vertical="center" wrapText="1"/>
      <protection locked="0"/>
    </xf>
    <xf numFmtId="0" fontId="9" fillId="8" borderId="5" xfId="0" applyFont="1" applyFill="1" applyBorder="1" applyAlignment="1">
      <alignment horizontal="center" vertical="center" wrapText="1"/>
    </xf>
    <xf numFmtId="0" fontId="17" fillId="0" borderId="11" xfId="1" applyFont="1" applyBorder="1" applyAlignment="1" applyProtection="1">
      <alignment horizontal="center"/>
    </xf>
    <xf numFmtId="0" fontId="17" fillId="0" borderId="12" xfId="1" applyFont="1" applyBorder="1" applyAlignment="1" applyProtection="1">
      <alignment horizontal="center"/>
    </xf>
    <xf numFmtId="0" fontId="17" fillId="0" borderId="12" xfId="1" applyFont="1" applyBorder="1" applyProtection="1"/>
    <xf numFmtId="0" fontId="17" fillId="0" borderId="13" xfId="1" applyFont="1" applyBorder="1" applyProtection="1"/>
    <xf numFmtId="0" fontId="2" fillId="0" borderId="0" xfId="1" applyProtection="1"/>
    <xf numFmtId="0" fontId="17" fillId="0" borderId="0" xfId="1" applyFont="1" applyAlignment="1" applyProtection="1">
      <alignment horizontal="center"/>
    </xf>
    <xf numFmtId="0" fontId="9" fillId="0" borderId="0" xfId="1" applyFont="1" applyAlignment="1" applyProtection="1">
      <alignment horizontal="center" vertical="center"/>
    </xf>
    <xf numFmtId="0" fontId="17" fillId="0" borderId="0" xfId="1" applyFont="1" applyProtection="1"/>
    <xf numFmtId="0" fontId="37" fillId="11" borderId="14" xfId="1" applyFont="1" applyFill="1" applyBorder="1" applyAlignment="1" applyProtection="1">
      <alignment horizontal="left" vertical="center" wrapText="1"/>
    </xf>
    <xf numFmtId="0" fontId="37" fillId="11" borderId="0" xfId="1" applyFont="1" applyFill="1" applyAlignment="1" applyProtection="1">
      <alignment vertical="center" wrapText="1"/>
    </xf>
    <xf numFmtId="0" fontId="0" fillId="0" borderId="0" xfId="0" applyProtection="1"/>
    <xf numFmtId="0" fontId="52" fillId="13" borderId="15" xfId="1" applyFont="1" applyFill="1" applyBorder="1" applyAlignment="1" applyProtection="1">
      <alignment horizontal="centerContinuous" vertical="center"/>
    </xf>
    <xf numFmtId="0" fontId="18" fillId="13" borderId="16" xfId="1" applyFont="1" applyFill="1" applyBorder="1" applyAlignment="1" applyProtection="1">
      <alignment horizontal="centerContinuous" vertical="center"/>
    </xf>
    <xf numFmtId="0" fontId="52" fillId="13" borderId="16" xfId="1" applyFont="1" applyFill="1" applyBorder="1" applyAlignment="1" applyProtection="1">
      <alignment horizontal="centerContinuous" vertical="center"/>
    </xf>
    <xf numFmtId="0" fontId="40" fillId="13" borderId="16" xfId="1" applyFont="1" applyFill="1" applyBorder="1" applyAlignment="1" applyProtection="1">
      <alignment horizontal="centerContinuous" vertical="center"/>
    </xf>
    <xf numFmtId="0" fontId="62" fillId="13" borderId="16" xfId="1" applyFont="1" applyFill="1" applyBorder="1" applyAlignment="1" applyProtection="1">
      <alignment horizontal="right" vertical="center"/>
    </xf>
    <xf numFmtId="0" fontId="2" fillId="0" borderId="0" xfId="1" applyAlignment="1" applyProtection="1">
      <alignment horizontal="center"/>
    </xf>
    <xf numFmtId="0" fontId="55" fillId="2" borderId="0" xfId="1" applyFont="1" applyFill="1" applyAlignment="1" applyProtection="1">
      <alignment horizontal="right" vertical="center" indent="1"/>
    </xf>
    <xf numFmtId="0" fontId="56" fillId="6" borderId="26" xfId="1" applyFont="1" applyFill="1" applyBorder="1" applyAlignment="1" applyProtection="1">
      <alignment horizontal="center" vertical="center"/>
    </xf>
    <xf numFmtId="0" fontId="55" fillId="2" borderId="0" xfId="1" applyFont="1" applyFill="1" applyAlignment="1" applyProtection="1">
      <alignment horizontal="right" vertical="center"/>
    </xf>
    <xf numFmtId="0" fontId="2" fillId="0" borderId="26" xfId="1" applyBorder="1" applyAlignment="1" applyProtection="1">
      <alignment horizontal="center"/>
    </xf>
    <xf numFmtId="0" fontId="20" fillId="2" borderId="26" xfId="1" applyFont="1" applyFill="1" applyBorder="1" applyAlignment="1" applyProtection="1">
      <alignment horizontal="right" vertical="center" indent="1"/>
    </xf>
    <xf numFmtId="0" fontId="19" fillId="2" borderId="26" xfId="1" applyFont="1" applyFill="1" applyBorder="1" applyAlignment="1" applyProtection="1">
      <alignment vertical="center"/>
    </xf>
    <xf numFmtId="14" fontId="20" fillId="2" borderId="26" xfId="1" applyNumberFormat="1" applyFont="1" applyFill="1" applyBorder="1" applyAlignment="1" applyProtection="1">
      <alignment vertical="center"/>
    </xf>
    <xf numFmtId="0" fontId="20" fillId="2" borderId="0" xfId="1" applyFont="1" applyFill="1" applyAlignment="1" applyProtection="1">
      <alignment horizontal="right" vertical="center" indent="1"/>
    </xf>
    <xf numFmtId="0" fontId="19" fillId="2" borderId="0" xfId="1" applyFont="1" applyFill="1" applyAlignment="1" applyProtection="1">
      <alignment vertical="center"/>
    </xf>
    <xf numFmtId="14" fontId="20" fillId="2" borderId="0" xfId="1" applyNumberFormat="1" applyFont="1" applyFill="1" applyAlignment="1" applyProtection="1">
      <alignment vertical="center"/>
    </xf>
    <xf numFmtId="0" fontId="19"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0" fillId="2" borderId="0" xfId="1" applyFont="1" applyFill="1" applyAlignment="1" applyProtection="1">
      <alignment horizontal="left" vertical="center" wrapText="1"/>
    </xf>
    <xf numFmtId="0" fontId="20" fillId="0" borderId="0" xfId="1" applyFont="1" applyAlignment="1" applyProtection="1">
      <alignment vertical="top" wrapText="1"/>
    </xf>
    <xf numFmtId="0" fontId="21" fillId="11" borderId="0" xfId="1" applyFont="1" applyFill="1" applyAlignment="1" applyProtection="1">
      <alignment horizontal="center" vertical="center"/>
    </xf>
    <xf numFmtId="0" fontId="21" fillId="11" borderId="0" xfId="1" applyFont="1" applyFill="1" applyAlignment="1" applyProtection="1">
      <alignment horizontal="left" vertical="center" indent="1"/>
    </xf>
    <xf numFmtId="0" fontId="21" fillId="11" borderId="0" xfId="1" applyFont="1" applyFill="1" applyAlignment="1" applyProtection="1">
      <alignment vertical="center"/>
    </xf>
    <xf numFmtId="0" fontId="21" fillId="11" borderId="21" xfId="1" applyFont="1" applyFill="1" applyBorder="1" applyAlignment="1" applyProtection="1">
      <alignment horizontal="left" vertical="center"/>
    </xf>
    <xf numFmtId="0" fontId="21" fillId="11" borderId="0" xfId="1" applyFont="1" applyFill="1" applyAlignment="1" applyProtection="1">
      <alignment horizontal="centerContinuous" vertical="center"/>
    </xf>
    <xf numFmtId="0" fontId="21" fillId="11" borderId="17" xfId="1" applyFont="1" applyFill="1" applyBorder="1" applyAlignment="1" applyProtection="1">
      <alignment horizontal="centerContinuous" vertical="center"/>
    </xf>
    <xf numFmtId="0" fontId="22" fillId="2" borderId="0" xfId="1" applyFont="1" applyFill="1" applyAlignment="1" applyProtection="1">
      <alignment vertical="center"/>
    </xf>
    <xf numFmtId="0" fontId="23" fillId="2" borderId="0" xfId="1" applyFont="1" applyFill="1" applyAlignment="1" applyProtection="1">
      <alignment vertical="center"/>
    </xf>
    <xf numFmtId="0" fontId="21" fillId="11" borderId="0" xfId="1" applyFont="1" applyFill="1" applyAlignment="1" applyProtection="1">
      <alignment horizontal="center" vertical="center" wrapText="1"/>
    </xf>
    <xf numFmtId="0" fontId="21" fillId="11" borderId="0" xfId="1" applyFont="1" applyFill="1" applyAlignment="1" applyProtection="1">
      <alignment horizontal="center" vertical="center" shrinkToFit="1"/>
    </xf>
    <xf numFmtId="0" fontId="21" fillId="11" borderId="21" xfId="1" applyFont="1" applyFill="1" applyBorder="1" applyAlignment="1" applyProtection="1">
      <alignment horizontal="center" vertical="center" wrapText="1"/>
    </xf>
    <xf numFmtId="0" fontId="21" fillId="11" borderId="17" xfId="1" applyFont="1" applyFill="1" applyBorder="1" applyAlignment="1" applyProtection="1">
      <alignment horizontal="center" vertical="center" wrapText="1"/>
    </xf>
    <xf numFmtId="0" fontId="20" fillId="2" borderId="18" xfId="1" applyFont="1" applyFill="1" applyBorder="1" applyAlignment="1" applyProtection="1">
      <alignment horizontal="center" vertical="center" wrapText="1"/>
    </xf>
    <xf numFmtId="0" fontId="20" fillId="2" borderId="19" xfId="1" applyFont="1" applyFill="1" applyBorder="1" applyAlignment="1" applyProtection="1">
      <alignment horizontal="center" vertical="center" wrapText="1"/>
    </xf>
    <xf numFmtId="0" fontId="20" fillId="2" borderId="19" xfId="1" applyFont="1" applyFill="1" applyBorder="1" applyAlignment="1" applyProtection="1">
      <alignment vertical="center" wrapText="1"/>
    </xf>
    <xf numFmtId="0" fontId="23" fillId="2" borderId="19" xfId="1" applyFont="1" applyFill="1" applyBorder="1" applyAlignment="1" applyProtection="1">
      <alignment horizontal="center" vertical="center" shrinkToFit="1"/>
    </xf>
    <xf numFmtId="0" fontId="20" fillId="2" borderId="22" xfId="1" applyFont="1" applyFill="1" applyBorder="1" applyAlignment="1" applyProtection="1">
      <alignment horizontal="center" vertical="center" wrapText="1"/>
    </xf>
    <xf numFmtId="0" fontId="20" fillId="2" borderId="23" xfId="1" applyFont="1" applyFill="1" applyBorder="1" applyAlignment="1" applyProtection="1">
      <alignment horizontal="center" vertical="center" wrapText="1"/>
    </xf>
    <xf numFmtId="0" fontId="24" fillId="0" borderId="0" xfId="1" applyFont="1" applyAlignment="1" applyProtection="1">
      <alignment horizontal="center" vertical="center" wrapText="1"/>
    </xf>
    <xf numFmtId="0" fontId="22" fillId="2" borderId="0" xfId="1" applyFont="1" applyFill="1" applyAlignment="1" applyProtection="1">
      <alignment wrapText="1"/>
    </xf>
    <xf numFmtId="0" fontId="23" fillId="2" borderId="0" xfId="1" applyFont="1" applyFill="1" applyAlignment="1" applyProtection="1">
      <alignment wrapText="1"/>
    </xf>
    <xf numFmtId="0" fontId="20" fillId="12" borderId="13" xfId="1" applyFont="1" applyFill="1" applyBorder="1" applyAlignment="1" applyProtection="1">
      <alignment horizontal="center" vertical="center" wrapText="1"/>
    </xf>
    <xf numFmtId="0" fontId="20" fillId="12" borderId="0" xfId="1" applyFont="1" applyFill="1" applyAlignment="1" applyProtection="1">
      <alignment horizontal="center" vertical="center" wrapText="1"/>
    </xf>
    <xf numFmtId="0" fontId="20" fillId="12" borderId="0" xfId="1" applyFont="1" applyFill="1" applyAlignment="1" applyProtection="1">
      <alignment vertical="center" wrapText="1"/>
    </xf>
    <xf numFmtId="0" fontId="23" fillId="12" borderId="0" xfId="1" applyFont="1" applyFill="1" applyAlignment="1" applyProtection="1">
      <alignment horizontal="left" vertical="center" shrinkToFit="1"/>
    </xf>
    <xf numFmtId="0" fontId="20" fillId="12" borderId="21" xfId="1" applyFont="1" applyFill="1" applyBorder="1" applyAlignment="1" applyProtection="1">
      <alignment horizontal="center" vertical="center" wrapText="1"/>
    </xf>
    <xf numFmtId="0" fontId="20" fillId="12" borderId="17" xfId="1" applyFont="1" applyFill="1" applyBorder="1" applyAlignment="1" applyProtection="1">
      <alignment horizontal="center" vertical="center" wrapText="1"/>
    </xf>
    <xf numFmtId="0" fontId="20" fillId="0" borderId="19" xfId="1" applyFont="1" applyBorder="1" applyAlignment="1" applyProtection="1">
      <alignment horizontal="center" vertical="center" wrapText="1"/>
    </xf>
    <xf numFmtId="0" fontId="20" fillId="0" borderId="22" xfId="1" applyFont="1" applyBorder="1" applyAlignment="1" applyProtection="1">
      <alignment horizontal="center" vertical="center" wrapText="1"/>
    </xf>
    <xf numFmtId="0" fontId="20" fillId="0" borderId="23" xfId="1" applyFont="1" applyBorder="1" applyAlignment="1" applyProtection="1">
      <alignment horizontal="center" vertical="center" wrapText="1"/>
    </xf>
    <xf numFmtId="0" fontId="22" fillId="2" borderId="0" xfId="1" applyFont="1" applyFill="1" applyProtection="1"/>
    <xf numFmtId="0" fontId="23" fillId="2" borderId="0" xfId="1" applyFont="1" applyFill="1" applyProtection="1"/>
    <xf numFmtId="0" fontId="20" fillId="0" borderId="19" xfId="1" applyFont="1" applyBorder="1" applyAlignment="1" applyProtection="1">
      <alignment horizontal="left" vertical="center"/>
    </xf>
    <xf numFmtId="0" fontId="22" fillId="2" borderId="0" xfId="1" applyFont="1" applyFill="1" applyAlignment="1" applyProtection="1">
      <alignment horizontal="center" vertical="center"/>
    </xf>
    <xf numFmtId="0" fontId="20" fillId="0" borderId="19" xfId="1" applyFont="1" applyBorder="1" applyAlignment="1" applyProtection="1">
      <alignmen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shrinkToFit="1"/>
    </xf>
    <xf numFmtId="0" fontId="33" fillId="2" borderId="0" xfId="1" applyFont="1" applyFill="1" applyAlignment="1" applyProtection="1">
      <alignment vertical="center"/>
    </xf>
    <xf numFmtId="0" fontId="34" fillId="2" borderId="0" xfId="1" applyFont="1" applyFill="1" applyAlignment="1" applyProtection="1">
      <alignment horizontal="center" vertical="center"/>
    </xf>
    <xf numFmtId="0" fontId="34" fillId="2" borderId="0" xfId="1" applyFont="1" applyFill="1" applyProtection="1"/>
    <xf numFmtId="0" fontId="12" fillId="2" borderId="0" xfId="1" applyFont="1" applyFill="1" applyProtection="1"/>
    <xf numFmtId="0" fontId="50" fillId="11" borderId="0" xfId="1" applyFont="1" applyFill="1" applyAlignment="1" applyProtection="1">
      <alignment horizontal="left" vertical="center" readingOrder="1"/>
    </xf>
    <xf numFmtId="0" fontId="36" fillId="11" borderId="0" xfId="1" applyFont="1" applyFill="1" applyAlignment="1" applyProtection="1">
      <alignment horizontal="left" vertical="center" readingOrder="1"/>
    </xf>
    <xf numFmtId="0" fontId="39" fillId="11" borderId="0" xfId="1" applyFont="1" applyFill="1" applyAlignment="1" applyProtection="1">
      <alignment horizontal="center" vertical="center" readingOrder="1"/>
    </xf>
    <xf numFmtId="0" fontId="39" fillId="11" borderId="0" xfId="1" applyFont="1" applyFill="1" applyAlignment="1" applyProtection="1">
      <alignment horizontal="center" vertical="center" shrinkToFit="1"/>
    </xf>
    <xf numFmtId="0" fontId="39" fillId="11" borderId="0" xfId="1" applyFont="1" applyFill="1" applyAlignment="1" applyProtection="1">
      <alignment horizontal="centerContinuous" vertical="center"/>
    </xf>
    <xf numFmtId="0" fontId="39" fillId="11" borderId="17" xfId="1" applyFont="1" applyFill="1" applyBorder="1" applyAlignment="1" applyProtection="1">
      <alignment horizontal="centerContinuous" vertical="center"/>
    </xf>
    <xf numFmtId="0" fontId="51" fillId="11" borderId="0" xfId="1" applyFont="1" applyFill="1" applyAlignment="1" applyProtection="1">
      <alignment horizontal="right"/>
    </xf>
    <xf numFmtId="0" fontId="2" fillId="0" borderId="0" xfId="1" applyAlignment="1" applyProtection="1">
      <alignment horizontal="center" vertical="center"/>
    </xf>
    <xf numFmtId="0" fontId="36" fillId="11" borderId="0" xfId="1" applyFont="1" applyFill="1" applyAlignment="1" applyProtection="1">
      <alignment horizontal="left" vertical="center" indent="1"/>
    </xf>
    <xf numFmtId="0" fontId="36" fillId="11" borderId="0" xfId="1" applyFont="1" applyFill="1" applyAlignment="1" applyProtection="1">
      <alignment horizontal="left" vertical="top" indent="1"/>
    </xf>
    <xf numFmtId="0" fontId="2" fillId="0" borderId="0" xfId="1" applyAlignment="1" applyProtection="1">
      <alignment horizontal="center" vertical="top"/>
    </xf>
    <xf numFmtId="0" fontId="35" fillId="0" borderId="18" xfId="1" applyFont="1" applyBorder="1" applyAlignment="1" applyProtection="1">
      <alignment horizontal="left" vertical="center" wrapText="1"/>
    </xf>
    <xf numFmtId="0" fontId="35" fillId="0" borderId="19" xfId="1" applyFont="1" applyBorder="1" applyAlignment="1" applyProtection="1">
      <alignment horizontal="left" vertical="center" wrapText="1"/>
    </xf>
    <xf numFmtId="0" fontId="35" fillId="0" borderId="19" xfId="1" applyFont="1" applyBorder="1" applyAlignment="1" applyProtection="1">
      <alignment vertical="center" wrapText="1"/>
    </xf>
    <xf numFmtId="0" fontId="35" fillId="0" borderId="19" xfId="1" applyFont="1" applyBorder="1" applyAlignment="1" applyProtection="1">
      <alignment horizontal="center" vertical="center" wrapText="1"/>
    </xf>
    <xf numFmtId="0" fontId="2" fillId="0" borderId="0" xfId="1" applyAlignment="1" applyProtection="1">
      <alignment wrapText="1"/>
    </xf>
    <xf numFmtId="0" fontId="35" fillId="0" borderId="19" xfId="1" applyFont="1" applyBorder="1" applyAlignment="1" applyProtection="1">
      <alignment horizontal="center" vertical="center" shrinkToFit="1"/>
    </xf>
    <xf numFmtId="0" fontId="35" fillId="0" borderId="18" xfId="1" applyFont="1" applyBorder="1" applyAlignment="1" applyProtection="1">
      <alignment horizontal="left" vertical="center"/>
    </xf>
    <xf numFmtId="0" fontId="35" fillId="0" borderId="19" xfId="1" applyFont="1" applyBorder="1" applyAlignment="1" applyProtection="1">
      <alignment horizontal="left" vertical="center"/>
    </xf>
    <xf numFmtId="0" fontId="35" fillId="0" borderId="19" xfId="1" applyFont="1" applyBorder="1" applyAlignment="1" applyProtection="1">
      <alignment vertical="center"/>
    </xf>
    <xf numFmtId="0" fontId="25" fillId="2" borderId="0" xfId="1" applyFont="1" applyFill="1" applyAlignment="1" applyProtection="1">
      <alignment horizontal="center" vertical="center" wrapText="1"/>
    </xf>
    <xf numFmtId="0" fontId="29" fillId="2" borderId="0" xfId="1" applyFont="1" applyFill="1" applyProtection="1"/>
    <xf numFmtId="0" fontId="30"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41" fillId="2" borderId="26" xfId="1" applyFont="1" applyFill="1" applyBorder="1" applyAlignment="1" applyProtection="1">
      <alignment vertical="center"/>
      <protection locked="0"/>
    </xf>
    <xf numFmtId="0" fontId="19" fillId="2" borderId="0" xfId="1" applyFont="1" applyFill="1" applyAlignment="1" applyProtection="1">
      <alignment vertical="center"/>
      <protection locked="0"/>
    </xf>
    <xf numFmtId="0" fontId="20" fillId="12" borderId="17" xfId="1" applyFont="1" applyFill="1" applyBorder="1" applyAlignment="1" applyProtection="1">
      <alignment horizontal="center" vertical="center" wrapText="1"/>
      <protection locked="0"/>
    </xf>
    <xf numFmtId="0" fontId="21" fillId="11" borderId="0" xfId="1" applyFont="1" applyFill="1" applyAlignment="1" applyProtection="1">
      <alignment horizontal="center" vertical="center"/>
      <protection locked="0"/>
    </xf>
  </cellXfs>
  <cellStyles count="4">
    <cellStyle name="Good" xfId="3" builtinId="26"/>
    <cellStyle name="Hyperlink" xfId="2" builtinId="8"/>
    <cellStyle name="Normal" xfId="0" builtinId="0"/>
    <cellStyle name="Normal 2" xfId="1" xr:uid="{00000000-0005-0000-0000-000003000000}"/>
  </cellStyles>
  <dxfs count="173">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i/>
        <color rgb="FFFF0000"/>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wrapText="0" indent="0" justifyLastLine="0" shrinkToFit="0" readingOrder="0"/>
    </dxf>
    <dxf>
      <font>
        <sz val="10"/>
        <color rgb="FF000000"/>
        <name val="Arial"/>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border diagonalUp="0" diagonalDown="0" outline="0">
        <left/>
        <right/>
        <top style="thin">
          <color theme="1"/>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1"/>
          <bgColor theme="1"/>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strike val="0"/>
        <outline val="0"/>
        <shadow val="0"/>
        <u val="none"/>
        <vertAlign val="baseline"/>
        <sz val="10"/>
        <color auto="1"/>
        <name val="Arial"/>
        <scheme val="none"/>
      </font>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top"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top" textRotation="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top"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Arial"/>
        <scheme val="none"/>
      </font>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333376</xdr:colOff>
      <xdr:row>3</xdr:row>
      <xdr:rowOff>161926</xdr:rowOff>
    </xdr:from>
    <xdr:ext cx="5629275" cy="7059625"/>
    <xdr:sp macro="" textlink="">
      <xdr:nvSpPr>
        <xdr:cNvPr id="7" name="TextBox 1">
          <a:extLst>
            <a:ext uri="{FF2B5EF4-FFF2-40B4-BE49-F238E27FC236}">
              <a16:creationId xmlns:a16="http://schemas.microsoft.com/office/drawing/2014/main" id="{00000000-0008-0000-0000-000002000000}"/>
            </a:ext>
          </a:extLst>
        </xdr:cNvPr>
        <xdr:cNvSpPr txBox="1"/>
      </xdr:nvSpPr>
      <xdr:spPr>
        <a:xfrm>
          <a:off x="11687176" y="666751"/>
          <a:ext cx="5629275" cy="705962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Bachelor of Applied Science (Construction Management)</a:t>
          </a:r>
        </a:p>
        <a:p>
          <a:pPr algn="ctr" rtl="0" fontAlgn="base"/>
          <a:endParaRPr lang="en-AU" sz="1100" b="1" i="0">
            <a:solidFill>
              <a:schemeClr val="dk1"/>
            </a:solidFill>
            <a:effectLst/>
            <a:latin typeface="+mn-lt"/>
            <a:ea typeface="+mn-ea"/>
            <a:cs typeface="+mn-cs"/>
          </a:endParaRPr>
        </a:p>
        <a:p>
          <a:pPr marL="0" marR="0" lvl="0" indent="0" algn="ctr" defTabSz="914400" rtl="0" eaLnBrk="1" fontAlgn="base"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1"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a:t>
          </a: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 please contact your</a:t>
          </a:r>
          <a:r>
            <a:rPr lang="en-AU" sz="1100" b="0" i="0" baseline="0">
              <a:solidFill>
                <a:schemeClr val="dk1"/>
              </a:solidFill>
              <a:effectLst/>
              <a:latin typeface="+mn-lt"/>
              <a:ea typeface="+mn-ea"/>
              <a:cs typeface="+mn-cs"/>
            </a:rPr>
            <a:t> Course Coordinator (Email: constructionmanagement@curtin.edu.au) or </a:t>
          </a:r>
          <a:r>
            <a:rPr lang="en-AU" sz="1100" b="0" i="0">
              <a:solidFill>
                <a:schemeClr val="dk1"/>
              </a:solidFill>
              <a:effectLst/>
              <a:latin typeface="+mn-lt"/>
              <a:ea typeface="+mn-ea"/>
              <a:cs typeface="+mn-cs"/>
            </a:rPr>
            <a:t>please select one or two units from those listed for each study period.</a:t>
          </a:r>
          <a:endParaRPr lang="en-AU">
            <a:effectLst/>
          </a:endParaRP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endParaRPr lang="en-AU" sz="1100" b="1" i="1">
            <a:solidFill>
              <a:schemeClr val="dk1"/>
            </a:solidFill>
            <a:effectLst/>
            <a:latin typeface="+mn-lt"/>
            <a:ea typeface="+mn-ea"/>
            <a:cs typeface="+mn-cs"/>
          </a:endParaRPr>
        </a:p>
        <a:p>
          <a:r>
            <a:rPr lang="en-AU" sz="1100" b="1"/>
            <a:t>Industry Placements</a:t>
          </a:r>
        </a:p>
        <a:p>
          <a:pPr marL="0" indent="0"/>
          <a:r>
            <a:rPr lang="en-AU" sz="1100" baseline="0">
              <a:solidFill>
                <a:schemeClr val="dk1"/>
              </a:solidFill>
              <a:effectLst/>
              <a:latin typeface="+mn-lt"/>
              <a:ea typeface="+mn-ea"/>
              <a:cs typeface="+mn-cs"/>
            </a:rPr>
            <a:t>Students must undertake 80 days of work experience in the construction industry to meet the completion requirement of this course. The work experience must be in approved professional roles which are relevant to the course (e.g. quantity surveying, construction management, project management, building surveying, property development, contract administration, construction law, procurement/supply chain management etc.). This must be undertaken in an organization having a valid registration, conducting their business as a construction entity or consultancy firm, or a public or private organization in which construction or project procurement is their primary business.</a:t>
          </a:r>
        </a:p>
        <a:p>
          <a:endParaRPr lang="en-AU">
            <a:effectLst/>
          </a:endParaRPr>
        </a:p>
        <a:p>
          <a:pPr rtl="0" fontAlgn="base"/>
          <a:r>
            <a:rPr lang="en-AU" sz="1100" b="1" i="0">
              <a:solidFill>
                <a:schemeClr val="dk1"/>
              </a:solidFill>
              <a:effectLst/>
              <a:latin typeface="+mn-lt"/>
              <a:ea typeface="+mn-ea"/>
              <a:cs typeface="+mn-cs"/>
            </a:rPr>
            <a:t>Pre-requisites (if required)</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pPr marL="0" indent="0"/>
          <a:endParaRPr lang="en-AU" sz="1100" baseline="0">
            <a:solidFill>
              <a:schemeClr val="dk1"/>
            </a:solidFill>
            <a:effectLst/>
            <a:latin typeface="+mn-lt"/>
            <a:ea typeface="+mn-ea"/>
            <a:cs typeface="+mn-cs"/>
          </a:endParaRPr>
        </a:p>
        <a:p>
          <a:r>
            <a:rPr lang="en-AU" b="1"/>
            <a:t>Need more support? </a:t>
          </a:r>
        </a:p>
        <a:p>
          <a:r>
            <a:rPr lang="en-AU" b="0"/>
            <a:t>This planner is designed to be used in conjunction with the information provided by Curtin Connect on the Student Essentials webpages. If you have any questions regarding your enrolment, please contact Curtin Connect.</a:t>
          </a: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800" b="0" i="0" baseline="0">
              <a:solidFill>
                <a:schemeClr val="dk1"/>
              </a:solidFill>
              <a:effectLst/>
              <a:latin typeface="+mn-lt"/>
              <a:ea typeface="+mn-ea"/>
              <a:cs typeface="+mn-cs"/>
            </a:rPr>
            <a:t>CP = Credit Points; Sem1 = Semester 1; Sem2 = Semester 2;</a:t>
          </a:r>
        </a:p>
        <a:p>
          <a:pPr algn="ctr" rtl="0" fontAlgn="base"/>
          <a:r>
            <a:rPr lang="en-AU" sz="800" b="0" i="0" baseline="0">
              <a:solidFill>
                <a:schemeClr val="dk1"/>
              </a:solidFill>
              <a:effectLst/>
              <a:latin typeface="+mn-lt"/>
              <a:ea typeface="+mn-ea"/>
              <a:cs typeface="+mn-cs"/>
            </a:rPr>
            <a:t>BEN = unit available face-to-face at Curtin University, Bentley Campus; FO = unit available Fully Online</a:t>
          </a:r>
          <a:endParaRPr lang="en-AU" sz="8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1514476</xdr:colOff>
      <xdr:row>2</xdr:row>
      <xdr:rowOff>342900</xdr:rowOff>
    </xdr:from>
    <xdr:to>
      <xdr:col>16</xdr:col>
      <xdr:colOff>619126</xdr:colOff>
      <xdr:row>3</xdr:row>
      <xdr:rowOff>161925</xdr:rowOff>
    </xdr:to>
    <xdr:sp macro="" textlink="">
      <xdr:nvSpPr>
        <xdr:cNvPr id="9" name="TextBox 4">
          <a:hlinkClick xmlns:r="http://schemas.openxmlformats.org/officeDocument/2006/relationships" r:id="rId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3000000}"/>
            </a:ext>
          </a:extLst>
        </xdr:cNvPr>
        <xdr:cNvSpPr txBox="1"/>
      </xdr:nvSpPr>
      <xdr:spPr>
        <a:xfrm>
          <a:off x="14897101" y="342900"/>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8" totalsRowShown="0" headerRowDxfId="172" dataDxfId="171">
  <autoFilter ref="A6:H8" xr:uid="{00000000-0009-0000-0100-000003000000}"/>
  <tableColumns count="8">
    <tableColumn id="3" xr3:uid="{00000000-0010-0000-0000-000003000000}" name="Choose your Construction Management Course (drop-down list)" dataDxfId="170"/>
    <tableColumn id="1" xr3:uid="{00000000-0010-0000-0000-000001000000}" name="UDC" dataDxfId="169"/>
    <tableColumn id="2" xr3:uid="{00000000-0010-0000-0000-000002000000}" name="SM Version" dataDxfId="168"/>
    <tableColumn id="5" xr3:uid="{00000000-0010-0000-0000-000005000000}" name="SM Effective Date" dataDxfId="167"/>
    <tableColumn id="4" xr3:uid="{00000000-0010-0000-0000-000004000000}" name="Akari Iteration" dataDxfId="166"/>
    <tableColumn id="7" xr3:uid="{00000000-0010-0000-0000-000007000000}" name="Akari Effective Date" dataDxfId="165"/>
    <tableColumn id="6" xr3:uid="{00000000-0010-0000-0000-000006000000}" name="Credit Points" dataDxfId="164"/>
    <tableColumn id="8" xr3:uid="{00000000-0010-0000-0000-000008000000}" name="SM Availabilities" dataDxfId="16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SPUCPROPT" displayName="TableSPUCPROPT" ref="A105:O109" totalsRowShown="0">
  <autoFilter ref="A105:O109" xr:uid="{00000000-0009-0000-0100-00000C000000}"/>
  <sortState xmlns:xlrd2="http://schemas.microsoft.com/office/spreadsheetml/2017/richdata2" ref="A65:R72">
    <sortCondition ref="N10:N18"/>
  </sortState>
  <tableColumns count="15">
    <tableColumn id="1" xr3:uid="{00000000-0010-0000-0900-000001000000}" name="UDC" dataDxfId="85">
      <calculatedColumnFormula>TableSPUCPROPT[[#This Row],[Study Package Code]]</calculatedColumnFormula>
    </tableColumn>
    <tableColumn id="9" xr3:uid="{00000000-0010-0000-0900-000009000000}" name="V" dataDxfId="84">
      <calculatedColumnFormula>TableSPUCPROPT[[#This Row],[Ver]]</calculatedColumnFormula>
    </tableColumn>
    <tableColumn id="10" xr3:uid="{00000000-0010-0000-0900-00000A000000}" name="OUA Code"/>
    <tableColumn id="11" xr3:uid="{00000000-0010-0000-0900-00000B000000}" name="Unit Title" dataDxfId="83">
      <calculatedColumnFormula>TableSPUCPROPT[[#This Row],[Structure Line]]</calculatedColumnFormula>
    </tableColumn>
    <tableColumn id="12" xr3:uid="{00000000-0010-0000-0900-00000C000000}" name="CPs" dataDxfId="82">
      <calculatedColumnFormula>TableSPUCPROPT[[#This Row],[Credit Points]]</calculatedColumnFormula>
    </tableColumn>
    <tableColumn id="13" xr3:uid="{00000000-0010-0000-0900-00000D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81"/>
    <tableColumn id="7" xr3:uid="{00000000-0010-0000-0900-000007000000}" name="Structure Line" dataDxfId="80"/>
    <tableColumn id="8" xr3:uid="{00000000-0010-0000-0900-000008000000}" name="Credit Points" dataDxfId="79"/>
    <tableColumn id="14" xr3:uid="{00000000-0010-0000-0900-00000E000000}" name="Effective" dataDxfId="78"/>
    <tableColumn id="15" xr3:uid="{00000000-0010-0000-0900-00000F000000}" name="Discont." dataDxfId="7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SPUCINARS" displayName="TableSPUCINARS" ref="A73:O91" totalsRowShown="0">
  <autoFilter ref="A73:O91" xr:uid="{00000000-0009-0000-0100-000009000000}"/>
  <sortState xmlns:xlrd2="http://schemas.microsoft.com/office/spreadsheetml/2017/richdata2" ref="A54:M59">
    <sortCondition descending="1" ref="G48:G54"/>
  </sortState>
  <tableColumns count="15">
    <tableColumn id="1" xr3:uid="{00000000-0010-0000-0A00-000001000000}" name="UDC" dataDxfId="76">
      <calculatedColumnFormula>TableSPUCINARS[[#This Row],[Study Package Code]]</calculatedColumnFormula>
    </tableColumn>
    <tableColumn id="9" xr3:uid="{00000000-0010-0000-0A00-000009000000}" name="V" dataDxfId="75">
      <calculatedColumnFormula>TableSPUCINARS[[#This Row],[Ver]]</calculatedColumnFormula>
    </tableColumn>
    <tableColumn id="10" xr3:uid="{00000000-0010-0000-0A00-00000A000000}" name="OUA Code"/>
    <tableColumn id="11" xr3:uid="{00000000-0010-0000-0A00-00000B000000}" name="Unit Title" dataDxfId="74">
      <calculatedColumnFormula>TableSPUCINARS[[#This Row],[Structure Line]]</calculatedColumnFormula>
    </tableColumn>
    <tableColumn id="12" xr3:uid="{00000000-0010-0000-0A00-00000C000000}" name="CPs" dataDxfId="73">
      <calculatedColumnFormula>TableSPUCINARS[[#This Row],[Credit Points]]</calculatedColumnFormula>
    </tableColumn>
    <tableColumn id="13" xr3:uid="{00000000-0010-0000-0A00-00000D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dataDxfId="72"/>
    <tableColumn id="7" xr3:uid="{00000000-0010-0000-0A00-000007000000}" name="Structure Line" dataDxfId="71"/>
    <tableColumn id="8" xr3:uid="{00000000-0010-0000-0A00-000008000000}" name="Credit Points" dataDxfId="70"/>
    <tableColumn id="14" xr3:uid="{00000000-0010-0000-0A00-00000E000000}" name="Effective" dataDxfId="69"/>
    <tableColumn id="15" xr3:uid="{00000000-0010-0000-0A00-00000F000000}" name="Discont." dataDxfId="68"/>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B000000}" name="TableSPUCURDES" displayName="TableSPUCURDES" ref="A111:O115" totalsRowShown="0">
  <autoFilter ref="A111:O115" xr:uid="{00000000-0009-0000-0100-00000F000000}"/>
  <sortState xmlns:xlrd2="http://schemas.microsoft.com/office/spreadsheetml/2017/richdata2" ref="A90:R97">
    <sortCondition ref="N10:N18"/>
  </sortState>
  <tableColumns count="15">
    <tableColumn id="1" xr3:uid="{00000000-0010-0000-0B00-000001000000}" name="UDC" dataDxfId="67">
      <calculatedColumnFormula>TableSPUCURDES[[#This Row],[Study Package Code]]</calculatedColumnFormula>
    </tableColumn>
    <tableColumn id="9" xr3:uid="{00000000-0010-0000-0B00-000009000000}" name="V" dataDxfId="66">
      <calculatedColumnFormula>TableSPUCURDES[[#This Row],[Ver]]</calculatedColumnFormula>
    </tableColumn>
    <tableColumn id="10" xr3:uid="{00000000-0010-0000-0B00-00000A000000}" name="OUA Code"/>
    <tableColumn id="11" xr3:uid="{00000000-0010-0000-0B00-00000B000000}" name="Unit Title" dataDxfId="65">
      <calculatedColumnFormula>TableSPUCURDES[[#This Row],[Structure Line]]</calculatedColumnFormula>
    </tableColumn>
    <tableColumn id="12" xr3:uid="{00000000-0010-0000-0B00-00000C000000}" name="CPs" dataDxfId="64">
      <calculatedColumnFormula>TableSPUCURDES[[#This Row],[Credit Points]]</calculatedColumnFormula>
    </tableColumn>
    <tableColumn id="13" xr3:uid="{00000000-0010-0000-0B00-00000D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63"/>
    <tableColumn id="7" xr3:uid="{00000000-0010-0000-0B00-000007000000}" name="Structure Line" dataDxfId="62"/>
    <tableColumn id="8" xr3:uid="{00000000-0010-0000-0B00-000008000000}" name="Credit Points" dataDxfId="61"/>
    <tableColumn id="14" xr3:uid="{00000000-0010-0000-0B00-00000E000000}" name="Effective" dataDxfId="60"/>
    <tableColumn id="15" xr3:uid="{00000000-0010-0000-0B00-00000F000000}" name="Discont." dataDxfId="5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STRHCONMN" displayName="TableSTRHCONMN" ref="A44:O51" totalsRowShown="0">
  <autoFilter ref="A44:O51" xr:uid="{00000000-0009-0000-0100-000008000000}"/>
  <sortState xmlns:xlrd2="http://schemas.microsoft.com/office/spreadsheetml/2017/richdata2" ref="A35:R42">
    <sortCondition ref="N10:N18"/>
  </sortState>
  <tableColumns count="15">
    <tableColumn id="1" xr3:uid="{00000000-0010-0000-0C00-000001000000}" name="UDC" dataDxfId="58">
      <calculatedColumnFormula>TableSTRHCONMN[[#This Row],[Study Package Code]]</calculatedColumnFormula>
    </tableColumn>
    <tableColumn id="9" xr3:uid="{00000000-0010-0000-0C00-000009000000}" name="V" dataDxfId="57">
      <calculatedColumnFormula>TableSTRHCONMN[[#This Row],[Ver]]</calculatedColumnFormula>
    </tableColumn>
    <tableColumn id="10" xr3:uid="{00000000-0010-0000-0C00-00000A000000}" name="OUA Code"/>
    <tableColumn id="11" xr3:uid="{00000000-0010-0000-0C00-00000B000000}" name="Unit Title" dataDxfId="56">
      <calculatedColumnFormula>TableSTRHCONMN[[#This Row],[Structure Line]]</calculatedColumnFormula>
    </tableColumn>
    <tableColumn id="12" xr3:uid="{00000000-0010-0000-0C00-00000C000000}" name="CPs" dataDxfId="55">
      <calculatedColumnFormula>TableSTRHCONMN[[#This Row],[Credit Points]]</calculatedColumnFormula>
    </tableColumn>
    <tableColumn id="13" xr3:uid="{00000000-0010-0000-0C00-00000D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54"/>
    <tableColumn id="7" xr3:uid="{00000000-0010-0000-0C00-000007000000}" name="Structure Line" dataDxfId="53"/>
    <tableColumn id="8" xr3:uid="{00000000-0010-0000-0C00-000008000000}" name="Credit Points" dataDxfId="52"/>
    <tableColumn id="14" xr3:uid="{00000000-0010-0000-0C00-00000E000000}" name="Effective" dataDxfId="51"/>
    <tableColumn id="15" xr3:uid="{00000000-0010-0000-0C00-00000F000000}" name="Discont." dataDxfId="50"/>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STRUCONMN" displayName="TableSTRUCONMN" ref="A35:O42" totalsRowShown="0">
  <autoFilter ref="A35:O42" xr:uid="{00000000-0009-0000-0100-00000E000000}"/>
  <sortState xmlns:xlrd2="http://schemas.microsoft.com/office/spreadsheetml/2017/richdata2" ref="A26:R33">
    <sortCondition ref="N10:N18"/>
  </sortState>
  <tableColumns count="15">
    <tableColumn id="1" xr3:uid="{00000000-0010-0000-0D00-000001000000}" name="UDC" dataDxfId="49">
      <calculatedColumnFormula>TableSTRUCONMN[[#This Row],[Study Package Code]]</calculatedColumnFormula>
    </tableColumn>
    <tableColumn id="9" xr3:uid="{00000000-0010-0000-0D00-000009000000}" name="V" dataDxfId="48">
      <calculatedColumnFormula>TableSTRUCONMN[[#This Row],[Ver]]</calculatedColumnFormula>
    </tableColumn>
    <tableColumn id="10" xr3:uid="{00000000-0010-0000-0D00-00000A000000}" name="OUA Code"/>
    <tableColumn id="11" xr3:uid="{00000000-0010-0000-0D00-00000B000000}" name="Unit Title" dataDxfId="47">
      <calculatedColumnFormula>TableSTRUCONMN[[#This Row],[Structure Line]]</calculatedColumnFormula>
    </tableColumn>
    <tableColumn id="12" xr3:uid="{00000000-0010-0000-0D00-00000C000000}" name="CPs" dataDxfId="46">
      <calculatedColumnFormula>TableSTRUCONMN[[#This Row],[Credit Points]]</calculatedColumnFormula>
    </tableColumn>
    <tableColumn id="13" xr3:uid="{00000000-0010-0000-0D00-00000D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45"/>
    <tableColumn id="7" xr3:uid="{00000000-0010-0000-0D00-000007000000}" name="Structure Line" dataDxfId="44"/>
    <tableColumn id="8" xr3:uid="{00000000-0010-0000-0D00-000008000000}" name="Credit Points" dataDxfId="43"/>
    <tableColumn id="14" xr3:uid="{00000000-0010-0000-0D00-00000E000000}" name="Effective" dataDxfId="42"/>
    <tableColumn id="15" xr3:uid="{00000000-0010-0000-0D00-00000F000000}" name="Discont." dataDxfId="4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E000000}" name="Table5356575426" displayName="Table5356575426" ref="Q2:R33" totalsRowShown="0">
  <autoFilter ref="Q2:R33" xr:uid="{00000000-0009-0000-0100-00000B000000}"/>
  <tableColumns count="2">
    <tableColumn id="1" xr3:uid="{00000000-0010-0000-0E00-000001000000}" name="Column1"/>
    <tableColumn id="2" xr3:uid="{00000000-0010-0000-0E00-000002000000}" name="Column2"/>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535657542618" displayName="Table535657542618" ref="Q35:R42" totalsRowShown="0">
  <autoFilter ref="Q35:R42" xr:uid="{00000000-0009-0000-0100-000011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53565754261819" displayName="Table53565754261819" ref="Q44:R51" totalsRowShown="0">
  <autoFilter ref="Q44:R51" xr:uid="{00000000-0009-0000-0100-000012000000}"/>
  <tableColumns count="2">
    <tableColumn id="1" xr3:uid="{00000000-0010-0000-1000-000001000000}" name="Column1"/>
    <tableColumn id="2" xr3:uid="{00000000-0010-0000-1000-000002000000}" name="Column2"/>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53565754261820" displayName="Table53565754261820" ref="Q53:R59" totalsRowShown="0">
  <autoFilter ref="Q53:R59" xr:uid="{00000000-0009-0000-0100-000013000000}"/>
  <tableColumns count="2">
    <tableColumn id="1" xr3:uid="{00000000-0010-0000-1100-000001000000}" name="Column1"/>
    <tableColumn id="2" xr3:uid="{00000000-0010-0000-1100-000002000000}" name="Column2"/>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5356575426182021" displayName="Table5356575426182021" ref="Q61:R71" totalsRowShown="0">
  <autoFilter ref="Q61:R71" xr:uid="{00000000-0009-0000-0100-000014000000}"/>
  <tableColumns count="2">
    <tableColumn id="1" xr3:uid="{00000000-0010-0000-1200-000001000000}" name="Column1"/>
    <tableColumn id="2" xr3:uid="{00000000-0010-0000-1200-000002000000}" name="Column2"/>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1:C13" totalsRowShown="0" dataDxfId="162">
  <autoFilter ref="A11:C13" xr:uid="{00000000-0009-0000-0100-000004000000}"/>
  <tableColumns count="3">
    <tableColumn id="1" xr3:uid="{00000000-0010-0000-0100-000001000000}" name="Choose your commencing study period (drop-down list)" dataDxfId="161"/>
    <tableColumn id="2" xr3:uid="{00000000-0010-0000-0100-000002000000}" name="START" dataDxfId="160"/>
    <tableColumn id="3" xr3:uid="{00000000-0010-0000-0100-000003000000}" name="Next" dataDxfId="159"/>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5356575426182022" displayName="Table5356575426182022" ref="Q73:R91" totalsRowShown="0">
  <autoFilter ref="Q73:R91" xr:uid="{00000000-0009-0000-0100-000015000000}"/>
  <tableColumns count="2">
    <tableColumn id="1" xr3:uid="{00000000-0010-0000-1300-000001000000}" name="Column1"/>
    <tableColumn id="2" xr3:uid="{00000000-0010-0000-1300-000002000000}" name="Column2"/>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4000000}" name="Table5356575426182023" displayName="Table5356575426182023" ref="Q93:R103" totalsRowShown="0">
  <autoFilter ref="Q93:R103" xr:uid="{00000000-0009-0000-0100-000016000000}"/>
  <tableColumns count="2">
    <tableColumn id="1" xr3:uid="{00000000-0010-0000-1400-000001000000}" name="Column1"/>
    <tableColumn id="2" xr3:uid="{00000000-0010-0000-1400-000002000000}" name="Column2"/>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le5356575426182024" displayName="Table5356575426182024" ref="Q105:R109" totalsRowShown="0">
  <autoFilter ref="Q105:R109" xr:uid="{00000000-0009-0000-0100-000017000000}"/>
  <tableColumns count="2">
    <tableColumn id="1" xr3:uid="{00000000-0010-0000-1500-000001000000}" name="Column1"/>
    <tableColumn id="2" xr3:uid="{00000000-0010-0000-1500-000002000000}" name="Column2"/>
  </tableColumns>
  <tableStyleInfo name="TableStyleLight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Table5356575426182025" displayName="Table5356575426182025" ref="Q111:R115" totalsRowShown="0">
  <autoFilter ref="Q111:R115" xr:uid="{00000000-0009-0000-0100-000018000000}"/>
  <tableColumns count="2">
    <tableColumn id="1" xr3:uid="{00000000-0010-0000-1600-000001000000}" name="Column1"/>
    <tableColumn id="2" xr3:uid="{00000000-0010-0000-1600-000002000000}" name="Column2"/>
  </tableColumns>
  <tableStyleInfo name="TableStyleLight4"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7000000}" name="TableAvailabilities" displayName="TableAvailabilities" ref="A3:E68" totalsRowShown="0">
  <autoFilter ref="A3:E68" xr:uid="{00000000-0009-0000-0100-00000D000000}"/>
  <sortState xmlns:xlrd2="http://schemas.microsoft.com/office/spreadsheetml/2017/richdata2" ref="A4:E69">
    <sortCondition ref="A3:A69"/>
  </sortState>
  <tableColumns count="5">
    <tableColumn id="1" xr3:uid="{00000000-0010-0000-1700-000001000000}" name="Row Labels"/>
    <tableColumn id="2" xr3:uid="{00000000-0010-0000-1700-000002000000}" name="Sem1 Internal" dataDxfId="40"/>
    <tableColumn id="3" xr3:uid="{00000000-0010-0000-1700-000003000000}" name="Sem1 Online" dataDxfId="39"/>
    <tableColumn id="4" xr3:uid="{00000000-0010-0000-1700-000004000000}" name="Sem2 Internal" dataDxfId="38"/>
    <tableColumn id="5" xr3:uid="{00000000-0010-0000-1700-000005000000}" name="Sem2 Online" dataDxfId="37"/>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pecialisations" displayName="TableSpecialisations" ref="A21:G27" totalsRowShown="0" dataDxfId="158">
  <autoFilter ref="A21:G27" xr:uid="{00000000-0009-0000-0100-000005000000}"/>
  <tableColumns count="7">
    <tableColumn id="1" xr3:uid="{00000000-0010-0000-0200-000001000000}" name="Choose your Specialisation (drop-down list)" dataDxfId="157"/>
    <tableColumn id="2" xr3:uid="{00000000-0010-0000-0200-000002000000}" name="UDC" dataDxfId="156"/>
    <tableColumn id="3" xr3:uid="{00000000-0010-0000-0200-000003000000}" name="SM Version" dataDxfId="155"/>
    <tableColumn id="4" xr3:uid="{00000000-0010-0000-0200-000004000000}" name="SM Effective Date" dataDxfId="154"/>
    <tableColumn id="5" xr3:uid="{00000000-0010-0000-0200-000005000000}" name="Akari Iteration" dataDxfId="153"/>
    <tableColumn id="6" xr3:uid="{00000000-0010-0000-0200-000006000000}" name="Akari Effective Date" dataDxfId="152"/>
    <tableColumn id="7" xr3:uid="{00000000-0010-0000-0200-000007000000}" name="Credit Points" dataDxfId="151"/>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Stream" displayName="TableStream" ref="A16:G18" totalsRowShown="0" headerRowDxfId="150" tableBorderDxfId="149">
  <autoFilter ref="A16:G18" xr:uid="{00000000-0009-0000-0100-000010000000}"/>
  <tableColumns count="7">
    <tableColumn id="1" xr3:uid="{00000000-0010-0000-0300-000001000000}" name="Choose your Stream" dataDxfId="148"/>
    <tableColumn id="2" xr3:uid="{00000000-0010-0000-0300-000002000000}" name="UDC" dataDxfId="147"/>
    <tableColumn id="3" xr3:uid="{00000000-0010-0000-0300-000003000000}" name="SM Version" dataDxfId="146"/>
    <tableColumn id="4" xr3:uid="{00000000-0010-0000-0300-000004000000}" name="SM Effective Date" dataDxfId="145"/>
    <tableColumn id="5" xr3:uid="{00000000-0010-0000-0300-000005000000}" name="Akari Iteration" dataDxfId="144"/>
    <tableColumn id="6" xr3:uid="{00000000-0010-0000-0300-000006000000}" name="Akari Effective Date" dataDxfId="143"/>
    <tableColumn id="7" xr3:uid="{00000000-0010-0000-0300-000007000000}" name="Credit Points" dataDxfId="142"/>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T101" totalsRowShown="0" headerRowDxfId="141" headerRowCellStyle="Normal 2" dataCellStyle="Normal 2">
  <autoFilter ref="A2:T101" xr:uid="{00000000-0009-0000-0100-000002000000}"/>
  <sortState xmlns:xlrd2="http://schemas.microsoft.com/office/spreadsheetml/2017/richdata2" ref="A3:T101">
    <sortCondition ref="A2:A101"/>
  </sortState>
  <tableColumns count="20">
    <tableColumn id="1" xr3:uid="{00000000-0010-0000-0400-000001000000}" name="UDC" dataCellStyle="Normal 2"/>
    <tableColumn id="2" xr3:uid="{00000000-0010-0000-0400-000002000000}" name="Ver" dataDxfId="140" dataCellStyle="Normal 2"/>
    <tableColumn id="3" xr3:uid="{00000000-0010-0000-0400-000003000000}" name="OUA Cd" dataDxfId="139" dataCellStyle="Normal 2"/>
    <tableColumn id="4" xr3:uid="{00000000-0010-0000-0400-000004000000}" name="Title" dataDxfId="138" dataCellStyle="Normal 2"/>
    <tableColumn id="5" xr3:uid="{00000000-0010-0000-0400-000005000000}" name="Credits" dataDxfId="137" dataCellStyle="Normal 2"/>
    <tableColumn id="6" xr3:uid="{00000000-0010-0000-0400-000006000000}" name="Pre-reqs (8/10/2024)" dataDxfId="136" dataCellStyle="Normal 2"/>
    <tableColumn id="12" xr3:uid="{00000000-0010-0000-0400-00000C000000}" name="S1INT" dataDxfId="135" dataCellStyle="Normal 2">
      <calculatedColumnFormula>IFERROR(IF(VLOOKUP(TableHandbook[[#This Row],[UDC]],TableAvailabilities[],2,FALSE)&gt;0,"Y",""),"")</calculatedColumnFormula>
    </tableColumn>
    <tableColumn id="13" xr3:uid="{00000000-0010-0000-0400-00000D000000}" name="S1FO" dataDxfId="134" dataCellStyle="Normal 2">
      <calculatedColumnFormula>IFERROR(IF(VLOOKUP(TableHandbook[[#This Row],[UDC]],TableAvailabilities[],3,FALSE)&gt;0,"Y",""),"")</calculatedColumnFormula>
    </tableColumn>
    <tableColumn id="14" xr3:uid="{00000000-0010-0000-0400-00000E000000}" name="S2INT" dataDxfId="133" dataCellStyle="Normal 2">
      <calculatedColumnFormula>IFERROR(IF(VLOOKUP(TableHandbook[[#This Row],[UDC]],TableAvailabilities[],4,FALSE)&gt;0,"Y",""),"")</calculatedColumnFormula>
    </tableColumn>
    <tableColumn id="15" xr3:uid="{00000000-0010-0000-0400-00000F000000}" name="S2FO" dataDxfId="132" dataCellStyle="Normal 2">
      <calculatedColumnFormula>IFERROR(IF(VLOOKUP(TableHandbook[[#This Row],[UDC]],TableAvailabilities[],5,FALSE)&gt;0,"Y",""),"")</calculatedColumnFormula>
    </tableColumn>
    <tableColumn id="16" xr3:uid="{00000000-0010-0000-0400-000010000000}" name="Notes" dataDxfId="131" dataCellStyle="Normal 2"/>
    <tableColumn id="8" xr3:uid="{00000000-0010-0000-0400-000008000000}" name="B-CONM" dataDxfId="130" dataCellStyle="Normal 2">
      <calculatedColumnFormula>IFERROR(VLOOKUP(TableHandbook[[#This Row],[UDC]],TableBCONM[],7,FALSE),"")</calculatedColumnFormula>
    </tableColumn>
    <tableColumn id="9" xr3:uid="{00000000-0010-0000-0400-000009000000}" name="STRH-CONMN" dataDxfId="129" dataCellStyle="Normal 2">
      <calculatedColumnFormula>IFERROR(VLOOKUP(TableHandbook[[#This Row],[UDC]],TableSTRHCONMN[],7,FALSE),"")</calculatedColumnFormula>
    </tableColumn>
    <tableColumn id="10" xr3:uid="{00000000-0010-0000-0400-00000A000000}" name="STRU-CONMN" dataDxfId="128" dataCellStyle="Normal 2">
      <calculatedColumnFormula>IFERROR(VLOOKUP(TableHandbook[[#This Row],[UDC]],TableSTRUCONMN[],7,FALSE),"")</calculatedColumnFormula>
    </tableColumn>
    <tableColumn id="20" xr3:uid="{00000000-0010-0000-0400-000014000000}" name="SPUC-ANGAD" dataDxfId="127" dataCellStyle="Normal 2">
      <calculatedColumnFormula>IFERROR(VLOOKUP(TableHandbook[[#This Row],[UDC]],TableSPUCANGAD[],7,FALSE),"")</calculatedColumnFormula>
    </tableColumn>
    <tableColumn id="21" xr3:uid="{00000000-0010-0000-0400-000015000000}" name="SPUC-FINCE" dataDxfId="126" dataCellStyle="Normal 2">
      <calculatedColumnFormula>IFERROR(VLOOKUP(TableHandbook[[#This Row],[UDC]],TableSPUCFINCE[],7,FALSE),"")</calculatedColumnFormula>
    </tableColumn>
    <tableColumn id="17" xr3:uid="{00000000-0010-0000-0400-000011000000}" name="SPUC-INARS" dataDxfId="125" dataCellStyle="Normal 2">
      <calculatedColumnFormula>IFERROR(VLOOKUP(TableHandbook[[#This Row],[UDC]],TableSPUCINARS[],7,FALSE),"")</calculatedColumnFormula>
    </tableColumn>
    <tableColumn id="7" xr3:uid="{00000000-0010-0000-0400-000007000000}" name="SPUC-INENT" dataDxfId="124" dataCellStyle="Normal 2">
      <calculatedColumnFormula>IFERROR(VLOOKUP(TableHandbook[[#This Row],[UDC]],TableSPUCINENT[],7,FALSE),"")</calculatedColumnFormula>
    </tableColumn>
    <tableColumn id="18" xr3:uid="{00000000-0010-0000-0400-000012000000}" name="SPUC-PROPT" dataDxfId="123" dataCellStyle="Normal 2">
      <calculatedColumnFormula>IFERROR(VLOOKUP(TableHandbook[[#This Row],[UDC]],TableSPUCPROPT[],7,FALSE),"")</calculatedColumnFormula>
    </tableColumn>
    <tableColumn id="11" xr3:uid="{00000000-0010-0000-0400-00000B000000}" name="SPUC-URDES" dataDxfId="122" dataCellStyle="Normal 2">
      <calculatedColumnFormula>IFERROR(VLOOKUP(TableHandbook[[#This Row],[UDC]],TableSPUCURDES[],7,FALSE),"")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BCONM" displayName="TableBCONM" ref="A2:O33" totalsRowShown="0">
  <autoFilter ref="A2:O33" xr:uid="{00000000-0009-0000-0100-000001000000}"/>
  <sortState xmlns:xlrd2="http://schemas.microsoft.com/office/spreadsheetml/2017/richdata2" ref="AE3:AV6">
    <sortCondition ref="AS2:AS6"/>
  </sortState>
  <tableColumns count="15">
    <tableColumn id="1" xr3:uid="{00000000-0010-0000-0500-000001000000}" name="UDC" dataDxfId="121">
      <calculatedColumnFormula>TableBCONM[[#This Row],[Study Package Code]]</calculatedColumnFormula>
    </tableColumn>
    <tableColumn id="9" xr3:uid="{00000000-0010-0000-0500-000009000000}" name="V" dataDxfId="120">
      <calculatedColumnFormula>TableBCONM[[#This Row],[Ver]]</calculatedColumnFormula>
    </tableColumn>
    <tableColumn id="10" xr3:uid="{00000000-0010-0000-0500-00000A000000}" name="OUA Code"/>
    <tableColumn id="11" xr3:uid="{00000000-0010-0000-0500-00000B000000}" name="Unit Title" dataDxfId="119">
      <calculatedColumnFormula>TableBCONM[[#This Row],[Structure Line]]</calculatedColumnFormula>
    </tableColumn>
    <tableColumn id="12" xr3:uid="{00000000-0010-0000-0500-00000C000000}" name="CPs" dataDxfId="118">
      <calculatedColumnFormula>TableBCONM[[#This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dataDxfId="117"/>
    <tableColumn id="7" xr3:uid="{00000000-0010-0000-0500-000007000000}" name="Structure Line" dataDxfId="116"/>
    <tableColumn id="8" xr3:uid="{00000000-0010-0000-0500-000008000000}" name="Credit Points" dataDxfId="115"/>
    <tableColumn id="14" xr3:uid="{00000000-0010-0000-0500-00000E000000}" name="Effective" dataDxfId="114"/>
    <tableColumn id="15" xr3:uid="{00000000-0010-0000-0500-00000F000000}" name="Discont." dataDxfId="11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SPUCANGAD" displayName="TableSPUCANGAD" ref="A53:O59" totalsRowShown="0">
  <autoFilter ref="A53:O59" xr:uid="{00000000-0009-0000-0100-000006000000}"/>
  <sortState xmlns:xlrd2="http://schemas.microsoft.com/office/spreadsheetml/2017/richdata2" ref="AE11:AV18">
    <sortCondition ref="AR10:AR18"/>
  </sortState>
  <tableColumns count="15">
    <tableColumn id="1" xr3:uid="{00000000-0010-0000-0600-000001000000}" name="UDC" dataDxfId="112">
      <calculatedColumnFormula>TableSPUCANGAD[[#This Row],[Study Package Code]]</calculatedColumnFormula>
    </tableColumn>
    <tableColumn id="9" xr3:uid="{00000000-0010-0000-0600-000009000000}" name="V" dataDxfId="111">
      <calculatedColumnFormula>TableSPUCANGAD[[#This Row],[Ver]]</calculatedColumnFormula>
    </tableColumn>
    <tableColumn id="10" xr3:uid="{00000000-0010-0000-0600-00000A000000}" name="OUA Code"/>
    <tableColumn id="11" xr3:uid="{00000000-0010-0000-0600-00000B000000}" name="Unit Title" dataDxfId="110">
      <calculatedColumnFormula>TableSPUCANGAD[[#This Row],[Structure Line]]</calculatedColumnFormula>
    </tableColumn>
    <tableColumn id="12" xr3:uid="{00000000-0010-0000-0600-00000C000000}" name="CPs" dataDxfId="109">
      <calculatedColumnFormula>TableSPUCANGAD[[#This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dataDxfId="108"/>
    <tableColumn id="7" xr3:uid="{00000000-0010-0000-0600-000007000000}" name="Structure Line" dataDxfId="107"/>
    <tableColumn id="8" xr3:uid="{00000000-0010-0000-0600-000008000000}" name="Credit Points" dataDxfId="106"/>
    <tableColumn id="14" xr3:uid="{00000000-0010-0000-0600-00000E000000}" name="Effective" dataDxfId="105"/>
    <tableColumn id="15" xr3:uid="{00000000-0010-0000-0600-00000F000000}" name="Discont." dataDxfId="104"/>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SPUCFINCE" displayName="TableSPUCFINCE" ref="A61:O71" totalsRowShown="0">
  <autoFilter ref="A61:O71" xr:uid="{00000000-0009-0000-0100-000007000000}"/>
  <sortState xmlns:xlrd2="http://schemas.microsoft.com/office/spreadsheetml/2017/richdata2" ref="A42:M45">
    <sortCondition ref="J41:J45"/>
  </sortState>
  <tableColumns count="15">
    <tableColumn id="1" xr3:uid="{00000000-0010-0000-0700-000001000000}" name="UDC" dataDxfId="103">
      <calculatedColumnFormula>TableSPUCFINCE[[#This Row],[Study Package Code]]</calculatedColumnFormula>
    </tableColumn>
    <tableColumn id="9" xr3:uid="{00000000-0010-0000-0700-000009000000}" name="V" dataDxfId="102">
      <calculatedColumnFormula>TableSPUCFINCE[[#This Row],[Ver]]</calculatedColumnFormula>
    </tableColumn>
    <tableColumn id="10" xr3:uid="{00000000-0010-0000-0700-00000A000000}" name="OUA Code"/>
    <tableColumn id="11" xr3:uid="{00000000-0010-0000-0700-00000B000000}" name="Unit Title" dataDxfId="101">
      <calculatedColumnFormula>TableSPUCFINCE[[#This Row],[Structure Line]]</calculatedColumnFormula>
    </tableColumn>
    <tableColumn id="12" xr3:uid="{00000000-0010-0000-0700-00000C000000}" name="CPs" dataDxfId="100">
      <calculatedColumnFormula>TableSPUCFINCE[[#This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dataDxfId="99"/>
    <tableColumn id="7" xr3:uid="{00000000-0010-0000-0700-000007000000}" name="Structure Line" dataDxfId="98"/>
    <tableColumn id="8" xr3:uid="{00000000-0010-0000-0700-000008000000}" name="Credit Points" dataDxfId="97"/>
    <tableColumn id="14" xr3:uid="{00000000-0010-0000-0700-00000E000000}" name="Effective" dataDxfId="96"/>
    <tableColumn id="15" xr3:uid="{00000000-0010-0000-0700-00000F000000}" name="Discont." dataDxfId="95"/>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SPUCINENT" displayName="TableSPUCINENT" ref="A93:O103" totalsRowShown="0">
  <autoFilter ref="A93:O103" xr:uid="{00000000-0009-0000-0100-00000A000000}"/>
  <sortState xmlns:xlrd2="http://schemas.microsoft.com/office/spreadsheetml/2017/richdata2" ref="A58:M61">
    <sortCondition ref="F57:F61"/>
  </sortState>
  <tableColumns count="15">
    <tableColumn id="1" xr3:uid="{00000000-0010-0000-0800-000001000000}" name="UDC" dataDxfId="94">
      <calculatedColumnFormula>TableSPUCINENT[[#This Row],[Study Package Code]]</calculatedColumnFormula>
    </tableColumn>
    <tableColumn id="9" xr3:uid="{00000000-0010-0000-0800-000009000000}" name="V" dataDxfId="93">
      <calculatedColumnFormula>TableSPUCINENT[[#This Row],[Ver]]</calculatedColumnFormula>
    </tableColumn>
    <tableColumn id="10" xr3:uid="{00000000-0010-0000-0800-00000A000000}" name="OUA Code"/>
    <tableColumn id="11" xr3:uid="{00000000-0010-0000-0800-00000B000000}" name="Unit Title" dataDxfId="92">
      <calculatedColumnFormula>TableSPUCINENT[[#This Row],[Structure Line]]</calculatedColumnFormula>
    </tableColumn>
    <tableColumn id="12" xr3:uid="{00000000-0010-0000-0800-00000C000000}" name="CPs" dataDxfId="91">
      <calculatedColumnFormula>TableSPUCINENT[[#This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dataDxfId="90"/>
    <tableColumn id="7" xr3:uid="{00000000-0010-0000-0800-000007000000}" name="Structure Line" dataDxfId="89"/>
    <tableColumn id="8" xr3:uid="{00000000-0010-0000-0800-000008000000}" name="Credit Points" dataDxfId="88"/>
    <tableColumn id="14" xr3:uid="{00000000-0010-0000-0800-00000E000000}" name="Effective" dataDxfId="87"/>
    <tableColumn id="15" xr3:uid="{00000000-0010-0000-0800-00000F000000}" name="Discont." dataDxfId="8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18" Type="http://schemas.openxmlformats.org/officeDocument/2006/relationships/table" Target="../tables/table22.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table" Target="../tables/table6.xml"/><Relationship Id="rId16" Type="http://schemas.openxmlformats.org/officeDocument/2006/relationships/table" Target="../tables/table20.xml"/><Relationship Id="rId1" Type="http://schemas.openxmlformats.org/officeDocument/2006/relationships/printerSettings" Target="../printerSettings/printerSettings4.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19" Type="http://schemas.openxmlformats.org/officeDocument/2006/relationships/table" Target="../tables/table23.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6"/>
  <sheetViews>
    <sheetView showGridLines="0" tabSelected="1" topLeftCell="A3" zoomScaleNormal="100" workbookViewId="0">
      <selection activeCell="D6" sqref="D6"/>
    </sheetView>
  </sheetViews>
  <sheetFormatPr defaultRowHeight="15" x14ac:dyDescent="0.25"/>
  <cols>
    <col min="1" max="1" width="11.75" style="137" customWidth="1"/>
    <col min="2" max="2" width="3.25" style="137" customWidth="1"/>
    <col min="3" max="3" width="5.875" style="137" customWidth="1"/>
    <col min="4" max="4" width="48.5" style="125" customWidth="1"/>
    <col min="5" max="5" width="9.25" style="125" bestFit="1" customWidth="1"/>
    <col min="6" max="6" width="24.625" style="125" bestFit="1" customWidth="1"/>
    <col min="7" max="7" width="5.625" style="125" customWidth="1"/>
    <col min="8" max="8" width="4.375" style="125" customWidth="1"/>
    <col min="9" max="11" width="4.375" style="125" bestFit="1" customWidth="1"/>
    <col min="12" max="12" width="18.625" style="125" customWidth="1"/>
    <col min="13" max="13" width="2.5" style="125" hidden="1" customWidth="1"/>
    <col min="14" max="14" width="9" style="125"/>
    <col min="15" max="15" width="17.625" style="125" bestFit="1" customWidth="1"/>
    <col min="16" max="16" width="43.5" style="125" customWidth="1"/>
    <col min="17" max="16384" width="9" style="125"/>
  </cols>
  <sheetData>
    <row r="1" spans="1:16" hidden="1" x14ac:dyDescent="0.25">
      <c r="A1" s="121" t="s">
        <v>0</v>
      </c>
      <c r="B1" s="122" t="s">
        <v>1</v>
      </c>
      <c r="C1" s="122" t="s">
        <v>2</v>
      </c>
      <c r="D1" s="123" t="s">
        <v>3</v>
      </c>
      <c r="E1" s="123" t="s">
        <v>4</v>
      </c>
      <c r="F1" s="123" t="s">
        <v>5</v>
      </c>
      <c r="G1" s="123" t="s">
        <v>6</v>
      </c>
      <c r="H1" s="124" t="s">
        <v>7</v>
      </c>
      <c r="I1" s="123"/>
      <c r="J1" s="123"/>
      <c r="K1" s="123"/>
      <c r="L1" s="123" t="s">
        <v>8</v>
      </c>
    </row>
    <row r="2" spans="1:16" hidden="1" x14ac:dyDescent="0.25">
      <c r="A2" s="126"/>
      <c r="B2" s="127">
        <v>2</v>
      </c>
      <c r="C2" s="127">
        <v>3</v>
      </c>
      <c r="D2" s="127">
        <v>4</v>
      </c>
      <c r="E2" s="127"/>
      <c r="F2" s="127" t="s">
        <v>9</v>
      </c>
      <c r="G2" s="127">
        <v>5</v>
      </c>
      <c r="H2" s="127">
        <v>7</v>
      </c>
      <c r="I2" s="127">
        <v>8</v>
      </c>
      <c r="J2" s="127">
        <v>9</v>
      </c>
      <c r="K2" s="127">
        <v>10</v>
      </c>
      <c r="L2" s="128"/>
    </row>
    <row r="3" spans="1:16" ht="39.950000000000003" customHeight="1" x14ac:dyDescent="0.25">
      <c r="A3" s="129" t="s">
        <v>10</v>
      </c>
      <c r="B3" s="129"/>
      <c r="C3" s="129"/>
      <c r="D3" s="129"/>
      <c r="E3" s="130"/>
      <c r="F3" s="130"/>
      <c r="G3" s="130"/>
      <c r="H3" s="130"/>
      <c r="I3" s="130"/>
      <c r="J3" s="130"/>
      <c r="K3" s="130"/>
      <c r="L3" s="130"/>
      <c r="O3" s="131"/>
      <c r="P3" s="131"/>
    </row>
    <row r="4" spans="1:16" ht="26.25" x14ac:dyDescent="0.25">
      <c r="A4" s="132" t="s">
        <v>11</v>
      </c>
      <c r="B4" s="133"/>
      <c r="C4" s="133"/>
      <c r="D4" s="133"/>
      <c r="E4" s="134"/>
      <c r="F4" s="133"/>
      <c r="G4" s="135"/>
      <c r="H4" s="135"/>
      <c r="I4" s="135"/>
      <c r="J4" s="135"/>
      <c r="K4" s="135"/>
      <c r="L4" s="136" t="e">
        <f>CONCATENATE(VLOOKUP(D6,TableCourses[],2,FALSE),VLOOKUP(D8,TableStudyPeriod[],2,FALSE))</f>
        <v>#N/A</v>
      </c>
      <c r="O4" s="131"/>
      <c r="P4" s="131"/>
    </row>
    <row r="5" spans="1:16" ht="21.75" customHeight="1" x14ac:dyDescent="0.25">
      <c r="C5" s="138" t="s">
        <v>12</v>
      </c>
      <c r="D5" s="139"/>
      <c r="E5" s="140" t="s">
        <v>13</v>
      </c>
      <c r="F5" s="139"/>
      <c r="G5" s="137"/>
      <c r="H5" s="137"/>
      <c r="I5" s="137"/>
      <c r="J5" s="137"/>
      <c r="K5" s="137"/>
      <c r="L5" s="137"/>
      <c r="O5" s="131"/>
      <c r="P5" s="131"/>
    </row>
    <row r="6" spans="1:16" ht="20.100000000000001" customHeight="1" x14ac:dyDescent="0.25">
      <c r="A6" s="141"/>
      <c r="B6" s="142"/>
      <c r="C6" s="142" t="s">
        <v>14</v>
      </c>
      <c r="D6" s="220" t="s">
        <v>53</v>
      </c>
      <c r="E6" s="143"/>
      <c r="F6" s="142" t="s">
        <v>16</v>
      </c>
      <c r="G6" s="143" t="str">
        <f>IFERROR(CONCATENATE(VLOOKUP(D6,TableCourses[],2,FALSE)," ",VLOOKUP(D6,TableCourses[],3,FALSE)),"")</f>
        <v/>
      </c>
      <c r="H6" s="143"/>
      <c r="I6" s="143"/>
      <c r="J6" s="143"/>
      <c r="K6" s="143"/>
      <c r="L6" s="144"/>
    </row>
    <row r="7" spans="1:16" ht="20.100000000000001" customHeight="1" x14ac:dyDescent="0.25">
      <c r="B7" s="145"/>
      <c r="C7" s="145" t="s">
        <v>17</v>
      </c>
      <c r="D7" s="68" t="s">
        <v>18</v>
      </c>
      <c r="E7" s="146"/>
      <c r="F7" s="145" t="s">
        <v>19</v>
      </c>
      <c r="G7" s="146" t="str">
        <f>IFERROR(CONCATENATE(VLOOKUP(D7,TableSpecialisations[],2,FALSE)," ",VLOOKUP(D7,TableSpecialisations[],3,FALSE)),"")</f>
        <v/>
      </c>
      <c r="H7" s="146"/>
      <c r="I7" s="146"/>
      <c r="J7" s="146"/>
      <c r="K7" s="146"/>
      <c r="L7" s="147"/>
    </row>
    <row r="8" spans="1:16" ht="20.100000000000001" customHeight="1" x14ac:dyDescent="0.25">
      <c r="A8" s="148"/>
      <c r="B8" s="149"/>
      <c r="C8" s="145" t="s">
        <v>20</v>
      </c>
      <c r="D8" s="221" t="s">
        <v>73</v>
      </c>
      <c r="E8" s="150"/>
      <c r="F8" s="145" t="s">
        <v>22</v>
      </c>
      <c r="G8" s="146" t="str">
        <f>IFERROR(VLOOKUP($D$6,TableCourses[],7,FALSE),"")</f>
        <v/>
      </c>
      <c r="H8" s="151"/>
      <c r="I8" s="151"/>
      <c r="J8" s="151"/>
      <c r="K8" s="151"/>
      <c r="L8" s="151"/>
    </row>
    <row r="9" spans="1:16" s="159" customFormat="1" ht="14.1" customHeight="1" x14ac:dyDescent="0.25">
      <c r="A9" s="152"/>
      <c r="B9" s="152"/>
      <c r="C9" s="152"/>
      <c r="D9" s="153"/>
      <c r="E9" s="154"/>
      <c r="F9" s="152"/>
      <c r="G9" s="152"/>
      <c r="H9" s="155" t="s">
        <v>23</v>
      </c>
      <c r="I9" s="156"/>
      <c r="J9" s="156"/>
      <c r="K9" s="157"/>
      <c r="L9" s="154"/>
      <c r="M9" s="158"/>
      <c r="N9" s="158"/>
      <c r="O9" s="158"/>
    </row>
    <row r="10" spans="1:16" s="159" customFormat="1" ht="21" x14ac:dyDescent="0.25">
      <c r="A10" s="152" t="s">
        <v>24</v>
      </c>
      <c r="B10" s="152"/>
      <c r="C10" s="152"/>
      <c r="D10" s="153" t="s">
        <v>3</v>
      </c>
      <c r="E10" s="160" t="s">
        <v>25</v>
      </c>
      <c r="F10" s="161" t="s">
        <v>26</v>
      </c>
      <c r="G10" s="152" t="s">
        <v>27</v>
      </c>
      <c r="H10" s="162" t="s">
        <v>28</v>
      </c>
      <c r="I10" s="163" t="s">
        <v>29</v>
      </c>
      <c r="J10" s="162" t="s">
        <v>30</v>
      </c>
      <c r="K10" s="163" t="s">
        <v>31</v>
      </c>
      <c r="L10" s="152" t="s">
        <v>32</v>
      </c>
      <c r="M10" s="158"/>
      <c r="N10" s="158"/>
      <c r="O10" s="158"/>
    </row>
    <row r="11" spans="1:16" s="172" customFormat="1" ht="19.5" customHeight="1" x14ac:dyDescent="0.15">
      <c r="A11" s="164" t="str">
        <f>IFERROR(IF(HLOOKUP($L$4,RangeUnitsets,M11,FALSE)=0,"",HLOOKUP($L$4,RangeUnitsets,M11,FALSE)),"")</f>
        <v/>
      </c>
      <c r="B11" s="165" t="str">
        <f>IFERROR(IF(VLOOKUP($A11,TableHandbook[],2,FALSE)=0,"",VLOOKUP($A11,TableHandbook[],2,FALSE)),"")</f>
        <v/>
      </c>
      <c r="C11" s="165" t="str">
        <f>IFERROR(IF(VLOOKUP($A11,TableHandbook[],3,FALSE)=0,"",VLOOKUP($A11,TableHandbook[],3,FALSE)),"")</f>
        <v/>
      </c>
      <c r="D11" s="166" t="str">
        <f>IFERROR(IF(VLOOKUP($A11,TableHandbook[],4,FALSE)=0,"",VLOOKUP($A11,TableHandbook[],4,FALSE)),"")</f>
        <v/>
      </c>
      <c r="E11" s="165" t="str">
        <f>IF(OR(A11="",A11="--"),"",VLOOKUP($D$8,TableStudyPeriod[],2,FALSE))</f>
        <v/>
      </c>
      <c r="F11" s="167" t="str">
        <f>IFERROR(IF(VLOOKUP($A11,TableHandbook[],6,FALSE)=0,"",VLOOKUP($A11,TableHandbook[],6,FALSE)),"")</f>
        <v/>
      </c>
      <c r="G11" s="165" t="str">
        <f>IFERROR(IF(VLOOKUP($A11,TableHandbook[],5,FALSE)=0,"",VLOOKUP($A11,TableHandbook[],5,FALSE)),"")</f>
        <v/>
      </c>
      <c r="H11" s="168" t="str">
        <f>IFERROR(VLOOKUP($A11,TableHandbook[],H$2,FALSE),"")</f>
        <v/>
      </c>
      <c r="I11" s="169" t="str">
        <f>IFERROR(VLOOKUP($A11,TableHandbook[],I$2,FALSE),"")</f>
        <v/>
      </c>
      <c r="J11" s="168" t="str">
        <f>IFERROR(VLOOKUP($A11,TableHandbook[],J$2,FALSE),"")</f>
        <v/>
      </c>
      <c r="K11" s="169" t="str">
        <f>IFERROR(VLOOKUP($A11,TableHandbook[],K$2,FALSE),"")</f>
        <v/>
      </c>
      <c r="L11" s="118"/>
      <c r="M11" s="170">
        <v>2</v>
      </c>
      <c r="N11" s="171"/>
      <c r="O11" s="171"/>
    </row>
    <row r="12" spans="1:16" s="172" customFormat="1" ht="19.5" customHeight="1" x14ac:dyDescent="0.15">
      <c r="A12" s="164" t="str">
        <f>IFERROR(IF(HLOOKUP($L$4,RangeUnitsets,M12,FALSE)=0,"",HLOOKUP($L$4,RangeUnitsets,M12,FALSE)),"")</f>
        <v/>
      </c>
      <c r="B12" s="165" t="str">
        <f>IFERROR(IF(VLOOKUP($A12,TableHandbook[],2,FALSE)=0,"",VLOOKUP($A12,TableHandbook[],2,FALSE)),"")</f>
        <v/>
      </c>
      <c r="C12" s="165" t="str">
        <f>IFERROR(IF(VLOOKUP($A12,TableHandbook[],3,FALSE)=0,"",VLOOKUP($A12,TableHandbook[],3,FALSE)),"")</f>
        <v/>
      </c>
      <c r="D12" s="166" t="str">
        <f>IFERROR(IF(VLOOKUP($A12,TableHandbook[],4,FALSE)=0,"",VLOOKUP($A12,TableHandbook[],4,FALSE)),"")</f>
        <v/>
      </c>
      <c r="E12" s="165" t="str">
        <f>IF(OR(A12="",A12="-"),"",E11)</f>
        <v/>
      </c>
      <c r="F12" s="167" t="str">
        <f>IFERROR(IF(VLOOKUP($A12,TableHandbook[],6,FALSE)=0,"",VLOOKUP($A12,TableHandbook[],6,FALSE)),"")</f>
        <v/>
      </c>
      <c r="G12" s="165" t="str">
        <f>IFERROR(IF(VLOOKUP($A12,TableHandbook[],5,FALSE)=0,"",VLOOKUP($A12,TableHandbook[],5,FALSE)),"")</f>
        <v/>
      </c>
      <c r="H12" s="168" t="str">
        <f>IFERROR(VLOOKUP($A12,TableHandbook[],H$2,FALSE),"")</f>
        <v/>
      </c>
      <c r="I12" s="169" t="str">
        <f>IFERROR(VLOOKUP($A12,TableHandbook[],I$2,FALSE),"")</f>
        <v/>
      </c>
      <c r="J12" s="168" t="str">
        <f>IFERROR(VLOOKUP($A12,TableHandbook[],J$2,FALSE),"")</f>
        <v/>
      </c>
      <c r="K12" s="169" t="str">
        <f>IFERROR(VLOOKUP($A12,TableHandbook[],K$2,FALSE),"")</f>
        <v/>
      </c>
      <c r="L12" s="118"/>
      <c r="M12" s="170">
        <v>3</v>
      </c>
      <c r="N12" s="171"/>
      <c r="O12" s="171"/>
    </row>
    <row r="13" spans="1:16" s="172" customFormat="1" ht="19.5" customHeight="1" x14ac:dyDescent="0.15">
      <c r="A13" s="164" t="str">
        <f>IFERROR(IF(HLOOKUP($L$4,RangeUnitsets,M13,FALSE)=0,"",HLOOKUP($L$4,RangeUnitsets,M13,FALSE)),"")</f>
        <v/>
      </c>
      <c r="B13" s="165" t="str">
        <f>IFERROR(IF(VLOOKUP($A13,TableHandbook[],2,FALSE)=0,"",VLOOKUP($A13,TableHandbook[],2,FALSE)),"")</f>
        <v/>
      </c>
      <c r="C13" s="165" t="str">
        <f>IFERROR(IF(VLOOKUP($A13,TableHandbook[],3,FALSE)=0,"",VLOOKUP($A13,TableHandbook[],3,FALSE)),"")</f>
        <v/>
      </c>
      <c r="D13" s="166" t="str">
        <f>IFERROR(IF(VLOOKUP($A13,TableHandbook[],4,FALSE)=0,"",VLOOKUP($A13,TableHandbook[],4,FALSE)),"")</f>
        <v/>
      </c>
      <c r="E13" s="165" t="str">
        <f t="shared" ref="E13:E14" si="0">IF(OR(A13="",A13="-"),"",E12)</f>
        <v/>
      </c>
      <c r="F13" s="167" t="str">
        <f>IFERROR(IF(VLOOKUP($A13,TableHandbook[],6,FALSE)=0,"",VLOOKUP($A13,TableHandbook[],6,FALSE)),"")</f>
        <v/>
      </c>
      <c r="G13" s="165" t="str">
        <f>IFERROR(IF(VLOOKUP($A13,TableHandbook[],5,FALSE)=0,"",VLOOKUP($A13,TableHandbook[],5,FALSE)),"")</f>
        <v/>
      </c>
      <c r="H13" s="168" t="str">
        <f>IFERROR(VLOOKUP($A13,TableHandbook[],H$2,FALSE),"")</f>
        <v/>
      </c>
      <c r="I13" s="169" t="str">
        <f>IFERROR(VLOOKUP($A13,TableHandbook[],I$2,FALSE),"")</f>
        <v/>
      </c>
      <c r="J13" s="168" t="str">
        <f>IFERROR(VLOOKUP($A13,TableHandbook[],J$2,FALSE),"")</f>
        <v/>
      </c>
      <c r="K13" s="169" t="str">
        <f>IFERROR(VLOOKUP($A13,TableHandbook[],K$2,FALSE),"")</f>
        <v/>
      </c>
      <c r="L13" s="119"/>
      <c r="M13" s="170">
        <v>4</v>
      </c>
      <c r="N13" s="171"/>
      <c r="O13" s="171"/>
    </row>
    <row r="14" spans="1:16" s="172" customFormat="1" ht="19.5" customHeight="1" x14ac:dyDescent="0.15">
      <c r="A14" s="164" t="str">
        <f>IFERROR(IF(HLOOKUP($L$4,RangeUnitsets,M14,FALSE)=0,"",HLOOKUP($L$4,RangeUnitsets,M14,FALSE)),"")</f>
        <v/>
      </c>
      <c r="B14" s="165" t="str">
        <f>IFERROR(IF(VLOOKUP($A14,TableHandbook[],2,FALSE)=0,"",VLOOKUP($A14,TableHandbook[],2,FALSE)),"")</f>
        <v/>
      </c>
      <c r="C14" s="165" t="str">
        <f>IFERROR(IF(VLOOKUP($A14,TableHandbook[],3,FALSE)=0,"",VLOOKUP($A14,TableHandbook[],3,FALSE)),"")</f>
        <v/>
      </c>
      <c r="D14" s="166" t="str">
        <f>IFERROR(IF(VLOOKUP($A14,TableHandbook[],4,FALSE)=0,"",VLOOKUP($A14,TableHandbook[],4,FALSE)),"")</f>
        <v/>
      </c>
      <c r="E14" s="165" t="str">
        <f t="shared" si="0"/>
        <v/>
      </c>
      <c r="F14" s="167" t="str">
        <f>IFERROR(IF(VLOOKUP($A14,TableHandbook[],6,FALSE)=0,"",VLOOKUP($A14,TableHandbook[],6,FALSE)),"")</f>
        <v/>
      </c>
      <c r="G14" s="165" t="str">
        <f>IFERROR(IF(VLOOKUP($A14,TableHandbook[],5,FALSE)=0,"",VLOOKUP($A14,TableHandbook[],5,FALSE)),"")</f>
        <v/>
      </c>
      <c r="H14" s="168" t="str">
        <f>IFERROR(VLOOKUP($A14,TableHandbook[],H$2,FALSE),"")</f>
        <v/>
      </c>
      <c r="I14" s="169" t="str">
        <f>IFERROR(VLOOKUP($A14,TableHandbook[],I$2,FALSE),"")</f>
        <v/>
      </c>
      <c r="J14" s="168" t="str">
        <f>IFERROR(VLOOKUP($A14,TableHandbook[],J$2,FALSE),"")</f>
        <v/>
      </c>
      <c r="K14" s="169" t="str">
        <f>IFERROR(VLOOKUP($A14,TableHandbook[],K$2,FALSE),"")</f>
        <v/>
      </c>
      <c r="L14" s="118"/>
      <c r="M14" s="170">
        <v>5</v>
      </c>
      <c r="N14" s="171"/>
      <c r="O14" s="171"/>
    </row>
    <row r="15" spans="1:16" s="172" customFormat="1" ht="5.0999999999999996" customHeight="1" x14ac:dyDescent="0.15">
      <c r="A15" s="173"/>
      <c r="B15" s="174"/>
      <c r="C15" s="174"/>
      <c r="D15" s="175"/>
      <c r="E15" s="174"/>
      <c r="F15" s="176"/>
      <c r="G15" s="174"/>
      <c r="H15" s="177"/>
      <c r="I15" s="178"/>
      <c r="J15" s="177"/>
      <c r="K15" s="178"/>
      <c r="L15" s="222"/>
      <c r="M15" s="170"/>
      <c r="N15" s="171"/>
      <c r="O15" s="171"/>
      <c r="P15" s="171"/>
    </row>
    <row r="16" spans="1:16" s="172" customFormat="1" ht="19.5" customHeight="1" x14ac:dyDescent="0.15">
      <c r="A16" s="164" t="str">
        <f>IFERROR(IF(HLOOKUP($L$4,RangeUnitsets,M16,FALSE)=0,"",HLOOKUP($L$4,RangeUnitsets,M16,FALSE)),"")</f>
        <v/>
      </c>
      <c r="B16" s="179" t="str">
        <f>IFERROR(IF(VLOOKUP($A16,TableHandbook[],2,FALSE)=0,"",VLOOKUP($A16,TableHandbook[],2,FALSE)),"")</f>
        <v/>
      </c>
      <c r="C16" s="179" t="str">
        <f>IFERROR(IF(VLOOKUP($A16,TableHandbook[],3,FALSE)=0,"",VLOOKUP($A16,TableHandbook[],3,FALSE)),"")</f>
        <v/>
      </c>
      <c r="D16" s="166" t="str">
        <f>IFERROR(IF(VLOOKUP($A16,TableHandbook[],4,FALSE)=0,"",VLOOKUP($A16,TableHandbook[],4,FALSE)),"")</f>
        <v/>
      </c>
      <c r="E16" s="165" t="str">
        <f>IF(A16="","",VLOOKUP($D$8,TableStudyPeriod[],3,FALSE))</f>
        <v/>
      </c>
      <c r="F16" s="167" t="str">
        <f>IFERROR(IF(VLOOKUP($A16,TableHandbook[],6,FALSE)=0,"",VLOOKUP($A16,TableHandbook[],6,FALSE)),"")</f>
        <v/>
      </c>
      <c r="G16" s="179" t="str">
        <f>IFERROR(IF(VLOOKUP($A16,TableHandbook[],5,FALSE)=0,"",VLOOKUP($A16,TableHandbook[],5,FALSE)),"")</f>
        <v/>
      </c>
      <c r="H16" s="180" t="str">
        <f>IFERROR(VLOOKUP($A16,TableHandbook[],H$2,FALSE),"")</f>
        <v/>
      </c>
      <c r="I16" s="181" t="str">
        <f>IFERROR(VLOOKUP($A16,TableHandbook[],I$2,FALSE),"")</f>
        <v/>
      </c>
      <c r="J16" s="180" t="str">
        <f>IFERROR(VLOOKUP($A16,TableHandbook[],J$2,FALSE),"")</f>
        <v/>
      </c>
      <c r="K16" s="181" t="str">
        <f>IFERROR(VLOOKUP($A16,TableHandbook[],K$2,FALSE),"")</f>
        <v/>
      </c>
      <c r="L16" s="119"/>
      <c r="M16" s="170">
        <v>6</v>
      </c>
      <c r="N16" s="171"/>
      <c r="O16" s="171"/>
    </row>
    <row r="17" spans="1:16" s="183" customFormat="1" ht="19.5" customHeight="1" x14ac:dyDescent="0.15">
      <c r="A17" s="164" t="str">
        <f>IFERROR(IF(HLOOKUP($L$4,RangeUnitsets,M17,FALSE)=0,"",HLOOKUP($L$4,RangeUnitsets,M17,FALSE)),"")</f>
        <v/>
      </c>
      <c r="B17" s="179" t="str">
        <f>IFERROR(IF(VLOOKUP($A17,TableHandbook[],2,FALSE)=0,"",VLOOKUP($A17,TableHandbook[],2,FALSE)),"")</f>
        <v/>
      </c>
      <c r="C17" s="179" t="str">
        <f>IFERROR(IF(VLOOKUP($A17,TableHandbook[],3,FALSE)=0,"",VLOOKUP($A17,TableHandbook[],3,FALSE)),"")</f>
        <v/>
      </c>
      <c r="D17" s="166" t="str">
        <f>IFERROR(IF(VLOOKUP($A17,TableHandbook[],4,FALSE)=0,"",VLOOKUP($A17,TableHandbook[],4,FALSE)),"")</f>
        <v/>
      </c>
      <c r="E17" s="165" t="str">
        <f>IF(OR(A17="",A17="-"),"",E16)</f>
        <v/>
      </c>
      <c r="F17" s="167" t="str">
        <f>IFERROR(IF(VLOOKUP($A17,TableHandbook[],6,FALSE)=0,"",VLOOKUP($A17,TableHandbook[],6,FALSE)),"")</f>
        <v/>
      </c>
      <c r="G17" s="179" t="str">
        <f>IFERROR(IF(VLOOKUP($A17,TableHandbook[],5,FALSE)=0,"",VLOOKUP($A17,TableHandbook[],5,FALSE)),"")</f>
        <v/>
      </c>
      <c r="H17" s="180" t="str">
        <f>IFERROR(VLOOKUP($A17,TableHandbook[],H$2,FALSE),"")</f>
        <v/>
      </c>
      <c r="I17" s="181" t="str">
        <f>IFERROR(VLOOKUP($A17,TableHandbook[],I$2,FALSE),"")</f>
        <v/>
      </c>
      <c r="J17" s="180" t="str">
        <f>IFERROR(VLOOKUP($A17,TableHandbook[],J$2,FALSE),"")</f>
        <v/>
      </c>
      <c r="K17" s="181" t="str">
        <f>IFERROR(VLOOKUP($A17,TableHandbook[],K$2,FALSE),"")</f>
        <v/>
      </c>
      <c r="L17" s="119"/>
      <c r="M17" s="170">
        <v>7</v>
      </c>
      <c r="N17" s="182"/>
      <c r="O17" s="182"/>
    </row>
    <row r="18" spans="1:16" s="183" customFormat="1" ht="19.5" customHeight="1" x14ac:dyDescent="0.15">
      <c r="A18" s="164" t="str">
        <f>IFERROR(IF(HLOOKUP($L$4,RangeUnitsets,M18,FALSE)=0,"",HLOOKUP($L$4,RangeUnitsets,M18,FALSE)),"")</f>
        <v/>
      </c>
      <c r="B18" s="179" t="str">
        <f>IFERROR(IF(VLOOKUP($A18,TableHandbook[],2,FALSE)=0,"",VLOOKUP($A18,TableHandbook[],2,FALSE)),"")</f>
        <v/>
      </c>
      <c r="C18" s="179" t="str">
        <f>IFERROR(IF(VLOOKUP($A18,TableHandbook[],3,FALSE)=0,"",VLOOKUP($A18,TableHandbook[],3,FALSE)),"")</f>
        <v/>
      </c>
      <c r="D18" s="166" t="str">
        <f>IFERROR(IF(VLOOKUP($A18,TableHandbook[],4,FALSE)=0,"",VLOOKUP($A18,TableHandbook[],4,FALSE)),"")</f>
        <v/>
      </c>
      <c r="E18" s="165" t="str">
        <f t="shared" ref="E18:E19" si="1">IF(OR(A18="",A18="-"),"",E17)</f>
        <v/>
      </c>
      <c r="F18" s="167" t="str">
        <f>IFERROR(IF(VLOOKUP($A18,TableHandbook[],6,FALSE)=0,"",VLOOKUP($A18,TableHandbook[],6,FALSE)),"")</f>
        <v/>
      </c>
      <c r="G18" s="179" t="str">
        <f>IFERROR(IF(VLOOKUP($A18,TableHandbook[],5,FALSE)=0,"",VLOOKUP($A18,TableHandbook[],5,FALSE)),"")</f>
        <v/>
      </c>
      <c r="H18" s="180" t="str">
        <f>IFERROR(VLOOKUP($A18,TableHandbook[],H$2,FALSE),"")</f>
        <v/>
      </c>
      <c r="I18" s="181" t="str">
        <f>IFERROR(VLOOKUP($A18,TableHandbook[],I$2,FALSE),"")</f>
        <v/>
      </c>
      <c r="J18" s="180" t="str">
        <f>IFERROR(VLOOKUP($A18,TableHandbook[],J$2,FALSE),"")</f>
        <v/>
      </c>
      <c r="K18" s="181" t="str">
        <f>IFERROR(VLOOKUP($A18,TableHandbook[],K$2,FALSE),"")</f>
        <v/>
      </c>
      <c r="L18" s="119"/>
      <c r="M18" s="170">
        <v>8</v>
      </c>
      <c r="N18" s="182"/>
      <c r="O18" s="182"/>
    </row>
    <row r="19" spans="1:16" s="183" customFormat="1" ht="19.5" customHeight="1" x14ac:dyDescent="0.15">
      <c r="A19" s="164" t="str">
        <f>IFERROR(IF(HLOOKUP($L$4,RangeUnitsets,M19,FALSE)=0,"",HLOOKUP($L$4,RangeUnitsets,M19,FALSE)),"")</f>
        <v/>
      </c>
      <c r="B19" s="179" t="str">
        <f>IFERROR(IF(VLOOKUP($A19,TableHandbook[],2,FALSE)=0,"",VLOOKUP($A19,TableHandbook[],2,FALSE)),"")</f>
        <v/>
      </c>
      <c r="C19" s="179" t="str">
        <f>IFERROR(IF(VLOOKUP($A19,TableHandbook[],3,FALSE)=0,"",VLOOKUP($A19,TableHandbook[],3,FALSE)),"")</f>
        <v/>
      </c>
      <c r="D19" s="184" t="str">
        <f>IFERROR(IF(VLOOKUP($A19,TableHandbook[],4,FALSE)=0,"",VLOOKUP($A19,TableHandbook[],4,FALSE)),"")</f>
        <v/>
      </c>
      <c r="E19" s="179" t="str">
        <f t="shared" si="1"/>
        <v/>
      </c>
      <c r="F19" s="167" t="str">
        <f>IFERROR(IF(VLOOKUP($A19,TableHandbook[],6,FALSE)=0,"",VLOOKUP($A19,TableHandbook[],6,FALSE)),"")</f>
        <v/>
      </c>
      <c r="G19" s="179" t="str">
        <f>IFERROR(IF(VLOOKUP($A19,TableHandbook[],5,FALSE)=0,"",VLOOKUP($A19,TableHandbook[],5,FALSE)),"")</f>
        <v/>
      </c>
      <c r="H19" s="180" t="str">
        <f>IFERROR(VLOOKUP($A19,TableHandbook[],H$2,FALSE),"")</f>
        <v/>
      </c>
      <c r="I19" s="181" t="str">
        <f>IFERROR(VLOOKUP($A19,TableHandbook[],I$2,FALSE),"")</f>
        <v/>
      </c>
      <c r="J19" s="180" t="str">
        <f>IFERROR(VLOOKUP($A19,TableHandbook[],J$2,FALSE),"")</f>
        <v/>
      </c>
      <c r="K19" s="181" t="str">
        <f>IFERROR(VLOOKUP($A19,TableHandbook[],K$2,FALSE),"")</f>
        <v/>
      </c>
      <c r="L19" s="119"/>
      <c r="M19" s="170">
        <v>9</v>
      </c>
      <c r="N19" s="182"/>
      <c r="O19" s="182"/>
    </row>
    <row r="20" spans="1:16" s="159" customFormat="1" ht="21" x14ac:dyDescent="0.25">
      <c r="A20" s="152" t="s">
        <v>33</v>
      </c>
      <c r="B20" s="152"/>
      <c r="C20" s="152"/>
      <c r="D20" s="153" t="s">
        <v>3</v>
      </c>
      <c r="E20" s="160" t="s">
        <v>25</v>
      </c>
      <c r="F20" s="161" t="s">
        <v>26</v>
      </c>
      <c r="G20" s="152" t="s">
        <v>27</v>
      </c>
      <c r="H20" s="162" t="str">
        <f>H$10</f>
        <v>Sem1 BEN</v>
      </c>
      <c r="I20" s="163" t="str">
        <f t="shared" ref="I20:L20" si="2">I$10</f>
        <v>Sem1 FO</v>
      </c>
      <c r="J20" s="162" t="str">
        <f t="shared" si="2"/>
        <v>Sem2 BEN</v>
      </c>
      <c r="K20" s="163" t="str">
        <f t="shared" si="2"/>
        <v>Sem2 FO</v>
      </c>
      <c r="L20" s="223" t="str">
        <f t="shared" si="2"/>
        <v>Notes / Progress</v>
      </c>
      <c r="M20" s="185"/>
      <c r="N20" s="158"/>
      <c r="O20" s="158"/>
    </row>
    <row r="21" spans="1:16" s="172" customFormat="1" ht="19.5" customHeight="1" x14ac:dyDescent="0.15">
      <c r="A21" s="164" t="str">
        <f>IFERROR(IF(HLOOKUP($L$4,RangeUnitsets,M21,FALSE)=0,"",HLOOKUP($L$4,RangeUnitsets,M21,FALSE)),"")</f>
        <v/>
      </c>
      <c r="B21" s="179" t="str">
        <f>IFERROR(IF(VLOOKUP($A21,TableHandbook[],2,FALSE)=0,"",VLOOKUP($A21,TableHandbook[],2,FALSE)),"")</f>
        <v/>
      </c>
      <c r="C21" s="179" t="str">
        <f>IFERROR(IF(VLOOKUP($A21,TableHandbook[],3,FALSE)=0,"",VLOOKUP($A21,TableHandbook[],3,FALSE)),"")</f>
        <v/>
      </c>
      <c r="D21" s="186" t="str">
        <f>IFERROR(IF(VLOOKUP($A21,TableHandbook[],4,FALSE)=0,"",VLOOKUP($A21,TableHandbook[],4,FALSE)),"")</f>
        <v/>
      </c>
      <c r="E21" s="179" t="str">
        <f>IF(A21="","",VLOOKUP($D$8,TableStudyPeriod[],2,FALSE))</f>
        <v/>
      </c>
      <c r="F21" s="167" t="str">
        <f>IFERROR(IF(VLOOKUP($A21,TableHandbook[],6,FALSE)=0,"",VLOOKUP($A21,TableHandbook[],6,FALSE)),"")</f>
        <v/>
      </c>
      <c r="G21" s="165" t="str">
        <f>IFERROR(IF(VLOOKUP($A21,TableHandbook[],5,FALSE)=0,"",VLOOKUP($A21,TableHandbook[],5,FALSE)),"")</f>
        <v/>
      </c>
      <c r="H21" s="168" t="str">
        <f>IFERROR(VLOOKUP($A21,TableHandbook[],H$2,FALSE),"")</f>
        <v/>
      </c>
      <c r="I21" s="169" t="str">
        <f>IFERROR(VLOOKUP($A21,TableHandbook[],I$2,FALSE),"")</f>
        <v/>
      </c>
      <c r="J21" s="168" t="str">
        <f>IFERROR(VLOOKUP($A21,TableHandbook[],J$2,FALSE),"")</f>
        <v/>
      </c>
      <c r="K21" s="169" t="str">
        <f>IFERROR(VLOOKUP($A21,TableHandbook[],K$2,FALSE),"")</f>
        <v/>
      </c>
      <c r="L21" s="118"/>
      <c r="M21" s="170">
        <v>10</v>
      </c>
      <c r="N21" s="171"/>
      <c r="O21" s="171"/>
    </row>
    <row r="22" spans="1:16" s="172" customFormat="1" ht="19.5" customHeight="1" x14ac:dyDescent="0.15">
      <c r="A22" s="164" t="str">
        <f>IFERROR(IF(HLOOKUP($L$4,RangeUnitsets,M22,FALSE)=0,"",HLOOKUP($L$4,RangeUnitsets,M22,FALSE)),"")</f>
        <v/>
      </c>
      <c r="B22" s="179" t="str">
        <f>IFERROR(IF(VLOOKUP($A22,TableHandbook[],2,FALSE)=0,"",VLOOKUP($A22,TableHandbook[],2,FALSE)),"")</f>
        <v/>
      </c>
      <c r="C22" s="179" t="str">
        <f>IFERROR(IF(VLOOKUP($A22,TableHandbook[],3,FALSE)=0,"",VLOOKUP($A22,TableHandbook[],3,FALSE)),"")</f>
        <v/>
      </c>
      <c r="D22" s="184" t="str">
        <f>IFERROR(IF(VLOOKUP($A22,TableHandbook[],4,FALSE)=0,"",VLOOKUP($A22,TableHandbook[],4,FALSE)),"")</f>
        <v/>
      </c>
      <c r="E22" s="179" t="str">
        <f>IF(OR(A22="",A22="-"),"",E21)</f>
        <v/>
      </c>
      <c r="F22" s="167" t="str">
        <f>IFERROR(IF(VLOOKUP($A22,TableHandbook[],6,FALSE)=0,"",VLOOKUP($A22,TableHandbook[],6,FALSE)),"")</f>
        <v/>
      </c>
      <c r="G22" s="165" t="str">
        <f>IFERROR(IF(VLOOKUP($A22,TableHandbook[],5,FALSE)=0,"",VLOOKUP($A22,TableHandbook[],5,FALSE)),"")</f>
        <v/>
      </c>
      <c r="H22" s="168" t="str">
        <f>IFERROR(VLOOKUP($A22,TableHandbook[],H$2,FALSE),"")</f>
        <v/>
      </c>
      <c r="I22" s="169" t="str">
        <f>IFERROR(VLOOKUP($A22,TableHandbook[],I$2,FALSE),"")</f>
        <v/>
      </c>
      <c r="J22" s="168" t="str">
        <f>IFERROR(VLOOKUP($A22,TableHandbook[],J$2,FALSE),"")</f>
        <v/>
      </c>
      <c r="K22" s="169" t="str">
        <f>IFERROR(VLOOKUP($A22,TableHandbook[],K$2,FALSE),"")</f>
        <v/>
      </c>
      <c r="L22" s="118"/>
      <c r="M22" s="170">
        <v>11</v>
      </c>
      <c r="N22" s="171"/>
      <c r="O22" s="171"/>
    </row>
    <row r="23" spans="1:16" s="172" customFormat="1" ht="19.5" customHeight="1" x14ac:dyDescent="0.15">
      <c r="A23" s="164" t="str">
        <f>IFERROR(IF(HLOOKUP($L$4,RangeUnitsets,M23,FALSE)=0,"",HLOOKUP($L$4,RangeUnitsets,M23,FALSE)),"")</f>
        <v/>
      </c>
      <c r="B23" s="179" t="str">
        <f>IFERROR(IF(VLOOKUP($A23,TableHandbook[],2,FALSE)=0,"",VLOOKUP($A23,TableHandbook[],2,FALSE)),"")</f>
        <v/>
      </c>
      <c r="C23" s="179" t="str">
        <f>IFERROR(IF(VLOOKUP($A23,TableHandbook[],3,FALSE)=0,"",VLOOKUP($A23,TableHandbook[],3,FALSE)),"")</f>
        <v/>
      </c>
      <c r="D23" s="184" t="str">
        <f>IFERROR(IF(VLOOKUP($A23,TableHandbook[],4,FALSE)=0,"",VLOOKUP($A23,TableHandbook[],4,FALSE)),"")</f>
        <v/>
      </c>
      <c r="E23" s="179" t="str">
        <f t="shared" ref="E23:E24" si="3">IF(OR(A23="",A23="-"),"",E22)</f>
        <v/>
      </c>
      <c r="F23" s="167" t="str">
        <f>IFERROR(IF(VLOOKUP($A23,TableHandbook[],6,FALSE)=0,"",VLOOKUP($A23,TableHandbook[],6,FALSE)),"")</f>
        <v/>
      </c>
      <c r="G23" s="165" t="str">
        <f>IFERROR(IF(VLOOKUP($A23,TableHandbook[],5,FALSE)=0,"",VLOOKUP($A23,TableHandbook[],5,FALSE)),"")</f>
        <v/>
      </c>
      <c r="H23" s="168" t="str">
        <f>IFERROR(VLOOKUP($A23,TableHandbook[],H$2,FALSE),"")</f>
        <v/>
      </c>
      <c r="I23" s="169" t="str">
        <f>IFERROR(VLOOKUP($A23,TableHandbook[],I$2,FALSE),"")</f>
        <v/>
      </c>
      <c r="J23" s="168" t="str">
        <f>IFERROR(VLOOKUP($A23,TableHandbook[],J$2,FALSE),"")</f>
        <v/>
      </c>
      <c r="K23" s="169" t="str">
        <f>IFERROR(VLOOKUP($A23,TableHandbook[],K$2,FALSE),"")</f>
        <v/>
      </c>
      <c r="L23" s="118"/>
      <c r="M23" s="170">
        <v>12</v>
      </c>
      <c r="N23" s="171"/>
      <c r="O23" s="171"/>
    </row>
    <row r="24" spans="1:16" s="172" customFormat="1" ht="19.5" customHeight="1" x14ac:dyDescent="0.15">
      <c r="A24" s="164" t="str">
        <f>IFERROR(IF(HLOOKUP($L$4,RangeUnitsets,M24,FALSE)=0,"",HLOOKUP($L$4,RangeUnitsets,M24,FALSE)),"")</f>
        <v/>
      </c>
      <c r="B24" s="179" t="str">
        <f>IFERROR(IF(VLOOKUP($A24,TableHandbook[],2,FALSE)=0,"",VLOOKUP($A24,TableHandbook[],2,FALSE)),"")</f>
        <v/>
      </c>
      <c r="C24" s="179" t="str">
        <f>IFERROR(IF(VLOOKUP($A24,TableHandbook[],3,FALSE)=0,"",VLOOKUP($A24,TableHandbook[],3,FALSE)),"")</f>
        <v/>
      </c>
      <c r="D24" s="184" t="str">
        <f>IFERROR(IF(VLOOKUP($A24,TableHandbook[],4,FALSE)=0,"",VLOOKUP($A24,TableHandbook[],4,FALSE)),"")</f>
        <v/>
      </c>
      <c r="E24" s="179" t="str">
        <f t="shared" si="3"/>
        <v/>
      </c>
      <c r="F24" s="167" t="str">
        <f>IFERROR(IF(VLOOKUP($A24,TableHandbook[],6,FALSE)=0,"",VLOOKUP($A24,TableHandbook[],6,FALSE)),"")</f>
        <v/>
      </c>
      <c r="G24" s="165" t="str">
        <f>IFERROR(IF(VLOOKUP($A24,TableHandbook[],5,FALSE)=0,"",VLOOKUP($A24,TableHandbook[],5,FALSE)),"")</f>
        <v/>
      </c>
      <c r="H24" s="168" t="str">
        <f>IFERROR(VLOOKUP($A24,TableHandbook[],H$2,FALSE),"")</f>
        <v/>
      </c>
      <c r="I24" s="169" t="str">
        <f>IFERROR(VLOOKUP($A24,TableHandbook[],I$2,FALSE),"")</f>
        <v/>
      </c>
      <c r="J24" s="168" t="str">
        <f>IFERROR(VLOOKUP($A24,TableHandbook[],J$2,FALSE),"")</f>
        <v/>
      </c>
      <c r="K24" s="169" t="str">
        <f>IFERROR(VLOOKUP($A24,TableHandbook[],K$2,FALSE),"")</f>
        <v/>
      </c>
      <c r="L24" s="118"/>
      <c r="M24" s="170">
        <v>13</v>
      </c>
      <c r="N24" s="171"/>
      <c r="O24" s="171"/>
    </row>
    <row r="25" spans="1:16" s="172" customFormat="1" ht="5.0999999999999996" customHeight="1" x14ac:dyDescent="0.15">
      <c r="A25" s="173"/>
      <c r="B25" s="174"/>
      <c r="C25" s="174"/>
      <c r="D25" s="175"/>
      <c r="E25" s="174"/>
      <c r="F25" s="176"/>
      <c r="G25" s="174"/>
      <c r="H25" s="177"/>
      <c r="I25" s="178"/>
      <c r="J25" s="177"/>
      <c r="K25" s="178"/>
      <c r="L25" s="222"/>
      <c r="M25" s="170"/>
      <c r="N25" s="171"/>
      <c r="O25" s="171"/>
      <c r="P25" s="171"/>
    </row>
    <row r="26" spans="1:16" s="172" customFormat="1" ht="19.5" customHeight="1" x14ac:dyDescent="0.15">
      <c r="A26" s="164" t="str">
        <f>IFERROR(IF(HLOOKUP($L$4,RangeUnitsets,M26,FALSE)=0,"",HLOOKUP($L$4,RangeUnitsets,M26,FALSE)),"")</f>
        <v/>
      </c>
      <c r="B26" s="179" t="str">
        <f>IFERROR(IF(VLOOKUP($A26,TableHandbook[],2,FALSE)=0,"",VLOOKUP($A26,TableHandbook[],2,FALSE)),"")</f>
        <v/>
      </c>
      <c r="C26" s="179" t="str">
        <f>IFERROR(IF(VLOOKUP($A26,TableHandbook[],3,FALSE)=0,"",VLOOKUP($A26,TableHandbook[],3,FALSE)),"")</f>
        <v/>
      </c>
      <c r="D26" s="184" t="str">
        <f>IFERROR(IF(VLOOKUP($A26,TableHandbook[],4,FALSE)=0,"",VLOOKUP($A26,TableHandbook[],4,FALSE)),"")</f>
        <v/>
      </c>
      <c r="E26" s="179" t="str">
        <f>IF(A26="","",VLOOKUP($D$8,TableStudyPeriod[],3,FALSE))</f>
        <v/>
      </c>
      <c r="F26" s="167" t="str">
        <f>IFERROR(IF(VLOOKUP($A26,TableHandbook[],6,FALSE)=0,"",VLOOKUP($A26,TableHandbook[],6,FALSE)),"")</f>
        <v/>
      </c>
      <c r="G26" s="165" t="str">
        <f>IFERROR(IF(VLOOKUP($A26,TableHandbook[],5,FALSE)=0,"",VLOOKUP($A26,TableHandbook[],5,FALSE)),"")</f>
        <v/>
      </c>
      <c r="H26" s="168" t="str">
        <f>IFERROR(VLOOKUP($A26,TableHandbook[],H$2,FALSE),"")</f>
        <v/>
      </c>
      <c r="I26" s="169" t="str">
        <f>IFERROR(VLOOKUP($A26,TableHandbook[],I$2,FALSE),"")</f>
        <v/>
      </c>
      <c r="J26" s="168" t="str">
        <f>IFERROR(VLOOKUP($A26,TableHandbook[],J$2,FALSE),"")</f>
        <v/>
      </c>
      <c r="K26" s="169" t="str">
        <f>IFERROR(VLOOKUP($A26,TableHandbook[],K$2,FALSE),"")</f>
        <v/>
      </c>
      <c r="L26" s="118"/>
      <c r="M26" s="170">
        <v>14</v>
      </c>
      <c r="N26" s="171"/>
      <c r="O26" s="171"/>
    </row>
    <row r="27" spans="1:16" s="172" customFormat="1" ht="19.5" customHeight="1" x14ac:dyDescent="0.15">
      <c r="A27" s="164" t="str">
        <f>IFERROR(IF(HLOOKUP($L$4,RangeUnitsets,M27,FALSE)=0,"",HLOOKUP($L$4,RangeUnitsets,M27,FALSE)),"")</f>
        <v/>
      </c>
      <c r="B27" s="179" t="str">
        <f>IFERROR(IF(VLOOKUP($A27,TableHandbook[],2,FALSE)=0,"",VLOOKUP($A27,TableHandbook[],2,FALSE)),"")</f>
        <v/>
      </c>
      <c r="C27" s="179" t="str">
        <f>IFERROR(IF(VLOOKUP($A27,TableHandbook[],3,FALSE)=0,"",VLOOKUP($A27,TableHandbook[],3,FALSE)),"")</f>
        <v/>
      </c>
      <c r="D27" s="184" t="str">
        <f>IFERROR(IF(VLOOKUP($A27,TableHandbook[],4,FALSE)=0,"",VLOOKUP($A27,TableHandbook[],4,FALSE)),"")</f>
        <v/>
      </c>
      <c r="E27" s="179" t="str">
        <f>IF(OR(A27="",A27="-"),"",E26)</f>
        <v/>
      </c>
      <c r="F27" s="167" t="str">
        <f>IFERROR(IF(VLOOKUP($A27,TableHandbook[],6,FALSE)=0,"",VLOOKUP($A27,TableHandbook[],6,FALSE)),"")</f>
        <v/>
      </c>
      <c r="G27" s="165" t="str">
        <f>IFERROR(IF(VLOOKUP($A27,TableHandbook[],5,FALSE)=0,"",VLOOKUP($A27,TableHandbook[],5,FALSE)),"")</f>
        <v/>
      </c>
      <c r="H27" s="168" t="str">
        <f>IFERROR(VLOOKUP($A27,TableHandbook[],H$2,FALSE),"")</f>
        <v/>
      </c>
      <c r="I27" s="169" t="str">
        <f>IFERROR(VLOOKUP($A27,TableHandbook[],I$2,FALSE),"")</f>
        <v/>
      </c>
      <c r="J27" s="168" t="str">
        <f>IFERROR(VLOOKUP($A27,TableHandbook[],J$2,FALSE),"")</f>
        <v/>
      </c>
      <c r="K27" s="169" t="str">
        <f>IFERROR(VLOOKUP($A27,TableHandbook[],K$2,FALSE),"")</f>
        <v/>
      </c>
      <c r="L27" s="118"/>
      <c r="M27" s="170">
        <v>15</v>
      </c>
      <c r="N27" s="171"/>
      <c r="O27" s="171"/>
    </row>
    <row r="28" spans="1:16" s="183" customFormat="1" ht="19.5" customHeight="1" x14ac:dyDescent="0.15">
      <c r="A28" s="164" t="str">
        <f>IFERROR(IF(HLOOKUP($L$4,RangeUnitsets,M28,FALSE)=0,"",HLOOKUP($L$4,RangeUnitsets,M28,FALSE)),"")</f>
        <v/>
      </c>
      <c r="B28" s="179" t="str">
        <f>IFERROR(IF(VLOOKUP($A28,TableHandbook[],2,FALSE)=0,"",VLOOKUP($A28,TableHandbook[],2,FALSE)),"")</f>
        <v/>
      </c>
      <c r="C28" s="179" t="str">
        <f>IFERROR(IF(VLOOKUP($A28,TableHandbook[],3,FALSE)=0,"",VLOOKUP($A28,TableHandbook[],3,FALSE)),"")</f>
        <v/>
      </c>
      <c r="D28" s="184" t="str">
        <f>IFERROR(IF(VLOOKUP($A28,TableHandbook[],4,FALSE)=0,"",VLOOKUP($A28,TableHandbook[],4,FALSE)),"")</f>
        <v/>
      </c>
      <c r="E28" s="179" t="str">
        <f t="shared" ref="E28:E29" si="4">IF(OR(A28="",A28="-"),"",E27)</f>
        <v/>
      </c>
      <c r="F28" s="167" t="str">
        <f>IFERROR(IF(VLOOKUP($A28,TableHandbook[],6,FALSE)=0,"",VLOOKUP($A28,TableHandbook[],6,FALSE)),"")</f>
        <v/>
      </c>
      <c r="G28" s="165" t="str">
        <f>IFERROR(IF(VLOOKUP($A28,TableHandbook[],5,FALSE)=0,"",VLOOKUP($A28,TableHandbook[],5,FALSE)),"")</f>
        <v/>
      </c>
      <c r="H28" s="168" t="str">
        <f>IFERROR(VLOOKUP($A28,TableHandbook[],H$2,FALSE),"")</f>
        <v/>
      </c>
      <c r="I28" s="169" t="str">
        <f>IFERROR(VLOOKUP($A28,TableHandbook[],I$2,FALSE),"")</f>
        <v/>
      </c>
      <c r="J28" s="168" t="str">
        <f>IFERROR(VLOOKUP($A28,TableHandbook[],J$2,FALSE),"")</f>
        <v/>
      </c>
      <c r="K28" s="169" t="str">
        <f>IFERROR(VLOOKUP($A28,TableHandbook[],K$2,FALSE),"")</f>
        <v/>
      </c>
      <c r="L28" s="118"/>
      <c r="M28" s="170">
        <v>16</v>
      </c>
      <c r="N28" s="182"/>
      <c r="O28" s="182"/>
    </row>
    <row r="29" spans="1:16" s="183" customFormat="1" ht="19.5" customHeight="1" x14ac:dyDescent="0.15">
      <c r="A29" s="164" t="str">
        <f>IFERROR(IF(HLOOKUP($L$4,RangeUnitsets,M29,FALSE)=0,"",HLOOKUP($L$4,RangeUnitsets,M29,FALSE)),"")</f>
        <v/>
      </c>
      <c r="B29" s="179" t="str">
        <f>IFERROR(IF(VLOOKUP($A29,TableHandbook[],2,FALSE)=0,"",VLOOKUP($A29,TableHandbook[],2,FALSE)),"")</f>
        <v/>
      </c>
      <c r="C29" s="179" t="str">
        <f>IFERROR(IF(VLOOKUP($A29,TableHandbook[],3,FALSE)=0,"",VLOOKUP($A29,TableHandbook[],3,FALSE)),"")</f>
        <v/>
      </c>
      <c r="D29" s="184" t="str">
        <f>IFERROR(IF(VLOOKUP($A29,TableHandbook[],4,FALSE)=0,"",VLOOKUP($A29,TableHandbook[],4,FALSE)),"")</f>
        <v/>
      </c>
      <c r="E29" s="165" t="str">
        <f t="shared" si="4"/>
        <v/>
      </c>
      <c r="F29" s="167" t="str">
        <f>IFERROR(IF(VLOOKUP($A29,TableHandbook[],6,FALSE)=0,"",VLOOKUP($A29,TableHandbook[],6,FALSE)),"")</f>
        <v/>
      </c>
      <c r="G29" s="165" t="str">
        <f>IFERROR(IF(VLOOKUP($A29,TableHandbook[],5,FALSE)=0,"",VLOOKUP($A29,TableHandbook[],5,FALSE)),"")</f>
        <v/>
      </c>
      <c r="H29" s="168" t="str">
        <f>IFERROR(VLOOKUP($A29,TableHandbook[],H$2,FALSE),"")</f>
        <v/>
      </c>
      <c r="I29" s="169" t="str">
        <f>IFERROR(VLOOKUP($A29,TableHandbook[],I$2,FALSE),"")</f>
        <v/>
      </c>
      <c r="J29" s="168" t="str">
        <f>IFERROR(VLOOKUP($A29,TableHandbook[],J$2,FALSE),"")</f>
        <v/>
      </c>
      <c r="K29" s="169" t="str">
        <f>IFERROR(VLOOKUP($A29,TableHandbook[],K$2,FALSE),"")</f>
        <v/>
      </c>
      <c r="L29" s="118"/>
      <c r="M29" s="170">
        <v>17</v>
      </c>
      <c r="N29" s="182"/>
      <c r="O29" s="182"/>
    </row>
    <row r="30" spans="1:16" s="159" customFormat="1" ht="21" x14ac:dyDescent="0.25">
      <c r="A30" s="152" t="s">
        <v>34</v>
      </c>
      <c r="B30" s="152"/>
      <c r="C30" s="152"/>
      <c r="D30" s="153" t="s">
        <v>3</v>
      </c>
      <c r="E30" s="160" t="s">
        <v>25</v>
      </c>
      <c r="F30" s="161" t="s">
        <v>26</v>
      </c>
      <c r="G30" s="152" t="s">
        <v>27</v>
      </c>
      <c r="H30" s="162" t="str">
        <f>H$10</f>
        <v>Sem1 BEN</v>
      </c>
      <c r="I30" s="163" t="str">
        <f t="shared" ref="I30:L30" si="5">I$10</f>
        <v>Sem1 FO</v>
      </c>
      <c r="J30" s="162" t="str">
        <f t="shared" si="5"/>
        <v>Sem2 BEN</v>
      </c>
      <c r="K30" s="163" t="str">
        <f t="shared" si="5"/>
        <v>Sem2 FO</v>
      </c>
      <c r="L30" s="223" t="str">
        <f t="shared" si="5"/>
        <v>Notes / Progress</v>
      </c>
      <c r="M30" s="185"/>
      <c r="N30" s="158"/>
      <c r="O30" s="158"/>
    </row>
    <row r="31" spans="1:16" s="172" customFormat="1" ht="19.5" customHeight="1" x14ac:dyDescent="0.15">
      <c r="A31" s="164" t="str">
        <f>IFERROR(IF(HLOOKUP($L$4,RangeUnitsets,M31,FALSE)=0,"",HLOOKUP($L$4,RangeUnitsets,M31,FALSE)),"")</f>
        <v/>
      </c>
      <c r="B31" s="179" t="str">
        <f>IFERROR(IF(VLOOKUP($A31,TableHandbook[],2,FALSE)=0,"",VLOOKUP($A31,TableHandbook[],2,FALSE)),"")</f>
        <v/>
      </c>
      <c r="C31" s="179" t="str">
        <f>IFERROR(IF(VLOOKUP($A31,TableHandbook[],3,FALSE)=0,"",VLOOKUP($A31,TableHandbook[],3,FALSE)),"")</f>
        <v/>
      </c>
      <c r="D31" s="186" t="str">
        <f>IFERROR(IF(VLOOKUP($A31,TableHandbook[],4,FALSE)=0,"",VLOOKUP($A31,TableHandbook[],4,FALSE)),"")</f>
        <v/>
      </c>
      <c r="E31" s="179" t="str">
        <f>IF(A31="","",VLOOKUP($D$8,TableStudyPeriod[],2,FALSE))</f>
        <v/>
      </c>
      <c r="F31" s="167" t="str">
        <f>IFERROR(IF(VLOOKUP($A31,TableHandbook[],6,FALSE)=0,"",VLOOKUP($A31,TableHandbook[],6,FALSE)),"")</f>
        <v/>
      </c>
      <c r="G31" s="165" t="str">
        <f>IFERROR(IF(VLOOKUP($A31,TableHandbook[],5,FALSE)=0,"",VLOOKUP($A31,TableHandbook[],5,FALSE)),"")</f>
        <v/>
      </c>
      <c r="H31" s="168" t="str">
        <f>IFERROR(VLOOKUP($A31,TableHandbook[],H$2,FALSE),"")</f>
        <v/>
      </c>
      <c r="I31" s="169" t="str">
        <f>IFERROR(VLOOKUP($A31,TableHandbook[],I$2,FALSE),"")</f>
        <v/>
      </c>
      <c r="J31" s="168" t="str">
        <f>IFERROR(VLOOKUP($A31,TableHandbook[],J$2,FALSE),"")</f>
        <v/>
      </c>
      <c r="K31" s="169" t="str">
        <f>IFERROR(VLOOKUP($A31,TableHandbook[],K$2,FALSE),"")</f>
        <v/>
      </c>
      <c r="L31" s="118"/>
      <c r="M31" s="170">
        <v>18</v>
      </c>
      <c r="N31" s="171"/>
      <c r="O31" s="171"/>
    </row>
    <row r="32" spans="1:16" s="172" customFormat="1" ht="19.5" customHeight="1" x14ac:dyDescent="0.15">
      <c r="A32" s="164" t="str">
        <f>IFERROR(IF(HLOOKUP($L$4,RangeUnitsets,M32,FALSE)=0,"",HLOOKUP($L$4,RangeUnitsets,M32,FALSE)),"")</f>
        <v/>
      </c>
      <c r="B32" s="179" t="str">
        <f>IFERROR(IF(VLOOKUP($A32,TableHandbook[],2,FALSE)=0,"",VLOOKUP($A32,TableHandbook[],2,FALSE)),"")</f>
        <v/>
      </c>
      <c r="C32" s="179" t="str">
        <f>IFERROR(IF(VLOOKUP($A32,TableHandbook[],3,FALSE)=0,"",VLOOKUP($A32,TableHandbook[],3,FALSE)),"")</f>
        <v/>
      </c>
      <c r="D32" s="184" t="str">
        <f>IFERROR(IF(VLOOKUP($A32,TableHandbook[],4,FALSE)=0,"",VLOOKUP($A32,TableHandbook[],4,FALSE)),"")</f>
        <v/>
      </c>
      <c r="E32" s="179" t="str">
        <f>IF(OR(A32="",A32="-"),"",E31)</f>
        <v/>
      </c>
      <c r="F32" s="167" t="str">
        <f>IFERROR(IF(VLOOKUP($A32,TableHandbook[],6,FALSE)=0,"",VLOOKUP($A32,TableHandbook[],6,FALSE)),"")</f>
        <v/>
      </c>
      <c r="G32" s="165" t="str">
        <f>IFERROR(IF(VLOOKUP($A32,TableHandbook[],5,FALSE)=0,"",VLOOKUP($A32,TableHandbook[],5,FALSE)),"")</f>
        <v/>
      </c>
      <c r="H32" s="168" t="str">
        <f>IFERROR(VLOOKUP($A32,TableHandbook[],H$2,FALSE),"")</f>
        <v/>
      </c>
      <c r="I32" s="169" t="str">
        <f>IFERROR(VLOOKUP($A32,TableHandbook[],I$2,FALSE),"")</f>
        <v/>
      </c>
      <c r="J32" s="168" t="str">
        <f>IFERROR(VLOOKUP($A32,TableHandbook[],J$2,FALSE),"")</f>
        <v/>
      </c>
      <c r="K32" s="169" t="str">
        <f>IFERROR(VLOOKUP($A32,TableHandbook[],K$2,FALSE),"")</f>
        <v/>
      </c>
      <c r="L32" s="118"/>
      <c r="M32" s="170">
        <v>19</v>
      </c>
      <c r="N32" s="171"/>
      <c r="O32" s="171"/>
    </row>
    <row r="33" spans="1:16" s="172" customFormat="1" ht="19.5" customHeight="1" x14ac:dyDescent="0.15">
      <c r="A33" s="164" t="str">
        <f>IFERROR(IF(HLOOKUP($L$4,RangeUnitsets,M33,FALSE)=0,"",HLOOKUP($L$4,RangeUnitsets,M33,FALSE)),"")</f>
        <v/>
      </c>
      <c r="B33" s="179" t="str">
        <f>IFERROR(IF(VLOOKUP($A33,TableHandbook[],2,FALSE)=0,"",VLOOKUP($A33,TableHandbook[],2,FALSE)),"")</f>
        <v/>
      </c>
      <c r="C33" s="179" t="str">
        <f>IFERROR(IF(VLOOKUP($A33,TableHandbook[],3,FALSE)=0,"",VLOOKUP($A33,TableHandbook[],3,FALSE)),"")</f>
        <v/>
      </c>
      <c r="D33" s="184" t="str">
        <f>IFERROR(IF(VLOOKUP($A33,TableHandbook[],4,FALSE)=0,"",VLOOKUP($A33,TableHandbook[],4,FALSE)),"")</f>
        <v/>
      </c>
      <c r="E33" s="179" t="str">
        <f t="shared" ref="E33:E34" si="6">IF(OR(A33="",A33="-"),"",E32)</f>
        <v/>
      </c>
      <c r="F33" s="167" t="str">
        <f>IFERROR(IF(VLOOKUP($A33,TableHandbook[],6,FALSE)=0,"",VLOOKUP($A33,TableHandbook[],6,FALSE)),"")</f>
        <v/>
      </c>
      <c r="G33" s="165" t="str">
        <f>IFERROR(IF(VLOOKUP($A33,TableHandbook[],5,FALSE)=0,"",VLOOKUP($A33,TableHandbook[],5,FALSE)),"")</f>
        <v/>
      </c>
      <c r="H33" s="168" t="str">
        <f>IFERROR(VLOOKUP($A33,TableHandbook[],H$2,FALSE),"")</f>
        <v/>
      </c>
      <c r="I33" s="169" t="str">
        <f>IFERROR(VLOOKUP($A33,TableHandbook[],I$2,FALSE),"")</f>
        <v/>
      </c>
      <c r="J33" s="168" t="str">
        <f>IFERROR(VLOOKUP($A33,TableHandbook[],J$2,FALSE),"")</f>
        <v/>
      </c>
      <c r="K33" s="169" t="str">
        <f>IFERROR(VLOOKUP($A33,TableHandbook[],K$2,FALSE),"")</f>
        <v/>
      </c>
      <c r="L33" s="118"/>
      <c r="M33" s="170">
        <v>20</v>
      </c>
      <c r="N33" s="171"/>
      <c r="O33" s="171"/>
    </row>
    <row r="34" spans="1:16" s="172" customFormat="1" ht="19.5" customHeight="1" x14ac:dyDescent="0.15">
      <c r="A34" s="164" t="str">
        <f>IFERROR(IF(HLOOKUP($L$4,RangeUnitsets,M34,FALSE)=0,"",HLOOKUP($L$4,RangeUnitsets,M34,FALSE)),"")</f>
        <v/>
      </c>
      <c r="B34" s="179" t="str">
        <f>IFERROR(IF(VLOOKUP($A34,TableHandbook[],2,FALSE)=0,"",VLOOKUP($A34,TableHandbook[],2,FALSE)),"")</f>
        <v/>
      </c>
      <c r="C34" s="179" t="str">
        <f>IFERROR(IF(VLOOKUP($A34,TableHandbook[],3,FALSE)=0,"",VLOOKUP($A34,TableHandbook[],3,FALSE)),"")</f>
        <v/>
      </c>
      <c r="D34" s="184" t="str">
        <f>IFERROR(IF(VLOOKUP($A34,TableHandbook[],4,FALSE)=0,"",VLOOKUP($A34,TableHandbook[],4,FALSE)),"")</f>
        <v/>
      </c>
      <c r="E34" s="179" t="str">
        <f t="shared" si="6"/>
        <v/>
      </c>
      <c r="F34" s="167" t="str">
        <f>IFERROR(IF(VLOOKUP($A34,TableHandbook[],6,FALSE)=0,"",VLOOKUP($A34,TableHandbook[],6,FALSE)),"")</f>
        <v/>
      </c>
      <c r="G34" s="165" t="str">
        <f>IFERROR(IF(VLOOKUP($A34,TableHandbook[],5,FALSE)=0,"",VLOOKUP($A34,TableHandbook[],5,FALSE)),"")</f>
        <v/>
      </c>
      <c r="H34" s="168" t="str">
        <f>IFERROR(VLOOKUP($A34,TableHandbook[],H$2,FALSE),"")</f>
        <v/>
      </c>
      <c r="I34" s="169" t="str">
        <f>IFERROR(VLOOKUP($A34,TableHandbook[],I$2,FALSE),"")</f>
        <v/>
      </c>
      <c r="J34" s="168" t="str">
        <f>IFERROR(VLOOKUP($A34,TableHandbook[],J$2,FALSE),"")</f>
        <v/>
      </c>
      <c r="K34" s="169" t="str">
        <f>IFERROR(VLOOKUP($A34,TableHandbook[],K$2,FALSE),"")</f>
        <v/>
      </c>
      <c r="L34" s="118"/>
      <c r="M34" s="170">
        <v>21</v>
      </c>
      <c r="N34" s="171"/>
      <c r="O34" s="171"/>
    </row>
    <row r="35" spans="1:16" s="172" customFormat="1" ht="5.0999999999999996" customHeight="1" x14ac:dyDescent="0.15">
      <c r="A35" s="173"/>
      <c r="B35" s="174"/>
      <c r="C35" s="174"/>
      <c r="D35" s="175"/>
      <c r="E35" s="174"/>
      <c r="F35" s="176"/>
      <c r="G35" s="174"/>
      <c r="H35" s="177"/>
      <c r="I35" s="178"/>
      <c r="J35" s="177"/>
      <c r="K35" s="178"/>
      <c r="L35" s="222"/>
      <c r="M35" s="170"/>
      <c r="N35" s="171"/>
      <c r="O35" s="171"/>
      <c r="P35" s="171"/>
    </row>
    <row r="36" spans="1:16" s="172" customFormat="1" ht="19.5" customHeight="1" x14ac:dyDescent="0.15">
      <c r="A36" s="164" t="str">
        <f>IFERROR(IF(HLOOKUP($L$4,RangeUnitsets,M36,FALSE)=0,"",HLOOKUP($L$4,RangeUnitsets,M36,FALSE)),"")</f>
        <v/>
      </c>
      <c r="B36" s="179" t="str">
        <f>IFERROR(IF(VLOOKUP($A36,TableHandbook[],2,FALSE)=0,"",VLOOKUP($A36,TableHandbook[],2,FALSE)),"")</f>
        <v/>
      </c>
      <c r="C36" s="179" t="str">
        <f>IFERROR(IF(VLOOKUP($A36,TableHandbook[],3,FALSE)=0,"",VLOOKUP($A36,TableHandbook[],3,FALSE)),"")</f>
        <v/>
      </c>
      <c r="D36" s="184" t="str">
        <f>IFERROR(IF(VLOOKUP($A36,TableHandbook[],4,FALSE)=0,"",VLOOKUP($A36,TableHandbook[],4,FALSE)),"")</f>
        <v/>
      </c>
      <c r="E36" s="179" t="str">
        <f>IF(A36="","",VLOOKUP($D$8,TableStudyPeriod[],3,FALSE))</f>
        <v/>
      </c>
      <c r="F36" s="167" t="str">
        <f>IFERROR(IF(VLOOKUP($A36,TableHandbook[],6,FALSE)=0,"",VLOOKUP($A36,TableHandbook[],6,FALSE)),"")</f>
        <v/>
      </c>
      <c r="G36" s="165" t="str">
        <f>IFERROR(IF(VLOOKUP($A36,TableHandbook[],5,FALSE)=0,"",VLOOKUP($A36,TableHandbook[],5,FALSE)),"")</f>
        <v/>
      </c>
      <c r="H36" s="168" t="str">
        <f>IFERROR(VLOOKUP($A36,TableHandbook[],H$2,FALSE),"")</f>
        <v/>
      </c>
      <c r="I36" s="169" t="str">
        <f>IFERROR(VLOOKUP($A36,TableHandbook[],I$2,FALSE),"")</f>
        <v/>
      </c>
      <c r="J36" s="168" t="str">
        <f>IFERROR(VLOOKUP($A36,TableHandbook[],J$2,FALSE),"")</f>
        <v/>
      </c>
      <c r="K36" s="169" t="str">
        <f>IFERROR(VLOOKUP($A36,TableHandbook[],K$2,FALSE),"")</f>
        <v/>
      </c>
      <c r="L36" s="118"/>
      <c r="M36" s="170">
        <v>22</v>
      </c>
      <c r="N36" s="171"/>
      <c r="O36" s="171"/>
    </row>
    <row r="37" spans="1:16" s="172" customFormat="1" ht="19.5" customHeight="1" x14ac:dyDescent="0.15">
      <c r="A37" s="164" t="str">
        <f>IFERROR(IF(HLOOKUP($L$4,RangeUnitsets,M37,FALSE)=0,"",HLOOKUP($L$4,RangeUnitsets,M37,FALSE)),"")</f>
        <v/>
      </c>
      <c r="B37" s="179" t="str">
        <f>IFERROR(IF(VLOOKUP($A37,TableHandbook[],2,FALSE)=0,"",VLOOKUP($A37,TableHandbook[],2,FALSE)),"")</f>
        <v/>
      </c>
      <c r="C37" s="179" t="str">
        <f>IFERROR(IF(VLOOKUP($A37,TableHandbook[],3,FALSE)=0,"",VLOOKUP($A37,TableHandbook[],3,FALSE)),"")</f>
        <v/>
      </c>
      <c r="D37" s="184" t="str">
        <f>IFERROR(IF(VLOOKUP($A37,TableHandbook[],4,FALSE)=0,"",VLOOKUP($A37,TableHandbook[],4,FALSE)),"")</f>
        <v/>
      </c>
      <c r="E37" s="179" t="str">
        <f>IF(OR(A37="",A37="-"),"",E36)</f>
        <v/>
      </c>
      <c r="F37" s="167" t="str">
        <f>IFERROR(IF(VLOOKUP($A37,TableHandbook[],6,FALSE)=0,"",VLOOKUP($A37,TableHandbook[],6,FALSE)),"")</f>
        <v/>
      </c>
      <c r="G37" s="165" t="str">
        <f>IFERROR(IF(VLOOKUP($A37,TableHandbook[],5,FALSE)=0,"",VLOOKUP($A37,TableHandbook[],5,FALSE)),"")</f>
        <v/>
      </c>
      <c r="H37" s="168" t="str">
        <f>IFERROR(VLOOKUP($A37,TableHandbook[],H$2,FALSE),"")</f>
        <v/>
      </c>
      <c r="I37" s="169" t="str">
        <f>IFERROR(VLOOKUP($A37,TableHandbook[],I$2,FALSE),"")</f>
        <v/>
      </c>
      <c r="J37" s="168" t="str">
        <f>IFERROR(VLOOKUP($A37,TableHandbook[],J$2,FALSE),"")</f>
        <v/>
      </c>
      <c r="K37" s="169" t="str">
        <f>IFERROR(VLOOKUP($A37,TableHandbook[],K$2,FALSE),"")</f>
        <v/>
      </c>
      <c r="L37" s="118"/>
      <c r="M37" s="170">
        <v>23</v>
      </c>
      <c r="N37" s="171"/>
      <c r="O37" s="171"/>
    </row>
    <row r="38" spans="1:16" s="183" customFormat="1" ht="19.5" customHeight="1" x14ac:dyDescent="0.15">
      <c r="A38" s="164" t="str">
        <f>IFERROR(IF(HLOOKUP($L$4,RangeUnitsets,M38,FALSE)=0,"",HLOOKUP($L$4,RangeUnitsets,M38,FALSE)),"")</f>
        <v/>
      </c>
      <c r="B38" s="179" t="str">
        <f>IFERROR(IF(VLOOKUP($A38,TableHandbook[],2,FALSE)=0,"",VLOOKUP($A38,TableHandbook[],2,FALSE)),"")</f>
        <v/>
      </c>
      <c r="C38" s="179" t="str">
        <f>IFERROR(IF(VLOOKUP($A38,TableHandbook[],3,FALSE)=0,"",VLOOKUP($A38,TableHandbook[],3,FALSE)),"")</f>
        <v/>
      </c>
      <c r="D38" s="184" t="str">
        <f>IFERROR(IF(VLOOKUP($A38,TableHandbook[],4,FALSE)=0,"",VLOOKUP($A38,TableHandbook[],4,FALSE)),"")</f>
        <v/>
      </c>
      <c r="E38" s="179" t="str">
        <f t="shared" ref="E38:E39" si="7">IF(OR(A38="",A38="-"),"",E37)</f>
        <v/>
      </c>
      <c r="F38" s="167" t="str">
        <f>IFERROR(IF(VLOOKUP($A38,TableHandbook[],6,FALSE)=0,"",VLOOKUP($A38,TableHandbook[],6,FALSE)),"")</f>
        <v/>
      </c>
      <c r="G38" s="165" t="str">
        <f>IFERROR(IF(VLOOKUP($A38,TableHandbook[],5,FALSE)=0,"",VLOOKUP($A38,TableHandbook[],5,FALSE)),"")</f>
        <v/>
      </c>
      <c r="H38" s="168" t="str">
        <f>IFERROR(VLOOKUP($A38,TableHandbook[],H$2,FALSE),"")</f>
        <v/>
      </c>
      <c r="I38" s="169" t="str">
        <f>IFERROR(VLOOKUP($A38,TableHandbook[],I$2,FALSE),"")</f>
        <v/>
      </c>
      <c r="J38" s="168" t="str">
        <f>IFERROR(VLOOKUP($A38,TableHandbook[],J$2,FALSE),"")</f>
        <v/>
      </c>
      <c r="K38" s="169" t="str">
        <f>IFERROR(VLOOKUP($A38,TableHandbook[],K$2,FALSE),"")</f>
        <v/>
      </c>
      <c r="L38" s="118"/>
      <c r="M38" s="170">
        <v>24</v>
      </c>
      <c r="N38" s="182"/>
      <c r="O38" s="182"/>
    </row>
    <row r="39" spans="1:16" s="183" customFormat="1" ht="19.5" customHeight="1" x14ac:dyDescent="0.15">
      <c r="A39" s="164" t="str">
        <f>IFERROR(IF(HLOOKUP($L$4,RangeUnitsets,M39,FALSE)=0,"",HLOOKUP($L$4,RangeUnitsets,M39,FALSE)),"")</f>
        <v/>
      </c>
      <c r="B39" s="179" t="str">
        <f>IFERROR(IF(VLOOKUP($A39,TableHandbook[],2,FALSE)=0,"",VLOOKUP($A39,TableHandbook[],2,FALSE)),"")</f>
        <v/>
      </c>
      <c r="C39" s="179" t="str">
        <f>IFERROR(IF(VLOOKUP($A39,TableHandbook[],3,FALSE)=0,"",VLOOKUP($A39,TableHandbook[],3,FALSE)),"")</f>
        <v/>
      </c>
      <c r="D39" s="184" t="str">
        <f>IFERROR(IF(VLOOKUP($A39,TableHandbook[],4,FALSE)=0,"",VLOOKUP($A39,TableHandbook[],4,FALSE)),"")</f>
        <v/>
      </c>
      <c r="E39" s="165" t="str">
        <f t="shared" si="7"/>
        <v/>
      </c>
      <c r="F39" s="167" t="str">
        <f>IFERROR(IF(VLOOKUP($A39,TableHandbook[],6,FALSE)=0,"",VLOOKUP($A39,TableHandbook[],6,FALSE)),"")</f>
        <v/>
      </c>
      <c r="G39" s="165" t="str">
        <f>IFERROR(IF(VLOOKUP($A39,TableHandbook[],5,FALSE)=0,"",VLOOKUP($A39,TableHandbook[],5,FALSE)),"")</f>
        <v/>
      </c>
      <c r="H39" s="168" t="str">
        <f>IFERROR(VLOOKUP($A39,TableHandbook[],H$2,FALSE),"")</f>
        <v/>
      </c>
      <c r="I39" s="169" t="str">
        <f>IFERROR(VLOOKUP($A39,TableHandbook[],I$2,FALSE),"")</f>
        <v/>
      </c>
      <c r="J39" s="168" t="str">
        <f>IFERROR(VLOOKUP($A39,TableHandbook[],J$2,FALSE),"")</f>
        <v/>
      </c>
      <c r="K39" s="169" t="str">
        <f>IFERROR(VLOOKUP($A39,TableHandbook[],K$2,FALSE),"")</f>
        <v/>
      </c>
      <c r="L39" s="118"/>
      <c r="M39" s="170">
        <v>25</v>
      </c>
      <c r="N39" s="182"/>
      <c r="O39" s="182"/>
    </row>
    <row r="40" spans="1:16" s="183" customFormat="1" ht="21" x14ac:dyDescent="0.15">
      <c r="A40" s="152" t="s">
        <v>35</v>
      </c>
      <c r="B40" s="152"/>
      <c r="C40" s="152"/>
      <c r="D40" s="153" t="s">
        <v>3</v>
      </c>
      <c r="E40" s="160"/>
      <c r="F40" s="161"/>
      <c r="G40" s="152" t="s">
        <v>27</v>
      </c>
      <c r="H40" s="162" t="str">
        <f>H$10</f>
        <v>Sem1 BEN</v>
      </c>
      <c r="I40" s="163" t="str">
        <f t="shared" ref="I40:L40" si="8">I$10</f>
        <v>Sem1 FO</v>
      </c>
      <c r="J40" s="162" t="str">
        <f t="shared" si="8"/>
        <v>Sem2 BEN</v>
      </c>
      <c r="K40" s="163" t="str">
        <f t="shared" si="8"/>
        <v>Sem2 FO</v>
      </c>
      <c r="L40" s="223" t="str">
        <f t="shared" si="8"/>
        <v>Notes / Progress</v>
      </c>
      <c r="M40" s="185"/>
      <c r="N40" s="182"/>
      <c r="O40" s="182"/>
    </row>
    <row r="41" spans="1:16" s="183" customFormat="1" ht="19.5" customHeight="1" x14ac:dyDescent="0.15">
      <c r="A41" s="164" t="str">
        <f t="shared" ref="A41:A49" si="9">IFERROR(IF(HLOOKUP($L$4,RangeUnitsets,M41,FALSE)=0,"",HLOOKUP($L$4,RangeUnitsets,M41,FALSE)),"")</f>
        <v/>
      </c>
      <c r="B41" s="179" t="str">
        <f>IFERROR(IF(VLOOKUP($A41,TableHandbook[],2,FALSE)=0,"",VLOOKUP($A41,TableHandbook[],2,FALSE)),"")</f>
        <v/>
      </c>
      <c r="C41" s="179" t="str">
        <f>IFERROR(IF(VLOOKUP($A41,TableHandbook[],3,FALSE)=0,"",VLOOKUP($A41,TableHandbook[],3,FALSE)),"")</f>
        <v/>
      </c>
      <c r="D41" s="186" t="str">
        <f>IFERROR(IF(VLOOKUP($A41,TableHandbook[],4,FALSE)=0,"",VLOOKUP($A41,TableHandbook[],4,FALSE)),"")</f>
        <v/>
      </c>
      <c r="E41" s="179" t="str">
        <f>IF(A41="","",VLOOKUP($D$8,TableStudyPeriod[],2,FALSE))</f>
        <v/>
      </c>
      <c r="F41" s="167" t="str">
        <f>IFERROR(IF(VLOOKUP($A41,TableHandbook[],6,FALSE)=0,"",VLOOKUP($A41,TableHandbook[],6,FALSE)),"")</f>
        <v/>
      </c>
      <c r="G41" s="165" t="str">
        <f>IFERROR(IF(VLOOKUP($A41,TableHandbook[],5,FALSE)=0,"",VLOOKUP($A41,TableHandbook[],5,FALSE)),"")</f>
        <v/>
      </c>
      <c r="H41" s="168" t="str">
        <f>IFERROR(VLOOKUP($A41,TableHandbook[],H$2,FALSE),"")</f>
        <v/>
      </c>
      <c r="I41" s="169" t="str">
        <f>IFERROR(VLOOKUP($A41,TableHandbook[],I$2,FALSE),"")</f>
        <v/>
      </c>
      <c r="J41" s="168" t="str">
        <f>IFERROR(VLOOKUP($A41,TableHandbook[],J$2,FALSE),"")</f>
        <v/>
      </c>
      <c r="K41" s="169" t="str">
        <f>IFERROR(VLOOKUP($A41,TableHandbook[],K$2,FALSE),"")</f>
        <v/>
      </c>
      <c r="L41" s="118"/>
      <c r="M41" s="170">
        <v>26</v>
      </c>
      <c r="N41" s="182"/>
      <c r="O41" s="182"/>
    </row>
    <row r="42" spans="1:16" s="183" customFormat="1" ht="19.5" customHeight="1" x14ac:dyDescent="0.15">
      <c r="A42" s="164" t="str">
        <f t="shared" si="9"/>
        <v/>
      </c>
      <c r="B42" s="179" t="str">
        <f>IFERROR(IF(VLOOKUP($A42,TableHandbook[],2,FALSE)=0,"",VLOOKUP($A42,TableHandbook[],2,FALSE)),"")</f>
        <v/>
      </c>
      <c r="C42" s="179" t="str">
        <f>IFERROR(IF(VLOOKUP($A42,TableHandbook[],3,FALSE)=0,"",VLOOKUP($A42,TableHandbook[],3,FALSE)),"")</f>
        <v/>
      </c>
      <c r="D42" s="184" t="str">
        <f>IFERROR(IF(VLOOKUP($A42,TableHandbook[],4,FALSE)=0,"",VLOOKUP($A42,TableHandbook[],4,FALSE)),"")</f>
        <v/>
      </c>
      <c r="E42" s="179" t="str">
        <f>IF(OR(A42="",A42="-"),"",E41)</f>
        <v/>
      </c>
      <c r="F42" s="167" t="str">
        <f>IFERROR(IF(VLOOKUP($A42,TableHandbook[],6,FALSE)=0,"",VLOOKUP($A42,TableHandbook[],6,FALSE)),"")</f>
        <v/>
      </c>
      <c r="G42" s="165" t="str">
        <f>IFERROR(IF(VLOOKUP($A42,TableHandbook[],5,FALSE)=0,"",VLOOKUP($A42,TableHandbook[],5,FALSE)),"")</f>
        <v/>
      </c>
      <c r="H42" s="168" t="str">
        <f>IFERROR(VLOOKUP($A42,TableHandbook[],H$2,FALSE),"")</f>
        <v/>
      </c>
      <c r="I42" s="169" t="str">
        <f>IFERROR(VLOOKUP($A42,TableHandbook[],I$2,FALSE),"")</f>
        <v/>
      </c>
      <c r="J42" s="168" t="str">
        <f>IFERROR(VLOOKUP($A42,TableHandbook[],J$2,FALSE),"")</f>
        <v/>
      </c>
      <c r="K42" s="169" t="str">
        <f>IFERROR(VLOOKUP($A42,TableHandbook[],K$2,FALSE),"")</f>
        <v/>
      </c>
      <c r="L42" s="118"/>
      <c r="M42" s="170">
        <v>27</v>
      </c>
      <c r="N42" s="182"/>
      <c r="O42" s="182"/>
    </row>
    <row r="43" spans="1:16" s="183" customFormat="1" ht="19.5" customHeight="1" x14ac:dyDescent="0.15">
      <c r="A43" s="164" t="str">
        <f t="shared" si="9"/>
        <v/>
      </c>
      <c r="B43" s="179" t="str">
        <f>IFERROR(IF(VLOOKUP($A43,TableHandbook[],2,FALSE)=0,"",VLOOKUP($A43,TableHandbook[],2,FALSE)),"")</f>
        <v/>
      </c>
      <c r="C43" s="179" t="str">
        <f>IFERROR(IF(VLOOKUP($A43,TableHandbook[],3,FALSE)=0,"",VLOOKUP($A43,TableHandbook[],3,FALSE)),"")</f>
        <v/>
      </c>
      <c r="D43" s="184" t="str">
        <f>IFERROR(IF(VLOOKUP($A43,TableHandbook[],4,FALSE)=0,"",VLOOKUP($A43,TableHandbook[],4,FALSE)),"")</f>
        <v/>
      </c>
      <c r="E43" s="179" t="str">
        <f t="shared" ref="E43:E44" si="10">IF(OR(A43="",A43="-"),"",E42)</f>
        <v/>
      </c>
      <c r="F43" s="167" t="str">
        <f>IFERROR(IF(VLOOKUP($A43,TableHandbook[],6,FALSE)=0,"",VLOOKUP($A43,TableHandbook[],6,FALSE)),"")</f>
        <v/>
      </c>
      <c r="G43" s="165" t="str">
        <f>IFERROR(IF(VLOOKUP($A43,TableHandbook[],5,FALSE)=0,"",VLOOKUP($A43,TableHandbook[],5,FALSE)),"")</f>
        <v/>
      </c>
      <c r="H43" s="168" t="str">
        <f>IFERROR(VLOOKUP($A43,TableHandbook[],H$2,FALSE),"")</f>
        <v/>
      </c>
      <c r="I43" s="169" t="str">
        <f>IFERROR(VLOOKUP($A43,TableHandbook[],I$2,FALSE),"")</f>
        <v/>
      </c>
      <c r="J43" s="168" t="str">
        <f>IFERROR(VLOOKUP($A43,TableHandbook[],J$2,FALSE),"")</f>
        <v/>
      </c>
      <c r="K43" s="169" t="str">
        <f>IFERROR(VLOOKUP($A43,TableHandbook[],K$2,FALSE),"")</f>
        <v/>
      </c>
      <c r="L43" s="118"/>
      <c r="M43" s="170">
        <v>28</v>
      </c>
      <c r="N43" s="182"/>
      <c r="O43" s="182"/>
    </row>
    <row r="44" spans="1:16" s="183" customFormat="1" ht="19.5" customHeight="1" x14ac:dyDescent="0.15">
      <c r="A44" s="164" t="str">
        <f t="shared" si="9"/>
        <v/>
      </c>
      <c r="B44" s="179" t="str">
        <f>IFERROR(IF(VLOOKUP($A44,TableHandbook[],2,FALSE)=0,"",VLOOKUP($A44,TableHandbook[],2,FALSE)),"")</f>
        <v/>
      </c>
      <c r="C44" s="179" t="str">
        <f>IFERROR(IF(VLOOKUP($A44,TableHandbook[],3,FALSE)=0,"",VLOOKUP($A44,TableHandbook[],3,FALSE)),"")</f>
        <v/>
      </c>
      <c r="D44" s="184" t="str">
        <f>IFERROR(IF(VLOOKUP($A44,TableHandbook[],4,FALSE)=0,"",VLOOKUP($A44,TableHandbook[],4,FALSE)),"")</f>
        <v/>
      </c>
      <c r="E44" s="179" t="str">
        <f t="shared" si="10"/>
        <v/>
      </c>
      <c r="F44" s="167" t="str">
        <f>IFERROR(IF(VLOOKUP($A44,TableHandbook[],6,FALSE)=0,"",VLOOKUP($A44,TableHandbook[],6,FALSE)),"")</f>
        <v/>
      </c>
      <c r="G44" s="165" t="str">
        <f>IFERROR(IF(VLOOKUP($A44,TableHandbook[],5,FALSE)=0,"",VLOOKUP($A44,TableHandbook[],5,FALSE)),"")</f>
        <v/>
      </c>
      <c r="H44" s="168" t="str">
        <f>IFERROR(VLOOKUP($A44,TableHandbook[],H$2,FALSE),"")</f>
        <v/>
      </c>
      <c r="I44" s="169" t="str">
        <f>IFERROR(VLOOKUP($A44,TableHandbook[],I$2,FALSE),"")</f>
        <v/>
      </c>
      <c r="J44" s="168" t="str">
        <f>IFERROR(VLOOKUP($A44,TableHandbook[],J$2,FALSE),"")</f>
        <v/>
      </c>
      <c r="K44" s="169" t="str">
        <f>IFERROR(VLOOKUP($A44,TableHandbook[],K$2,FALSE),"")</f>
        <v/>
      </c>
      <c r="L44" s="118"/>
      <c r="M44" s="170">
        <v>29</v>
      </c>
      <c r="N44" s="182"/>
      <c r="O44" s="182"/>
    </row>
    <row r="45" spans="1:16" s="172" customFormat="1" ht="5.0999999999999996" customHeight="1" x14ac:dyDescent="0.15">
      <c r="A45" s="173"/>
      <c r="B45" s="174"/>
      <c r="C45" s="174"/>
      <c r="D45" s="175"/>
      <c r="E45" s="174"/>
      <c r="F45" s="176"/>
      <c r="G45" s="174"/>
      <c r="H45" s="177"/>
      <c r="I45" s="178"/>
      <c r="J45" s="177"/>
      <c r="K45" s="178"/>
      <c r="L45" s="222"/>
      <c r="M45" s="170"/>
      <c r="N45" s="171"/>
      <c r="O45" s="171"/>
      <c r="P45" s="171"/>
    </row>
    <row r="46" spans="1:16" s="183" customFormat="1" ht="19.5" customHeight="1" x14ac:dyDescent="0.15">
      <c r="A46" s="164" t="str">
        <f t="shared" si="9"/>
        <v/>
      </c>
      <c r="B46" s="179" t="str">
        <f>IFERROR(IF(VLOOKUP($A46,TableHandbook[],2,FALSE)=0,"",VLOOKUP($A46,TableHandbook[],2,FALSE)),"")</f>
        <v/>
      </c>
      <c r="C46" s="179" t="str">
        <f>IFERROR(IF(VLOOKUP($A46,TableHandbook[],3,FALSE)=0,"",VLOOKUP($A46,TableHandbook[],3,FALSE)),"")</f>
        <v/>
      </c>
      <c r="D46" s="184" t="str">
        <f>IFERROR(IF(VLOOKUP($A46,TableHandbook[],4,FALSE)=0,"",VLOOKUP($A46,TableHandbook[],4,FALSE)),"")</f>
        <v/>
      </c>
      <c r="E46" s="179" t="str">
        <f>IF(A46="","",VLOOKUP($D$8,TableStudyPeriod[],3,FALSE))</f>
        <v/>
      </c>
      <c r="F46" s="167" t="str">
        <f>IFERROR(IF(VLOOKUP($A46,TableHandbook[],6,FALSE)=0,"",VLOOKUP($A46,TableHandbook[],6,FALSE)),"")</f>
        <v/>
      </c>
      <c r="G46" s="165" t="str">
        <f>IFERROR(IF(VLOOKUP($A46,TableHandbook[],5,FALSE)=0,"",VLOOKUP($A46,TableHandbook[],5,FALSE)),"")</f>
        <v/>
      </c>
      <c r="H46" s="168" t="str">
        <f>IFERROR(VLOOKUP($A46,TableHandbook[],H$2,FALSE),"")</f>
        <v/>
      </c>
      <c r="I46" s="169" t="str">
        <f>IFERROR(VLOOKUP($A46,TableHandbook[],I$2,FALSE),"")</f>
        <v/>
      </c>
      <c r="J46" s="168" t="str">
        <f>IFERROR(VLOOKUP($A46,TableHandbook[],J$2,FALSE),"")</f>
        <v/>
      </c>
      <c r="K46" s="169" t="str">
        <f>IFERROR(VLOOKUP($A46,TableHandbook[],K$2,FALSE),"")</f>
        <v/>
      </c>
      <c r="L46" s="118"/>
      <c r="M46" s="170">
        <v>30</v>
      </c>
      <c r="N46" s="182"/>
      <c r="O46" s="182"/>
    </row>
    <row r="47" spans="1:16" s="183" customFormat="1" ht="19.5" customHeight="1" x14ac:dyDescent="0.15">
      <c r="A47" s="164" t="str">
        <f t="shared" si="9"/>
        <v/>
      </c>
      <c r="B47" s="179" t="str">
        <f>IFERROR(IF(VLOOKUP($A47,TableHandbook[],2,FALSE)=0,"",VLOOKUP($A47,TableHandbook[],2,FALSE)),"")</f>
        <v/>
      </c>
      <c r="C47" s="179" t="str">
        <f>IFERROR(IF(VLOOKUP($A47,TableHandbook[],3,FALSE)=0,"",VLOOKUP($A47,TableHandbook[],3,FALSE)),"")</f>
        <v/>
      </c>
      <c r="D47" s="184" t="str">
        <f>IFERROR(IF(VLOOKUP($A47,TableHandbook[],4,FALSE)=0,"",VLOOKUP($A47,TableHandbook[],4,FALSE)),"")</f>
        <v/>
      </c>
      <c r="E47" s="179" t="str">
        <f>IF(OR(A47="",A47="-"),"",E46)</f>
        <v/>
      </c>
      <c r="F47" s="167" t="str">
        <f>IFERROR(IF(VLOOKUP($A47,TableHandbook[],6,FALSE)=0,"",VLOOKUP($A47,TableHandbook[],6,FALSE)),"")</f>
        <v/>
      </c>
      <c r="G47" s="165" t="str">
        <f>IFERROR(IF(VLOOKUP($A47,TableHandbook[],5,FALSE)=0,"",VLOOKUP($A47,TableHandbook[],5,FALSE)),"")</f>
        <v/>
      </c>
      <c r="H47" s="168" t="str">
        <f>IFERROR(VLOOKUP($A47,TableHandbook[],H$2,FALSE),"")</f>
        <v/>
      </c>
      <c r="I47" s="169" t="str">
        <f>IFERROR(VLOOKUP($A47,TableHandbook[],I$2,FALSE),"")</f>
        <v/>
      </c>
      <c r="J47" s="168" t="str">
        <f>IFERROR(VLOOKUP($A47,TableHandbook[],J$2,FALSE),"")</f>
        <v/>
      </c>
      <c r="K47" s="169" t="str">
        <f>IFERROR(VLOOKUP($A47,TableHandbook[],K$2,FALSE),"")</f>
        <v/>
      </c>
      <c r="L47" s="118"/>
      <c r="M47" s="170">
        <v>31</v>
      </c>
      <c r="N47" s="182"/>
      <c r="O47" s="182"/>
    </row>
    <row r="48" spans="1:16" s="183" customFormat="1" ht="19.5" customHeight="1" x14ac:dyDescent="0.15">
      <c r="A48" s="164" t="str">
        <f t="shared" si="9"/>
        <v/>
      </c>
      <c r="B48" s="179" t="str">
        <f>IFERROR(IF(VLOOKUP($A48,TableHandbook[],2,FALSE)=0,"",VLOOKUP($A48,TableHandbook[],2,FALSE)),"")</f>
        <v/>
      </c>
      <c r="C48" s="179" t="str">
        <f>IFERROR(IF(VLOOKUP($A48,TableHandbook[],3,FALSE)=0,"",VLOOKUP($A48,TableHandbook[],3,FALSE)),"")</f>
        <v/>
      </c>
      <c r="D48" s="184" t="str">
        <f>IFERROR(IF(VLOOKUP($A48,TableHandbook[],4,FALSE)=0,"",VLOOKUP($A48,TableHandbook[],4,FALSE)),"")</f>
        <v/>
      </c>
      <c r="E48" s="179" t="str">
        <f t="shared" ref="E48:E49" si="11">IF(OR(A48="",A48="-"),"",E47)</f>
        <v/>
      </c>
      <c r="F48" s="167" t="str">
        <f>IFERROR(IF(VLOOKUP($A48,TableHandbook[],6,FALSE)=0,"",VLOOKUP($A48,TableHandbook[],6,FALSE)),"")</f>
        <v/>
      </c>
      <c r="G48" s="165" t="str">
        <f>IFERROR(IF(VLOOKUP($A48,TableHandbook[],5,FALSE)=0,"",VLOOKUP($A48,TableHandbook[],5,FALSE)),"")</f>
        <v/>
      </c>
      <c r="H48" s="168" t="str">
        <f>IFERROR(VLOOKUP($A48,TableHandbook[],H$2,FALSE),"")</f>
        <v/>
      </c>
      <c r="I48" s="169" t="str">
        <f>IFERROR(VLOOKUP($A48,TableHandbook[],I$2,FALSE),"")</f>
        <v/>
      </c>
      <c r="J48" s="168" t="str">
        <f>IFERROR(VLOOKUP($A48,TableHandbook[],J$2,FALSE),"")</f>
        <v/>
      </c>
      <c r="K48" s="169" t="str">
        <f>IFERROR(VLOOKUP($A48,TableHandbook[],K$2,FALSE),"")</f>
        <v/>
      </c>
      <c r="L48" s="118"/>
      <c r="M48" s="170">
        <v>32</v>
      </c>
      <c r="N48" s="182"/>
      <c r="O48" s="182"/>
    </row>
    <row r="49" spans="1:15" s="183" customFormat="1" ht="19.5" customHeight="1" x14ac:dyDescent="0.15">
      <c r="A49" s="164" t="str">
        <f t="shared" si="9"/>
        <v/>
      </c>
      <c r="B49" s="179" t="str">
        <f>IFERROR(IF(VLOOKUP($A49,TableHandbook[],2,FALSE)=0,"",VLOOKUP($A49,TableHandbook[],2,FALSE)),"")</f>
        <v/>
      </c>
      <c r="C49" s="179" t="str">
        <f>IFERROR(IF(VLOOKUP($A49,TableHandbook[],3,FALSE)=0,"",VLOOKUP($A49,TableHandbook[],3,FALSE)),"")</f>
        <v/>
      </c>
      <c r="D49" s="184" t="str">
        <f>IFERROR(IF(VLOOKUP($A49,TableHandbook[],4,FALSE)=0,"",VLOOKUP($A49,TableHandbook[],4,FALSE)),"")</f>
        <v/>
      </c>
      <c r="E49" s="165" t="str">
        <f t="shared" si="11"/>
        <v/>
      </c>
      <c r="F49" s="167" t="str">
        <f>IFERROR(IF(VLOOKUP($A49,TableHandbook[],6,FALSE)=0,"",VLOOKUP($A49,TableHandbook[],6,FALSE)),"")</f>
        <v/>
      </c>
      <c r="G49" s="165" t="str">
        <f>IFERROR(IF(VLOOKUP($A49,TableHandbook[],5,FALSE)=0,"",VLOOKUP($A49,TableHandbook[],5,FALSE)),"")</f>
        <v/>
      </c>
      <c r="H49" s="168" t="str">
        <f>IFERROR(VLOOKUP($A49,TableHandbook[],H$2,FALSE),"")</f>
        <v/>
      </c>
      <c r="I49" s="169" t="str">
        <f>IFERROR(VLOOKUP($A49,TableHandbook[],I$2,FALSE),"")</f>
        <v/>
      </c>
      <c r="J49" s="168" t="str">
        <f>IFERROR(VLOOKUP($A49,TableHandbook[],J$2,FALSE),"")</f>
        <v/>
      </c>
      <c r="K49" s="169" t="str">
        <f>IFERROR(VLOOKUP($A49,TableHandbook[],K$2,FALSE),"")</f>
        <v/>
      </c>
      <c r="L49" s="118"/>
      <c r="M49" s="170">
        <v>33</v>
      </c>
      <c r="N49" s="182"/>
      <c r="O49" s="182"/>
    </row>
    <row r="50" spans="1:15" s="193" customFormat="1" ht="13.9" customHeight="1" x14ac:dyDescent="0.2">
      <c r="A50" s="187"/>
      <c r="B50" s="187"/>
      <c r="C50" s="187"/>
      <c r="D50" s="188"/>
      <c r="E50" s="188"/>
      <c r="F50" s="189"/>
      <c r="G50" s="190"/>
      <c r="H50" s="190"/>
      <c r="I50" s="190"/>
      <c r="J50" s="190"/>
      <c r="K50" s="190"/>
      <c r="L50" s="190"/>
      <c r="M50" s="191"/>
      <c r="N50" s="192"/>
      <c r="O50" s="192"/>
    </row>
    <row r="51" spans="1:15" ht="16.5" x14ac:dyDescent="0.25">
      <c r="A51" s="194" t="str">
        <f>D7</f>
        <v>Choose your Specialisation (drop-down list)</v>
      </c>
      <c r="B51" s="195"/>
      <c r="C51" s="195"/>
      <c r="D51" s="194"/>
      <c r="E51" s="196"/>
      <c r="F51" s="197"/>
      <c r="G51" s="196"/>
      <c r="H51" s="155" t="str">
        <f>H9</f>
        <v>2025 Availabilities</v>
      </c>
      <c r="I51" s="156"/>
      <c r="J51" s="198"/>
      <c r="K51" s="199"/>
      <c r="L51" s="200" t="e">
        <f>VLOOKUP(D7,TableSpecialisations[],2,FALSE)</f>
        <v>#N/A</v>
      </c>
      <c r="M51" s="201"/>
    </row>
    <row r="52" spans="1:15" s="204" customFormat="1" ht="21" x14ac:dyDescent="0.25">
      <c r="A52" s="202"/>
      <c r="B52" s="203"/>
      <c r="C52" s="203"/>
      <c r="D52" s="153" t="s">
        <v>3</v>
      </c>
      <c r="E52" s="160"/>
      <c r="F52" s="161" t="s">
        <v>26</v>
      </c>
      <c r="G52" s="152" t="s">
        <v>27</v>
      </c>
      <c r="H52" s="162" t="str">
        <f>H$10</f>
        <v>Sem1 BEN</v>
      </c>
      <c r="I52" s="163" t="str">
        <f t="shared" ref="I52:L52" si="12">I$10</f>
        <v>Sem1 FO</v>
      </c>
      <c r="J52" s="162" t="str">
        <f t="shared" si="12"/>
        <v>Sem2 BEN</v>
      </c>
      <c r="K52" s="163" t="str">
        <f t="shared" si="12"/>
        <v>Sem2 FO</v>
      </c>
      <c r="L52" s="152" t="str">
        <f t="shared" si="12"/>
        <v>Notes / Progress</v>
      </c>
      <c r="M52" s="201"/>
    </row>
    <row r="53" spans="1:15" s="209" customFormat="1" x14ac:dyDescent="0.25">
      <c r="A53" s="205" t="str">
        <f t="shared" ref="A53:A59" si="13">IFERROR(IF(HLOOKUP($L$51,RangeSpecSets,M53,FALSE)=0,"",HLOOKUP($L$51,RangeSpecSets,M53,FALSE)),"")</f>
        <v/>
      </c>
      <c r="B53" s="206" t="str">
        <f>IFERROR(IF(VLOOKUP($A53,TableHandbook[],2,FALSE)=0,"",VLOOKUP($A53,TableHandbook[],2,FALSE)),"")</f>
        <v/>
      </c>
      <c r="C53" s="207" t="str">
        <f>IFERROR(IF(VLOOKUP($A53,TableHandbook[],3,FALSE)=0,"",VLOOKUP($A53,TableHandbook[],3,FALSE)),"")</f>
        <v/>
      </c>
      <c r="D53" s="207" t="str">
        <f>IFERROR(IF(VLOOKUP($A53,TableHandbook[],4,FALSE)=0,"",VLOOKUP($A53,TableHandbook[],4,FALSE)),"")</f>
        <v/>
      </c>
      <c r="E53" s="207"/>
      <c r="F53" s="167" t="str">
        <f>IFERROR(IF(VLOOKUP($A53,TableHandbook[],6,FALSE)=0,"",VLOOKUP($A53,TableHandbook[],6,FALSE)),"")</f>
        <v/>
      </c>
      <c r="G53" s="208" t="str">
        <f>IFERROR(IF(VLOOKUP($A53,TableHandbook[],5,FALSE)=0,"",VLOOKUP($A53,TableHandbook[],5,FALSE)),"")</f>
        <v/>
      </c>
      <c r="H53" s="168" t="str">
        <f>IFERROR(VLOOKUP($A53,TableHandbook[],H$2,FALSE),"")</f>
        <v/>
      </c>
      <c r="I53" s="169" t="str">
        <f>IFERROR(VLOOKUP($A53,TableHandbook[],I$2,FALSE),"")</f>
        <v/>
      </c>
      <c r="J53" s="168" t="str">
        <f>IFERROR(VLOOKUP($A53,TableHandbook[],J$2,FALSE),"")</f>
        <v/>
      </c>
      <c r="K53" s="169" t="str">
        <f>IFERROR(VLOOKUP($A53,TableHandbook[],K$2,FALSE),"")</f>
        <v/>
      </c>
      <c r="L53" s="69"/>
      <c r="M53" s="170">
        <v>2</v>
      </c>
    </row>
    <row r="54" spans="1:15" s="209" customFormat="1" x14ac:dyDescent="0.25">
      <c r="A54" s="205" t="str">
        <f t="shared" si="13"/>
        <v/>
      </c>
      <c r="B54" s="206" t="str">
        <f>IFERROR(IF(VLOOKUP($A54,TableHandbook[],2,FALSE)=0,"",VLOOKUP($A54,TableHandbook[],2,FALSE)),"")</f>
        <v/>
      </c>
      <c r="C54" s="207" t="str">
        <f>IFERROR(IF(VLOOKUP($A54,TableHandbook[],3,FALSE)=0,"",VLOOKUP($A54,TableHandbook[],3,FALSE)),"")</f>
        <v/>
      </c>
      <c r="D54" s="207" t="str">
        <f>IFERROR(IF(VLOOKUP($A54,TableHandbook[],4,FALSE)=0,"",VLOOKUP($A54,TableHandbook[],4,FALSE)),"")</f>
        <v/>
      </c>
      <c r="E54" s="207"/>
      <c r="F54" s="167" t="str">
        <f>IFERROR(IF(VLOOKUP($A54,TableHandbook[],6,FALSE)=0,"",VLOOKUP($A54,TableHandbook[],6,FALSE)),"")</f>
        <v/>
      </c>
      <c r="G54" s="208" t="str">
        <f>IFERROR(IF(VLOOKUP($A54,TableHandbook[],5,FALSE)=0,"",VLOOKUP($A54,TableHandbook[],5,FALSE)),"")</f>
        <v/>
      </c>
      <c r="H54" s="168" t="str">
        <f>IFERROR(VLOOKUP($A54,TableHandbook[],H$2,FALSE),"")</f>
        <v/>
      </c>
      <c r="I54" s="169" t="str">
        <f>IFERROR(VLOOKUP($A54,TableHandbook[],I$2,FALSE),"")</f>
        <v/>
      </c>
      <c r="J54" s="168" t="str">
        <f>IFERROR(VLOOKUP($A54,TableHandbook[],J$2,FALSE),"")</f>
        <v/>
      </c>
      <c r="K54" s="169" t="str">
        <f>IFERROR(VLOOKUP($A54,TableHandbook[],K$2,FALSE),"")</f>
        <v/>
      </c>
      <c r="L54" s="69"/>
      <c r="M54" s="170">
        <v>3</v>
      </c>
    </row>
    <row r="55" spans="1:15" s="209" customFormat="1" x14ac:dyDescent="0.25">
      <c r="A55" s="205" t="str">
        <f t="shared" si="13"/>
        <v/>
      </c>
      <c r="B55" s="206" t="str">
        <f>IFERROR(IF(VLOOKUP($A55,TableHandbook[],2,FALSE)=0,"",VLOOKUP($A55,TableHandbook[],2,FALSE)),"")</f>
        <v/>
      </c>
      <c r="C55" s="207" t="str">
        <f>IFERROR(IF(VLOOKUP($A55,TableHandbook[],3,FALSE)=0,"",VLOOKUP($A55,TableHandbook[],3,FALSE)),"")</f>
        <v/>
      </c>
      <c r="D55" s="207" t="str">
        <f>IFERROR(IF(VLOOKUP($A55,TableHandbook[],4,FALSE)=0,"",VLOOKUP($A55,TableHandbook[],4,FALSE)),"")</f>
        <v/>
      </c>
      <c r="E55" s="207"/>
      <c r="F55" s="167" t="str">
        <f>IFERROR(IF(VLOOKUP($A55,TableHandbook[],6,FALSE)=0,"",VLOOKUP($A55,TableHandbook[],6,FALSE)),"")</f>
        <v/>
      </c>
      <c r="G55" s="208" t="str">
        <f>IFERROR(IF(VLOOKUP($A55,TableHandbook[],5,FALSE)=0,"",VLOOKUP($A55,TableHandbook[],5,FALSE)),"")</f>
        <v/>
      </c>
      <c r="H55" s="168" t="str">
        <f>IFERROR(VLOOKUP($A55,TableHandbook[],H$2,FALSE),"")</f>
        <v/>
      </c>
      <c r="I55" s="169" t="str">
        <f>IFERROR(VLOOKUP($A55,TableHandbook[],I$2,FALSE),"")</f>
        <v/>
      </c>
      <c r="J55" s="168" t="str">
        <f>IFERROR(VLOOKUP($A55,TableHandbook[],J$2,FALSE),"")</f>
        <v/>
      </c>
      <c r="K55" s="169" t="str">
        <f>IFERROR(VLOOKUP($A55,TableHandbook[],K$2,FALSE),"")</f>
        <v/>
      </c>
      <c r="L55" s="69"/>
      <c r="M55" s="170">
        <v>4</v>
      </c>
    </row>
    <row r="56" spans="1:15" s="209" customFormat="1" x14ac:dyDescent="0.25">
      <c r="A56" s="205" t="str">
        <f t="shared" si="13"/>
        <v/>
      </c>
      <c r="B56" s="206" t="str">
        <f>IFERROR(IF(VLOOKUP($A56,TableHandbook[],2,FALSE)=0,"",VLOOKUP($A56,TableHandbook[],2,FALSE)),"")</f>
        <v/>
      </c>
      <c r="C56" s="207" t="str">
        <f>IFERROR(IF(VLOOKUP($A56,TableHandbook[],3,FALSE)=0,"",VLOOKUP($A56,TableHandbook[],3,FALSE)),"")</f>
        <v/>
      </c>
      <c r="D56" s="207" t="str">
        <f>IFERROR(IF(VLOOKUP($A56,TableHandbook[],4,FALSE)=0,"",VLOOKUP($A56,TableHandbook[],4,FALSE)),"")</f>
        <v/>
      </c>
      <c r="E56" s="207"/>
      <c r="F56" s="167" t="str">
        <f>IFERROR(IF(VLOOKUP($A56,TableHandbook[],6,FALSE)=0,"",VLOOKUP($A56,TableHandbook[],6,FALSE)),"")</f>
        <v/>
      </c>
      <c r="G56" s="208" t="str">
        <f>IFERROR(IF(VLOOKUP($A56,TableHandbook[],5,FALSE)=0,"",VLOOKUP($A56,TableHandbook[],5,FALSE)),"")</f>
        <v/>
      </c>
      <c r="H56" s="168" t="str">
        <f>IFERROR(VLOOKUP($A56,TableHandbook[],H$2,FALSE),"")</f>
        <v/>
      </c>
      <c r="I56" s="169" t="str">
        <f>IFERROR(VLOOKUP($A56,TableHandbook[],I$2,FALSE),"")</f>
        <v/>
      </c>
      <c r="J56" s="168" t="str">
        <f>IFERROR(VLOOKUP($A56,TableHandbook[],J$2,FALSE),"")</f>
        <v/>
      </c>
      <c r="K56" s="169" t="str">
        <f>IFERROR(VLOOKUP($A56,TableHandbook[],K$2,FALSE),"")</f>
        <v/>
      </c>
      <c r="L56" s="69"/>
      <c r="M56" s="170">
        <v>5</v>
      </c>
    </row>
    <row r="57" spans="1:15" s="209" customFormat="1" x14ac:dyDescent="0.25">
      <c r="A57" s="205" t="str">
        <f t="shared" si="13"/>
        <v/>
      </c>
      <c r="B57" s="206" t="str">
        <f>IFERROR(IF(VLOOKUP($A57,TableHandbook[],2,FALSE)=0,"",VLOOKUP($A57,TableHandbook[],2,FALSE)),"")</f>
        <v/>
      </c>
      <c r="C57" s="207" t="str">
        <f>IFERROR(IF(VLOOKUP($A57,TableHandbook[],3,FALSE)=0,"",VLOOKUP($A57,TableHandbook[],3,FALSE)),"")</f>
        <v/>
      </c>
      <c r="D57" s="207" t="str">
        <f>IFERROR(IF(VLOOKUP($A57,TableHandbook[],4,FALSE)=0,"",VLOOKUP($A57,TableHandbook[],4,FALSE)),"")</f>
        <v/>
      </c>
      <c r="E57" s="207"/>
      <c r="F57" s="210" t="str">
        <f>IFERROR(IF(VLOOKUP($A57,TableHandbook[],6,FALSE)=0,"",VLOOKUP($A57,TableHandbook[],6,FALSE)),"")</f>
        <v/>
      </c>
      <c r="G57" s="208" t="str">
        <f>IFERROR(IF(VLOOKUP($A57,TableHandbook[],5,FALSE)=0,"",VLOOKUP($A57,TableHandbook[],5,FALSE)),"")</f>
        <v/>
      </c>
      <c r="H57" s="168" t="str">
        <f>IFERROR(VLOOKUP($A57,TableHandbook[],H$2,FALSE),"")</f>
        <v/>
      </c>
      <c r="I57" s="169" t="str">
        <f>IFERROR(VLOOKUP($A57,TableHandbook[],I$2,FALSE),"")</f>
        <v/>
      </c>
      <c r="J57" s="168" t="str">
        <f>IFERROR(VLOOKUP($A57,TableHandbook[],J$2,FALSE),"")</f>
        <v/>
      </c>
      <c r="K57" s="169" t="str">
        <f>IFERROR(VLOOKUP($A57,TableHandbook[],K$2,FALSE),"")</f>
        <v/>
      </c>
      <c r="L57" s="69"/>
      <c r="M57" s="170">
        <v>6</v>
      </c>
    </row>
    <row r="58" spans="1:15" s="209" customFormat="1" x14ac:dyDescent="0.25">
      <c r="A58" s="205" t="str">
        <f t="shared" si="13"/>
        <v/>
      </c>
      <c r="B58" s="206" t="str">
        <f>IFERROR(IF(VLOOKUP($A58,TableHandbook[],2,FALSE)=0,"",VLOOKUP($A58,TableHandbook[],2,FALSE)),"")</f>
        <v/>
      </c>
      <c r="C58" s="207" t="str">
        <f>IFERROR(IF(VLOOKUP($A58,TableHandbook[],3,FALSE)=0,"",VLOOKUP($A58,TableHandbook[],3,FALSE)),"")</f>
        <v/>
      </c>
      <c r="D58" s="207" t="str">
        <f>IFERROR(IF(VLOOKUP($A58,TableHandbook[],4,FALSE)=0,"",VLOOKUP($A58,TableHandbook[],4,FALSE)),"")</f>
        <v/>
      </c>
      <c r="E58" s="207"/>
      <c r="F58" s="210" t="str">
        <f>IFERROR(IF(VLOOKUP($A58,TableHandbook[],6,FALSE)=0,"",VLOOKUP($A58,TableHandbook[],6,FALSE)),"")</f>
        <v/>
      </c>
      <c r="G58" s="208" t="str">
        <f>IFERROR(IF(VLOOKUP($A58,TableHandbook[],5,FALSE)=0,"",VLOOKUP($A58,TableHandbook[],5,FALSE)),"")</f>
        <v/>
      </c>
      <c r="H58" s="168" t="str">
        <f>IFERROR(VLOOKUP($A58,TableHandbook[],H$2,FALSE),"")</f>
        <v/>
      </c>
      <c r="I58" s="169" t="str">
        <f>IFERROR(VLOOKUP($A58,TableHandbook[],I$2,FALSE),"")</f>
        <v/>
      </c>
      <c r="J58" s="168" t="str">
        <f>IFERROR(VLOOKUP($A58,TableHandbook[],J$2,FALSE),"")</f>
        <v/>
      </c>
      <c r="K58" s="169" t="str">
        <f>IFERROR(VLOOKUP($A58,TableHandbook[],K$2,FALSE),"")</f>
        <v/>
      </c>
      <c r="L58" s="69"/>
      <c r="M58" s="170">
        <v>7</v>
      </c>
    </row>
    <row r="59" spans="1:15" s="209" customFormat="1" x14ac:dyDescent="0.25">
      <c r="A59" s="205" t="str">
        <f t="shared" si="13"/>
        <v/>
      </c>
      <c r="B59" s="206" t="str">
        <f>IFERROR(IF(VLOOKUP($A59,TableHandbook[],2,FALSE)=0,"",VLOOKUP($A59,TableHandbook[],2,FALSE)),"")</f>
        <v/>
      </c>
      <c r="C59" s="207" t="str">
        <f>IFERROR(IF(VLOOKUP($A59,TableHandbook[],3,FALSE)=0,"",VLOOKUP($A59,TableHandbook[],3,FALSE)),"")</f>
        <v/>
      </c>
      <c r="D59" s="207" t="str">
        <f>IFERROR(IF(VLOOKUP($A59,TableHandbook[],4,FALSE)=0,"",VLOOKUP($A59,TableHandbook[],4,FALSE)),"")</f>
        <v/>
      </c>
      <c r="E59" s="207"/>
      <c r="F59" s="210" t="str">
        <f>IFERROR(IF(VLOOKUP($A59,TableHandbook[],6,FALSE)=0,"",VLOOKUP($A59,TableHandbook[],6,FALSE)),"")</f>
        <v/>
      </c>
      <c r="G59" s="208" t="str">
        <f>IFERROR(IF(VLOOKUP($A59,TableHandbook[],5,FALSE)=0,"",VLOOKUP($A59,TableHandbook[],5,FALSE)),"")</f>
        <v/>
      </c>
      <c r="H59" s="168" t="str">
        <f>IFERROR(VLOOKUP($A59,TableHandbook[],H$2,FALSE),"")</f>
        <v/>
      </c>
      <c r="I59" s="169" t="str">
        <f>IFERROR(VLOOKUP($A59,TableHandbook[],I$2,FALSE),"")</f>
        <v/>
      </c>
      <c r="J59" s="168" t="str">
        <f>IFERROR(VLOOKUP($A59,TableHandbook[],J$2,FALSE),"")</f>
        <v/>
      </c>
      <c r="K59" s="169" t="str">
        <f>IFERROR(VLOOKUP($A59,TableHandbook[],K$2,FALSE),"")</f>
        <v/>
      </c>
      <c r="L59" s="69"/>
      <c r="M59" s="170">
        <v>8</v>
      </c>
    </row>
    <row r="60" spans="1:15" s="209" customFormat="1" x14ac:dyDescent="0.25">
      <c r="A60" s="205" t="str">
        <f t="shared" ref="A60:A73" si="14">IFERROR(IF(HLOOKUP($L$51,RangeSpecSets,M60,FALSE)=0,"",HLOOKUP($L$51,RangeSpecSets,M60,FALSE)),"")</f>
        <v/>
      </c>
      <c r="B60" s="206" t="str">
        <f>IFERROR(IF(VLOOKUP($A60,TableHandbook[],2,FALSE)=0,"",VLOOKUP($A60,TableHandbook[],2,FALSE)),"")</f>
        <v/>
      </c>
      <c r="C60" s="207" t="str">
        <f>IFERROR(IF(VLOOKUP($A60,TableHandbook[],3,FALSE)=0,"",VLOOKUP($A60,TableHandbook[],3,FALSE)),"")</f>
        <v/>
      </c>
      <c r="D60" s="207" t="str">
        <f>IFERROR(IF(VLOOKUP($A60,TableHandbook[],4,FALSE)=0,"",VLOOKUP($A60,TableHandbook[],4,FALSE)),"")</f>
        <v/>
      </c>
      <c r="E60" s="207"/>
      <c r="F60" s="210" t="str">
        <f>IFERROR(IF(VLOOKUP($A60,TableHandbook[],6,FALSE)=0,"",VLOOKUP($A60,TableHandbook[],6,FALSE)),"")</f>
        <v/>
      </c>
      <c r="G60" s="208" t="str">
        <f>IFERROR(IF(VLOOKUP($A60,TableHandbook[],5,FALSE)=0,"",VLOOKUP($A60,TableHandbook[],5,FALSE)),"")</f>
        <v/>
      </c>
      <c r="H60" s="168" t="str">
        <f>IFERROR(VLOOKUP($A60,TableHandbook[],H$2,FALSE),"")</f>
        <v/>
      </c>
      <c r="I60" s="169" t="str">
        <f>IFERROR(VLOOKUP($A60,TableHandbook[],I$2,FALSE),"")</f>
        <v/>
      </c>
      <c r="J60" s="168" t="str">
        <f>IFERROR(VLOOKUP($A60,TableHandbook[],J$2,FALSE),"")</f>
        <v/>
      </c>
      <c r="K60" s="169" t="str">
        <f>IFERROR(VLOOKUP($A60,TableHandbook[],K$2,FALSE),"")</f>
        <v/>
      </c>
      <c r="L60" s="69"/>
      <c r="M60" s="170">
        <v>9</v>
      </c>
    </row>
    <row r="61" spans="1:15" s="209" customFormat="1" x14ac:dyDescent="0.25">
      <c r="A61" s="205" t="str">
        <f t="shared" si="14"/>
        <v/>
      </c>
      <c r="B61" s="206" t="str">
        <f>IFERROR(IF(VLOOKUP($A61,TableHandbook[],2,FALSE)=0,"",VLOOKUP($A61,TableHandbook[],2,FALSE)),"")</f>
        <v/>
      </c>
      <c r="C61" s="207" t="str">
        <f>IFERROR(IF(VLOOKUP($A61,TableHandbook[],3,FALSE)=0,"",VLOOKUP($A61,TableHandbook[],3,FALSE)),"")</f>
        <v/>
      </c>
      <c r="D61" s="207" t="str">
        <f>IFERROR(IF(VLOOKUP($A61,TableHandbook[],4,FALSE)=0,"",VLOOKUP($A61,TableHandbook[],4,FALSE)),"")</f>
        <v/>
      </c>
      <c r="E61" s="207"/>
      <c r="F61" s="210" t="str">
        <f>IFERROR(IF(VLOOKUP($A61,TableHandbook[],6,FALSE)=0,"",VLOOKUP($A61,TableHandbook[],6,FALSE)),"")</f>
        <v/>
      </c>
      <c r="G61" s="208" t="str">
        <f>IFERROR(IF(VLOOKUP($A61,TableHandbook[],5,FALSE)=0,"",VLOOKUP($A61,TableHandbook[],5,FALSE)),"")</f>
        <v/>
      </c>
      <c r="H61" s="168" t="str">
        <f>IFERROR(VLOOKUP($A61,TableHandbook[],H$2,FALSE),"")</f>
        <v/>
      </c>
      <c r="I61" s="169" t="str">
        <f>IFERROR(VLOOKUP($A61,TableHandbook[],I$2,FALSE),"")</f>
        <v/>
      </c>
      <c r="J61" s="168" t="str">
        <f>IFERROR(VLOOKUP($A61,TableHandbook[],J$2,FALSE),"")</f>
        <v/>
      </c>
      <c r="K61" s="169" t="str">
        <f>IFERROR(VLOOKUP($A61,TableHandbook[],K$2,FALSE),"")</f>
        <v/>
      </c>
      <c r="L61" s="69"/>
      <c r="M61" s="170">
        <v>10</v>
      </c>
    </row>
    <row r="62" spans="1:15" x14ac:dyDescent="0.25">
      <c r="A62" s="211" t="str">
        <f t="shared" si="14"/>
        <v/>
      </c>
      <c r="B62" s="212" t="str">
        <f>IFERROR(IF(VLOOKUP($A62,TableHandbook[],2,FALSE)=0,"",VLOOKUP($A62,TableHandbook[],2,FALSE)),"")</f>
        <v/>
      </c>
      <c r="C62" s="213" t="str">
        <f>IFERROR(IF(VLOOKUP($A62,TableHandbook[],3,FALSE)=0,"",VLOOKUP($A62,TableHandbook[],3,FALSE)),"")</f>
        <v/>
      </c>
      <c r="D62" s="213" t="str">
        <f>IFERROR(IF(VLOOKUP($A62,TableHandbook[],4,FALSE)=0,"",VLOOKUP($A62,TableHandbook[],4,FALSE)),"")</f>
        <v/>
      </c>
      <c r="E62" s="207"/>
      <c r="F62" s="210" t="str">
        <f>IFERROR(IF(VLOOKUP($A62,TableHandbook[],6,FALSE)=0,"",VLOOKUP($A62,TableHandbook[],6,FALSE)),"")</f>
        <v/>
      </c>
      <c r="G62" s="208" t="str">
        <f>IFERROR(IF(VLOOKUP($A62,TableHandbook[],5,FALSE)=0,"",VLOOKUP($A62,TableHandbook[],5,FALSE)),"")</f>
        <v/>
      </c>
      <c r="H62" s="168" t="str">
        <f>IFERROR(VLOOKUP($A62,TableHandbook[],H$2,FALSE),"")</f>
        <v/>
      </c>
      <c r="I62" s="169" t="str">
        <f>IFERROR(VLOOKUP($A62,TableHandbook[],I$2,FALSE),"")</f>
        <v/>
      </c>
      <c r="J62" s="168" t="str">
        <f>IFERROR(VLOOKUP($A62,TableHandbook[],J$2,FALSE),"")</f>
        <v/>
      </c>
      <c r="K62" s="169" t="str">
        <f>IFERROR(VLOOKUP($A62,TableHandbook[],K$2,FALSE),"")</f>
        <v/>
      </c>
      <c r="L62" s="69"/>
      <c r="M62" s="170">
        <v>11</v>
      </c>
    </row>
    <row r="63" spans="1:15" x14ac:dyDescent="0.25">
      <c r="A63" s="211" t="str">
        <f t="shared" si="14"/>
        <v/>
      </c>
      <c r="B63" s="212" t="str">
        <f>IFERROR(IF(VLOOKUP($A63,TableHandbook[],2,FALSE)=0,"",VLOOKUP($A63,TableHandbook[],2,FALSE)),"")</f>
        <v/>
      </c>
      <c r="C63" s="213" t="str">
        <f>IFERROR(IF(VLOOKUP($A63,TableHandbook[],3,FALSE)=0,"",VLOOKUP($A63,TableHandbook[],3,FALSE)),"")</f>
        <v/>
      </c>
      <c r="D63" s="213" t="str">
        <f>IFERROR(IF(VLOOKUP($A63,TableHandbook[],4,FALSE)=0,"",VLOOKUP($A63,TableHandbook[],4,FALSE)),"")</f>
        <v/>
      </c>
      <c r="E63" s="207"/>
      <c r="F63" s="210" t="str">
        <f>IFERROR(IF(VLOOKUP($A63,TableHandbook[],6,FALSE)=0,"",VLOOKUP($A63,TableHandbook[],6,FALSE)),"")</f>
        <v/>
      </c>
      <c r="G63" s="208" t="str">
        <f>IFERROR(IF(VLOOKUP($A63,TableHandbook[],5,FALSE)=0,"",VLOOKUP($A63,TableHandbook[],5,FALSE)),"")</f>
        <v/>
      </c>
      <c r="H63" s="168" t="str">
        <f>IFERROR(VLOOKUP($A63,TableHandbook[],H$2,FALSE),"")</f>
        <v/>
      </c>
      <c r="I63" s="169" t="str">
        <f>IFERROR(VLOOKUP($A63,TableHandbook[],I$2,FALSE),"")</f>
        <v/>
      </c>
      <c r="J63" s="168" t="str">
        <f>IFERROR(VLOOKUP($A63,TableHandbook[],J$2,FALSE),"")</f>
        <v/>
      </c>
      <c r="K63" s="169" t="str">
        <f>IFERROR(VLOOKUP($A63,TableHandbook[],K$2,FALSE),"")</f>
        <v/>
      </c>
      <c r="L63" s="69"/>
      <c r="M63" s="170">
        <v>12</v>
      </c>
    </row>
    <row r="64" spans="1:15" x14ac:dyDescent="0.25">
      <c r="A64" s="211" t="str">
        <f t="shared" si="14"/>
        <v/>
      </c>
      <c r="B64" s="212" t="str">
        <f>IFERROR(IF(VLOOKUP($A64,TableHandbook[],2,FALSE)=0,"",VLOOKUP($A64,TableHandbook[],2,FALSE)),"")</f>
        <v/>
      </c>
      <c r="C64" s="213" t="str">
        <f>IFERROR(IF(VLOOKUP($A64,TableHandbook[],3,FALSE)=0,"",VLOOKUP($A64,TableHandbook[],3,FALSE)),"")</f>
        <v/>
      </c>
      <c r="D64" s="213" t="str">
        <f>IFERROR(IF(VLOOKUP($A64,TableHandbook[],4,FALSE)=0,"",VLOOKUP($A64,TableHandbook[],4,FALSE)),"")</f>
        <v/>
      </c>
      <c r="E64" s="207"/>
      <c r="F64" s="210" t="str">
        <f>IFERROR(IF(VLOOKUP($A64,TableHandbook[],6,FALSE)=0,"",VLOOKUP($A64,TableHandbook[],6,FALSE)),"")</f>
        <v/>
      </c>
      <c r="G64" s="208" t="str">
        <f>IFERROR(IF(VLOOKUP($A64,TableHandbook[],5,FALSE)=0,"",VLOOKUP($A64,TableHandbook[],5,FALSE)),"")</f>
        <v/>
      </c>
      <c r="H64" s="168" t="str">
        <f>IFERROR(VLOOKUP($A64,TableHandbook[],H$2,FALSE),"")</f>
        <v/>
      </c>
      <c r="I64" s="169" t="str">
        <f>IFERROR(VLOOKUP($A64,TableHandbook[],I$2,FALSE),"")</f>
        <v/>
      </c>
      <c r="J64" s="168" t="str">
        <f>IFERROR(VLOOKUP($A64,TableHandbook[],J$2,FALSE),"")</f>
        <v/>
      </c>
      <c r="K64" s="169" t="str">
        <f>IFERROR(VLOOKUP($A64,TableHandbook[],K$2,FALSE),"")</f>
        <v/>
      </c>
      <c r="L64" s="69"/>
      <c r="M64" s="170">
        <v>13</v>
      </c>
    </row>
    <row r="65" spans="1:15" x14ac:dyDescent="0.25">
      <c r="A65" s="211" t="str">
        <f t="shared" si="14"/>
        <v/>
      </c>
      <c r="B65" s="212" t="str">
        <f>IFERROR(IF(VLOOKUP($A65,TableHandbook[],2,FALSE)=0,"",VLOOKUP($A65,TableHandbook[],2,FALSE)),"")</f>
        <v/>
      </c>
      <c r="C65" s="213" t="str">
        <f>IFERROR(IF(VLOOKUP($A65,TableHandbook[],3,FALSE)=0,"",VLOOKUP($A65,TableHandbook[],3,FALSE)),"")</f>
        <v/>
      </c>
      <c r="D65" s="213" t="str">
        <f>IFERROR(IF(VLOOKUP($A65,TableHandbook[],4,FALSE)=0,"",VLOOKUP($A65,TableHandbook[],4,FALSE)),"")</f>
        <v/>
      </c>
      <c r="E65" s="207"/>
      <c r="F65" s="210" t="str">
        <f>IFERROR(IF(VLOOKUP($A65,TableHandbook[],6,FALSE)=0,"",VLOOKUP($A65,TableHandbook[],6,FALSE)),"")</f>
        <v/>
      </c>
      <c r="G65" s="208" t="str">
        <f>IFERROR(IF(VLOOKUP($A65,TableHandbook[],5,FALSE)=0,"",VLOOKUP($A65,TableHandbook[],5,FALSE)),"")</f>
        <v/>
      </c>
      <c r="H65" s="168" t="str">
        <f>IFERROR(VLOOKUP($A65,TableHandbook[],H$2,FALSE),"")</f>
        <v/>
      </c>
      <c r="I65" s="169" t="str">
        <f>IFERROR(VLOOKUP($A65,TableHandbook[],I$2,FALSE),"")</f>
        <v/>
      </c>
      <c r="J65" s="168" t="str">
        <f>IFERROR(VLOOKUP($A65,TableHandbook[],J$2,FALSE),"")</f>
        <v/>
      </c>
      <c r="K65" s="169" t="str">
        <f>IFERROR(VLOOKUP($A65,TableHandbook[],K$2,FALSE),"")</f>
        <v/>
      </c>
      <c r="L65" s="69"/>
      <c r="M65" s="170">
        <v>14</v>
      </c>
    </row>
    <row r="66" spans="1:15" x14ac:dyDescent="0.25">
      <c r="A66" s="211" t="str">
        <f t="shared" si="14"/>
        <v/>
      </c>
      <c r="B66" s="212" t="str">
        <f>IFERROR(IF(VLOOKUP($A66,TableHandbook[],2,FALSE)=0,"",VLOOKUP($A66,TableHandbook[],2,FALSE)),"")</f>
        <v/>
      </c>
      <c r="C66" s="213" t="str">
        <f>IFERROR(IF(VLOOKUP($A66,TableHandbook[],3,FALSE)=0,"",VLOOKUP($A66,TableHandbook[],3,FALSE)),"")</f>
        <v/>
      </c>
      <c r="D66" s="213" t="str">
        <f>IFERROR(IF(VLOOKUP($A66,TableHandbook[],4,FALSE)=0,"",VLOOKUP($A66,TableHandbook[],4,FALSE)),"")</f>
        <v/>
      </c>
      <c r="E66" s="207"/>
      <c r="F66" s="210" t="str">
        <f>IFERROR(IF(VLOOKUP($A66,TableHandbook[],6,FALSE)=0,"",VLOOKUP($A66,TableHandbook[],6,FALSE)),"")</f>
        <v/>
      </c>
      <c r="G66" s="208" t="str">
        <f>IFERROR(IF(VLOOKUP($A66,TableHandbook[],5,FALSE)=0,"",VLOOKUP($A66,TableHandbook[],5,FALSE)),"")</f>
        <v/>
      </c>
      <c r="H66" s="168" t="str">
        <f>IFERROR(VLOOKUP($A66,TableHandbook[],H$2,FALSE),"")</f>
        <v/>
      </c>
      <c r="I66" s="169" t="str">
        <f>IFERROR(VLOOKUP($A66,TableHandbook[],I$2,FALSE),"")</f>
        <v/>
      </c>
      <c r="J66" s="168" t="str">
        <f>IFERROR(VLOOKUP($A66,TableHandbook[],J$2,FALSE),"")</f>
        <v/>
      </c>
      <c r="K66" s="169" t="str">
        <f>IFERROR(VLOOKUP($A66,TableHandbook[],K$2,FALSE),"")</f>
        <v/>
      </c>
      <c r="L66" s="69"/>
      <c r="M66" s="170">
        <v>15</v>
      </c>
    </row>
    <row r="67" spans="1:15" x14ac:dyDescent="0.25">
      <c r="A67" s="211" t="str">
        <f t="shared" si="14"/>
        <v/>
      </c>
      <c r="B67" s="212" t="str">
        <f>IFERROR(IF(VLOOKUP($A67,TableHandbook[],2,FALSE)=0,"",VLOOKUP($A67,TableHandbook[],2,FALSE)),"")</f>
        <v/>
      </c>
      <c r="C67" s="213" t="str">
        <f>IFERROR(IF(VLOOKUP($A67,TableHandbook[],3,FALSE)=0,"",VLOOKUP($A67,TableHandbook[],3,FALSE)),"")</f>
        <v/>
      </c>
      <c r="D67" s="213" t="str">
        <f>IFERROR(IF(VLOOKUP($A67,TableHandbook[],4,FALSE)=0,"",VLOOKUP($A67,TableHandbook[],4,FALSE)),"")</f>
        <v/>
      </c>
      <c r="E67" s="207"/>
      <c r="F67" s="210" t="str">
        <f>IFERROR(IF(VLOOKUP($A67,TableHandbook[],6,FALSE)=0,"",VLOOKUP($A67,TableHandbook[],6,FALSE)),"")</f>
        <v/>
      </c>
      <c r="G67" s="208" t="str">
        <f>IFERROR(IF(VLOOKUP($A67,TableHandbook[],5,FALSE)=0,"",VLOOKUP($A67,TableHandbook[],5,FALSE)),"")</f>
        <v/>
      </c>
      <c r="H67" s="168" t="str">
        <f>IFERROR(VLOOKUP($A67,TableHandbook[],H$2,FALSE),"")</f>
        <v/>
      </c>
      <c r="I67" s="169" t="str">
        <f>IFERROR(VLOOKUP($A67,TableHandbook[],I$2,FALSE),"")</f>
        <v/>
      </c>
      <c r="J67" s="168" t="str">
        <f>IFERROR(VLOOKUP($A67,TableHandbook[],J$2,FALSE),"")</f>
        <v/>
      </c>
      <c r="K67" s="169" t="str">
        <f>IFERROR(VLOOKUP($A67,TableHandbook[],K$2,FALSE),"")</f>
        <v/>
      </c>
      <c r="L67" s="69"/>
      <c r="M67" s="170">
        <v>16</v>
      </c>
    </row>
    <row r="68" spans="1:15" x14ac:dyDescent="0.25">
      <c r="A68" s="211" t="str">
        <f t="shared" si="14"/>
        <v/>
      </c>
      <c r="B68" s="212" t="str">
        <f>IFERROR(IF(VLOOKUP($A68,TableHandbook[],2,FALSE)=0,"",VLOOKUP($A68,TableHandbook[],2,FALSE)),"")</f>
        <v/>
      </c>
      <c r="C68" s="213" t="str">
        <f>IFERROR(IF(VLOOKUP($A68,TableHandbook[],3,FALSE)=0,"",VLOOKUP($A68,TableHandbook[],3,FALSE)),"")</f>
        <v/>
      </c>
      <c r="D68" s="213" t="str">
        <f>IFERROR(IF(VLOOKUP($A68,TableHandbook[],4,FALSE)=0,"",VLOOKUP($A68,TableHandbook[],4,FALSE)),"")</f>
        <v/>
      </c>
      <c r="E68" s="207"/>
      <c r="F68" s="210" t="str">
        <f>IFERROR(IF(VLOOKUP($A68,TableHandbook[],6,FALSE)=0,"",VLOOKUP($A68,TableHandbook[],6,FALSE)),"")</f>
        <v/>
      </c>
      <c r="G68" s="208" t="str">
        <f>IFERROR(IF(VLOOKUP($A68,TableHandbook[],5,FALSE)=0,"",VLOOKUP($A68,TableHandbook[],5,FALSE)),"")</f>
        <v/>
      </c>
      <c r="H68" s="168" t="str">
        <f>IFERROR(VLOOKUP($A68,TableHandbook[],H$2,FALSE),"")</f>
        <v/>
      </c>
      <c r="I68" s="169" t="str">
        <f>IFERROR(VLOOKUP($A68,TableHandbook[],I$2,FALSE),"")</f>
        <v/>
      </c>
      <c r="J68" s="168" t="str">
        <f>IFERROR(VLOOKUP($A68,TableHandbook[],J$2,FALSE),"")</f>
        <v/>
      </c>
      <c r="K68" s="169" t="str">
        <f>IFERROR(VLOOKUP($A68,TableHandbook[],K$2,FALSE),"")</f>
        <v/>
      </c>
      <c r="L68" s="69"/>
      <c r="M68" s="170">
        <v>17</v>
      </c>
    </row>
    <row r="69" spans="1:15" x14ac:dyDescent="0.25">
      <c r="A69" s="211" t="str">
        <f t="shared" si="14"/>
        <v/>
      </c>
      <c r="B69" s="212" t="str">
        <f>IFERROR(IF(VLOOKUP($A69,TableHandbook[],2,FALSE)=0,"",VLOOKUP($A69,TableHandbook[],2,FALSE)),"")</f>
        <v/>
      </c>
      <c r="C69" s="213" t="str">
        <f>IFERROR(IF(VLOOKUP($A69,TableHandbook[],3,FALSE)=0,"",VLOOKUP($A69,TableHandbook[],3,FALSE)),"")</f>
        <v/>
      </c>
      <c r="D69" s="213" t="str">
        <f>IFERROR(IF(VLOOKUP($A69,TableHandbook[],4,FALSE)=0,"",VLOOKUP($A69,TableHandbook[],4,FALSE)),"")</f>
        <v/>
      </c>
      <c r="E69" s="207"/>
      <c r="F69" s="210" t="str">
        <f>IFERROR(IF(VLOOKUP($A69,TableHandbook[],6,FALSE)=0,"",VLOOKUP($A69,TableHandbook[],6,FALSE)),"")</f>
        <v/>
      </c>
      <c r="G69" s="208" t="str">
        <f>IFERROR(IF(VLOOKUP($A69,TableHandbook[],5,FALSE)=0,"",VLOOKUP($A69,TableHandbook[],5,FALSE)),"")</f>
        <v/>
      </c>
      <c r="H69" s="168" t="str">
        <f>IFERROR(VLOOKUP($A69,TableHandbook[],H$2,FALSE),"")</f>
        <v/>
      </c>
      <c r="I69" s="169" t="str">
        <f>IFERROR(VLOOKUP($A69,TableHandbook[],I$2,FALSE),"")</f>
        <v/>
      </c>
      <c r="J69" s="168" t="str">
        <f>IFERROR(VLOOKUP($A69,TableHandbook[],J$2,FALSE),"")</f>
        <v/>
      </c>
      <c r="K69" s="169" t="str">
        <f>IFERROR(VLOOKUP($A69,TableHandbook[],K$2,FALSE),"")</f>
        <v/>
      </c>
      <c r="L69" s="69"/>
      <c r="M69" s="170">
        <v>18</v>
      </c>
    </row>
    <row r="70" spans="1:15" x14ac:dyDescent="0.25">
      <c r="A70" s="211" t="str">
        <f t="shared" si="14"/>
        <v/>
      </c>
      <c r="B70" s="212" t="str">
        <f>IFERROR(IF(VLOOKUP($A70,TableHandbook[],2,FALSE)=0,"",VLOOKUP($A70,TableHandbook[],2,FALSE)),"")</f>
        <v/>
      </c>
      <c r="C70" s="213" t="str">
        <f>IFERROR(IF(VLOOKUP($A70,TableHandbook[],3,FALSE)=0,"",VLOOKUP($A70,TableHandbook[],3,FALSE)),"")</f>
        <v/>
      </c>
      <c r="D70" s="213" t="str">
        <f>IFERROR(IF(VLOOKUP($A70,TableHandbook[],4,FALSE)=0,"",VLOOKUP($A70,TableHandbook[],4,FALSE)),"")</f>
        <v/>
      </c>
      <c r="E70" s="207"/>
      <c r="F70" s="210" t="str">
        <f>IFERROR(IF(VLOOKUP($A70,TableHandbook[],6,FALSE)=0,"",VLOOKUP($A70,TableHandbook[],6,FALSE)),"")</f>
        <v/>
      </c>
      <c r="G70" s="208" t="str">
        <f>IFERROR(IF(VLOOKUP($A70,TableHandbook[],5,FALSE)=0,"",VLOOKUP($A70,TableHandbook[],5,FALSE)),"")</f>
        <v/>
      </c>
      <c r="H70" s="168" t="str">
        <f>IFERROR(VLOOKUP($A70,TableHandbook[],H$2,FALSE),"")</f>
        <v/>
      </c>
      <c r="I70" s="169" t="str">
        <f>IFERROR(VLOOKUP($A70,TableHandbook[],I$2,FALSE),"")</f>
        <v/>
      </c>
      <c r="J70" s="168" t="str">
        <f>IFERROR(VLOOKUP($A70,TableHandbook[],J$2,FALSE),"")</f>
        <v/>
      </c>
      <c r="K70" s="169" t="str">
        <f>IFERROR(VLOOKUP($A70,TableHandbook[],K$2,FALSE),"")</f>
        <v/>
      </c>
      <c r="L70" s="69"/>
      <c r="M70" s="170">
        <v>19</v>
      </c>
    </row>
    <row r="71" spans="1:15" x14ac:dyDescent="0.25">
      <c r="A71" s="211" t="str">
        <f t="shared" ref="A71" si="15">IFERROR(IF(HLOOKUP($L$51,RangeSpecSets,M71,FALSE)=0,"",HLOOKUP($L$51,RangeSpecSets,M71,FALSE)),"")</f>
        <v/>
      </c>
      <c r="B71" s="212" t="str">
        <f>IFERROR(IF(VLOOKUP($A71,TableHandbook[],2,FALSE)=0,"",VLOOKUP($A71,TableHandbook[],2,FALSE)),"")</f>
        <v/>
      </c>
      <c r="C71" s="213" t="str">
        <f>IFERROR(IF(VLOOKUP($A71,TableHandbook[],3,FALSE)=0,"",VLOOKUP($A71,TableHandbook[],3,FALSE)),"")</f>
        <v/>
      </c>
      <c r="D71" s="213" t="str">
        <f>IFERROR(IF(VLOOKUP($A71,TableHandbook[],4,FALSE)=0,"",VLOOKUP($A71,TableHandbook[],4,FALSE)),"")</f>
        <v/>
      </c>
      <c r="E71" s="207"/>
      <c r="F71" s="210" t="str">
        <f>IFERROR(IF(VLOOKUP($A71,TableHandbook[],6,FALSE)=0,"",VLOOKUP($A71,TableHandbook[],6,FALSE)),"")</f>
        <v/>
      </c>
      <c r="G71" s="208" t="str">
        <f>IFERROR(IF(VLOOKUP($A71,TableHandbook[],5,FALSE)=0,"",VLOOKUP($A71,TableHandbook[],5,FALSE)),"")</f>
        <v/>
      </c>
      <c r="H71" s="168" t="str">
        <f>IFERROR(VLOOKUP($A71,TableHandbook[],H$2,FALSE),"")</f>
        <v/>
      </c>
      <c r="I71" s="169" t="str">
        <f>IFERROR(VLOOKUP($A71,TableHandbook[],I$2,FALSE),"")</f>
        <v/>
      </c>
      <c r="J71" s="168" t="str">
        <f>IFERROR(VLOOKUP($A71,TableHandbook[],J$2,FALSE),"")</f>
        <v/>
      </c>
      <c r="K71" s="169" t="str">
        <f>IFERROR(VLOOKUP($A71,TableHandbook[],K$2,FALSE),"")</f>
        <v/>
      </c>
      <c r="L71" s="69"/>
      <c r="M71" s="170">
        <v>20</v>
      </c>
    </row>
    <row r="72" spans="1:15" x14ac:dyDescent="0.25">
      <c r="A72" s="211" t="str">
        <f t="shared" si="14"/>
        <v/>
      </c>
      <c r="B72" s="212" t="str">
        <f>IFERROR(IF(VLOOKUP($A72,TableHandbook[],2,FALSE)=0,"",VLOOKUP($A72,TableHandbook[],2,FALSE)),"")</f>
        <v/>
      </c>
      <c r="C72" s="213" t="str">
        <f>IFERROR(IF(VLOOKUP($A72,TableHandbook[],3,FALSE)=0,"",VLOOKUP($A72,TableHandbook[],3,FALSE)),"")</f>
        <v/>
      </c>
      <c r="D72" s="213" t="str">
        <f>IFERROR(IF(VLOOKUP($A72,TableHandbook[],4,FALSE)=0,"",VLOOKUP($A72,TableHandbook[],4,FALSE)),"")</f>
        <v/>
      </c>
      <c r="E72" s="207"/>
      <c r="F72" s="210" t="str">
        <f>IFERROR(IF(VLOOKUP($A72,TableHandbook[],6,FALSE)=0,"",VLOOKUP($A72,TableHandbook[],6,FALSE)),"")</f>
        <v/>
      </c>
      <c r="G72" s="208" t="str">
        <f>IFERROR(IF(VLOOKUP($A72,TableHandbook[],5,FALSE)=0,"",VLOOKUP($A72,TableHandbook[],5,FALSE)),"")</f>
        <v/>
      </c>
      <c r="H72" s="168" t="str">
        <f>IFERROR(VLOOKUP($A72,TableHandbook[],H$2,FALSE),"")</f>
        <v/>
      </c>
      <c r="I72" s="169" t="str">
        <f>IFERROR(VLOOKUP($A72,TableHandbook[],I$2,FALSE),"")</f>
        <v/>
      </c>
      <c r="J72" s="168" t="str">
        <f>IFERROR(VLOOKUP($A72,TableHandbook[],J$2,FALSE),"")</f>
        <v/>
      </c>
      <c r="K72" s="169" t="str">
        <f>IFERROR(VLOOKUP($A72,TableHandbook[],K$2,FALSE),"")</f>
        <v/>
      </c>
      <c r="L72" s="69"/>
      <c r="M72" s="170">
        <v>21</v>
      </c>
    </row>
    <row r="73" spans="1:15" x14ac:dyDescent="0.25">
      <c r="A73" s="211" t="str">
        <f t="shared" si="14"/>
        <v/>
      </c>
      <c r="B73" s="212" t="str">
        <f>IFERROR(IF(VLOOKUP($A73,TableHandbook[],2,FALSE)=0,"",VLOOKUP($A73,TableHandbook[],2,FALSE)),"")</f>
        <v/>
      </c>
      <c r="C73" s="213" t="str">
        <f>IFERROR(IF(VLOOKUP($A73,TableHandbook[],3,FALSE)=0,"",VLOOKUP($A73,TableHandbook[],3,FALSE)),"")</f>
        <v/>
      </c>
      <c r="D73" s="213" t="str">
        <f>IFERROR(IF(VLOOKUP($A73,TableHandbook[],4,FALSE)=0,"",VLOOKUP($A73,TableHandbook[],4,FALSE)),"")</f>
        <v/>
      </c>
      <c r="E73" s="207"/>
      <c r="F73" s="210" t="str">
        <f>IFERROR(IF(VLOOKUP($A73,TableHandbook[],6,FALSE)=0,"",VLOOKUP($A73,TableHandbook[],6,FALSE)),"")</f>
        <v/>
      </c>
      <c r="G73" s="208" t="str">
        <f>IFERROR(IF(VLOOKUP($A73,TableHandbook[],5,FALSE)=0,"",VLOOKUP($A73,TableHandbook[],5,FALSE)),"")</f>
        <v/>
      </c>
      <c r="H73" s="168" t="str">
        <f>IFERROR(VLOOKUP($A73,TableHandbook[],H$2,FALSE),"")</f>
        <v/>
      </c>
      <c r="I73" s="169" t="str">
        <f>IFERROR(VLOOKUP($A73,TableHandbook[],I$2,FALSE),"")</f>
        <v/>
      </c>
      <c r="J73" s="168" t="str">
        <f>IFERROR(VLOOKUP($A73,TableHandbook[],J$2,FALSE),"")</f>
        <v/>
      </c>
      <c r="K73" s="169" t="str">
        <f>IFERROR(VLOOKUP($A73,TableHandbook[],K$2,FALSE),"")</f>
        <v/>
      </c>
      <c r="L73" s="69"/>
      <c r="M73" s="170">
        <v>22</v>
      </c>
    </row>
    <row r="74" spans="1:15" ht="32.25" customHeight="1" x14ac:dyDescent="0.25">
      <c r="A74" s="214" t="s">
        <v>36</v>
      </c>
      <c r="B74" s="214"/>
      <c r="C74" s="214"/>
      <c r="D74" s="214"/>
      <c r="E74" s="214"/>
      <c r="F74" s="214"/>
      <c r="G74" s="214"/>
      <c r="H74" s="214"/>
      <c r="I74" s="214"/>
      <c r="J74" s="214"/>
      <c r="K74" s="214"/>
      <c r="L74" s="214"/>
    </row>
    <row r="75" spans="1:15" s="216" customFormat="1" ht="24.95" customHeight="1" x14ac:dyDescent="0.3">
      <c r="A75" s="66" t="s">
        <v>37</v>
      </c>
      <c r="B75" s="66"/>
      <c r="C75" s="66"/>
      <c r="D75" s="67"/>
      <c r="E75" s="67"/>
      <c r="F75" s="67"/>
      <c r="G75" s="67"/>
      <c r="H75" s="67"/>
      <c r="I75" s="67"/>
      <c r="J75" s="67"/>
      <c r="K75" s="67"/>
      <c r="L75" s="67"/>
      <c r="M75" s="215"/>
      <c r="N75" s="215"/>
      <c r="O75" s="215"/>
    </row>
    <row r="76" spans="1:15" ht="15" customHeight="1" x14ac:dyDescent="0.25">
      <c r="A76" s="217" t="s">
        <v>38</v>
      </c>
      <c r="B76" s="217"/>
      <c r="C76" s="217"/>
      <c r="D76" s="217"/>
      <c r="E76" s="218"/>
      <c r="F76" s="190"/>
      <c r="G76" s="219"/>
      <c r="H76" s="219"/>
      <c r="I76" s="219"/>
      <c r="J76" s="219"/>
      <c r="K76" s="219"/>
      <c r="L76" s="219" t="s">
        <v>39</v>
      </c>
    </row>
  </sheetData>
  <sheetProtection algorithmName="SHA-512" hashValue="eT36K+jD5mQS7rHsddjrbLCtrF2zPfXGyJAsASpLE5gnx0W21rxUUCnDxr6Y8yIM8aJ7pm8FKosCvd7ZOhco4w==" saltValue="nMAGcZ2ao3iM14E5Vh3Qpw==" spinCount="100000" sheet="1" objects="1" scenarios="1" formatCells="0"/>
  <mergeCells count="2">
    <mergeCell ref="A3:D3"/>
    <mergeCell ref="A74:L74"/>
  </mergeCells>
  <conditionalFormatting sqref="A11:L49">
    <cfRule type="expression" dxfId="36" priority="2">
      <formula>$A11="Spec"</formula>
    </cfRule>
  </conditionalFormatting>
  <conditionalFormatting sqref="A53:L73">
    <cfRule type="expression" dxfId="35" priority="6">
      <formula>$A53=""</formula>
    </cfRule>
    <cfRule type="expression" dxfId="34" priority="9">
      <formula>LEFT($D53,5)="Study"</formula>
    </cfRule>
  </conditionalFormatting>
  <conditionalFormatting sqref="D5:D8">
    <cfRule type="containsText" dxfId="33" priority="4" operator="containsText" text="Choose">
      <formula>NOT(ISERROR(SEARCH("Choose",D5)))</formula>
    </cfRule>
  </conditionalFormatting>
  <conditionalFormatting sqref="F5">
    <cfRule type="containsText" dxfId="32" priority="3" operator="containsText" text="Choose">
      <formula>NOT(ISERROR(SEARCH("Choose",F5)))</formula>
    </cfRule>
  </conditionalFormatting>
  <conditionalFormatting sqref="H11:K49">
    <cfRule type="expression" dxfId="31" priority="1">
      <formula>$E11=LEFT(H$10,4)</formula>
    </cfRule>
  </conditionalFormatting>
  <dataValidations count="1">
    <dataValidation type="list" allowBlank="1" showInputMessage="1" showErrorMessage="1" sqref="L25 L15 L35 L45" xr:uid="{00000000-0002-0000-0000-000000000000}"/>
  </dataValidations>
  <hyperlinks>
    <hyperlink ref="A75:L7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49" max="10" man="1"/>
  </rowBreaks>
  <ignoredErrors>
    <ignoredError sqref="M35" unlocked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Unitsets!$A$11:$A$13</xm:f>
          </x14:formula1>
          <xm:sqref>D8</xm:sqref>
        </x14:dataValidation>
        <x14:dataValidation type="list" showInputMessage="1" showErrorMessage="1" xr:uid="{00000000-0002-0000-0000-000002000000}">
          <x14:formula1>
            <xm:f>Unitsets!$A$6:$A$8</xm:f>
          </x14:formula1>
          <xm:sqref>D6</xm:sqref>
        </x14:dataValidation>
        <x14:dataValidation type="list" showInputMessage="1" showErrorMessage="1" xr:uid="{00000000-0002-0000-0000-000003000000}">
          <x14:formula1>
            <xm:f>Unitsets!$A$21:$A$27</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6"/>
  <sheetViews>
    <sheetView zoomScale="85" zoomScaleNormal="85" workbookViewId="0">
      <selection activeCell="A44" sqref="A44"/>
    </sheetView>
  </sheetViews>
  <sheetFormatPr defaultRowHeight="15.75" x14ac:dyDescent="0.25"/>
  <cols>
    <col min="1" max="1" width="65.875" style="10" bestFit="1" customWidth="1"/>
    <col min="2" max="2" width="21.375" style="5" customWidth="1"/>
    <col min="3" max="3" width="12.75" style="5" bestFit="1" customWidth="1"/>
    <col min="4" max="4" width="17.375" style="5" bestFit="1" customWidth="1"/>
    <col min="5" max="5" width="14.875" style="5" bestFit="1" customWidth="1"/>
    <col min="6" max="6" width="19.125" style="5" bestFit="1" customWidth="1"/>
    <col min="7" max="7" width="19.375" style="5" bestFit="1" customWidth="1"/>
    <col min="8" max="8" width="18.75" style="5" bestFit="1" customWidth="1"/>
    <col min="9" max="9" width="13.125" style="5" customWidth="1"/>
    <col min="10" max="10" width="13.25" style="5" bestFit="1" customWidth="1"/>
    <col min="11" max="11" width="2.5" bestFit="1" customWidth="1"/>
    <col min="12" max="12" width="6.125" bestFit="1" customWidth="1"/>
    <col min="13" max="13" width="12.125" bestFit="1" customWidth="1"/>
    <col min="14" max="14" width="6.125" bestFit="1" customWidth="1"/>
    <col min="15" max="15" width="12.375" bestFit="1" customWidth="1"/>
    <col min="16" max="16" width="6.125" bestFit="1" customWidth="1"/>
    <col min="17" max="17" width="14.5" bestFit="1" customWidth="1"/>
    <col min="18" max="18" width="6.125" bestFit="1" customWidth="1"/>
    <col min="19" max="19" width="14" bestFit="1" customWidth="1"/>
    <col min="20" max="20" width="6.125" bestFit="1" customWidth="1"/>
    <col min="21" max="21" width="14.125" bestFit="1" customWidth="1"/>
    <col min="22" max="22" width="6.125" bestFit="1" customWidth="1"/>
    <col min="23" max="23" width="14.125" bestFit="1" customWidth="1"/>
    <col min="24" max="24" width="6" customWidth="1"/>
    <col min="29" max="29" width="10.375" bestFit="1" customWidth="1"/>
  </cols>
  <sheetData>
    <row r="1" spans="1:24" x14ac:dyDescent="0.25">
      <c r="A1" s="12" t="s">
        <v>15</v>
      </c>
      <c r="B1" s="13"/>
      <c r="C1" s="13"/>
      <c r="D1" s="13"/>
    </row>
    <row r="2" spans="1:24" x14ac:dyDescent="0.25">
      <c r="L2" s="21"/>
      <c r="M2" s="6"/>
      <c r="N2" s="7"/>
      <c r="O2" s="6"/>
      <c r="P2" s="6"/>
      <c r="Q2" s="6"/>
      <c r="R2" s="6"/>
      <c r="S2" s="6"/>
      <c r="T2" s="6"/>
      <c r="U2" s="6"/>
      <c r="V2" s="6"/>
      <c r="W2" s="6"/>
      <c r="X2" s="6"/>
    </row>
    <row r="3" spans="1:24" ht="22.5" x14ac:dyDescent="0.25">
      <c r="J3" s="50" t="s">
        <v>40</v>
      </c>
      <c r="K3" s="1">
        <v>1</v>
      </c>
      <c r="L3" s="23"/>
      <c r="M3" s="8" t="s">
        <v>41</v>
      </c>
      <c r="N3" s="23"/>
      <c r="O3" s="9" t="s">
        <v>42</v>
      </c>
      <c r="P3" s="23"/>
      <c r="Q3" s="63" t="s">
        <v>43</v>
      </c>
      <c r="R3" s="23"/>
      <c r="S3" s="64" t="s">
        <v>44</v>
      </c>
      <c r="T3" s="23"/>
      <c r="U3" s="63" t="s">
        <v>45</v>
      </c>
      <c r="V3" s="23"/>
      <c r="W3" s="64" t="s">
        <v>46</v>
      </c>
    </row>
    <row r="4" spans="1:24" x14ac:dyDescent="0.25">
      <c r="K4" s="16">
        <v>2</v>
      </c>
      <c r="L4" s="24" t="s">
        <v>47</v>
      </c>
      <c r="M4" s="19" t="s">
        <v>48</v>
      </c>
      <c r="N4" s="24" t="s">
        <v>49</v>
      </c>
      <c r="O4" s="53" t="s">
        <v>50</v>
      </c>
      <c r="P4" s="55" t="s">
        <v>47</v>
      </c>
      <c r="Q4" s="56" t="str">
        <f>M4</f>
        <v>COMS1010</v>
      </c>
      <c r="R4" s="55" t="s">
        <v>49</v>
      </c>
      <c r="S4" s="57" t="str">
        <f>O4</f>
        <v>--</v>
      </c>
      <c r="T4" s="55" t="s">
        <v>47</v>
      </c>
      <c r="U4" s="56" t="str">
        <f>M4</f>
        <v>COMS1010</v>
      </c>
      <c r="V4" s="55" t="s">
        <v>49</v>
      </c>
      <c r="W4" s="56" t="str">
        <f>O4</f>
        <v>--</v>
      </c>
    </row>
    <row r="5" spans="1:24" x14ac:dyDescent="0.25">
      <c r="A5" s="65" t="s">
        <v>51</v>
      </c>
      <c r="K5" s="16">
        <v>3</v>
      </c>
      <c r="L5" s="25" t="s">
        <v>47</v>
      </c>
      <c r="M5" s="20" t="s">
        <v>52</v>
      </c>
      <c r="N5" s="25" t="s">
        <v>49</v>
      </c>
      <c r="O5" s="20"/>
      <c r="P5" s="58" t="s">
        <v>47</v>
      </c>
      <c r="Q5" s="59" t="str">
        <f t="shared" ref="Q5:Q27" si="0">M5</f>
        <v>BLDG1000</v>
      </c>
      <c r="R5" s="58" t="s">
        <v>49</v>
      </c>
      <c r="S5" s="59">
        <f t="shared" ref="S5:S27" si="1">O5</f>
        <v>0</v>
      </c>
      <c r="T5" s="58" t="s">
        <v>47</v>
      </c>
      <c r="U5" s="59" t="str">
        <f t="shared" ref="U5:U27" si="2">M5</f>
        <v>BLDG1000</v>
      </c>
      <c r="V5" s="58" t="s">
        <v>49</v>
      </c>
      <c r="W5" s="59">
        <f t="shared" ref="W5:W27" si="3">O5</f>
        <v>0</v>
      </c>
    </row>
    <row r="6" spans="1:24" x14ac:dyDescent="0.25">
      <c r="A6" s="5" t="s">
        <v>53</v>
      </c>
      <c r="B6" s="10" t="s">
        <v>0</v>
      </c>
      <c r="C6" s="5" t="s">
        <v>54</v>
      </c>
      <c r="D6" s="5" t="s">
        <v>55</v>
      </c>
      <c r="E6" s="5" t="s">
        <v>56</v>
      </c>
      <c r="F6" s="5" t="s">
        <v>57</v>
      </c>
      <c r="G6" s="5" t="s">
        <v>58</v>
      </c>
      <c r="H6" s="5" t="s">
        <v>59</v>
      </c>
      <c r="K6" s="16">
        <v>4</v>
      </c>
      <c r="L6" s="25" t="s">
        <v>47</v>
      </c>
      <c r="M6" s="20" t="s">
        <v>60</v>
      </c>
      <c r="N6" s="25" t="s">
        <v>49</v>
      </c>
      <c r="O6" s="20"/>
      <c r="P6" s="58" t="s">
        <v>47</v>
      </c>
      <c r="Q6" s="59" t="str">
        <f t="shared" si="0"/>
        <v>BLDG1003</v>
      </c>
      <c r="R6" s="58" t="s">
        <v>49</v>
      </c>
      <c r="S6" s="59">
        <f t="shared" si="1"/>
        <v>0</v>
      </c>
      <c r="T6" s="58" t="s">
        <v>47</v>
      </c>
      <c r="U6" s="59" t="str">
        <f t="shared" si="2"/>
        <v>BLDG1003</v>
      </c>
      <c r="V6" s="58" t="s">
        <v>49</v>
      </c>
      <c r="W6" s="59">
        <f t="shared" si="3"/>
        <v>0</v>
      </c>
    </row>
    <row r="7" spans="1:24" x14ac:dyDescent="0.25">
      <c r="A7" s="87" t="s">
        <v>15</v>
      </c>
      <c r="B7" s="88" t="s">
        <v>61</v>
      </c>
      <c r="C7" s="94" t="s">
        <v>62</v>
      </c>
      <c r="D7" s="95">
        <v>45658</v>
      </c>
      <c r="E7" s="93">
        <v>7</v>
      </c>
      <c r="F7" s="95">
        <v>45658</v>
      </c>
      <c r="G7" s="89" t="s">
        <v>63</v>
      </c>
      <c r="H7" s="100" t="s">
        <v>64</v>
      </c>
      <c r="I7" s="5" t="s">
        <v>65</v>
      </c>
      <c r="K7" s="16">
        <v>5</v>
      </c>
      <c r="L7" s="25" t="s">
        <v>47</v>
      </c>
      <c r="M7" s="20" t="s">
        <v>66</v>
      </c>
      <c r="N7" s="25" t="s">
        <v>49</v>
      </c>
      <c r="O7" s="20"/>
      <c r="P7" s="58" t="s">
        <v>47</v>
      </c>
      <c r="Q7" s="59" t="str">
        <f t="shared" si="0"/>
        <v>BLDG1004</v>
      </c>
      <c r="R7" s="58" t="s">
        <v>49</v>
      </c>
      <c r="S7" s="59">
        <f t="shared" si="1"/>
        <v>0</v>
      </c>
      <c r="T7" s="58" t="s">
        <v>47</v>
      </c>
      <c r="U7" s="59" t="str">
        <f t="shared" si="2"/>
        <v>BLDG1004</v>
      </c>
      <c r="V7" s="58" t="s">
        <v>49</v>
      </c>
      <c r="W7" s="59">
        <f t="shared" si="3"/>
        <v>0</v>
      </c>
    </row>
    <row r="8" spans="1:24" x14ac:dyDescent="0.25">
      <c r="A8" s="87" t="s">
        <v>67</v>
      </c>
      <c r="B8" s="88" t="s">
        <v>68</v>
      </c>
      <c r="C8" s="94" t="s">
        <v>62</v>
      </c>
      <c r="D8" s="95">
        <v>45658</v>
      </c>
      <c r="E8" s="93">
        <v>7</v>
      </c>
      <c r="F8" s="95">
        <v>45658</v>
      </c>
      <c r="G8" s="89" t="s">
        <v>63</v>
      </c>
      <c r="H8" s="100" t="s">
        <v>64</v>
      </c>
      <c r="I8" s="5" t="s">
        <v>65</v>
      </c>
      <c r="K8" s="16">
        <v>6</v>
      </c>
      <c r="L8" s="25" t="s">
        <v>49</v>
      </c>
      <c r="M8" s="20" t="s">
        <v>69</v>
      </c>
      <c r="N8" s="25" t="s">
        <v>47</v>
      </c>
      <c r="O8" s="20"/>
      <c r="P8" s="58" t="s">
        <v>49</v>
      </c>
      <c r="Q8" s="59" t="str">
        <f t="shared" si="0"/>
        <v>BLDG1016</v>
      </c>
      <c r="R8" s="58" t="s">
        <v>47</v>
      </c>
      <c r="S8" s="59">
        <f t="shared" si="1"/>
        <v>0</v>
      </c>
      <c r="T8" s="58" t="s">
        <v>49</v>
      </c>
      <c r="U8" s="59" t="str">
        <f t="shared" si="2"/>
        <v>BLDG1016</v>
      </c>
      <c r="V8" s="58" t="s">
        <v>47</v>
      </c>
      <c r="W8" s="59">
        <f t="shared" si="3"/>
        <v>0</v>
      </c>
    </row>
    <row r="9" spans="1:24" x14ac:dyDescent="0.25">
      <c r="K9" s="16">
        <v>7</v>
      </c>
      <c r="L9" s="25" t="s">
        <v>49</v>
      </c>
      <c r="M9" s="20" t="s">
        <v>70</v>
      </c>
      <c r="N9" s="25" t="s">
        <v>47</v>
      </c>
      <c r="O9" s="20"/>
      <c r="P9" s="58" t="s">
        <v>49</v>
      </c>
      <c r="Q9" s="59" t="str">
        <f t="shared" si="0"/>
        <v>BLDG1001</v>
      </c>
      <c r="R9" s="58" t="s">
        <v>47</v>
      </c>
      <c r="S9" s="59">
        <f t="shared" si="1"/>
        <v>0</v>
      </c>
      <c r="T9" s="58" t="s">
        <v>49</v>
      </c>
      <c r="U9" s="59" t="str">
        <f t="shared" si="2"/>
        <v>BLDG1001</v>
      </c>
      <c r="V9" s="58" t="s">
        <v>47</v>
      </c>
      <c r="W9" s="59">
        <f t="shared" si="3"/>
        <v>0</v>
      </c>
    </row>
    <row r="10" spans="1:24" x14ac:dyDescent="0.25">
      <c r="A10" s="65" t="s">
        <v>71</v>
      </c>
      <c r="K10" s="16">
        <v>8</v>
      </c>
      <c r="L10" s="25" t="s">
        <v>49</v>
      </c>
      <c r="M10" s="20" t="s">
        <v>72</v>
      </c>
      <c r="N10" s="25" t="s">
        <v>47</v>
      </c>
      <c r="O10" s="20"/>
      <c r="P10" s="58" t="s">
        <v>49</v>
      </c>
      <c r="Q10" s="59" t="str">
        <f t="shared" si="0"/>
        <v>ARCH1016</v>
      </c>
      <c r="R10" s="58" t="s">
        <v>47</v>
      </c>
      <c r="S10" s="59">
        <f t="shared" si="1"/>
        <v>0</v>
      </c>
      <c r="T10" s="58" t="s">
        <v>49</v>
      </c>
      <c r="U10" s="59" t="str">
        <f t="shared" si="2"/>
        <v>ARCH1016</v>
      </c>
      <c r="V10" s="58" t="s">
        <v>47</v>
      </c>
      <c r="W10" s="59">
        <f t="shared" si="3"/>
        <v>0</v>
      </c>
    </row>
    <row r="11" spans="1:24" x14ac:dyDescent="0.25">
      <c r="A11" s="11" t="s">
        <v>73</v>
      </c>
      <c r="B11" s="14" t="s">
        <v>74</v>
      </c>
      <c r="C11" s="14" t="s">
        <v>75</v>
      </c>
      <c r="K11" s="16">
        <v>9</v>
      </c>
      <c r="L11" s="25" t="s">
        <v>49</v>
      </c>
      <c r="M11" s="20" t="s">
        <v>76</v>
      </c>
      <c r="N11" s="29" t="s">
        <v>47</v>
      </c>
      <c r="O11" s="20"/>
      <c r="P11" s="58" t="s">
        <v>49</v>
      </c>
      <c r="Q11" s="59" t="str">
        <f t="shared" si="0"/>
        <v>BLDG1018</v>
      </c>
      <c r="R11" s="60" t="s">
        <v>47</v>
      </c>
      <c r="S11" s="59">
        <f t="shared" si="1"/>
        <v>0</v>
      </c>
      <c r="T11" s="58" t="s">
        <v>49</v>
      </c>
      <c r="U11" s="59" t="str">
        <f t="shared" si="2"/>
        <v>BLDG1018</v>
      </c>
      <c r="V11" s="60" t="s">
        <v>47</v>
      </c>
      <c r="W11" s="59">
        <f t="shared" si="3"/>
        <v>0</v>
      </c>
    </row>
    <row r="12" spans="1:24" x14ac:dyDescent="0.25">
      <c r="A12" s="5" t="s">
        <v>21</v>
      </c>
      <c r="B12" s="34" t="s">
        <v>77</v>
      </c>
      <c r="C12" s="34" t="s">
        <v>78</v>
      </c>
      <c r="K12" s="16">
        <v>10</v>
      </c>
      <c r="L12" s="27" t="s">
        <v>79</v>
      </c>
      <c r="M12" s="19" t="s">
        <v>80</v>
      </c>
      <c r="N12" s="27" t="s">
        <v>81</v>
      </c>
      <c r="O12" s="19"/>
      <c r="P12" s="55" t="s">
        <v>79</v>
      </c>
      <c r="Q12" s="56" t="str">
        <f t="shared" si="0"/>
        <v>BLDG2013</v>
      </c>
      <c r="R12" s="55" t="s">
        <v>81</v>
      </c>
      <c r="S12" s="56">
        <f t="shared" si="1"/>
        <v>0</v>
      </c>
      <c r="T12" s="55" t="s">
        <v>79</v>
      </c>
      <c r="U12" s="56" t="str">
        <f t="shared" si="2"/>
        <v>BLDG2013</v>
      </c>
      <c r="V12" s="55" t="s">
        <v>81</v>
      </c>
      <c r="W12" s="56">
        <f t="shared" si="3"/>
        <v>0</v>
      </c>
    </row>
    <row r="13" spans="1:24" x14ac:dyDescent="0.25">
      <c r="A13" s="5" t="s">
        <v>82</v>
      </c>
      <c r="B13" s="34" t="s">
        <v>78</v>
      </c>
      <c r="C13" s="34" t="s">
        <v>77</v>
      </c>
      <c r="K13" s="16">
        <v>11</v>
      </c>
      <c r="L13" s="26" t="s">
        <v>79</v>
      </c>
      <c r="M13" s="20" t="s">
        <v>83</v>
      </c>
      <c r="N13" s="26" t="s">
        <v>81</v>
      </c>
      <c r="O13" s="20"/>
      <c r="P13" s="58" t="s">
        <v>79</v>
      </c>
      <c r="Q13" s="59" t="str">
        <f t="shared" si="0"/>
        <v>BLDG2023</v>
      </c>
      <c r="R13" s="58" t="s">
        <v>81</v>
      </c>
      <c r="S13" s="59">
        <f t="shared" si="1"/>
        <v>0</v>
      </c>
      <c r="T13" s="58" t="s">
        <v>79</v>
      </c>
      <c r="U13" s="59" t="str">
        <f t="shared" si="2"/>
        <v>BLDG2023</v>
      </c>
      <c r="V13" s="58" t="s">
        <v>81</v>
      </c>
      <c r="W13" s="59">
        <f t="shared" si="3"/>
        <v>0</v>
      </c>
    </row>
    <row r="14" spans="1:24" x14ac:dyDescent="0.25">
      <c r="A14" s="5"/>
      <c r="K14" s="16">
        <v>12</v>
      </c>
      <c r="L14" s="26" t="s">
        <v>79</v>
      </c>
      <c r="M14" s="20" t="s">
        <v>84</v>
      </c>
      <c r="N14" s="26" t="s">
        <v>81</v>
      </c>
      <c r="O14" s="20"/>
      <c r="P14" s="58" t="s">
        <v>79</v>
      </c>
      <c r="Q14" s="59" t="str">
        <f t="shared" si="0"/>
        <v>BLDG2024</v>
      </c>
      <c r="R14" s="58" t="s">
        <v>81</v>
      </c>
      <c r="S14" s="59">
        <f t="shared" si="1"/>
        <v>0</v>
      </c>
      <c r="T14" s="58" t="s">
        <v>79</v>
      </c>
      <c r="U14" s="59" t="str">
        <f t="shared" si="2"/>
        <v>BLDG2024</v>
      </c>
      <c r="V14" s="58" t="s">
        <v>81</v>
      </c>
      <c r="W14" s="59">
        <f t="shared" si="3"/>
        <v>0</v>
      </c>
    </row>
    <row r="15" spans="1:24" x14ac:dyDescent="0.25">
      <c r="A15" s="65" t="s">
        <v>85</v>
      </c>
      <c r="E15" s="15"/>
      <c r="F15" s="15"/>
      <c r="K15" s="16">
        <v>13</v>
      </c>
      <c r="L15" s="43" t="s">
        <v>79</v>
      </c>
      <c r="M15" s="41" t="s">
        <v>86</v>
      </c>
      <c r="N15" s="43" t="s">
        <v>81</v>
      </c>
      <c r="O15" s="41"/>
      <c r="P15" s="58" t="s">
        <v>79</v>
      </c>
      <c r="Q15" s="59" t="str">
        <f t="shared" si="0"/>
        <v>Spec</v>
      </c>
      <c r="R15" s="58" t="s">
        <v>81</v>
      </c>
      <c r="S15" s="59">
        <f t="shared" si="1"/>
        <v>0</v>
      </c>
      <c r="T15" s="58" t="s">
        <v>79</v>
      </c>
      <c r="U15" s="59" t="str">
        <f t="shared" si="2"/>
        <v>Spec</v>
      </c>
      <c r="V15" s="58" t="s">
        <v>81</v>
      </c>
      <c r="W15" s="59">
        <f t="shared" si="3"/>
        <v>0</v>
      </c>
    </row>
    <row r="16" spans="1:24" x14ac:dyDescent="0.25">
      <c r="A16" s="48" t="s">
        <v>87</v>
      </c>
      <c r="B16" s="10" t="s">
        <v>0</v>
      </c>
      <c r="C16" s="5" t="s">
        <v>54</v>
      </c>
      <c r="D16" s="5" t="s">
        <v>55</v>
      </c>
      <c r="E16" s="5" t="s">
        <v>56</v>
      </c>
      <c r="F16" s="5" t="s">
        <v>57</v>
      </c>
      <c r="G16" s="48" t="s">
        <v>58</v>
      </c>
      <c r="H16" s="15"/>
      <c r="I16" s="15"/>
      <c r="K16" s="16">
        <v>14</v>
      </c>
      <c r="L16" s="26" t="s">
        <v>81</v>
      </c>
      <c r="M16" s="20" t="s">
        <v>88</v>
      </c>
      <c r="N16" s="26" t="s">
        <v>79</v>
      </c>
      <c r="O16" s="20"/>
      <c r="P16" s="58" t="s">
        <v>81</v>
      </c>
      <c r="Q16" s="59" t="str">
        <f t="shared" si="0"/>
        <v>BLDG2015</v>
      </c>
      <c r="R16" s="58" t="s">
        <v>79</v>
      </c>
      <c r="S16" s="59">
        <f t="shared" si="1"/>
        <v>0</v>
      </c>
      <c r="T16" s="58" t="s">
        <v>81</v>
      </c>
      <c r="U16" s="59" t="str">
        <f t="shared" si="2"/>
        <v>BLDG2015</v>
      </c>
      <c r="V16" s="58" t="s">
        <v>79</v>
      </c>
      <c r="W16" s="59">
        <f t="shared" si="3"/>
        <v>0</v>
      </c>
    </row>
    <row r="17" spans="1:23" x14ac:dyDescent="0.25">
      <c r="A17" s="47" t="s">
        <v>89</v>
      </c>
      <c r="B17" s="96" t="s">
        <v>90</v>
      </c>
      <c r="C17" s="96" t="s">
        <v>91</v>
      </c>
      <c r="D17" s="98">
        <v>45292</v>
      </c>
      <c r="E17" s="96">
        <v>5</v>
      </c>
      <c r="F17" s="97">
        <v>45292</v>
      </c>
      <c r="G17" s="91" t="s">
        <v>92</v>
      </c>
      <c r="H17" s="15"/>
      <c r="I17" s="15"/>
      <c r="K17" s="16">
        <v>15</v>
      </c>
      <c r="L17" s="26" t="s">
        <v>81</v>
      </c>
      <c r="M17" s="20" t="s">
        <v>93</v>
      </c>
      <c r="N17" s="26" t="s">
        <v>79</v>
      </c>
      <c r="O17" s="20"/>
      <c r="P17" s="58" t="s">
        <v>81</v>
      </c>
      <c r="Q17" s="59" t="str">
        <f t="shared" si="0"/>
        <v>BLDG2012</v>
      </c>
      <c r="R17" s="58" t="s">
        <v>79</v>
      </c>
      <c r="S17" s="59">
        <f t="shared" si="1"/>
        <v>0</v>
      </c>
      <c r="T17" s="58" t="s">
        <v>81</v>
      </c>
      <c r="U17" s="59" t="str">
        <f t="shared" si="2"/>
        <v>BLDG2012</v>
      </c>
      <c r="V17" s="58" t="s">
        <v>79</v>
      </c>
      <c r="W17" s="59">
        <f t="shared" si="3"/>
        <v>0</v>
      </c>
    </row>
    <row r="18" spans="1:23" x14ac:dyDescent="0.25">
      <c r="A18" s="47" t="s">
        <v>94</v>
      </c>
      <c r="B18" s="96" t="s">
        <v>95</v>
      </c>
      <c r="C18" s="96" t="s">
        <v>91</v>
      </c>
      <c r="D18" s="98">
        <v>45292</v>
      </c>
      <c r="E18" s="96">
        <v>4</v>
      </c>
      <c r="F18" s="97">
        <v>45292</v>
      </c>
      <c r="G18" s="91" t="s">
        <v>92</v>
      </c>
      <c r="K18" s="16">
        <v>16</v>
      </c>
      <c r="L18" s="26" t="s">
        <v>81</v>
      </c>
      <c r="M18" s="20" t="s">
        <v>96</v>
      </c>
      <c r="N18" s="26" t="s">
        <v>79</v>
      </c>
      <c r="O18" s="20"/>
      <c r="P18" s="58" t="s">
        <v>81</v>
      </c>
      <c r="Q18" s="59" t="str">
        <f t="shared" si="0"/>
        <v>BLDG2033</v>
      </c>
      <c r="R18" s="58" t="s">
        <v>79</v>
      </c>
      <c r="S18" s="59">
        <f t="shared" si="1"/>
        <v>0</v>
      </c>
      <c r="T18" s="58" t="s">
        <v>81</v>
      </c>
      <c r="U18" s="59" t="str">
        <f t="shared" si="2"/>
        <v>BLDG2033</v>
      </c>
      <c r="V18" s="58" t="s">
        <v>79</v>
      </c>
      <c r="W18" s="59">
        <f t="shared" si="3"/>
        <v>0</v>
      </c>
    </row>
    <row r="19" spans="1:23" x14ac:dyDescent="0.25">
      <c r="A19" s="5"/>
      <c r="B19" s="10"/>
      <c r="C19" s="4"/>
      <c r="D19" s="4"/>
      <c r="E19" s="33"/>
      <c r="F19" s="33"/>
      <c r="K19" s="16">
        <v>17</v>
      </c>
      <c r="L19" s="44" t="s">
        <v>81</v>
      </c>
      <c r="M19" s="41" t="s">
        <v>86</v>
      </c>
      <c r="N19" s="44" t="s">
        <v>79</v>
      </c>
      <c r="O19" s="41"/>
      <c r="P19" s="60" t="s">
        <v>81</v>
      </c>
      <c r="Q19" s="59" t="str">
        <f t="shared" si="0"/>
        <v>Spec</v>
      </c>
      <c r="R19" s="60" t="s">
        <v>79</v>
      </c>
      <c r="S19" s="59">
        <f t="shared" si="1"/>
        <v>0</v>
      </c>
      <c r="T19" s="60" t="s">
        <v>81</v>
      </c>
      <c r="U19" s="59" t="str">
        <f t="shared" si="2"/>
        <v>Spec</v>
      </c>
      <c r="V19" s="60" t="s">
        <v>79</v>
      </c>
      <c r="W19" s="59">
        <f t="shared" si="3"/>
        <v>0</v>
      </c>
    </row>
    <row r="20" spans="1:23" x14ac:dyDescent="0.25">
      <c r="A20" s="65" t="s">
        <v>97</v>
      </c>
      <c r="E20" s="15"/>
      <c r="F20" s="15"/>
      <c r="K20" s="16">
        <v>18</v>
      </c>
      <c r="L20" s="27" t="s">
        <v>98</v>
      </c>
      <c r="M20" s="19" t="s">
        <v>99</v>
      </c>
      <c r="N20" s="27" t="s">
        <v>100</v>
      </c>
      <c r="O20" s="19"/>
      <c r="P20" s="55" t="s">
        <v>98</v>
      </c>
      <c r="Q20" s="56" t="str">
        <f t="shared" si="0"/>
        <v>BLDG3034</v>
      </c>
      <c r="R20" s="55" t="s">
        <v>100</v>
      </c>
      <c r="S20" s="56">
        <f t="shared" si="1"/>
        <v>0</v>
      </c>
      <c r="T20" s="55" t="s">
        <v>98</v>
      </c>
      <c r="U20" s="56" t="str">
        <f t="shared" si="2"/>
        <v>BLDG3034</v>
      </c>
      <c r="V20" s="55" t="s">
        <v>100</v>
      </c>
      <c r="W20" s="56">
        <f t="shared" si="3"/>
        <v>0</v>
      </c>
    </row>
    <row r="21" spans="1:23" x14ac:dyDescent="0.25">
      <c r="A21" s="5" t="s">
        <v>18</v>
      </c>
      <c r="B21" s="10" t="s">
        <v>0</v>
      </c>
      <c r="C21" s="5" t="s">
        <v>54</v>
      </c>
      <c r="D21" s="5" t="s">
        <v>55</v>
      </c>
      <c r="E21" s="5" t="s">
        <v>56</v>
      </c>
      <c r="F21" s="5" t="s">
        <v>57</v>
      </c>
      <c r="G21" s="5" t="s">
        <v>58</v>
      </c>
      <c r="K21" s="16">
        <v>19</v>
      </c>
      <c r="L21" s="26" t="s">
        <v>98</v>
      </c>
      <c r="M21" s="20" t="s">
        <v>101</v>
      </c>
      <c r="N21" s="26" t="s">
        <v>100</v>
      </c>
      <c r="O21" s="20"/>
      <c r="P21" s="58" t="s">
        <v>98</v>
      </c>
      <c r="Q21" s="59" t="str">
        <f t="shared" si="0"/>
        <v>BLDG3016</v>
      </c>
      <c r="R21" s="58" t="s">
        <v>100</v>
      </c>
      <c r="S21" s="59">
        <f t="shared" si="1"/>
        <v>0</v>
      </c>
      <c r="T21" s="58" t="s">
        <v>98</v>
      </c>
      <c r="U21" s="59" t="str">
        <f t="shared" si="2"/>
        <v>BLDG3016</v>
      </c>
      <c r="V21" s="58" t="s">
        <v>100</v>
      </c>
      <c r="W21" s="59">
        <f t="shared" si="3"/>
        <v>0</v>
      </c>
    </row>
    <row r="22" spans="1:23" x14ac:dyDescent="0.25">
      <c r="A22" s="5" t="s">
        <v>102</v>
      </c>
      <c r="B22" s="99" t="s">
        <v>103</v>
      </c>
      <c r="C22" s="99" t="s">
        <v>104</v>
      </c>
      <c r="D22" s="97">
        <v>44562</v>
      </c>
      <c r="E22" s="99">
        <v>1</v>
      </c>
      <c r="F22" s="97">
        <v>44562</v>
      </c>
      <c r="G22" s="90" t="s">
        <v>105</v>
      </c>
      <c r="K22" s="16">
        <v>20</v>
      </c>
      <c r="L22" s="26" t="s">
        <v>98</v>
      </c>
      <c r="M22" s="20" t="s">
        <v>106</v>
      </c>
      <c r="N22" s="26" t="s">
        <v>100</v>
      </c>
      <c r="O22" s="20"/>
      <c r="P22" s="58" t="s">
        <v>98</v>
      </c>
      <c r="Q22" s="59" t="str">
        <f t="shared" si="0"/>
        <v>BLDG3012</v>
      </c>
      <c r="R22" s="58" t="s">
        <v>100</v>
      </c>
      <c r="S22" s="59">
        <f t="shared" si="1"/>
        <v>0</v>
      </c>
      <c r="T22" s="58" t="s">
        <v>98</v>
      </c>
      <c r="U22" s="59" t="str">
        <f t="shared" si="2"/>
        <v>BLDG3012</v>
      </c>
      <c r="V22" s="58" t="s">
        <v>100</v>
      </c>
      <c r="W22" s="59">
        <f t="shared" si="3"/>
        <v>0</v>
      </c>
    </row>
    <row r="23" spans="1:23" x14ac:dyDescent="0.25">
      <c r="A23" s="5" t="s">
        <v>107</v>
      </c>
      <c r="B23" s="99" t="s">
        <v>108</v>
      </c>
      <c r="C23" s="99" t="s">
        <v>104</v>
      </c>
      <c r="D23" s="97">
        <v>44562</v>
      </c>
      <c r="E23" s="99">
        <v>1</v>
      </c>
      <c r="F23" s="97">
        <v>44562</v>
      </c>
      <c r="G23" s="90" t="s">
        <v>105</v>
      </c>
      <c r="K23" s="16">
        <v>21</v>
      </c>
      <c r="L23" s="43" t="s">
        <v>98</v>
      </c>
      <c r="M23" s="41" t="s">
        <v>86</v>
      </c>
      <c r="N23" s="43" t="s">
        <v>100</v>
      </c>
      <c r="O23" s="41"/>
      <c r="P23" s="58" t="s">
        <v>98</v>
      </c>
      <c r="Q23" s="59" t="str">
        <f t="shared" si="0"/>
        <v>Spec</v>
      </c>
      <c r="R23" s="58" t="s">
        <v>100</v>
      </c>
      <c r="S23" s="59">
        <f t="shared" si="1"/>
        <v>0</v>
      </c>
      <c r="T23" s="58" t="s">
        <v>98</v>
      </c>
      <c r="U23" s="59" t="str">
        <f t="shared" si="2"/>
        <v>Spec</v>
      </c>
      <c r="V23" s="58" t="s">
        <v>100</v>
      </c>
      <c r="W23" s="59">
        <f t="shared" si="3"/>
        <v>0</v>
      </c>
    </row>
    <row r="24" spans="1:23" x14ac:dyDescent="0.25">
      <c r="A24" s="5" t="s">
        <v>109</v>
      </c>
      <c r="B24" s="99" t="s">
        <v>110</v>
      </c>
      <c r="C24" s="99" t="s">
        <v>91</v>
      </c>
      <c r="D24" s="97">
        <v>45292</v>
      </c>
      <c r="E24" s="99">
        <v>4</v>
      </c>
      <c r="F24" s="97">
        <v>45292</v>
      </c>
      <c r="G24" s="90" t="s">
        <v>105</v>
      </c>
      <c r="K24" s="16">
        <v>22</v>
      </c>
      <c r="L24" s="26" t="s">
        <v>100</v>
      </c>
      <c r="M24" s="20" t="s">
        <v>111</v>
      </c>
      <c r="N24" s="26" t="s">
        <v>98</v>
      </c>
      <c r="O24" s="20"/>
      <c r="P24" s="58" t="s">
        <v>100</v>
      </c>
      <c r="Q24" s="59" t="str">
        <f t="shared" si="0"/>
        <v>BLDG3032</v>
      </c>
      <c r="R24" s="58" t="s">
        <v>98</v>
      </c>
      <c r="S24" s="59">
        <f t="shared" si="1"/>
        <v>0</v>
      </c>
      <c r="T24" s="58" t="s">
        <v>100</v>
      </c>
      <c r="U24" s="59" t="str">
        <f t="shared" si="2"/>
        <v>BLDG3032</v>
      </c>
      <c r="V24" s="58" t="s">
        <v>98</v>
      </c>
      <c r="W24" s="59">
        <f t="shared" si="3"/>
        <v>0</v>
      </c>
    </row>
    <row r="25" spans="1:23" x14ac:dyDescent="0.25">
      <c r="A25" s="5" t="s">
        <v>112</v>
      </c>
      <c r="B25" s="99" t="s">
        <v>113</v>
      </c>
      <c r="C25" s="99" t="s">
        <v>104</v>
      </c>
      <c r="D25" s="97">
        <v>44197</v>
      </c>
      <c r="E25" s="99">
        <v>1</v>
      </c>
      <c r="F25" s="97">
        <v>44197</v>
      </c>
      <c r="G25" s="90" t="s">
        <v>105</v>
      </c>
      <c r="H25"/>
      <c r="I25"/>
      <c r="K25" s="16">
        <v>23</v>
      </c>
      <c r="L25" s="26" t="s">
        <v>100</v>
      </c>
      <c r="M25" s="20" t="s">
        <v>114</v>
      </c>
      <c r="N25" s="26" t="s">
        <v>98</v>
      </c>
      <c r="O25" s="20"/>
      <c r="P25" s="58" t="s">
        <v>100</v>
      </c>
      <c r="Q25" s="59" t="str">
        <f t="shared" si="0"/>
        <v>BLDG3030</v>
      </c>
      <c r="R25" s="58" t="s">
        <v>98</v>
      </c>
      <c r="S25" s="59">
        <f t="shared" si="1"/>
        <v>0</v>
      </c>
      <c r="T25" s="58" t="s">
        <v>100</v>
      </c>
      <c r="U25" s="59" t="str">
        <f t="shared" si="2"/>
        <v>BLDG3030</v>
      </c>
      <c r="V25" s="58" t="s">
        <v>98</v>
      </c>
      <c r="W25" s="59">
        <f t="shared" si="3"/>
        <v>0</v>
      </c>
    </row>
    <row r="26" spans="1:23" x14ac:dyDescent="0.25">
      <c r="A26" s="5" t="s">
        <v>115</v>
      </c>
      <c r="B26" s="99" t="s">
        <v>116</v>
      </c>
      <c r="C26" s="99" t="s">
        <v>117</v>
      </c>
      <c r="D26" s="97">
        <v>45292</v>
      </c>
      <c r="E26" s="99">
        <v>4</v>
      </c>
      <c r="F26" s="97">
        <v>45292</v>
      </c>
      <c r="G26" s="90" t="s">
        <v>105</v>
      </c>
      <c r="H26"/>
      <c r="I26"/>
      <c r="K26" s="16">
        <v>24</v>
      </c>
      <c r="L26" s="26" t="s">
        <v>100</v>
      </c>
      <c r="M26" s="20" t="s">
        <v>118</v>
      </c>
      <c r="N26" s="26" t="s">
        <v>98</v>
      </c>
      <c r="O26" s="20"/>
      <c r="P26" s="58" t="s">
        <v>100</v>
      </c>
      <c r="Q26" s="59" t="str">
        <f t="shared" si="0"/>
        <v>URDE3007</v>
      </c>
      <c r="R26" s="58" t="s">
        <v>98</v>
      </c>
      <c r="S26" s="59">
        <f t="shared" si="1"/>
        <v>0</v>
      </c>
      <c r="T26" s="58" t="s">
        <v>100</v>
      </c>
      <c r="U26" s="59" t="str">
        <f t="shared" si="2"/>
        <v>URDE3007</v>
      </c>
      <c r="V26" s="58" t="s">
        <v>98</v>
      </c>
      <c r="W26" s="59">
        <f t="shared" si="3"/>
        <v>0</v>
      </c>
    </row>
    <row r="27" spans="1:23" x14ac:dyDescent="0.25">
      <c r="A27" s="5" t="s">
        <v>119</v>
      </c>
      <c r="B27" s="99" t="s">
        <v>120</v>
      </c>
      <c r="C27" s="99" t="s">
        <v>104</v>
      </c>
      <c r="D27" s="97">
        <v>44197</v>
      </c>
      <c r="E27" s="99">
        <v>2</v>
      </c>
      <c r="F27" s="97">
        <v>44197</v>
      </c>
      <c r="G27" s="90" t="s">
        <v>105</v>
      </c>
      <c r="H27"/>
      <c r="I27"/>
      <c r="K27" s="16">
        <v>25</v>
      </c>
      <c r="L27" s="44" t="s">
        <v>100</v>
      </c>
      <c r="M27" s="41" t="s">
        <v>86</v>
      </c>
      <c r="N27" s="44" t="s">
        <v>98</v>
      </c>
      <c r="O27" s="49"/>
      <c r="P27" s="60" t="s">
        <v>100</v>
      </c>
      <c r="Q27" s="59" t="str">
        <f t="shared" si="0"/>
        <v>Spec</v>
      </c>
      <c r="R27" s="60" t="s">
        <v>98</v>
      </c>
      <c r="S27" s="61">
        <f t="shared" si="1"/>
        <v>0</v>
      </c>
      <c r="T27" s="60" t="s">
        <v>100</v>
      </c>
      <c r="U27" s="59" t="str">
        <f t="shared" si="2"/>
        <v>Spec</v>
      </c>
      <c r="V27" s="60" t="s">
        <v>98</v>
      </c>
      <c r="W27" s="61">
        <f t="shared" si="3"/>
        <v>0</v>
      </c>
    </row>
    <row r="28" spans="1:23" x14ac:dyDescent="0.25">
      <c r="G28"/>
      <c r="H28"/>
      <c r="I28"/>
      <c r="K28" s="16">
        <v>26</v>
      </c>
      <c r="L28" s="27" t="s">
        <v>121</v>
      </c>
      <c r="M28" s="19"/>
      <c r="N28" s="27" t="s">
        <v>122</v>
      </c>
      <c r="O28" s="19"/>
      <c r="P28" s="27" t="s">
        <v>121</v>
      </c>
      <c r="Q28" s="19" t="s">
        <v>123</v>
      </c>
      <c r="R28" s="27" t="s">
        <v>122</v>
      </c>
      <c r="S28" s="19"/>
      <c r="T28" s="27" t="s">
        <v>121</v>
      </c>
      <c r="U28" s="19" t="s">
        <v>123</v>
      </c>
      <c r="V28" s="27" t="s">
        <v>122</v>
      </c>
      <c r="W28" s="19"/>
    </row>
    <row r="29" spans="1:23" x14ac:dyDescent="0.25">
      <c r="A29"/>
      <c r="B29"/>
      <c r="C29"/>
      <c r="D29"/>
      <c r="E29"/>
      <c r="F29"/>
      <c r="G29"/>
      <c r="H29"/>
      <c r="I29"/>
      <c r="J29"/>
      <c r="K29" s="16">
        <v>27</v>
      </c>
      <c r="L29" s="26" t="s">
        <v>121</v>
      </c>
      <c r="M29" s="20"/>
      <c r="N29" s="26" t="s">
        <v>122</v>
      </c>
      <c r="O29" s="20"/>
      <c r="P29" s="26" t="s">
        <v>121</v>
      </c>
      <c r="Q29" s="20" t="s">
        <v>124</v>
      </c>
      <c r="R29" s="26" t="s">
        <v>122</v>
      </c>
      <c r="S29" s="20"/>
      <c r="T29" s="26" t="s">
        <v>121</v>
      </c>
      <c r="U29" s="20" t="s">
        <v>124</v>
      </c>
      <c r="V29" s="26" t="s">
        <v>122</v>
      </c>
      <c r="W29" s="20"/>
    </row>
    <row r="30" spans="1:23" x14ac:dyDescent="0.25">
      <c r="A30" s="5" t="s">
        <v>135</v>
      </c>
      <c r="B30" s="92">
        <v>45572</v>
      </c>
      <c r="C30"/>
      <c r="D30"/>
      <c r="E30"/>
      <c r="F30"/>
      <c r="G30"/>
      <c r="H30"/>
      <c r="I30"/>
      <c r="J30"/>
      <c r="K30" s="16">
        <v>28</v>
      </c>
      <c r="L30" s="26" t="s">
        <v>121</v>
      </c>
      <c r="M30" s="20"/>
      <c r="N30" s="26" t="s">
        <v>122</v>
      </c>
      <c r="O30" s="20"/>
      <c r="P30" s="26" t="s">
        <v>121</v>
      </c>
      <c r="Q30" s="20" t="s">
        <v>125</v>
      </c>
      <c r="R30" s="26" t="s">
        <v>122</v>
      </c>
      <c r="S30" s="20"/>
      <c r="T30" s="26" t="s">
        <v>121</v>
      </c>
      <c r="U30" s="20" t="s">
        <v>126</v>
      </c>
      <c r="V30" s="26" t="s">
        <v>122</v>
      </c>
      <c r="W30" s="20"/>
    </row>
    <row r="31" spans="1:23" x14ac:dyDescent="0.25">
      <c r="A31" s="5" t="s">
        <v>136</v>
      </c>
      <c r="B31" s="92">
        <v>45572</v>
      </c>
      <c r="C31"/>
      <c r="D31"/>
      <c r="E31"/>
      <c r="F31"/>
      <c r="G31"/>
      <c r="H31"/>
      <c r="I31"/>
      <c r="J31"/>
      <c r="K31" s="16">
        <v>29</v>
      </c>
      <c r="L31" s="26" t="s">
        <v>121</v>
      </c>
      <c r="M31" s="20"/>
      <c r="N31" s="26" t="s">
        <v>122</v>
      </c>
      <c r="O31" s="20"/>
      <c r="P31" s="26" t="s">
        <v>121</v>
      </c>
      <c r="Q31" s="20" t="s">
        <v>126</v>
      </c>
      <c r="R31" s="26" t="s">
        <v>122</v>
      </c>
      <c r="S31" s="20"/>
      <c r="T31" s="26" t="s">
        <v>121</v>
      </c>
      <c r="U31" s="20" t="s">
        <v>127</v>
      </c>
      <c r="V31" s="26" t="s">
        <v>122</v>
      </c>
      <c r="W31" s="20"/>
    </row>
    <row r="32" spans="1:23" x14ac:dyDescent="0.25">
      <c r="A32" s="5" t="s">
        <v>137</v>
      </c>
      <c r="B32" s="92">
        <v>45572</v>
      </c>
      <c r="C32"/>
      <c r="D32"/>
      <c r="E32"/>
      <c r="F32"/>
      <c r="G32"/>
      <c r="H32"/>
      <c r="I32"/>
      <c r="J32"/>
      <c r="K32" s="16">
        <v>30</v>
      </c>
      <c r="L32" s="26" t="s">
        <v>122</v>
      </c>
      <c r="M32" s="20"/>
      <c r="N32" s="26" t="s">
        <v>121</v>
      </c>
      <c r="O32" s="20"/>
      <c r="P32" s="26" t="s">
        <v>122</v>
      </c>
      <c r="Q32" s="20" t="s">
        <v>128</v>
      </c>
      <c r="R32" s="26" t="s">
        <v>121</v>
      </c>
      <c r="S32" s="20"/>
      <c r="T32" s="26" t="s">
        <v>122</v>
      </c>
      <c r="U32" s="20" t="s">
        <v>128</v>
      </c>
      <c r="V32" s="26" t="s">
        <v>121</v>
      </c>
      <c r="W32" s="20"/>
    </row>
    <row r="33" spans="1:23" x14ac:dyDescent="0.25">
      <c r="A33" s="5" t="s">
        <v>139</v>
      </c>
      <c r="B33" s="92">
        <v>45572</v>
      </c>
      <c r="C33"/>
      <c r="D33"/>
      <c r="E33"/>
      <c r="F33"/>
      <c r="G33"/>
      <c r="H33"/>
      <c r="I33"/>
      <c r="J33"/>
      <c r="K33" s="16">
        <v>31</v>
      </c>
      <c r="L33" s="26" t="s">
        <v>122</v>
      </c>
      <c r="M33" s="20"/>
      <c r="N33" s="26" t="s">
        <v>121</v>
      </c>
      <c r="O33" s="20"/>
      <c r="P33" s="26" t="s">
        <v>122</v>
      </c>
      <c r="Q33" s="20" t="s">
        <v>129</v>
      </c>
      <c r="R33" s="26" t="s">
        <v>121</v>
      </c>
      <c r="S33" s="20"/>
      <c r="T33" s="26" t="s">
        <v>122</v>
      </c>
      <c r="U33" s="20" t="s">
        <v>129</v>
      </c>
      <c r="V33" s="26" t="s">
        <v>121</v>
      </c>
      <c r="W33" s="20"/>
    </row>
    <row r="34" spans="1:23" ht="15.75" customHeight="1" x14ac:dyDescent="0.25">
      <c r="A34" s="5" t="s">
        <v>146</v>
      </c>
      <c r="B34" s="92">
        <v>45573</v>
      </c>
      <c r="C34"/>
      <c r="D34"/>
      <c r="E34"/>
      <c r="F34"/>
      <c r="G34"/>
      <c r="H34"/>
      <c r="I34"/>
      <c r="J34"/>
      <c r="K34" s="16">
        <v>32</v>
      </c>
      <c r="L34" s="26" t="s">
        <v>122</v>
      </c>
      <c r="M34" s="20"/>
      <c r="N34" s="26" t="s">
        <v>121</v>
      </c>
      <c r="O34" s="20"/>
      <c r="P34" s="26" t="s">
        <v>122</v>
      </c>
      <c r="Q34" s="51" t="s">
        <v>130</v>
      </c>
      <c r="R34" s="26" t="s">
        <v>121</v>
      </c>
      <c r="S34" s="20"/>
      <c r="T34" s="26" t="s">
        <v>122</v>
      </c>
      <c r="U34" s="51" t="s">
        <v>131</v>
      </c>
      <c r="V34" s="26" t="s">
        <v>121</v>
      </c>
      <c r="W34" s="20"/>
    </row>
    <row r="35" spans="1:23" x14ac:dyDescent="0.25">
      <c r="A35" s="5" t="s">
        <v>154</v>
      </c>
      <c r="B35" s="92">
        <v>45573</v>
      </c>
      <c r="C35"/>
      <c r="D35"/>
      <c r="E35"/>
      <c r="F35"/>
      <c r="G35"/>
      <c r="H35"/>
      <c r="I35"/>
      <c r="J35"/>
      <c r="K35" s="16">
        <v>33</v>
      </c>
      <c r="L35" s="28" t="s">
        <v>122</v>
      </c>
      <c r="M35" s="35"/>
      <c r="N35" s="28" t="s">
        <v>121</v>
      </c>
      <c r="O35" s="35"/>
      <c r="P35" s="28" t="s">
        <v>122</v>
      </c>
      <c r="Q35" s="52" t="s">
        <v>132</v>
      </c>
      <c r="R35" s="28" t="s">
        <v>121</v>
      </c>
      <c r="S35" s="35"/>
      <c r="T35" s="28" t="s">
        <v>122</v>
      </c>
      <c r="U35" s="52" t="s">
        <v>132</v>
      </c>
      <c r="V35" s="28" t="s">
        <v>121</v>
      </c>
      <c r="W35" s="35"/>
    </row>
    <row r="36" spans="1:23" ht="15.75" customHeight="1" x14ac:dyDescent="0.25">
      <c r="A36" s="5" t="s">
        <v>162</v>
      </c>
      <c r="B36" s="92">
        <v>45573</v>
      </c>
      <c r="C36"/>
      <c r="D36"/>
      <c r="E36"/>
      <c r="F36"/>
      <c r="G36"/>
      <c r="H36"/>
      <c r="I36"/>
      <c r="J36"/>
      <c r="L36" s="22"/>
      <c r="M36" s="42" t="s">
        <v>133</v>
      </c>
      <c r="N36" s="22"/>
      <c r="O36" s="42" t="s">
        <v>133</v>
      </c>
      <c r="P36" s="22"/>
      <c r="Q36" s="45" t="s">
        <v>134</v>
      </c>
      <c r="R36" s="22"/>
      <c r="T36" s="22"/>
      <c r="U36" s="45" t="s">
        <v>134</v>
      </c>
      <c r="V36" s="22"/>
    </row>
    <row r="37" spans="1:23" ht="15.75" customHeight="1" x14ac:dyDescent="0.25">
      <c r="A37" s="5" t="s">
        <v>168</v>
      </c>
      <c r="B37" s="92">
        <v>45607</v>
      </c>
      <c r="C37"/>
      <c r="D37"/>
      <c r="E37"/>
      <c r="F37"/>
      <c r="G37"/>
      <c r="H37"/>
      <c r="I37"/>
      <c r="J37"/>
    </row>
    <row r="38" spans="1:23" x14ac:dyDescent="0.25">
      <c r="A38" s="5" t="s">
        <v>174</v>
      </c>
      <c r="B38" s="92">
        <v>45607</v>
      </c>
      <c r="C38"/>
      <c r="D38"/>
      <c r="E38"/>
      <c r="F38"/>
      <c r="G38"/>
      <c r="H38"/>
      <c r="I38"/>
      <c r="J38"/>
    </row>
    <row r="39" spans="1:23" x14ac:dyDescent="0.25">
      <c r="A39"/>
      <c r="B39"/>
      <c r="C39"/>
      <c r="D39"/>
      <c r="E39"/>
      <c r="F39"/>
      <c r="G39"/>
      <c r="H39"/>
      <c r="I39"/>
      <c r="J39"/>
    </row>
    <row r="40" spans="1:23" x14ac:dyDescent="0.25">
      <c r="A40"/>
      <c r="B40"/>
      <c r="C40"/>
      <c r="D40"/>
      <c r="E40"/>
      <c r="F40"/>
      <c r="G40"/>
      <c r="H40"/>
      <c r="I40"/>
      <c r="J40" s="50" t="s">
        <v>138</v>
      </c>
      <c r="L40" s="37"/>
      <c r="M40" s="38" t="s">
        <v>103</v>
      </c>
      <c r="N40" s="37"/>
      <c r="O40" s="39" t="s">
        <v>108</v>
      </c>
      <c r="P40" s="37"/>
      <c r="Q40" s="39" t="s">
        <v>110</v>
      </c>
      <c r="R40" s="37"/>
      <c r="S40" s="39" t="s">
        <v>113</v>
      </c>
      <c r="T40" s="37"/>
      <c r="U40" s="117" t="s">
        <v>116</v>
      </c>
      <c r="V40" s="37"/>
      <c r="W40" s="39" t="s">
        <v>120</v>
      </c>
    </row>
    <row r="41" spans="1:23" x14ac:dyDescent="0.25">
      <c r="A41"/>
      <c r="B41"/>
      <c r="C41"/>
      <c r="D41"/>
      <c r="E41"/>
      <c r="F41"/>
      <c r="K41" s="16">
        <v>2</v>
      </c>
      <c r="L41" s="24" t="s">
        <v>140</v>
      </c>
      <c r="M41" s="53" t="s">
        <v>141</v>
      </c>
      <c r="N41" s="24" t="s">
        <v>140</v>
      </c>
      <c r="O41" s="53" t="s">
        <v>142</v>
      </c>
      <c r="P41" s="24" t="s">
        <v>140</v>
      </c>
      <c r="Q41" s="74" t="s">
        <v>143</v>
      </c>
      <c r="R41" s="24" t="s">
        <v>140</v>
      </c>
      <c r="S41" s="53" t="s">
        <v>144</v>
      </c>
      <c r="T41" s="24" t="s">
        <v>140</v>
      </c>
      <c r="U41" s="53" t="s">
        <v>145</v>
      </c>
      <c r="V41" s="24" t="s">
        <v>140</v>
      </c>
      <c r="W41" s="53" t="s">
        <v>145</v>
      </c>
    </row>
    <row r="42" spans="1:23" x14ac:dyDescent="0.25">
      <c r="A42"/>
      <c r="B42"/>
      <c r="C42"/>
      <c r="D42"/>
      <c r="E42"/>
      <c r="F42"/>
      <c r="K42" s="16">
        <v>3</v>
      </c>
      <c r="L42" s="25" t="s">
        <v>147</v>
      </c>
      <c r="M42" s="20" t="s">
        <v>148</v>
      </c>
      <c r="N42" s="25" t="s">
        <v>147</v>
      </c>
      <c r="O42" s="20" t="s">
        <v>149</v>
      </c>
      <c r="P42" s="25" t="s">
        <v>147</v>
      </c>
      <c r="Q42" s="40" t="s">
        <v>150</v>
      </c>
      <c r="R42" s="25" t="s">
        <v>147</v>
      </c>
      <c r="S42" s="20" t="s">
        <v>151</v>
      </c>
      <c r="T42" s="25" t="s">
        <v>147</v>
      </c>
      <c r="U42" s="20" t="s">
        <v>152</v>
      </c>
      <c r="V42" s="25" t="s">
        <v>147</v>
      </c>
      <c r="W42" s="20" t="s">
        <v>153</v>
      </c>
    </row>
    <row r="43" spans="1:23" x14ac:dyDescent="0.25">
      <c r="A43"/>
      <c r="B43"/>
      <c r="C43"/>
      <c r="D43"/>
      <c r="E43"/>
      <c r="F43"/>
      <c r="J43"/>
      <c r="K43" s="16">
        <v>4</v>
      </c>
      <c r="L43" s="25" t="s">
        <v>155</v>
      </c>
      <c r="M43" s="20" t="s">
        <v>156</v>
      </c>
      <c r="N43" s="25" t="s">
        <v>155</v>
      </c>
      <c r="O43" s="20" t="s">
        <v>157</v>
      </c>
      <c r="P43" s="25" t="s">
        <v>155</v>
      </c>
      <c r="Q43" s="40" t="s">
        <v>158</v>
      </c>
      <c r="R43" s="25" t="s">
        <v>155</v>
      </c>
      <c r="S43" s="20" t="s">
        <v>159</v>
      </c>
      <c r="T43" s="25" t="s">
        <v>155</v>
      </c>
      <c r="U43" s="20" t="s">
        <v>160</v>
      </c>
      <c r="V43" s="25" t="s">
        <v>155</v>
      </c>
      <c r="W43" s="40" t="s">
        <v>161</v>
      </c>
    </row>
    <row r="44" spans="1:23" x14ac:dyDescent="0.25">
      <c r="A44"/>
      <c r="B44"/>
      <c r="C44"/>
      <c r="D44"/>
      <c r="E44"/>
      <c r="F44"/>
      <c r="J44"/>
      <c r="K44" s="16">
        <v>5</v>
      </c>
      <c r="L44" s="25" t="s">
        <v>163</v>
      </c>
      <c r="M44" s="20" t="s">
        <v>164</v>
      </c>
      <c r="N44" s="25" t="s">
        <v>163</v>
      </c>
      <c r="O44" s="20" t="s">
        <v>165</v>
      </c>
      <c r="P44" s="25" t="s">
        <v>163</v>
      </c>
      <c r="Q44" s="40" t="s">
        <v>157</v>
      </c>
      <c r="R44" s="25" t="s">
        <v>163</v>
      </c>
      <c r="S44" s="20" t="s">
        <v>157</v>
      </c>
      <c r="T44" s="25" t="s">
        <v>163</v>
      </c>
      <c r="U44" s="20" t="s">
        <v>166</v>
      </c>
      <c r="V44" s="25" t="s">
        <v>163</v>
      </c>
      <c r="W44" s="40" t="s">
        <v>167</v>
      </c>
    </row>
    <row r="45" spans="1:23" x14ac:dyDescent="0.25">
      <c r="A45"/>
      <c r="B45"/>
      <c r="C45"/>
      <c r="J45"/>
      <c r="K45" s="16">
        <v>6</v>
      </c>
      <c r="L45" s="25" t="s">
        <v>169</v>
      </c>
      <c r="M45" s="40" t="s">
        <v>157</v>
      </c>
      <c r="N45" s="25" t="s">
        <v>169</v>
      </c>
      <c r="O45" s="20" t="s">
        <v>170</v>
      </c>
      <c r="P45" s="25" t="s">
        <v>169</v>
      </c>
      <c r="Q45" s="111" t="s">
        <v>144</v>
      </c>
      <c r="R45" s="25" t="s">
        <v>169</v>
      </c>
      <c r="S45" s="20" t="s">
        <v>171</v>
      </c>
      <c r="T45" s="25" t="s">
        <v>169</v>
      </c>
      <c r="U45" s="20" t="s">
        <v>172</v>
      </c>
      <c r="V45" s="25" t="s">
        <v>169</v>
      </c>
      <c r="W45" s="40" t="s">
        <v>173</v>
      </c>
    </row>
    <row r="46" spans="1:23" x14ac:dyDescent="0.25">
      <c r="A46"/>
      <c r="B46"/>
      <c r="C46"/>
      <c r="J46"/>
      <c r="K46" s="16">
        <v>7</v>
      </c>
      <c r="L46" s="25" t="s">
        <v>175</v>
      </c>
      <c r="M46" s="40" t="s">
        <v>176</v>
      </c>
      <c r="N46" s="25" t="s">
        <v>175</v>
      </c>
      <c r="O46" s="20" t="s">
        <v>177</v>
      </c>
      <c r="P46" s="25" t="s">
        <v>175</v>
      </c>
      <c r="Q46" s="40" t="s">
        <v>178</v>
      </c>
      <c r="R46" s="25" t="s">
        <v>175</v>
      </c>
      <c r="S46" s="20" t="s">
        <v>179</v>
      </c>
      <c r="T46" s="25"/>
      <c r="V46" s="25"/>
      <c r="W46" s="40"/>
    </row>
    <row r="47" spans="1:23" x14ac:dyDescent="0.25">
      <c r="A47"/>
      <c r="B47"/>
      <c r="C47"/>
      <c r="J47"/>
      <c r="K47" s="16">
        <v>8</v>
      </c>
      <c r="L47" s="25" t="s">
        <v>180</v>
      </c>
      <c r="M47" s="54" t="s">
        <v>181</v>
      </c>
      <c r="N47" s="25" t="s">
        <v>180</v>
      </c>
      <c r="O47" s="20" t="s">
        <v>182</v>
      </c>
      <c r="P47" s="25" t="s">
        <v>180</v>
      </c>
      <c r="Q47" s="40" t="s">
        <v>183</v>
      </c>
      <c r="R47" s="25" t="s">
        <v>180</v>
      </c>
      <c r="S47" s="20" t="s">
        <v>184</v>
      </c>
      <c r="T47" s="25"/>
      <c r="V47" s="25"/>
      <c r="W47" s="40"/>
    </row>
    <row r="48" spans="1:23" x14ac:dyDescent="0.25">
      <c r="A48"/>
      <c r="B48"/>
      <c r="C48"/>
      <c r="J48"/>
      <c r="K48" s="16">
        <v>9</v>
      </c>
      <c r="L48" s="25" t="s">
        <v>185</v>
      </c>
      <c r="M48" s="40" t="s">
        <v>186</v>
      </c>
      <c r="N48" s="25" t="s">
        <v>185</v>
      </c>
      <c r="O48" s="20" t="s">
        <v>187</v>
      </c>
      <c r="P48" s="25" t="s">
        <v>185</v>
      </c>
      <c r="Q48" s="40" t="s">
        <v>157</v>
      </c>
      <c r="R48" s="25" t="s">
        <v>185</v>
      </c>
      <c r="S48" s="112" t="s">
        <v>188</v>
      </c>
      <c r="T48" s="25"/>
      <c r="U48" s="20"/>
      <c r="V48" s="25"/>
      <c r="W48" s="40"/>
    </row>
    <row r="49" spans="1:23" x14ac:dyDescent="0.25">
      <c r="A49"/>
      <c r="B49"/>
      <c r="C49"/>
      <c r="J49"/>
      <c r="K49" s="16">
        <v>10</v>
      </c>
      <c r="L49" s="25"/>
      <c r="M49" s="40"/>
      <c r="N49" s="25" t="s">
        <v>189</v>
      </c>
      <c r="O49" s="20" t="s">
        <v>190</v>
      </c>
      <c r="P49" s="25" t="s">
        <v>189</v>
      </c>
      <c r="Q49" s="40" t="s">
        <v>191</v>
      </c>
      <c r="R49" s="25" t="s">
        <v>189</v>
      </c>
      <c r="S49" s="20" t="s">
        <v>192</v>
      </c>
      <c r="T49" s="25"/>
      <c r="U49" s="20"/>
      <c r="V49" s="25"/>
      <c r="W49" s="40"/>
    </row>
    <row r="50" spans="1:23" x14ac:dyDescent="0.25">
      <c r="A50"/>
      <c r="B50"/>
      <c r="C50"/>
      <c r="J50"/>
      <c r="K50" s="16">
        <v>11</v>
      </c>
      <c r="L50" s="25"/>
      <c r="M50" s="40"/>
      <c r="N50" s="25" t="s">
        <v>193</v>
      </c>
      <c r="O50" s="20" t="s">
        <v>194</v>
      </c>
      <c r="P50" s="25" t="s">
        <v>193</v>
      </c>
      <c r="Q50" s="40" t="s">
        <v>195</v>
      </c>
      <c r="R50" s="25" t="s">
        <v>193</v>
      </c>
      <c r="S50" s="20" t="s">
        <v>196</v>
      </c>
      <c r="T50" s="25"/>
      <c r="U50" s="20"/>
      <c r="V50" s="25"/>
      <c r="W50" s="40"/>
    </row>
    <row r="51" spans="1:23" x14ac:dyDescent="0.25">
      <c r="A51"/>
      <c r="B51"/>
      <c r="C51"/>
      <c r="G51"/>
      <c r="H51"/>
      <c r="I51"/>
      <c r="J51"/>
      <c r="K51" s="16">
        <v>12</v>
      </c>
      <c r="L51" s="25"/>
      <c r="M51" s="40"/>
      <c r="N51" s="25"/>
      <c r="O51" s="20"/>
      <c r="P51" s="25" t="s">
        <v>197</v>
      </c>
      <c r="Q51" s="40" t="s">
        <v>198</v>
      </c>
      <c r="R51" s="25"/>
      <c r="T51" s="25"/>
      <c r="U51" s="20"/>
      <c r="V51" s="25"/>
      <c r="W51" s="40"/>
    </row>
    <row r="52" spans="1:23" x14ac:dyDescent="0.25">
      <c r="A52"/>
      <c r="B52"/>
      <c r="C52"/>
      <c r="G52"/>
      <c r="H52"/>
      <c r="I52"/>
      <c r="J52"/>
      <c r="K52" s="16">
        <v>13</v>
      </c>
      <c r="L52" s="25"/>
      <c r="M52" s="40"/>
      <c r="N52" s="25"/>
      <c r="O52" s="20"/>
      <c r="P52" s="25" t="s">
        <v>199</v>
      </c>
      <c r="Q52" s="40" t="s">
        <v>200</v>
      </c>
      <c r="R52" s="25"/>
      <c r="S52" s="20"/>
      <c r="T52" s="25"/>
      <c r="U52" s="20"/>
      <c r="V52" s="25"/>
      <c r="W52" s="40"/>
    </row>
    <row r="53" spans="1:23" x14ac:dyDescent="0.25">
      <c r="A53"/>
      <c r="B53"/>
      <c r="C53"/>
      <c r="D53"/>
      <c r="E53"/>
      <c r="F53"/>
      <c r="G53"/>
      <c r="H53"/>
      <c r="I53"/>
      <c r="J53"/>
      <c r="K53" s="16">
        <v>14</v>
      </c>
      <c r="L53" s="25"/>
      <c r="M53" s="40"/>
      <c r="N53" s="25"/>
      <c r="O53" s="20"/>
      <c r="P53" s="25" t="s">
        <v>201</v>
      </c>
      <c r="Q53" s="40" t="s">
        <v>202</v>
      </c>
      <c r="R53" s="25"/>
      <c r="S53" s="20"/>
      <c r="T53" s="25"/>
      <c r="U53" s="20"/>
      <c r="V53" s="25"/>
      <c r="W53" s="40"/>
    </row>
    <row r="54" spans="1:23" x14ac:dyDescent="0.25">
      <c r="A54"/>
      <c r="B54"/>
      <c r="C54"/>
      <c r="D54"/>
      <c r="E54"/>
      <c r="F54"/>
      <c r="G54"/>
      <c r="H54"/>
      <c r="I54"/>
      <c r="J54"/>
      <c r="K54" s="16">
        <v>15</v>
      </c>
      <c r="L54" s="25"/>
      <c r="M54" s="40"/>
      <c r="N54" s="25"/>
      <c r="O54" s="20"/>
      <c r="P54" s="25" t="s">
        <v>203</v>
      </c>
      <c r="Q54" s="40" t="s">
        <v>204</v>
      </c>
      <c r="R54" s="25"/>
      <c r="S54" s="20"/>
      <c r="T54" s="25"/>
      <c r="U54" s="20"/>
      <c r="V54" s="25"/>
      <c r="W54" s="40"/>
    </row>
    <row r="55" spans="1:23" x14ac:dyDescent="0.25">
      <c r="A55"/>
      <c r="B55"/>
      <c r="C55"/>
      <c r="D55"/>
      <c r="E55"/>
      <c r="F55"/>
      <c r="G55"/>
      <c r="H55"/>
      <c r="I55"/>
      <c r="J55"/>
      <c r="K55" s="16">
        <v>16</v>
      </c>
      <c r="L55" s="25"/>
      <c r="M55" s="40"/>
      <c r="N55" s="25"/>
      <c r="O55" s="20"/>
      <c r="P55" s="25" t="s">
        <v>205</v>
      </c>
      <c r="Q55" s="40" t="s">
        <v>206</v>
      </c>
      <c r="R55" s="25"/>
      <c r="S55" s="20"/>
      <c r="T55" s="25"/>
      <c r="U55" s="20"/>
      <c r="V55" s="25"/>
      <c r="W55" s="40"/>
    </row>
    <row r="56" spans="1:23" x14ac:dyDescent="0.25">
      <c r="A56"/>
      <c r="B56"/>
      <c r="C56"/>
      <c r="D56"/>
      <c r="E56"/>
      <c r="F56"/>
      <c r="G56"/>
      <c r="H56"/>
      <c r="I56"/>
      <c r="J56"/>
      <c r="K56" s="16">
        <v>17</v>
      </c>
      <c r="L56" s="25"/>
      <c r="M56" s="40"/>
      <c r="N56" s="25"/>
      <c r="O56" s="20"/>
      <c r="P56" s="25" t="s">
        <v>207</v>
      </c>
      <c r="Q56" s="40" t="s">
        <v>208</v>
      </c>
      <c r="R56" s="25"/>
      <c r="S56" s="20"/>
      <c r="T56" s="25"/>
      <c r="U56" s="20"/>
      <c r="V56" s="25"/>
      <c r="W56" s="40"/>
    </row>
    <row r="57" spans="1:23" x14ac:dyDescent="0.25">
      <c r="A57"/>
      <c r="B57"/>
      <c r="C57"/>
      <c r="D57"/>
      <c r="E57"/>
      <c r="F57"/>
      <c r="G57"/>
      <c r="H57"/>
      <c r="I57"/>
      <c r="J57"/>
      <c r="K57" s="16">
        <v>18</v>
      </c>
      <c r="L57" s="25"/>
      <c r="M57" s="40"/>
      <c r="N57" s="25"/>
      <c r="O57" s="20"/>
      <c r="P57" s="25" t="s">
        <v>209</v>
      </c>
      <c r="Q57" s="40" t="s">
        <v>210</v>
      </c>
      <c r="R57" s="25"/>
      <c r="S57" s="20"/>
      <c r="T57" s="25"/>
      <c r="U57" s="20"/>
      <c r="V57" s="25"/>
      <c r="W57" s="40"/>
    </row>
    <row r="58" spans="1:23" x14ac:dyDescent="0.25">
      <c r="A58"/>
      <c r="B58"/>
      <c r="C58"/>
      <c r="D58"/>
      <c r="E58"/>
      <c r="F58"/>
      <c r="G58"/>
      <c r="H58"/>
      <c r="I58"/>
      <c r="J58"/>
      <c r="K58" s="16">
        <v>19</v>
      </c>
      <c r="L58" s="25"/>
      <c r="M58" s="40"/>
      <c r="N58" s="25"/>
      <c r="O58" s="20"/>
      <c r="P58" s="25" t="s">
        <v>211</v>
      </c>
      <c r="Q58" s="40" t="s">
        <v>212</v>
      </c>
      <c r="R58" s="25"/>
      <c r="S58" s="73"/>
      <c r="T58" s="25"/>
      <c r="U58" s="20"/>
      <c r="V58" s="25"/>
      <c r="W58" s="40"/>
    </row>
    <row r="59" spans="1:23" x14ac:dyDescent="0.25">
      <c r="A59"/>
      <c r="B59"/>
      <c r="C59"/>
      <c r="D59"/>
      <c r="E59"/>
      <c r="F59"/>
      <c r="G59"/>
      <c r="H59"/>
      <c r="I59"/>
      <c r="J59"/>
      <c r="K59" s="16"/>
      <c r="L59" s="25"/>
      <c r="M59" s="40"/>
      <c r="N59" s="25"/>
      <c r="O59" s="20"/>
      <c r="P59" s="25" t="s">
        <v>213</v>
      </c>
      <c r="Q59" s="40" t="s">
        <v>186</v>
      </c>
      <c r="R59" s="25"/>
      <c r="S59" s="73"/>
      <c r="T59" s="25"/>
      <c r="U59" s="20"/>
      <c r="V59" s="25"/>
      <c r="W59" s="40"/>
    </row>
    <row r="60" spans="1:23" x14ac:dyDescent="0.25">
      <c r="A60"/>
      <c r="B60"/>
      <c r="C60"/>
      <c r="D60"/>
      <c r="E60"/>
      <c r="F60"/>
      <c r="G60"/>
      <c r="H60"/>
      <c r="I60"/>
      <c r="J60"/>
      <c r="K60" s="16">
        <v>20</v>
      </c>
      <c r="L60" s="25"/>
      <c r="M60" s="40"/>
      <c r="N60" s="25"/>
      <c r="O60" s="20"/>
      <c r="P60" s="25" t="s">
        <v>214</v>
      </c>
      <c r="Q60" s="40" t="s">
        <v>215</v>
      </c>
      <c r="R60" s="25"/>
      <c r="S60" s="73"/>
      <c r="T60" s="25"/>
      <c r="U60" s="20"/>
      <c r="V60" s="25"/>
      <c r="W60" s="40"/>
    </row>
    <row r="61" spans="1:23" x14ac:dyDescent="0.25">
      <c r="A61"/>
      <c r="B61"/>
      <c r="C61"/>
      <c r="D61"/>
      <c r="E61"/>
      <c r="F61"/>
      <c r="J61"/>
      <c r="K61" s="16">
        <v>21</v>
      </c>
      <c r="L61" s="29"/>
      <c r="M61" s="20"/>
      <c r="N61" s="29"/>
      <c r="O61" s="36"/>
      <c r="P61" s="29" t="s">
        <v>216</v>
      </c>
      <c r="Q61" s="35" t="s">
        <v>217</v>
      </c>
      <c r="R61" s="29"/>
      <c r="S61" s="36"/>
      <c r="T61" s="29"/>
      <c r="U61" s="36"/>
      <c r="V61" s="29"/>
      <c r="W61" s="35"/>
    </row>
    <row r="62" spans="1:23" ht="27" customHeight="1" x14ac:dyDescent="0.25">
      <c r="A62"/>
      <c r="B62"/>
      <c r="C62"/>
      <c r="D62"/>
      <c r="E62"/>
      <c r="F62"/>
      <c r="K62" s="16"/>
      <c r="L62" s="120" t="s">
        <v>218</v>
      </c>
      <c r="M62" s="120"/>
      <c r="R62" s="120" t="s">
        <v>218</v>
      </c>
      <c r="S62" s="120"/>
      <c r="T62" s="120" t="s">
        <v>219</v>
      </c>
      <c r="U62" s="120"/>
    </row>
    <row r="63" spans="1:23" x14ac:dyDescent="0.25">
      <c r="K63" s="16"/>
    </row>
    <row r="64" spans="1:23" x14ac:dyDescent="0.25">
      <c r="K64" s="16"/>
    </row>
    <row r="65" spans="11:11" x14ac:dyDescent="0.25">
      <c r="K65" s="16"/>
    </row>
    <row r="66" spans="11:11" x14ac:dyDescent="0.25">
      <c r="K66" s="16"/>
    </row>
  </sheetData>
  <mergeCells count="3">
    <mergeCell ref="L62:M62"/>
    <mergeCell ref="T62:U62"/>
    <mergeCell ref="R62:S62"/>
  </mergeCells>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1"/>
  <sheetViews>
    <sheetView zoomScale="70" zoomScaleNormal="70" workbookViewId="0">
      <pane ySplit="2" topLeftCell="A3" activePane="bottomLeft" state="frozen"/>
      <selection activeCell="A44" sqref="A44"/>
      <selection pane="bottomLeft" activeCell="A44" sqref="A44"/>
    </sheetView>
  </sheetViews>
  <sheetFormatPr defaultRowHeight="15.75" x14ac:dyDescent="0.25"/>
  <cols>
    <col min="1" max="1" width="16.75" bestFit="1" customWidth="1"/>
    <col min="2" max="2" width="7.75" style="2" bestFit="1" customWidth="1"/>
    <col min="3" max="3" width="12.125" bestFit="1" customWidth="1"/>
    <col min="4" max="4" width="67.125" customWidth="1"/>
    <col min="5" max="5" width="11.375" style="2" bestFit="1" customWidth="1"/>
    <col min="6" max="6" width="46.875" bestFit="1" customWidth="1"/>
    <col min="7" max="10" width="7.625" bestFit="1" customWidth="1"/>
    <col min="11" max="11" width="51.375" customWidth="1"/>
    <col min="12" max="15" width="7.625" bestFit="1" customWidth="1"/>
    <col min="16" max="19" width="7.625" style="2" bestFit="1" customWidth="1"/>
    <col min="20" max="20" width="7.625" bestFit="1" customWidth="1"/>
    <col min="21" max="21" width="6" bestFit="1" customWidth="1"/>
    <col min="22" max="23" width="5.375" bestFit="1" customWidth="1"/>
    <col min="24" max="24" width="6.5" bestFit="1" customWidth="1"/>
    <col min="25" max="25" width="6" bestFit="1" customWidth="1"/>
    <col min="26" max="26" width="6.5" bestFit="1" customWidth="1"/>
    <col min="27" max="27" width="6" bestFit="1" customWidth="1"/>
    <col min="28" max="28" width="6.5" customWidth="1"/>
    <col min="29" max="29" width="5.375" bestFit="1" customWidth="1"/>
  </cols>
  <sheetData>
    <row r="1" spans="1:21" x14ac:dyDescent="0.25">
      <c r="A1" s="84">
        <f>COLUMN()</f>
        <v>1</v>
      </c>
      <c r="B1" s="84">
        <f>COLUMN()</f>
        <v>2</v>
      </c>
      <c r="C1" s="84">
        <f>COLUMN()</f>
        <v>3</v>
      </c>
      <c r="D1" s="84">
        <f>COLUMN()</f>
        <v>4</v>
      </c>
      <c r="E1" s="84">
        <f>COLUMN()</f>
        <v>5</v>
      </c>
      <c r="F1" s="84">
        <f>COLUMN()</f>
        <v>6</v>
      </c>
      <c r="G1" s="84">
        <f>COLUMN()</f>
        <v>7</v>
      </c>
      <c r="H1" s="84">
        <f>COLUMN()</f>
        <v>8</v>
      </c>
      <c r="I1" s="84">
        <f>COLUMN()</f>
        <v>9</v>
      </c>
      <c r="J1" s="84">
        <f>COLUMN()</f>
        <v>10</v>
      </c>
      <c r="K1" s="84">
        <f>COLUMN()</f>
        <v>11</v>
      </c>
      <c r="L1" s="84">
        <f>COLUMN()</f>
        <v>12</v>
      </c>
      <c r="M1" s="84">
        <f>COLUMN()</f>
        <v>13</v>
      </c>
      <c r="N1" s="84">
        <f>COLUMN()</f>
        <v>14</v>
      </c>
      <c r="O1" s="84">
        <f>COLUMN()</f>
        <v>15</v>
      </c>
      <c r="P1" s="84">
        <f>COLUMN()</f>
        <v>16</v>
      </c>
      <c r="Q1" s="84">
        <f>COLUMN()</f>
        <v>17</v>
      </c>
      <c r="R1" s="84">
        <f>COLUMN()</f>
        <v>18</v>
      </c>
      <c r="S1" s="84">
        <f>COLUMN()</f>
        <v>19</v>
      </c>
      <c r="T1" s="84">
        <f>COLUMN()</f>
        <v>20</v>
      </c>
    </row>
    <row r="2" spans="1:21" ht="70.5" x14ac:dyDescent="0.25">
      <c r="A2" s="79" t="s">
        <v>0</v>
      </c>
      <c r="B2" s="79" t="s">
        <v>1</v>
      </c>
      <c r="C2" s="79" t="s">
        <v>2</v>
      </c>
      <c r="D2" s="79" t="s">
        <v>220</v>
      </c>
      <c r="E2" s="79" t="s">
        <v>6</v>
      </c>
      <c r="F2" s="114" t="s">
        <v>221</v>
      </c>
      <c r="G2" s="80" t="s">
        <v>222</v>
      </c>
      <c r="H2" s="80" t="s">
        <v>223</v>
      </c>
      <c r="I2" s="80" t="s">
        <v>224</v>
      </c>
      <c r="J2" s="80" t="s">
        <v>225</v>
      </c>
      <c r="K2" s="79" t="s">
        <v>226</v>
      </c>
      <c r="L2" s="80" t="s">
        <v>227</v>
      </c>
      <c r="M2" s="80" t="s">
        <v>95</v>
      </c>
      <c r="N2" s="80" t="s">
        <v>90</v>
      </c>
      <c r="O2" s="80" t="s">
        <v>103</v>
      </c>
      <c r="P2" s="80" t="s">
        <v>108</v>
      </c>
      <c r="Q2" s="80" t="s">
        <v>110</v>
      </c>
      <c r="R2" s="80" t="s">
        <v>113</v>
      </c>
      <c r="S2" s="80" t="s">
        <v>116</v>
      </c>
      <c r="T2" s="80" t="s">
        <v>120</v>
      </c>
      <c r="U2" s="3"/>
    </row>
    <row r="3" spans="1:21" x14ac:dyDescent="0.25">
      <c r="A3" s="17" t="s">
        <v>132</v>
      </c>
      <c r="B3" s="18"/>
      <c r="C3" s="18"/>
      <c r="D3" s="78" t="s">
        <v>228</v>
      </c>
      <c r="E3" s="18"/>
      <c r="F3" s="81"/>
      <c r="G3" s="82" t="str">
        <f>IFERROR(IF(VLOOKUP(TableHandbook[[#This Row],[UDC]],TableAvailabilities[],2,FALSE)&gt;0,"Y",""),"")</f>
        <v/>
      </c>
      <c r="H3" s="82" t="str">
        <f>IFERROR(IF(VLOOKUP(TableHandbook[[#This Row],[UDC]],TableAvailabilities[],3,FALSE)&gt;0,"Y",""),"")</f>
        <v/>
      </c>
      <c r="I3" s="82" t="str">
        <f>IFERROR(IF(VLOOKUP(TableHandbook[[#This Row],[UDC]],TableAvailabilities[],4,FALSE)&gt;0,"Y",""),"")</f>
        <v/>
      </c>
      <c r="J3" s="82" t="str">
        <f>IFERROR(IF(VLOOKUP(TableHandbook[[#This Row],[UDC]],TableAvailabilities[],5,FALSE)&gt;0,"Y",""),"")</f>
        <v/>
      </c>
      <c r="K3" s="78"/>
      <c r="L3" s="83" t="str">
        <f>IFERROR(VLOOKUP(TableHandbook[[#This Row],[UDC]],TableBCONM[],7,FALSE),"")</f>
        <v/>
      </c>
      <c r="M3" s="83" t="str">
        <f>IFERROR(VLOOKUP(TableHandbook[[#This Row],[UDC]],TableSTRHCONMN[],7,FALSE),"")</f>
        <v/>
      </c>
      <c r="N3" s="83" t="str">
        <f>IFERROR(VLOOKUP(TableHandbook[[#This Row],[UDC]],TableSTRUCONMN[],7,FALSE),"")</f>
        <v/>
      </c>
      <c r="O3" s="83" t="str">
        <f>IFERROR(VLOOKUP(TableHandbook[[#This Row],[UDC]],TableSPUCANGAD[],7,FALSE),"")</f>
        <v/>
      </c>
      <c r="P3" s="83" t="str">
        <f>IFERROR(VLOOKUP(TableHandbook[[#This Row],[UDC]],TableSPUCFINCE[],7,FALSE),"")</f>
        <v/>
      </c>
      <c r="Q3" s="83" t="str">
        <f>IFERROR(VLOOKUP(TableHandbook[[#This Row],[UDC]],TableSPUCINARS[],7,FALSE),"")</f>
        <v/>
      </c>
      <c r="R3" s="83" t="str">
        <f>IFERROR(VLOOKUP(TableHandbook[[#This Row],[UDC]],TableSPUCINENT[],7,FALSE),"")</f>
        <v/>
      </c>
      <c r="S3" s="83" t="str">
        <f>IFERROR(VLOOKUP(TableHandbook[[#This Row],[UDC]],TableSPUCPROPT[],7,FALSE),"")</f>
        <v/>
      </c>
      <c r="T3" s="83" t="str">
        <f>IFERROR(VLOOKUP(TableHandbook[[#This Row],[UDC]],TableSPUCURDES[],7,FALSE),"")</f>
        <v/>
      </c>
      <c r="U3" s="3"/>
    </row>
    <row r="4" spans="1:21" x14ac:dyDescent="0.25">
      <c r="A4" s="17" t="s">
        <v>50</v>
      </c>
      <c r="B4" s="18"/>
      <c r="C4" s="18"/>
      <c r="D4" s="108" t="s">
        <v>229</v>
      </c>
      <c r="E4" s="18"/>
      <c r="F4" s="109" t="s">
        <v>230</v>
      </c>
      <c r="G4" s="82" t="str">
        <f>IFERROR(IF(VLOOKUP(TableHandbook[[#This Row],[UDC]],TableAvailabilities[],2,FALSE)&gt;0,"Y",""),"")</f>
        <v/>
      </c>
      <c r="H4" s="82" t="str">
        <f>IFERROR(IF(VLOOKUP(TableHandbook[[#This Row],[UDC]],TableAvailabilities[],3,FALSE)&gt;0,"Y",""),"")</f>
        <v/>
      </c>
      <c r="I4" s="82" t="str">
        <f>IFERROR(IF(VLOOKUP(TableHandbook[[#This Row],[UDC]],TableAvailabilities[],4,FALSE)&gt;0,"Y",""),"")</f>
        <v/>
      </c>
      <c r="J4" s="82" t="str">
        <f>IFERROR(IF(VLOOKUP(TableHandbook[[#This Row],[UDC]],TableAvailabilities[],5,FALSE)&gt;0,"Y",""),"")</f>
        <v/>
      </c>
      <c r="K4" s="78"/>
      <c r="L4" s="83" t="str">
        <f>IFERROR(VLOOKUP(TableHandbook[[#This Row],[UDC]],TableBCONM[],7,FALSE),"")</f>
        <v/>
      </c>
      <c r="M4" s="83" t="str">
        <f>IFERROR(VLOOKUP(TableHandbook[[#This Row],[UDC]],TableSTRHCONMN[],7,FALSE),"")</f>
        <v/>
      </c>
      <c r="N4" s="83" t="str">
        <f>IFERROR(VLOOKUP(TableHandbook[[#This Row],[UDC]],TableSTRUCONMN[],7,FALSE),"")</f>
        <v/>
      </c>
      <c r="O4" s="83" t="str">
        <f>IFERROR(VLOOKUP(TableHandbook[[#This Row],[UDC]],TableSPUCANGAD[],7,FALSE),"")</f>
        <v/>
      </c>
      <c r="P4" s="83" t="str">
        <f>IFERROR(VLOOKUP(TableHandbook[[#This Row],[UDC]],TableSPUCFINCE[],7,FALSE),"")</f>
        <v/>
      </c>
      <c r="Q4" s="83" t="str">
        <f>IFERROR(VLOOKUP(TableHandbook[[#This Row],[UDC]],TableSPUCINARS[],7,FALSE),"")</f>
        <v/>
      </c>
      <c r="R4" s="83" t="str">
        <f>IFERROR(VLOOKUP(TableHandbook[[#This Row],[UDC]],TableSPUCINENT[],7,FALSE),"")</f>
        <v/>
      </c>
      <c r="S4" s="83" t="str">
        <f>IFERROR(VLOOKUP(TableHandbook[[#This Row],[UDC]],TableSPUCPROPT[],7,FALSE),"")</f>
        <v/>
      </c>
      <c r="T4" s="83" t="str">
        <f>IFERROR(VLOOKUP(TableHandbook[[#This Row],[UDC]],TableSPUCURDES[],7,FALSE),"")</f>
        <v/>
      </c>
    </row>
    <row r="5" spans="1:21" x14ac:dyDescent="0.25">
      <c r="A5" s="110" t="s">
        <v>142</v>
      </c>
      <c r="B5" s="18"/>
      <c r="C5" s="18"/>
      <c r="D5" s="108" t="s">
        <v>231</v>
      </c>
      <c r="E5" s="18">
        <v>25</v>
      </c>
      <c r="F5" s="81"/>
      <c r="G5" s="82" t="str">
        <f>IFERROR(IF(VLOOKUP(TableHandbook[[#This Row],[UDC]],TableAvailabilities[],2,FALSE)&gt;0,"Y",""),"")</f>
        <v/>
      </c>
      <c r="H5" s="82" t="str">
        <f>IFERROR(IF(VLOOKUP(TableHandbook[[#This Row],[UDC]],TableAvailabilities[],3,FALSE)&gt;0,"Y",""),"")</f>
        <v/>
      </c>
      <c r="I5" s="82" t="str">
        <f>IFERROR(IF(VLOOKUP(TableHandbook[[#This Row],[UDC]],TableAvailabilities[],4,FALSE)&gt;0,"Y",""),"")</f>
        <v/>
      </c>
      <c r="J5" s="82" t="str">
        <f>IFERROR(IF(VLOOKUP(TableHandbook[[#This Row],[UDC]],TableAvailabilities[],5,FALSE)&gt;0,"Y",""),"")</f>
        <v/>
      </c>
      <c r="K5" s="78"/>
      <c r="L5" s="83" t="str">
        <f>IFERROR(VLOOKUP(TableHandbook[[#This Row],[UDC]],TableBCONM[],7,FALSE),"")</f>
        <v/>
      </c>
      <c r="M5" s="83" t="str">
        <f>IFERROR(VLOOKUP(TableHandbook[[#This Row],[UDC]],TableSTRHCONMN[],7,FALSE),"")</f>
        <v/>
      </c>
      <c r="N5" s="83" t="str">
        <f>IFERROR(VLOOKUP(TableHandbook[[#This Row],[UDC]],TableSTRUCONMN[],7,FALSE),"")</f>
        <v/>
      </c>
      <c r="O5" s="83" t="str">
        <f>IFERROR(VLOOKUP(TableHandbook[[#This Row],[UDC]],TableSPUCANGAD[],7,FALSE),"")</f>
        <v/>
      </c>
      <c r="P5" s="83" t="str">
        <f>IFERROR(VLOOKUP(TableHandbook[[#This Row],[UDC]],TableSPUCFINCE[],7,FALSE),"")</f>
        <v/>
      </c>
      <c r="Q5" s="83" t="str">
        <f>IFERROR(VLOOKUP(TableHandbook[[#This Row],[UDC]],TableSPUCINARS[],7,FALSE),"")</f>
        <v/>
      </c>
      <c r="R5" s="83" t="str">
        <f>IFERROR(VLOOKUP(TableHandbook[[#This Row],[UDC]],TableSPUCINENT[],7,FALSE),"")</f>
        <v/>
      </c>
      <c r="S5" s="83" t="str">
        <f>IFERROR(VLOOKUP(TableHandbook[[#This Row],[UDC]],TableSPUCPROPT[],7,FALSE),"")</f>
        <v/>
      </c>
      <c r="T5" s="83" t="str">
        <f>IFERROR(VLOOKUP(TableHandbook[[#This Row],[UDC]],TableSPUCURDES[],7,FALSE),"")</f>
        <v/>
      </c>
    </row>
    <row r="6" spans="1:21" x14ac:dyDescent="0.25">
      <c r="A6" s="110" t="s">
        <v>144</v>
      </c>
      <c r="B6" s="18"/>
      <c r="C6" s="18"/>
      <c r="D6" s="108" t="s">
        <v>232</v>
      </c>
      <c r="E6" s="18">
        <v>50</v>
      </c>
      <c r="F6" s="81"/>
      <c r="G6" s="82" t="str">
        <f>IFERROR(IF(VLOOKUP(TableHandbook[[#This Row],[UDC]],TableAvailabilities[],2,FALSE)&gt;0,"Y",""),"")</f>
        <v/>
      </c>
      <c r="H6" s="82" t="str">
        <f>IFERROR(IF(VLOOKUP(TableHandbook[[#This Row],[UDC]],TableAvailabilities[],3,FALSE)&gt;0,"Y",""),"")</f>
        <v/>
      </c>
      <c r="I6" s="82" t="str">
        <f>IFERROR(IF(VLOOKUP(TableHandbook[[#This Row],[UDC]],TableAvailabilities[],4,FALSE)&gt;0,"Y",""),"")</f>
        <v/>
      </c>
      <c r="J6" s="82" t="str">
        <f>IFERROR(IF(VLOOKUP(TableHandbook[[#This Row],[UDC]],TableAvailabilities[],5,FALSE)&gt;0,"Y",""),"")</f>
        <v/>
      </c>
      <c r="K6" s="78"/>
      <c r="L6" s="83" t="str">
        <f>IFERROR(VLOOKUP(TableHandbook[[#This Row],[UDC]],TableBCONM[],7,FALSE),"")</f>
        <v/>
      </c>
      <c r="M6" s="83" t="str">
        <f>IFERROR(VLOOKUP(TableHandbook[[#This Row],[UDC]],TableSTRHCONMN[],7,FALSE),"")</f>
        <v/>
      </c>
      <c r="N6" s="83" t="str">
        <f>IFERROR(VLOOKUP(TableHandbook[[#This Row],[UDC]],TableSTRUCONMN[],7,FALSE),"")</f>
        <v/>
      </c>
      <c r="O6" s="83" t="str">
        <f>IFERROR(VLOOKUP(TableHandbook[[#This Row],[UDC]],TableSPUCANGAD[],7,FALSE),"")</f>
        <v/>
      </c>
      <c r="P6" s="83" t="str">
        <f>IFERROR(VLOOKUP(TableHandbook[[#This Row],[UDC]],TableSPUCFINCE[],7,FALSE),"")</f>
        <v/>
      </c>
      <c r="Q6" s="83" t="str">
        <f>IFERROR(VLOOKUP(TableHandbook[[#This Row],[UDC]],TableSPUCINARS[],7,FALSE),"")</f>
        <v/>
      </c>
      <c r="R6" s="83" t="str">
        <f>IFERROR(VLOOKUP(TableHandbook[[#This Row],[UDC]],TableSPUCINENT[],7,FALSE),"")</f>
        <v/>
      </c>
      <c r="S6" s="83" t="str">
        <f>IFERROR(VLOOKUP(TableHandbook[[#This Row],[UDC]],TableSPUCPROPT[],7,FALSE),"")</f>
        <v/>
      </c>
      <c r="T6" s="83" t="str">
        <f>IFERROR(VLOOKUP(TableHandbook[[#This Row],[UDC]],TableSPUCURDES[],7,FALSE),"")</f>
        <v/>
      </c>
    </row>
    <row r="7" spans="1:21" x14ac:dyDescent="0.25">
      <c r="A7" s="110" t="s">
        <v>141</v>
      </c>
      <c r="B7" s="18"/>
      <c r="C7" s="18"/>
      <c r="D7" s="108" t="s">
        <v>233</v>
      </c>
      <c r="E7" s="18">
        <v>75</v>
      </c>
      <c r="F7" s="81"/>
      <c r="G7" s="82" t="str">
        <f>IFERROR(IF(VLOOKUP(TableHandbook[[#This Row],[UDC]],TableAvailabilities[],2,FALSE)&gt;0,"Y",""),"")</f>
        <v/>
      </c>
      <c r="H7" s="82" t="str">
        <f>IFERROR(IF(VLOOKUP(TableHandbook[[#This Row],[UDC]],TableAvailabilities[],3,FALSE)&gt;0,"Y",""),"")</f>
        <v/>
      </c>
      <c r="I7" s="82" t="str">
        <f>IFERROR(IF(VLOOKUP(TableHandbook[[#This Row],[UDC]],TableAvailabilities[],4,FALSE)&gt;0,"Y",""),"")</f>
        <v/>
      </c>
      <c r="J7" s="82" t="str">
        <f>IFERROR(IF(VLOOKUP(TableHandbook[[#This Row],[UDC]],TableAvailabilities[],5,FALSE)&gt;0,"Y",""),"")</f>
        <v/>
      </c>
      <c r="K7" s="78"/>
      <c r="L7" s="83" t="str">
        <f>IFERROR(VLOOKUP(TableHandbook[[#This Row],[UDC]],TableBCONM[],7,FALSE),"")</f>
        <v/>
      </c>
      <c r="M7" s="83" t="str">
        <f>IFERROR(VLOOKUP(TableHandbook[[#This Row],[UDC]],TableSTRHCONMN[],7,FALSE),"")</f>
        <v/>
      </c>
      <c r="N7" s="83" t="str">
        <f>IFERROR(VLOOKUP(TableHandbook[[#This Row],[UDC]],TableSTRUCONMN[],7,FALSE),"")</f>
        <v/>
      </c>
      <c r="O7" s="83" t="str">
        <f>IFERROR(VLOOKUP(TableHandbook[[#This Row],[UDC]],TableSPUCANGAD[],7,FALSE),"")</f>
        <v/>
      </c>
      <c r="P7" s="83" t="str">
        <f>IFERROR(VLOOKUP(TableHandbook[[#This Row],[UDC]],TableSPUCFINCE[],7,FALSE),"")</f>
        <v/>
      </c>
      <c r="Q7" s="83" t="str">
        <f>IFERROR(VLOOKUP(TableHandbook[[#This Row],[UDC]],TableSPUCINARS[],7,FALSE),"")</f>
        <v/>
      </c>
      <c r="R7" s="83" t="str">
        <f>IFERROR(VLOOKUP(TableHandbook[[#This Row],[UDC]],TableSPUCINENT[],7,FALSE),"")</f>
        <v/>
      </c>
      <c r="S7" s="83" t="str">
        <f>IFERROR(VLOOKUP(TableHandbook[[#This Row],[UDC]],TableSPUCPROPT[],7,FALSE),"")</f>
        <v/>
      </c>
      <c r="T7" s="83" t="str">
        <f>IFERROR(VLOOKUP(TableHandbook[[#This Row],[UDC]],TableSPUCURDES[],7,FALSE),"")</f>
        <v/>
      </c>
    </row>
    <row r="8" spans="1:21" x14ac:dyDescent="0.25">
      <c r="A8" s="110" t="s">
        <v>145</v>
      </c>
      <c r="B8" s="18"/>
      <c r="C8" s="18"/>
      <c r="D8" s="108" t="s">
        <v>234</v>
      </c>
      <c r="E8" s="18">
        <v>100</v>
      </c>
      <c r="F8" s="81"/>
      <c r="G8" s="82" t="str">
        <f>IFERROR(IF(VLOOKUP(TableHandbook[[#This Row],[UDC]],TableAvailabilities[],2,FALSE)&gt;0,"Y",""),"")</f>
        <v/>
      </c>
      <c r="H8" s="82" t="str">
        <f>IFERROR(IF(VLOOKUP(TableHandbook[[#This Row],[UDC]],TableAvailabilities[],3,FALSE)&gt;0,"Y",""),"")</f>
        <v/>
      </c>
      <c r="I8" s="82" t="str">
        <f>IFERROR(IF(VLOOKUP(TableHandbook[[#This Row],[UDC]],TableAvailabilities[],4,FALSE)&gt;0,"Y",""),"")</f>
        <v/>
      </c>
      <c r="J8" s="82" t="str">
        <f>IFERROR(IF(VLOOKUP(TableHandbook[[#This Row],[UDC]],TableAvailabilities[],5,FALSE)&gt;0,"Y",""),"")</f>
        <v/>
      </c>
      <c r="K8" s="78"/>
      <c r="L8" s="83" t="str">
        <f>IFERROR(VLOOKUP(TableHandbook[[#This Row],[UDC]],TableBCONM[],7,FALSE),"")</f>
        <v/>
      </c>
      <c r="M8" s="83" t="str">
        <f>IFERROR(VLOOKUP(TableHandbook[[#This Row],[UDC]],TableSTRHCONMN[],7,FALSE),"")</f>
        <v/>
      </c>
      <c r="N8" s="83" t="str">
        <f>IFERROR(VLOOKUP(TableHandbook[[#This Row],[UDC]],TableSTRUCONMN[],7,FALSE),"")</f>
        <v/>
      </c>
      <c r="O8" s="83" t="str">
        <f>IFERROR(VLOOKUP(TableHandbook[[#This Row],[UDC]],TableSPUCANGAD[],7,FALSE),"")</f>
        <v/>
      </c>
      <c r="P8" s="83" t="str">
        <f>IFERROR(VLOOKUP(TableHandbook[[#This Row],[UDC]],TableSPUCFINCE[],7,FALSE),"")</f>
        <v/>
      </c>
      <c r="Q8" s="83" t="str">
        <f>IFERROR(VLOOKUP(TableHandbook[[#This Row],[UDC]],TableSPUCINARS[],7,FALSE),"")</f>
        <v/>
      </c>
      <c r="R8" s="83" t="str">
        <f>IFERROR(VLOOKUP(TableHandbook[[#This Row],[UDC]],TableSPUCINENT[],7,FALSE),"")</f>
        <v/>
      </c>
      <c r="S8" s="83" t="str">
        <f>IFERROR(VLOOKUP(TableHandbook[[#This Row],[UDC]],TableSPUCPROPT[],7,FALSE),"")</f>
        <v/>
      </c>
      <c r="T8" s="83" t="str">
        <f>IFERROR(VLOOKUP(TableHandbook[[#This Row],[UDC]],TableSPUCURDES[],7,FALSE),"")</f>
        <v/>
      </c>
    </row>
    <row r="9" spans="1:21" ht="30" x14ac:dyDescent="0.25">
      <c r="A9" s="17" t="s">
        <v>235</v>
      </c>
      <c r="B9" s="18">
        <v>0</v>
      </c>
      <c r="C9" s="18"/>
      <c r="D9" s="78" t="s">
        <v>236</v>
      </c>
      <c r="E9" s="18">
        <v>200</v>
      </c>
      <c r="F9" s="81"/>
      <c r="G9" s="82" t="str">
        <f>IFERROR(IF(VLOOKUP(TableHandbook[[#This Row],[UDC]],TableAvailabilities[],2,FALSE)&gt;0,"Y",""),"")</f>
        <v/>
      </c>
      <c r="H9" s="82" t="str">
        <f>IFERROR(IF(VLOOKUP(TableHandbook[[#This Row],[UDC]],TableAvailabilities[],3,FALSE)&gt;0,"Y",""),"")</f>
        <v/>
      </c>
      <c r="I9" s="82" t="str">
        <f>IFERROR(IF(VLOOKUP(TableHandbook[[#This Row],[UDC]],TableAvailabilities[],4,FALSE)&gt;0,"Y",""),"")</f>
        <v/>
      </c>
      <c r="J9" s="82" t="str">
        <f>IFERROR(IF(VLOOKUP(TableHandbook[[#This Row],[UDC]],TableAvailabilities[],5,FALSE)&gt;0,"Y",""),"")</f>
        <v/>
      </c>
      <c r="K9" s="78"/>
      <c r="L9" s="83" t="str">
        <f>IFERROR(VLOOKUP(TableHandbook[[#This Row],[UDC]],TableBCONM[],7,FALSE),"")</f>
        <v>AltCore</v>
      </c>
      <c r="M9" s="83" t="str">
        <f>IFERROR(VLOOKUP(TableHandbook[[#This Row],[UDC]],TableSTRHCONMN[],7,FALSE),"")</f>
        <v/>
      </c>
      <c r="N9" s="83" t="str">
        <f>IFERROR(VLOOKUP(TableHandbook[[#This Row],[UDC]],TableSTRUCONMN[],7,FALSE),"")</f>
        <v/>
      </c>
      <c r="O9" s="83" t="str">
        <f>IFERROR(VLOOKUP(TableHandbook[[#This Row],[UDC]],TableSPUCANGAD[],7,FALSE),"")</f>
        <v/>
      </c>
      <c r="P9" s="83" t="str">
        <f>IFERROR(VLOOKUP(TableHandbook[[#This Row],[UDC]],TableSPUCFINCE[],7,FALSE),"")</f>
        <v/>
      </c>
      <c r="Q9" s="83" t="str">
        <f>IFERROR(VLOOKUP(TableHandbook[[#This Row],[UDC]],TableSPUCINARS[],7,FALSE),"")</f>
        <v/>
      </c>
      <c r="R9" s="83" t="str">
        <f>IFERROR(VLOOKUP(TableHandbook[[#This Row],[UDC]],TableSPUCINENT[],7,FALSE),"")</f>
        <v/>
      </c>
      <c r="S9" s="83" t="str">
        <f>IFERROR(VLOOKUP(TableHandbook[[#This Row],[UDC]],TableSPUCPROPT[],7,FALSE),"")</f>
        <v/>
      </c>
      <c r="T9" s="83" t="str">
        <f>IFERROR(VLOOKUP(TableHandbook[[#This Row],[UDC]],TableSPUCURDES[],7,FALSE),"")</f>
        <v/>
      </c>
    </row>
    <row r="10" spans="1:21" x14ac:dyDescent="0.25">
      <c r="A10" s="17" t="s">
        <v>176</v>
      </c>
      <c r="B10" s="18">
        <v>0</v>
      </c>
      <c r="C10" s="18"/>
      <c r="D10" s="78" t="s">
        <v>237</v>
      </c>
      <c r="E10" s="18">
        <v>25</v>
      </c>
      <c r="F10" s="81"/>
      <c r="G10" s="82" t="str">
        <f>IFERROR(IF(VLOOKUP(TableHandbook[[#This Row],[UDC]],TableAvailabilities[],2,FALSE)&gt;0,"Y",""),"")</f>
        <v/>
      </c>
      <c r="H10" s="82" t="str">
        <f>IFERROR(IF(VLOOKUP(TableHandbook[[#This Row],[UDC]],TableAvailabilities[],3,FALSE)&gt;0,"Y",""),"")</f>
        <v/>
      </c>
      <c r="I10" s="82" t="str">
        <f>IFERROR(IF(VLOOKUP(TableHandbook[[#This Row],[UDC]],TableAvailabilities[],4,FALSE)&gt;0,"Y",""),"")</f>
        <v/>
      </c>
      <c r="J10" s="82" t="str">
        <f>IFERROR(IF(VLOOKUP(TableHandbook[[#This Row],[UDC]],TableAvailabilities[],5,FALSE)&gt;0,"Y",""),"")</f>
        <v/>
      </c>
      <c r="K10" s="78"/>
      <c r="L10" s="83" t="str">
        <f>IFERROR(VLOOKUP(TableHandbook[[#This Row],[UDC]],TableBCONM[],7,FALSE),"")</f>
        <v/>
      </c>
      <c r="M10" s="83" t="str">
        <f>IFERROR(VLOOKUP(TableHandbook[[#This Row],[UDC]],TableSTRHCONMN[],7,FALSE),"")</f>
        <v/>
      </c>
      <c r="N10" s="83" t="str">
        <f>IFERROR(VLOOKUP(TableHandbook[[#This Row],[UDC]],TableSTRUCONMN[],7,FALSE),"")</f>
        <v/>
      </c>
      <c r="O10" s="83" t="str">
        <f>IFERROR(VLOOKUP(TableHandbook[[#This Row],[UDC]],TableSPUCANGAD[],7,FALSE),"")</f>
        <v>AltCore</v>
      </c>
      <c r="P10" s="83" t="str">
        <f>IFERROR(VLOOKUP(TableHandbook[[#This Row],[UDC]],TableSPUCFINCE[],7,FALSE),"")</f>
        <v/>
      </c>
      <c r="Q10" s="83" t="str">
        <f>IFERROR(VLOOKUP(TableHandbook[[#This Row],[UDC]],TableSPUCINARS[],7,FALSE),"")</f>
        <v/>
      </c>
      <c r="R10" s="83" t="str">
        <f>IFERROR(VLOOKUP(TableHandbook[[#This Row],[UDC]],TableSPUCINENT[],7,FALSE),"")</f>
        <v/>
      </c>
      <c r="S10" s="83" t="str">
        <f>IFERROR(VLOOKUP(TableHandbook[[#This Row],[UDC]],TableSPUCPROPT[],7,FALSE),"")</f>
        <v/>
      </c>
      <c r="T10" s="83" t="str">
        <f>IFERROR(VLOOKUP(TableHandbook[[#This Row],[UDC]],TableSPUCURDES[],7,FALSE),"")</f>
        <v/>
      </c>
    </row>
    <row r="11" spans="1:21" x14ac:dyDescent="0.25">
      <c r="A11" s="17" t="s">
        <v>143</v>
      </c>
      <c r="B11" s="18">
        <v>0</v>
      </c>
      <c r="C11" s="18"/>
      <c r="D11" s="78" t="s">
        <v>238</v>
      </c>
      <c r="E11" s="18">
        <v>25</v>
      </c>
      <c r="F11" s="81"/>
      <c r="G11" s="82" t="str">
        <f>IFERROR(IF(VLOOKUP(TableHandbook[[#This Row],[UDC]],TableAvailabilities[],2,FALSE)&gt;0,"Y",""),"")</f>
        <v/>
      </c>
      <c r="H11" s="82" t="str">
        <f>IFERROR(IF(VLOOKUP(TableHandbook[[#This Row],[UDC]],TableAvailabilities[],3,FALSE)&gt;0,"Y",""),"")</f>
        <v/>
      </c>
      <c r="I11" s="82" t="str">
        <f>IFERROR(IF(VLOOKUP(TableHandbook[[#This Row],[UDC]],TableAvailabilities[],4,FALSE)&gt;0,"Y",""),"")</f>
        <v/>
      </c>
      <c r="J11" s="82" t="str">
        <f>IFERROR(IF(VLOOKUP(TableHandbook[[#This Row],[UDC]],TableAvailabilities[],5,FALSE)&gt;0,"Y",""),"")</f>
        <v/>
      </c>
      <c r="K11" s="78"/>
      <c r="L11" s="83" t="str">
        <f>IFERROR(VLOOKUP(TableHandbook[[#This Row],[UDC]],TableBCONM[],7,FALSE),"")</f>
        <v/>
      </c>
      <c r="M11" s="83" t="str">
        <f>IFERROR(VLOOKUP(TableHandbook[[#This Row],[UDC]],TableSTRHCONMN[],7,FALSE),"")</f>
        <v/>
      </c>
      <c r="N11" s="83" t="str">
        <f>IFERROR(VLOOKUP(TableHandbook[[#This Row],[UDC]],TableSTRUCONMN[],7,FALSE),"")</f>
        <v/>
      </c>
      <c r="O11" s="83" t="str">
        <f>IFERROR(VLOOKUP(TableHandbook[[#This Row],[UDC]],TableSPUCANGAD[],7,FALSE),"")</f>
        <v/>
      </c>
      <c r="P11" s="83" t="str">
        <f>IFERROR(VLOOKUP(TableHandbook[[#This Row],[UDC]],TableSPUCFINCE[],7,FALSE),"")</f>
        <v/>
      </c>
      <c r="Q11" s="83" t="str">
        <f>IFERROR(VLOOKUP(TableHandbook[[#This Row],[UDC]],TableSPUCINARS[],7,FALSE),"")</f>
        <v>AltCore</v>
      </c>
      <c r="R11" s="83" t="str">
        <f>IFERROR(VLOOKUP(TableHandbook[[#This Row],[UDC]],TableSPUCINENT[],7,FALSE),"")</f>
        <v/>
      </c>
      <c r="S11" s="83" t="str">
        <f>IFERROR(VLOOKUP(TableHandbook[[#This Row],[UDC]],TableSPUCPROPT[],7,FALSE),"")</f>
        <v/>
      </c>
      <c r="T11" s="83" t="str">
        <f>IFERROR(VLOOKUP(TableHandbook[[#This Row],[UDC]],TableSPUCURDES[],7,FALSE),"")</f>
        <v/>
      </c>
    </row>
    <row r="12" spans="1:21" ht="30" x14ac:dyDescent="0.25">
      <c r="A12" s="17" t="s">
        <v>239</v>
      </c>
      <c r="B12" s="18">
        <v>0</v>
      </c>
      <c r="C12" s="18"/>
      <c r="D12" s="78" t="s">
        <v>240</v>
      </c>
      <c r="E12" s="18">
        <v>25</v>
      </c>
      <c r="F12" s="81"/>
      <c r="G12" s="82" t="str">
        <f>IFERROR(IF(VLOOKUP(TableHandbook[[#This Row],[UDC]],TableAvailabilities[],2,FALSE)&gt;0,"Y",""),"")</f>
        <v/>
      </c>
      <c r="H12" s="82" t="str">
        <f>IFERROR(IF(VLOOKUP(TableHandbook[[#This Row],[UDC]],TableAvailabilities[],3,FALSE)&gt;0,"Y",""),"")</f>
        <v/>
      </c>
      <c r="I12" s="82" t="str">
        <f>IFERROR(IF(VLOOKUP(TableHandbook[[#This Row],[UDC]],TableAvailabilities[],4,FALSE)&gt;0,"Y",""),"")</f>
        <v/>
      </c>
      <c r="J12" s="82" t="str">
        <f>IFERROR(IF(VLOOKUP(TableHandbook[[#This Row],[UDC]],TableAvailabilities[],5,FALSE)&gt;0,"Y",""),"")</f>
        <v/>
      </c>
      <c r="K12" s="78"/>
      <c r="L12" s="83" t="str">
        <f>IFERROR(VLOOKUP(TableHandbook[[#This Row],[UDC]],TableBCONM[],7,FALSE),"")</f>
        <v/>
      </c>
      <c r="M12" s="83" t="str">
        <f>IFERROR(VLOOKUP(TableHandbook[[#This Row],[UDC]],TableSTRHCONMN[],7,FALSE),"")</f>
        <v/>
      </c>
      <c r="N12" s="83" t="str">
        <f>IFERROR(VLOOKUP(TableHandbook[[#This Row],[UDC]],TableSTRUCONMN[],7,FALSE),"")</f>
        <v/>
      </c>
      <c r="O12" s="83" t="str">
        <f>IFERROR(VLOOKUP(TableHandbook[[#This Row],[UDC]],TableSPUCANGAD[],7,FALSE),"")</f>
        <v/>
      </c>
      <c r="P12" s="83" t="str">
        <f>IFERROR(VLOOKUP(TableHandbook[[#This Row],[UDC]],TableSPUCFINCE[],7,FALSE),"")</f>
        <v/>
      </c>
      <c r="Q12" s="83" t="str">
        <f>IFERROR(VLOOKUP(TableHandbook[[#This Row],[UDC]],TableSPUCINARS[],7,FALSE),"")</f>
        <v/>
      </c>
      <c r="R12" s="83" t="str">
        <f>IFERROR(VLOOKUP(TableHandbook[[#This Row],[UDC]],TableSPUCINENT[],7,FALSE),"")</f>
        <v>AltCore</v>
      </c>
      <c r="S12" s="83" t="str">
        <f>IFERROR(VLOOKUP(TableHandbook[[#This Row],[UDC]],TableSPUCPROPT[],7,FALSE),"")</f>
        <v/>
      </c>
      <c r="T12" s="83" t="str">
        <f>IFERROR(VLOOKUP(TableHandbook[[#This Row],[UDC]],TableSPUCURDES[],7,FALSE),"")</f>
        <v/>
      </c>
    </row>
    <row r="13" spans="1:21" x14ac:dyDescent="0.25">
      <c r="A13" s="17" t="s">
        <v>72</v>
      </c>
      <c r="B13" s="18">
        <v>3</v>
      </c>
      <c r="C13" s="18"/>
      <c r="D13" s="78" t="s">
        <v>241</v>
      </c>
      <c r="E13" s="18">
        <v>25</v>
      </c>
      <c r="F13" s="81" t="s">
        <v>242</v>
      </c>
      <c r="G13" s="82" t="str">
        <f>IFERROR(IF(VLOOKUP(TableHandbook[[#This Row],[UDC]],TableAvailabilities[],2,FALSE)&gt;0,"Y",""),"")</f>
        <v/>
      </c>
      <c r="H13" s="82" t="str">
        <f>IFERROR(IF(VLOOKUP(TableHandbook[[#This Row],[UDC]],TableAvailabilities[],3,FALSE)&gt;0,"Y",""),"")</f>
        <v/>
      </c>
      <c r="I13" s="82" t="str">
        <f>IFERROR(IF(VLOOKUP(TableHandbook[[#This Row],[UDC]],TableAvailabilities[],4,FALSE)&gt;0,"Y",""),"")</f>
        <v>Y</v>
      </c>
      <c r="J13" s="82" t="str">
        <f>IFERROR(IF(VLOOKUP(TableHandbook[[#This Row],[UDC]],TableAvailabilities[],5,FALSE)&gt;0,"Y",""),"")</f>
        <v/>
      </c>
      <c r="K13" s="78"/>
      <c r="L13" s="83" t="str">
        <f>IFERROR(VLOOKUP(TableHandbook[[#This Row],[UDC]],TableBCONM[],7,FALSE),"")</f>
        <v>Core</v>
      </c>
      <c r="M13" s="83" t="str">
        <f>IFERROR(VLOOKUP(TableHandbook[[#This Row],[UDC]],TableSTRHCONMN[],7,FALSE),"")</f>
        <v/>
      </c>
      <c r="N13" s="83" t="str">
        <f>IFERROR(VLOOKUP(TableHandbook[[#This Row],[UDC]],TableSTRUCONMN[],7,FALSE),"")</f>
        <v/>
      </c>
      <c r="O13" s="83" t="str">
        <f>IFERROR(VLOOKUP(TableHandbook[[#This Row],[UDC]],TableSPUCANGAD[],7,FALSE),"")</f>
        <v/>
      </c>
      <c r="P13" s="83" t="str">
        <f>IFERROR(VLOOKUP(TableHandbook[[#This Row],[UDC]],TableSPUCFINCE[],7,FALSE),"")</f>
        <v/>
      </c>
      <c r="Q13" s="83" t="str">
        <f>IFERROR(VLOOKUP(TableHandbook[[#This Row],[UDC]],TableSPUCINARS[],7,FALSE),"")</f>
        <v/>
      </c>
      <c r="R13" s="83" t="str">
        <f>IFERROR(VLOOKUP(TableHandbook[[#This Row],[UDC]],TableSPUCINENT[],7,FALSE),"")</f>
        <v/>
      </c>
      <c r="S13" s="83" t="str">
        <f>IFERROR(VLOOKUP(TableHandbook[[#This Row],[UDC]],TableSPUCPROPT[],7,FALSE),"")</f>
        <v/>
      </c>
      <c r="T13" s="83" t="str">
        <f>IFERROR(VLOOKUP(TableHandbook[[#This Row],[UDC]],TableSPUCURDES[],7,FALSE),"")</f>
        <v/>
      </c>
    </row>
    <row r="14" spans="1:21" x14ac:dyDescent="0.25">
      <c r="A14" s="17" t="s">
        <v>200</v>
      </c>
      <c r="B14" s="18">
        <v>1</v>
      </c>
      <c r="C14" s="18"/>
      <c r="D14" s="78" t="s">
        <v>243</v>
      </c>
      <c r="E14" s="18">
        <v>25</v>
      </c>
      <c r="F14" s="81" t="s">
        <v>244</v>
      </c>
      <c r="G14" s="82" t="str">
        <f>IFERROR(IF(VLOOKUP(TableHandbook[[#This Row],[UDC]],TableAvailabilities[],2,FALSE)&gt;0,"Y",""),"")</f>
        <v/>
      </c>
      <c r="H14" s="82" t="str">
        <f>IFERROR(IF(VLOOKUP(TableHandbook[[#This Row],[UDC]],TableAvailabilities[],3,FALSE)&gt;0,"Y",""),"")</f>
        <v/>
      </c>
      <c r="I14" s="82" t="str">
        <f>IFERROR(IF(VLOOKUP(TableHandbook[[#This Row],[UDC]],TableAvailabilities[],4,FALSE)&gt;0,"Y",""),"")</f>
        <v/>
      </c>
      <c r="J14" s="82" t="str">
        <f>IFERROR(IF(VLOOKUP(TableHandbook[[#This Row],[UDC]],TableAvailabilities[],5,FALSE)&gt;0,"Y",""),"")</f>
        <v/>
      </c>
      <c r="K14" s="78"/>
      <c r="L14" s="83" t="str">
        <f>IFERROR(VLOOKUP(TableHandbook[[#This Row],[UDC]],TableBCONM[],7,FALSE),"")</f>
        <v/>
      </c>
      <c r="M14" s="83" t="str">
        <f>IFERROR(VLOOKUP(TableHandbook[[#This Row],[UDC]],TableSTRHCONMN[],7,FALSE),"")</f>
        <v/>
      </c>
      <c r="N14" s="83" t="str">
        <f>IFERROR(VLOOKUP(TableHandbook[[#This Row],[UDC]],TableSTRUCONMN[],7,FALSE),"")</f>
        <v/>
      </c>
      <c r="O14" s="83" t="str">
        <f>IFERROR(VLOOKUP(TableHandbook[[#This Row],[UDC]],TableSPUCANGAD[],7,FALSE),"")</f>
        <v/>
      </c>
      <c r="P14" s="83" t="str">
        <f>IFERROR(VLOOKUP(TableHandbook[[#This Row],[UDC]],TableSPUCFINCE[],7,FALSE),"")</f>
        <v/>
      </c>
      <c r="Q14" s="83" t="str">
        <f>IFERROR(VLOOKUP(TableHandbook[[#This Row],[UDC]],TableSPUCINARS[],7,FALSE),"")</f>
        <v>Option</v>
      </c>
      <c r="R14" s="83" t="str">
        <f>IFERROR(VLOOKUP(TableHandbook[[#This Row],[UDC]],TableSPUCINENT[],7,FALSE),"")</f>
        <v/>
      </c>
      <c r="S14" s="83" t="str">
        <f>IFERROR(VLOOKUP(TableHandbook[[#This Row],[UDC]],TableSPUCPROPT[],7,FALSE),"")</f>
        <v/>
      </c>
      <c r="T14" s="83" t="str">
        <f>IFERROR(VLOOKUP(TableHandbook[[#This Row],[UDC]],TableSPUCURDES[],7,FALSE),"")</f>
        <v/>
      </c>
    </row>
    <row r="15" spans="1:21" x14ac:dyDescent="0.25">
      <c r="A15" s="17" t="s">
        <v>202</v>
      </c>
      <c r="B15" s="18">
        <v>1</v>
      </c>
      <c r="C15" s="18"/>
      <c r="D15" s="78" t="s">
        <v>245</v>
      </c>
      <c r="E15" s="18">
        <v>25</v>
      </c>
      <c r="F15" s="81" t="s">
        <v>244</v>
      </c>
      <c r="G15" s="82" t="str">
        <f>IFERROR(IF(VLOOKUP(TableHandbook[[#This Row],[UDC]],TableAvailabilities[],2,FALSE)&gt;0,"Y",""),"")</f>
        <v/>
      </c>
      <c r="H15" s="82" t="str">
        <f>IFERROR(IF(VLOOKUP(TableHandbook[[#This Row],[UDC]],TableAvailabilities[],3,FALSE)&gt;0,"Y",""),"")</f>
        <v/>
      </c>
      <c r="I15" s="82" t="str">
        <f>IFERROR(IF(VLOOKUP(TableHandbook[[#This Row],[UDC]],TableAvailabilities[],4,FALSE)&gt;0,"Y",""),"")</f>
        <v/>
      </c>
      <c r="J15" s="82" t="str">
        <f>IFERROR(IF(VLOOKUP(TableHandbook[[#This Row],[UDC]],TableAvailabilities[],5,FALSE)&gt;0,"Y",""),"")</f>
        <v/>
      </c>
      <c r="K15" s="78"/>
      <c r="L15" s="83" t="str">
        <f>IFERROR(VLOOKUP(TableHandbook[[#This Row],[UDC]],TableBCONM[],7,FALSE),"")</f>
        <v/>
      </c>
      <c r="M15" s="83" t="str">
        <f>IFERROR(VLOOKUP(TableHandbook[[#This Row],[UDC]],TableSTRHCONMN[],7,FALSE),"")</f>
        <v/>
      </c>
      <c r="N15" s="83" t="str">
        <f>IFERROR(VLOOKUP(TableHandbook[[#This Row],[UDC]],TableSTRUCONMN[],7,FALSE),"")</f>
        <v/>
      </c>
      <c r="O15" s="83" t="str">
        <f>IFERROR(VLOOKUP(TableHandbook[[#This Row],[UDC]],TableSPUCANGAD[],7,FALSE),"")</f>
        <v/>
      </c>
      <c r="P15" s="83" t="str">
        <f>IFERROR(VLOOKUP(TableHandbook[[#This Row],[UDC]],TableSPUCFINCE[],7,FALSE),"")</f>
        <v/>
      </c>
      <c r="Q15" s="83" t="str">
        <f>IFERROR(VLOOKUP(TableHandbook[[#This Row],[UDC]],TableSPUCINARS[],7,FALSE),"")</f>
        <v>Option</v>
      </c>
      <c r="R15" s="83" t="str">
        <f>IFERROR(VLOOKUP(TableHandbook[[#This Row],[UDC]],TableSPUCINENT[],7,FALSE),"")</f>
        <v/>
      </c>
      <c r="S15" s="83" t="str">
        <f>IFERROR(VLOOKUP(TableHandbook[[#This Row],[UDC]],TableSPUCPROPT[],7,FALSE),"")</f>
        <v/>
      </c>
      <c r="T15" s="83" t="str">
        <f>IFERROR(VLOOKUP(TableHandbook[[#This Row],[UDC]],TableSPUCURDES[],7,FALSE),"")</f>
        <v/>
      </c>
    </row>
    <row r="16" spans="1:21" x14ac:dyDescent="0.25">
      <c r="A16" s="17" t="s">
        <v>52</v>
      </c>
      <c r="B16" s="18">
        <v>2</v>
      </c>
      <c r="C16" s="18"/>
      <c r="D16" s="78" t="s">
        <v>246</v>
      </c>
      <c r="E16" s="18">
        <v>25</v>
      </c>
      <c r="F16" s="81" t="s">
        <v>242</v>
      </c>
      <c r="G16" s="82" t="str">
        <f>IFERROR(IF(VLOOKUP(TableHandbook[[#This Row],[UDC]],TableAvailabilities[],2,FALSE)&gt;0,"Y",""),"")</f>
        <v>Y</v>
      </c>
      <c r="H16" s="82" t="str">
        <f>IFERROR(IF(VLOOKUP(TableHandbook[[#This Row],[UDC]],TableAvailabilities[],3,FALSE)&gt;0,"Y",""),"")</f>
        <v/>
      </c>
      <c r="I16" s="82" t="str">
        <f>IFERROR(IF(VLOOKUP(TableHandbook[[#This Row],[UDC]],TableAvailabilities[],4,FALSE)&gt;0,"Y",""),"")</f>
        <v/>
      </c>
      <c r="J16" s="82" t="str">
        <f>IFERROR(IF(VLOOKUP(TableHandbook[[#This Row],[UDC]],TableAvailabilities[],5,FALSE)&gt;0,"Y",""),"")</f>
        <v/>
      </c>
      <c r="K16" s="78"/>
      <c r="L16" s="83" t="str">
        <f>IFERROR(VLOOKUP(TableHandbook[[#This Row],[UDC]],TableBCONM[],7,FALSE),"")</f>
        <v>Core</v>
      </c>
      <c r="M16" s="83" t="str">
        <f>IFERROR(VLOOKUP(TableHandbook[[#This Row],[UDC]],TableSTRHCONMN[],7,FALSE),"")</f>
        <v/>
      </c>
      <c r="N16" s="83" t="str">
        <f>IFERROR(VLOOKUP(TableHandbook[[#This Row],[UDC]],TableSTRUCONMN[],7,FALSE),"")</f>
        <v/>
      </c>
      <c r="O16" s="83" t="str">
        <f>IFERROR(VLOOKUP(TableHandbook[[#This Row],[UDC]],TableSPUCANGAD[],7,FALSE),"")</f>
        <v/>
      </c>
      <c r="P16" s="83" t="str">
        <f>IFERROR(VLOOKUP(TableHandbook[[#This Row],[UDC]],TableSPUCFINCE[],7,FALSE),"")</f>
        <v/>
      </c>
      <c r="Q16" s="83" t="str">
        <f>IFERROR(VLOOKUP(TableHandbook[[#This Row],[UDC]],TableSPUCINARS[],7,FALSE),"")</f>
        <v/>
      </c>
      <c r="R16" s="83" t="str">
        <f>IFERROR(VLOOKUP(TableHandbook[[#This Row],[UDC]],TableSPUCINENT[],7,FALSE),"")</f>
        <v/>
      </c>
      <c r="S16" s="83" t="str">
        <f>IFERROR(VLOOKUP(TableHandbook[[#This Row],[UDC]],TableSPUCPROPT[],7,FALSE),"")</f>
        <v/>
      </c>
      <c r="T16" s="83" t="str">
        <f>IFERROR(VLOOKUP(TableHandbook[[#This Row],[UDC]],TableSPUCURDES[],7,FALSE),"")</f>
        <v/>
      </c>
    </row>
    <row r="17" spans="1:20" x14ac:dyDescent="0.25">
      <c r="A17" s="17" t="s">
        <v>70</v>
      </c>
      <c r="B17" s="18">
        <v>3</v>
      </c>
      <c r="C17" s="18"/>
      <c r="D17" s="78" t="s">
        <v>247</v>
      </c>
      <c r="E17" s="18">
        <v>25</v>
      </c>
      <c r="F17" s="113" t="s">
        <v>52</v>
      </c>
      <c r="G17" s="82" t="str">
        <f>IFERROR(IF(VLOOKUP(TableHandbook[[#This Row],[UDC]],TableAvailabilities[],2,FALSE)&gt;0,"Y",""),"")</f>
        <v/>
      </c>
      <c r="H17" s="82" t="str">
        <f>IFERROR(IF(VLOOKUP(TableHandbook[[#This Row],[UDC]],TableAvailabilities[],3,FALSE)&gt;0,"Y",""),"")</f>
        <v/>
      </c>
      <c r="I17" s="82" t="str">
        <f>IFERROR(IF(VLOOKUP(TableHandbook[[#This Row],[UDC]],TableAvailabilities[],4,FALSE)&gt;0,"Y",""),"")</f>
        <v>Y</v>
      </c>
      <c r="J17" s="82" t="str">
        <f>IFERROR(IF(VLOOKUP(TableHandbook[[#This Row],[UDC]],TableAvailabilities[],5,FALSE)&gt;0,"Y",""),"")</f>
        <v/>
      </c>
      <c r="K17" s="78"/>
      <c r="L17" s="83" t="str">
        <f>IFERROR(VLOOKUP(TableHandbook[[#This Row],[UDC]],TableBCONM[],7,FALSE),"")</f>
        <v>Core</v>
      </c>
      <c r="M17" s="83" t="str">
        <f>IFERROR(VLOOKUP(TableHandbook[[#This Row],[UDC]],TableSTRHCONMN[],7,FALSE),"")</f>
        <v/>
      </c>
      <c r="N17" s="83" t="str">
        <f>IFERROR(VLOOKUP(TableHandbook[[#This Row],[UDC]],TableSTRUCONMN[],7,FALSE),"")</f>
        <v/>
      </c>
      <c r="O17" s="83" t="str">
        <f>IFERROR(VLOOKUP(TableHandbook[[#This Row],[UDC]],TableSPUCANGAD[],7,FALSE),"")</f>
        <v/>
      </c>
      <c r="P17" s="83" t="str">
        <f>IFERROR(VLOOKUP(TableHandbook[[#This Row],[UDC]],TableSPUCFINCE[],7,FALSE),"")</f>
        <v/>
      </c>
      <c r="Q17" s="83" t="str">
        <f>IFERROR(VLOOKUP(TableHandbook[[#This Row],[UDC]],TableSPUCINARS[],7,FALSE),"")</f>
        <v/>
      </c>
      <c r="R17" s="83" t="str">
        <f>IFERROR(VLOOKUP(TableHandbook[[#This Row],[UDC]],TableSPUCINENT[],7,FALSE),"")</f>
        <v/>
      </c>
      <c r="S17" s="83" t="str">
        <f>IFERROR(VLOOKUP(TableHandbook[[#This Row],[UDC]],TableSPUCPROPT[],7,FALSE),"")</f>
        <v/>
      </c>
      <c r="T17" s="83" t="str">
        <f>IFERROR(VLOOKUP(TableHandbook[[#This Row],[UDC]],TableSPUCURDES[],7,FALSE),"")</f>
        <v/>
      </c>
    </row>
    <row r="18" spans="1:20" x14ac:dyDescent="0.25">
      <c r="A18" s="17" t="s">
        <v>60</v>
      </c>
      <c r="B18" s="18">
        <v>1</v>
      </c>
      <c r="C18" s="18"/>
      <c r="D18" s="78" t="s">
        <v>248</v>
      </c>
      <c r="E18" s="18">
        <v>25</v>
      </c>
      <c r="F18" s="81" t="s">
        <v>242</v>
      </c>
      <c r="G18" s="82" t="str">
        <f>IFERROR(IF(VLOOKUP(TableHandbook[[#This Row],[UDC]],TableAvailabilities[],2,FALSE)&gt;0,"Y",""),"")</f>
        <v>Y</v>
      </c>
      <c r="H18" s="82" t="str">
        <f>IFERROR(IF(VLOOKUP(TableHandbook[[#This Row],[UDC]],TableAvailabilities[],3,FALSE)&gt;0,"Y",""),"")</f>
        <v/>
      </c>
      <c r="I18" s="82" t="str">
        <f>IFERROR(IF(VLOOKUP(TableHandbook[[#This Row],[UDC]],TableAvailabilities[],4,FALSE)&gt;0,"Y",""),"")</f>
        <v/>
      </c>
      <c r="J18" s="82" t="str">
        <f>IFERROR(IF(VLOOKUP(TableHandbook[[#This Row],[UDC]],TableAvailabilities[],5,FALSE)&gt;0,"Y",""),"")</f>
        <v/>
      </c>
      <c r="K18" s="78"/>
      <c r="L18" s="83" t="str">
        <f>IFERROR(VLOOKUP(TableHandbook[[#This Row],[UDC]],TableBCONM[],7,FALSE),"")</f>
        <v>Core</v>
      </c>
      <c r="M18" s="83" t="str">
        <f>IFERROR(VLOOKUP(TableHandbook[[#This Row],[UDC]],TableSTRHCONMN[],7,FALSE),"")</f>
        <v/>
      </c>
      <c r="N18" s="83" t="str">
        <f>IFERROR(VLOOKUP(TableHandbook[[#This Row],[UDC]],TableSTRUCONMN[],7,FALSE),"")</f>
        <v/>
      </c>
      <c r="O18" s="83" t="str">
        <f>IFERROR(VLOOKUP(TableHandbook[[#This Row],[UDC]],TableSPUCANGAD[],7,FALSE),"")</f>
        <v/>
      </c>
      <c r="P18" s="83" t="str">
        <f>IFERROR(VLOOKUP(TableHandbook[[#This Row],[UDC]],TableSPUCFINCE[],7,FALSE),"")</f>
        <v/>
      </c>
      <c r="Q18" s="83" t="str">
        <f>IFERROR(VLOOKUP(TableHandbook[[#This Row],[UDC]],TableSPUCINARS[],7,FALSE),"")</f>
        <v/>
      </c>
      <c r="R18" s="83" t="str">
        <f>IFERROR(VLOOKUP(TableHandbook[[#This Row],[UDC]],TableSPUCINENT[],7,FALSE),"")</f>
        <v/>
      </c>
      <c r="S18" s="83" t="str">
        <f>IFERROR(VLOOKUP(TableHandbook[[#This Row],[UDC]],TableSPUCPROPT[],7,FALSE),"")</f>
        <v/>
      </c>
      <c r="T18" s="83" t="str">
        <f>IFERROR(VLOOKUP(TableHandbook[[#This Row],[UDC]],TableSPUCURDES[],7,FALSE),"")</f>
        <v/>
      </c>
    </row>
    <row r="19" spans="1:20" x14ac:dyDescent="0.25">
      <c r="A19" s="17" t="s">
        <v>66</v>
      </c>
      <c r="B19" s="18">
        <v>3</v>
      </c>
      <c r="C19" s="18"/>
      <c r="D19" s="78" t="s">
        <v>249</v>
      </c>
      <c r="E19" s="18">
        <v>25</v>
      </c>
      <c r="F19" s="81" t="s">
        <v>242</v>
      </c>
      <c r="G19" s="82" t="str">
        <f>IFERROR(IF(VLOOKUP(TableHandbook[[#This Row],[UDC]],TableAvailabilities[],2,FALSE)&gt;0,"Y",""),"")</f>
        <v>Y</v>
      </c>
      <c r="H19" s="82" t="str">
        <f>IFERROR(IF(VLOOKUP(TableHandbook[[#This Row],[UDC]],TableAvailabilities[],3,FALSE)&gt;0,"Y",""),"")</f>
        <v/>
      </c>
      <c r="I19" s="82" t="str">
        <f>IFERROR(IF(VLOOKUP(TableHandbook[[#This Row],[UDC]],TableAvailabilities[],4,FALSE)&gt;0,"Y",""),"")</f>
        <v/>
      </c>
      <c r="J19" s="82" t="str">
        <f>IFERROR(IF(VLOOKUP(TableHandbook[[#This Row],[UDC]],TableAvailabilities[],5,FALSE)&gt;0,"Y",""),"")</f>
        <v/>
      </c>
      <c r="K19" s="78"/>
      <c r="L19" s="83" t="str">
        <f>IFERROR(VLOOKUP(TableHandbook[[#This Row],[UDC]],TableBCONM[],7,FALSE),"")</f>
        <v>Core</v>
      </c>
      <c r="M19" s="83" t="str">
        <f>IFERROR(VLOOKUP(TableHandbook[[#This Row],[UDC]],TableSTRHCONMN[],7,FALSE),"")</f>
        <v/>
      </c>
      <c r="N19" s="83" t="str">
        <f>IFERROR(VLOOKUP(TableHandbook[[#This Row],[UDC]],TableSTRUCONMN[],7,FALSE),"")</f>
        <v/>
      </c>
      <c r="O19" s="83" t="str">
        <f>IFERROR(VLOOKUP(TableHandbook[[#This Row],[UDC]],TableSPUCANGAD[],7,FALSE),"")</f>
        <v/>
      </c>
      <c r="P19" s="83" t="str">
        <f>IFERROR(VLOOKUP(TableHandbook[[#This Row],[UDC]],TableSPUCFINCE[],7,FALSE),"")</f>
        <v/>
      </c>
      <c r="Q19" s="83" t="str">
        <f>IFERROR(VLOOKUP(TableHandbook[[#This Row],[UDC]],TableSPUCINARS[],7,FALSE),"")</f>
        <v/>
      </c>
      <c r="R19" s="83" t="str">
        <f>IFERROR(VLOOKUP(TableHandbook[[#This Row],[UDC]],TableSPUCINENT[],7,FALSE),"")</f>
        <v/>
      </c>
      <c r="S19" s="83" t="str">
        <f>IFERROR(VLOOKUP(TableHandbook[[#This Row],[UDC]],TableSPUCPROPT[],7,FALSE),"")</f>
        <v/>
      </c>
      <c r="T19" s="83" t="str">
        <f>IFERROR(VLOOKUP(TableHandbook[[#This Row],[UDC]],TableSPUCURDES[],7,FALSE),"")</f>
        <v/>
      </c>
    </row>
    <row r="20" spans="1:20" x14ac:dyDescent="0.25">
      <c r="A20" s="17" t="s">
        <v>69</v>
      </c>
      <c r="B20" s="18">
        <v>1</v>
      </c>
      <c r="C20" s="18"/>
      <c r="D20" s="78" t="s">
        <v>250</v>
      </c>
      <c r="E20" s="18">
        <v>25</v>
      </c>
      <c r="F20" s="113" t="s">
        <v>52</v>
      </c>
      <c r="G20" s="82" t="str">
        <f>IFERROR(IF(VLOOKUP(TableHandbook[[#This Row],[UDC]],TableAvailabilities[],2,FALSE)&gt;0,"Y",""),"")</f>
        <v/>
      </c>
      <c r="H20" s="82" t="str">
        <f>IFERROR(IF(VLOOKUP(TableHandbook[[#This Row],[UDC]],TableAvailabilities[],3,FALSE)&gt;0,"Y",""),"")</f>
        <v/>
      </c>
      <c r="I20" s="82" t="str">
        <f>IFERROR(IF(VLOOKUP(TableHandbook[[#This Row],[UDC]],TableAvailabilities[],4,FALSE)&gt;0,"Y",""),"")</f>
        <v>Y</v>
      </c>
      <c r="J20" s="82" t="str">
        <f>IFERROR(IF(VLOOKUP(TableHandbook[[#This Row],[UDC]],TableAvailabilities[],5,FALSE)&gt;0,"Y",""),"")</f>
        <v/>
      </c>
      <c r="K20" s="78"/>
      <c r="L20" s="83" t="str">
        <f>IFERROR(VLOOKUP(TableHandbook[[#This Row],[UDC]],TableBCONM[],7,FALSE),"")</f>
        <v>Core</v>
      </c>
      <c r="M20" s="83" t="str">
        <f>IFERROR(VLOOKUP(TableHandbook[[#This Row],[UDC]],TableSTRHCONMN[],7,FALSE),"")</f>
        <v/>
      </c>
      <c r="N20" s="83" t="str">
        <f>IFERROR(VLOOKUP(TableHandbook[[#This Row],[UDC]],TableSTRUCONMN[],7,FALSE),"")</f>
        <v/>
      </c>
      <c r="O20" s="83" t="str">
        <f>IFERROR(VLOOKUP(TableHandbook[[#This Row],[UDC]],TableSPUCANGAD[],7,FALSE),"")</f>
        <v/>
      </c>
      <c r="P20" s="83" t="str">
        <f>IFERROR(VLOOKUP(TableHandbook[[#This Row],[UDC]],TableSPUCFINCE[],7,FALSE),"")</f>
        <v/>
      </c>
      <c r="Q20" s="83" t="str">
        <f>IFERROR(VLOOKUP(TableHandbook[[#This Row],[UDC]],TableSPUCINARS[],7,FALSE),"")</f>
        <v/>
      </c>
      <c r="R20" s="83" t="str">
        <f>IFERROR(VLOOKUP(TableHandbook[[#This Row],[UDC]],TableSPUCINENT[],7,FALSE),"")</f>
        <v/>
      </c>
      <c r="S20" s="83" t="str">
        <f>IFERROR(VLOOKUP(TableHandbook[[#This Row],[UDC]],TableSPUCPROPT[],7,FALSE),"")</f>
        <v/>
      </c>
      <c r="T20" s="83" t="str">
        <f>IFERROR(VLOOKUP(TableHandbook[[#This Row],[UDC]],TableSPUCURDES[],7,FALSE),"")</f>
        <v/>
      </c>
    </row>
    <row r="21" spans="1:20" x14ac:dyDescent="0.25">
      <c r="A21" s="17" t="s">
        <v>76</v>
      </c>
      <c r="B21" s="18">
        <v>1</v>
      </c>
      <c r="C21" s="18"/>
      <c r="D21" s="78" t="s">
        <v>251</v>
      </c>
      <c r="E21" s="18">
        <v>25</v>
      </c>
      <c r="F21" s="113" t="s">
        <v>52</v>
      </c>
      <c r="G21" s="82" t="str">
        <f>IFERROR(IF(VLOOKUP(TableHandbook[[#This Row],[UDC]],TableAvailabilities[],2,FALSE)&gt;0,"Y",""),"")</f>
        <v/>
      </c>
      <c r="H21" s="82" t="str">
        <f>IFERROR(IF(VLOOKUP(TableHandbook[[#This Row],[UDC]],TableAvailabilities[],3,FALSE)&gt;0,"Y",""),"")</f>
        <v/>
      </c>
      <c r="I21" s="82" t="str">
        <f>IFERROR(IF(VLOOKUP(TableHandbook[[#This Row],[UDC]],TableAvailabilities[],4,FALSE)&gt;0,"Y",""),"")</f>
        <v>Y</v>
      </c>
      <c r="J21" s="82" t="str">
        <f>IFERROR(IF(VLOOKUP(TableHandbook[[#This Row],[UDC]],TableAvailabilities[],5,FALSE)&gt;0,"Y",""),"")</f>
        <v/>
      </c>
      <c r="K21" s="78"/>
      <c r="L21" s="83" t="str">
        <f>IFERROR(VLOOKUP(TableHandbook[[#This Row],[UDC]],TableBCONM[],7,FALSE),"")</f>
        <v>Core</v>
      </c>
      <c r="M21" s="83" t="str">
        <f>IFERROR(VLOOKUP(TableHandbook[[#This Row],[UDC]],TableSTRHCONMN[],7,FALSE),"")</f>
        <v/>
      </c>
      <c r="N21" s="83" t="str">
        <f>IFERROR(VLOOKUP(TableHandbook[[#This Row],[UDC]],TableSTRUCONMN[],7,FALSE),"")</f>
        <v/>
      </c>
      <c r="O21" s="83" t="str">
        <f>IFERROR(VLOOKUP(TableHandbook[[#This Row],[UDC]],TableSPUCANGAD[],7,FALSE),"")</f>
        <v/>
      </c>
      <c r="P21" s="83" t="str">
        <f>IFERROR(VLOOKUP(TableHandbook[[#This Row],[UDC]],TableSPUCFINCE[],7,FALSE),"")</f>
        <v/>
      </c>
      <c r="Q21" s="83" t="str">
        <f>IFERROR(VLOOKUP(TableHandbook[[#This Row],[UDC]],TableSPUCINARS[],7,FALSE),"")</f>
        <v/>
      </c>
      <c r="R21" s="83" t="str">
        <f>IFERROR(VLOOKUP(TableHandbook[[#This Row],[UDC]],TableSPUCINENT[],7,FALSE),"")</f>
        <v/>
      </c>
      <c r="S21" s="83" t="str">
        <f>IFERROR(VLOOKUP(TableHandbook[[#This Row],[UDC]],TableSPUCPROPT[],7,FALSE),"")</f>
        <v/>
      </c>
      <c r="T21" s="83" t="str">
        <f>IFERROR(VLOOKUP(TableHandbook[[#This Row],[UDC]],TableSPUCURDES[],7,FALSE),"")</f>
        <v/>
      </c>
    </row>
    <row r="22" spans="1:20" x14ac:dyDescent="0.25">
      <c r="A22" s="17" t="s">
        <v>93</v>
      </c>
      <c r="B22" s="18">
        <v>1</v>
      </c>
      <c r="C22" s="18"/>
      <c r="D22" s="78" t="s">
        <v>252</v>
      </c>
      <c r="E22" s="18">
        <v>25</v>
      </c>
      <c r="F22" s="113" t="s">
        <v>83</v>
      </c>
      <c r="G22" s="82" t="str">
        <f>IFERROR(IF(VLOOKUP(TableHandbook[[#This Row],[UDC]],TableAvailabilities[],2,FALSE)&gt;0,"Y",""),"")</f>
        <v/>
      </c>
      <c r="H22" s="82" t="str">
        <f>IFERROR(IF(VLOOKUP(TableHandbook[[#This Row],[UDC]],TableAvailabilities[],3,FALSE)&gt;0,"Y",""),"")</f>
        <v/>
      </c>
      <c r="I22" s="82" t="str">
        <f>IFERROR(IF(VLOOKUP(TableHandbook[[#This Row],[UDC]],TableAvailabilities[],4,FALSE)&gt;0,"Y",""),"")</f>
        <v>Y</v>
      </c>
      <c r="J22" s="82" t="str">
        <f>IFERROR(IF(VLOOKUP(TableHandbook[[#This Row],[UDC]],TableAvailabilities[],5,FALSE)&gt;0,"Y",""),"")</f>
        <v/>
      </c>
      <c r="K22" s="78"/>
      <c r="L22" s="83" t="str">
        <f>IFERROR(VLOOKUP(TableHandbook[[#This Row],[UDC]],TableBCONM[],7,FALSE),"")</f>
        <v>Core</v>
      </c>
      <c r="M22" s="83" t="str">
        <f>IFERROR(VLOOKUP(TableHandbook[[#This Row],[UDC]],TableSTRHCONMN[],7,FALSE),"")</f>
        <v/>
      </c>
      <c r="N22" s="83" t="str">
        <f>IFERROR(VLOOKUP(TableHandbook[[#This Row],[UDC]],TableSTRUCONMN[],7,FALSE),"")</f>
        <v/>
      </c>
      <c r="O22" s="83" t="str">
        <f>IFERROR(VLOOKUP(TableHandbook[[#This Row],[UDC]],TableSPUCANGAD[],7,FALSE),"")</f>
        <v/>
      </c>
      <c r="P22" s="83" t="str">
        <f>IFERROR(VLOOKUP(TableHandbook[[#This Row],[UDC]],TableSPUCFINCE[],7,FALSE),"")</f>
        <v/>
      </c>
      <c r="Q22" s="83" t="str">
        <f>IFERROR(VLOOKUP(TableHandbook[[#This Row],[UDC]],TableSPUCINARS[],7,FALSE),"")</f>
        <v/>
      </c>
      <c r="R22" s="83" t="str">
        <f>IFERROR(VLOOKUP(TableHandbook[[#This Row],[UDC]],TableSPUCINENT[],7,FALSE),"")</f>
        <v/>
      </c>
      <c r="S22" s="83" t="str">
        <f>IFERROR(VLOOKUP(TableHandbook[[#This Row],[UDC]],TableSPUCPROPT[],7,FALSE),"")</f>
        <v/>
      </c>
      <c r="T22" s="83" t="str">
        <f>IFERROR(VLOOKUP(TableHandbook[[#This Row],[UDC]],TableSPUCURDES[],7,FALSE),"")</f>
        <v/>
      </c>
    </row>
    <row r="23" spans="1:20" x14ac:dyDescent="0.25">
      <c r="A23" s="17" t="s">
        <v>80</v>
      </c>
      <c r="B23" s="18">
        <v>1</v>
      </c>
      <c r="C23" s="18"/>
      <c r="D23" s="78" t="s">
        <v>253</v>
      </c>
      <c r="E23" s="18">
        <v>25</v>
      </c>
      <c r="F23" s="113" t="s">
        <v>254</v>
      </c>
      <c r="G23" s="82" t="str">
        <f>IFERROR(IF(VLOOKUP(TableHandbook[[#This Row],[UDC]],TableAvailabilities[],2,FALSE)&gt;0,"Y",""),"")</f>
        <v>Y</v>
      </c>
      <c r="H23" s="82" t="str">
        <f>IFERROR(IF(VLOOKUP(TableHandbook[[#This Row],[UDC]],TableAvailabilities[],3,FALSE)&gt;0,"Y",""),"")</f>
        <v/>
      </c>
      <c r="I23" s="82" t="str">
        <f>IFERROR(IF(VLOOKUP(TableHandbook[[#This Row],[UDC]],TableAvailabilities[],4,FALSE)&gt;0,"Y",""),"")</f>
        <v/>
      </c>
      <c r="J23" s="82" t="str">
        <f>IFERROR(IF(VLOOKUP(TableHandbook[[#This Row],[UDC]],TableAvailabilities[],5,FALSE)&gt;0,"Y",""),"")</f>
        <v/>
      </c>
      <c r="K23" s="78"/>
      <c r="L23" s="83" t="str">
        <f>IFERROR(VLOOKUP(TableHandbook[[#This Row],[UDC]],TableBCONM[],7,FALSE),"")</f>
        <v>Core</v>
      </c>
      <c r="M23" s="83" t="str">
        <f>IFERROR(VLOOKUP(TableHandbook[[#This Row],[UDC]],TableSTRHCONMN[],7,FALSE),"")</f>
        <v/>
      </c>
      <c r="N23" s="83" t="str">
        <f>IFERROR(VLOOKUP(TableHandbook[[#This Row],[UDC]],TableSTRUCONMN[],7,FALSE),"")</f>
        <v/>
      </c>
      <c r="O23" s="83" t="str">
        <f>IFERROR(VLOOKUP(TableHandbook[[#This Row],[UDC]],TableSPUCANGAD[],7,FALSE),"")</f>
        <v/>
      </c>
      <c r="P23" s="83" t="str">
        <f>IFERROR(VLOOKUP(TableHandbook[[#This Row],[UDC]],TableSPUCFINCE[],7,FALSE),"")</f>
        <v/>
      </c>
      <c r="Q23" s="83" t="str">
        <f>IFERROR(VLOOKUP(TableHandbook[[#This Row],[UDC]],TableSPUCINARS[],7,FALSE),"")</f>
        <v/>
      </c>
      <c r="R23" s="83" t="str">
        <f>IFERROR(VLOOKUP(TableHandbook[[#This Row],[UDC]],TableSPUCINENT[],7,FALSE),"")</f>
        <v/>
      </c>
      <c r="S23" s="83" t="str">
        <f>IFERROR(VLOOKUP(TableHandbook[[#This Row],[UDC]],TableSPUCPROPT[],7,FALSE),"")</f>
        <v/>
      </c>
      <c r="T23" s="83" t="str">
        <f>IFERROR(VLOOKUP(TableHandbook[[#This Row],[UDC]],TableSPUCURDES[],7,FALSE),"")</f>
        <v/>
      </c>
    </row>
    <row r="24" spans="1:20" x14ac:dyDescent="0.25">
      <c r="A24" s="17" t="s">
        <v>88</v>
      </c>
      <c r="B24" s="18">
        <v>3</v>
      </c>
      <c r="C24" s="18"/>
      <c r="D24" s="78" t="s">
        <v>255</v>
      </c>
      <c r="E24" s="18">
        <v>25</v>
      </c>
      <c r="F24" s="113" t="s">
        <v>70</v>
      </c>
      <c r="G24" s="82" t="str">
        <f>IFERROR(IF(VLOOKUP(TableHandbook[[#This Row],[UDC]],TableAvailabilities[],2,FALSE)&gt;0,"Y",""),"")</f>
        <v/>
      </c>
      <c r="H24" s="82" t="str">
        <f>IFERROR(IF(VLOOKUP(TableHandbook[[#This Row],[UDC]],TableAvailabilities[],3,FALSE)&gt;0,"Y",""),"")</f>
        <v/>
      </c>
      <c r="I24" s="82" t="str">
        <f>IFERROR(IF(VLOOKUP(TableHandbook[[#This Row],[UDC]],TableAvailabilities[],4,FALSE)&gt;0,"Y",""),"")</f>
        <v>Y</v>
      </c>
      <c r="J24" s="82" t="str">
        <f>IFERROR(IF(VLOOKUP(TableHandbook[[#This Row],[UDC]],TableAvailabilities[],5,FALSE)&gt;0,"Y",""),"")</f>
        <v/>
      </c>
      <c r="K24" s="78"/>
      <c r="L24" s="83" t="str">
        <f>IFERROR(VLOOKUP(TableHandbook[[#This Row],[UDC]],TableBCONM[],7,FALSE),"")</f>
        <v>Core</v>
      </c>
      <c r="M24" s="83" t="str">
        <f>IFERROR(VLOOKUP(TableHandbook[[#This Row],[UDC]],TableSTRHCONMN[],7,FALSE),"")</f>
        <v/>
      </c>
      <c r="N24" s="83" t="str">
        <f>IFERROR(VLOOKUP(TableHandbook[[#This Row],[UDC]],TableSTRUCONMN[],7,FALSE),"")</f>
        <v/>
      </c>
      <c r="O24" s="83" t="str">
        <f>IFERROR(VLOOKUP(TableHandbook[[#This Row],[UDC]],TableSPUCANGAD[],7,FALSE),"")</f>
        <v/>
      </c>
      <c r="P24" s="83" t="str">
        <f>IFERROR(VLOOKUP(TableHandbook[[#This Row],[UDC]],TableSPUCFINCE[],7,FALSE),"")</f>
        <v/>
      </c>
      <c r="Q24" s="83" t="str">
        <f>IFERROR(VLOOKUP(TableHandbook[[#This Row],[UDC]],TableSPUCINARS[],7,FALSE),"")</f>
        <v/>
      </c>
      <c r="R24" s="83" t="str">
        <f>IFERROR(VLOOKUP(TableHandbook[[#This Row],[UDC]],TableSPUCINENT[],7,FALSE),"")</f>
        <v/>
      </c>
      <c r="S24" s="83" t="str">
        <f>IFERROR(VLOOKUP(TableHandbook[[#This Row],[UDC]],TableSPUCPROPT[],7,FALSE),"")</f>
        <v/>
      </c>
      <c r="T24" s="83" t="str">
        <f>IFERROR(VLOOKUP(TableHandbook[[#This Row],[UDC]],TableSPUCURDES[],7,FALSE),"")</f>
        <v/>
      </c>
    </row>
    <row r="25" spans="1:20" x14ac:dyDescent="0.25">
      <c r="A25" s="17" t="s">
        <v>83</v>
      </c>
      <c r="B25" s="18">
        <v>1</v>
      </c>
      <c r="C25" s="18"/>
      <c r="D25" s="78" t="s">
        <v>256</v>
      </c>
      <c r="E25" s="18">
        <v>25</v>
      </c>
      <c r="F25" s="113" t="s">
        <v>257</v>
      </c>
      <c r="G25" s="82" t="str">
        <f>IFERROR(IF(VLOOKUP(TableHandbook[[#This Row],[UDC]],TableAvailabilities[],2,FALSE)&gt;0,"Y",""),"")</f>
        <v>Y</v>
      </c>
      <c r="H25" s="82" t="str">
        <f>IFERROR(IF(VLOOKUP(TableHandbook[[#This Row],[UDC]],TableAvailabilities[],3,FALSE)&gt;0,"Y",""),"")</f>
        <v/>
      </c>
      <c r="I25" s="82" t="str">
        <f>IFERROR(IF(VLOOKUP(TableHandbook[[#This Row],[UDC]],TableAvailabilities[],4,FALSE)&gt;0,"Y",""),"")</f>
        <v/>
      </c>
      <c r="J25" s="82" t="str">
        <f>IFERROR(IF(VLOOKUP(TableHandbook[[#This Row],[UDC]],TableAvailabilities[],5,FALSE)&gt;0,"Y",""),"")</f>
        <v/>
      </c>
      <c r="K25" s="78"/>
      <c r="L25" s="83" t="str">
        <f>IFERROR(VLOOKUP(TableHandbook[[#This Row],[UDC]],TableBCONM[],7,FALSE),"")</f>
        <v>Core</v>
      </c>
      <c r="M25" s="83" t="str">
        <f>IFERROR(VLOOKUP(TableHandbook[[#This Row],[UDC]],TableSTRHCONMN[],7,FALSE),"")</f>
        <v/>
      </c>
      <c r="N25" s="83" t="str">
        <f>IFERROR(VLOOKUP(TableHandbook[[#This Row],[UDC]],TableSTRUCONMN[],7,FALSE),"")</f>
        <v/>
      </c>
      <c r="O25" s="83" t="str">
        <f>IFERROR(VLOOKUP(TableHandbook[[#This Row],[UDC]],TableSPUCANGAD[],7,FALSE),"")</f>
        <v/>
      </c>
      <c r="P25" s="83" t="str">
        <f>IFERROR(VLOOKUP(TableHandbook[[#This Row],[UDC]],TableSPUCFINCE[],7,FALSE),"")</f>
        <v/>
      </c>
      <c r="Q25" s="83" t="str">
        <f>IFERROR(VLOOKUP(TableHandbook[[#This Row],[UDC]],TableSPUCINARS[],7,FALSE),"")</f>
        <v/>
      </c>
      <c r="R25" s="83" t="str">
        <f>IFERROR(VLOOKUP(TableHandbook[[#This Row],[UDC]],TableSPUCINENT[],7,FALSE),"")</f>
        <v/>
      </c>
      <c r="S25" s="83" t="str">
        <f>IFERROR(VLOOKUP(TableHandbook[[#This Row],[UDC]],TableSPUCPROPT[],7,FALSE),"")</f>
        <v/>
      </c>
      <c r="T25" s="83" t="str">
        <f>IFERROR(VLOOKUP(TableHandbook[[#This Row],[UDC]],TableSPUCURDES[],7,FALSE),"")</f>
        <v/>
      </c>
    </row>
    <row r="26" spans="1:20" x14ac:dyDescent="0.25">
      <c r="A26" s="17" t="s">
        <v>84</v>
      </c>
      <c r="B26" s="18">
        <v>2</v>
      </c>
      <c r="C26" s="18"/>
      <c r="D26" s="78" t="s">
        <v>258</v>
      </c>
      <c r="E26" s="18">
        <v>25</v>
      </c>
      <c r="F26" s="113" t="s">
        <v>254</v>
      </c>
      <c r="G26" s="82" t="str">
        <f>IFERROR(IF(VLOOKUP(TableHandbook[[#This Row],[UDC]],TableAvailabilities[],2,FALSE)&gt;0,"Y",""),"")</f>
        <v>Y</v>
      </c>
      <c r="H26" s="82" t="str">
        <f>IFERROR(IF(VLOOKUP(TableHandbook[[#This Row],[UDC]],TableAvailabilities[],3,FALSE)&gt;0,"Y",""),"")</f>
        <v/>
      </c>
      <c r="I26" s="82" t="str">
        <f>IFERROR(IF(VLOOKUP(TableHandbook[[#This Row],[UDC]],TableAvailabilities[],4,FALSE)&gt;0,"Y",""),"")</f>
        <v/>
      </c>
      <c r="J26" s="82" t="str">
        <f>IFERROR(IF(VLOOKUP(TableHandbook[[#This Row],[UDC]],TableAvailabilities[],5,FALSE)&gt;0,"Y",""),"")</f>
        <v/>
      </c>
      <c r="K26" s="78"/>
      <c r="L26" s="83" t="str">
        <f>IFERROR(VLOOKUP(TableHandbook[[#This Row],[UDC]],TableBCONM[],7,FALSE),"")</f>
        <v>Core</v>
      </c>
      <c r="M26" s="83" t="str">
        <f>IFERROR(VLOOKUP(TableHandbook[[#This Row],[UDC]],TableSTRHCONMN[],7,FALSE),"")</f>
        <v/>
      </c>
      <c r="N26" s="83" t="str">
        <f>IFERROR(VLOOKUP(TableHandbook[[#This Row],[UDC]],TableSTRUCONMN[],7,FALSE),"")</f>
        <v/>
      </c>
      <c r="O26" s="83" t="str">
        <f>IFERROR(VLOOKUP(TableHandbook[[#This Row],[UDC]],TableSPUCANGAD[],7,FALSE),"")</f>
        <v/>
      </c>
      <c r="P26" s="83" t="str">
        <f>IFERROR(VLOOKUP(TableHandbook[[#This Row],[UDC]],TableSPUCFINCE[],7,FALSE),"")</f>
        <v/>
      </c>
      <c r="Q26" s="83" t="str">
        <f>IFERROR(VLOOKUP(TableHandbook[[#This Row],[UDC]],TableSPUCINARS[],7,FALSE),"")</f>
        <v/>
      </c>
      <c r="R26" s="83" t="str">
        <f>IFERROR(VLOOKUP(TableHandbook[[#This Row],[UDC]],TableSPUCINENT[],7,FALSE),"")</f>
        <v/>
      </c>
      <c r="S26" s="83" t="str">
        <f>IFERROR(VLOOKUP(TableHandbook[[#This Row],[UDC]],TableSPUCPROPT[],7,FALSE),"")</f>
        <v/>
      </c>
      <c r="T26" s="83" t="str">
        <f>IFERROR(VLOOKUP(TableHandbook[[#This Row],[UDC]],TableSPUCURDES[],7,FALSE),"")</f>
        <v/>
      </c>
    </row>
    <row r="27" spans="1:20" x14ac:dyDescent="0.25">
      <c r="A27" s="17" t="s">
        <v>96</v>
      </c>
      <c r="B27" s="18">
        <v>1</v>
      </c>
      <c r="C27" s="18"/>
      <c r="D27" s="78" t="s">
        <v>259</v>
      </c>
      <c r="E27" s="18">
        <v>25</v>
      </c>
      <c r="F27" s="113" t="s">
        <v>260</v>
      </c>
      <c r="G27" s="82" t="str">
        <f>IFERROR(IF(VLOOKUP(TableHandbook[[#This Row],[UDC]],TableAvailabilities[],2,FALSE)&gt;0,"Y",""),"")</f>
        <v/>
      </c>
      <c r="H27" s="82" t="str">
        <f>IFERROR(IF(VLOOKUP(TableHandbook[[#This Row],[UDC]],TableAvailabilities[],3,FALSE)&gt;0,"Y",""),"")</f>
        <v/>
      </c>
      <c r="I27" s="82" t="str">
        <f>IFERROR(IF(VLOOKUP(TableHandbook[[#This Row],[UDC]],TableAvailabilities[],4,FALSE)&gt;0,"Y",""),"")</f>
        <v>Y</v>
      </c>
      <c r="J27" s="82" t="str">
        <f>IFERROR(IF(VLOOKUP(TableHandbook[[#This Row],[UDC]],TableAvailabilities[],5,FALSE)&gt;0,"Y",""),"")</f>
        <v/>
      </c>
      <c r="K27" s="78"/>
      <c r="L27" s="83" t="str">
        <f>IFERROR(VLOOKUP(TableHandbook[[#This Row],[UDC]],TableBCONM[],7,FALSE),"")</f>
        <v>Core</v>
      </c>
      <c r="M27" s="83" t="str">
        <f>IFERROR(VLOOKUP(TableHandbook[[#This Row],[UDC]],TableSTRHCONMN[],7,FALSE),"")</f>
        <v/>
      </c>
      <c r="N27" s="83" t="str">
        <f>IFERROR(VLOOKUP(TableHandbook[[#This Row],[UDC]],TableSTRUCONMN[],7,FALSE),"")</f>
        <v/>
      </c>
      <c r="O27" s="83" t="str">
        <f>IFERROR(VLOOKUP(TableHandbook[[#This Row],[UDC]],TableSPUCANGAD[],7,FALSE),"")</f>
        <v/>
      </c>
      <c r="P27" s="83" t="str">
        <f>IFERROR(VLOOKUP(TableHandbook[[#This Row],[UDC]],TableSPUCFINCE[],7,FALSE),"")</f>
        <v/>
      </c>
      <c r="Q27" s="83" t="str">
        <f>IFERROR(VLOOKUP(TableHandbook[[#This Row],[UDC]],TableSPUCINARS[],7,FALSE),"")</f>
        <v/>
      </c>
      <c r="R27" s="83" t="str">
        <f>IFERROR(VLOOKUP(TableHandbook[[#This Row],[UDC]],TableSPUCINENT[],7,FALSE),"")</f>
        <v/>
      </c>
      <c r="S27" s="83" t="str">
        <f>IFERROR(VLOOKUP(TableHandbook[[#This Row],[UDC]],TableSPUCPROPT[],7,FALSE),"")</f>
        <v/>
      </c>
      <c r="T27" s="83" t="str">
        <f>IFERROR(VLOOKUP(TableHandbook[[#This Row],[UDC]],TableSPUCURDES[],7,FALSE),"")</f>
        <v/>
      </c>
    </row>
    <row r="28" spans="1:20" x14ac:dyDescent="0.25">
      <c r="A28" s="17" t="s">
        <v>106</v>
      </c>
      <c r="B28" s="18">
        <v>3</v>
      </c>
      <c r="C28" s="18"/>
      <c r="D28" s="78" t="s">
        <v>261</v>
      </c>
      <c r="E28" s="18">
        <v>25</v>
      </c>
      <c r="F28" s="113" t="s">
        <v>262</v>
      </c>
      <c r="G28" s="82" t="str">
        <f>IFERROR(IF(VLOOKUP(TableHandbook[[#This Row],[UDC]],TableAvailabilities[],2,FALSE)&gt;0,"Y",""),"")</f>
        <v>Y</v>
      </c>
      <c r="H28" s="82" t="str">
        <f>IFERROR(IF(VLOOKUP(TableHandbook[[#This Row],[UDC]],TableAvailabilities[],3,FALSE)&gt;0,"Y",""),"")</f>
        <v/>
      </c>
      <c r="I28" s="82" t="str">
        <f>IFERROR(IF(VLOOKUP(TableHandbook[[#This Row],[UDC]],TableAvailabilities[],4,FALSE)&gt;0,"Y",""),"")</f>
        <v/>
      </c>
      <c r="J28" s="82" t="str">
        <f>IFERROR(IF(VLOOKUP(TableHandbook[[#This Row],[UDC]],TableAvailabilities[],5,FALSE)&gt;0,"Y",""),"")</f>
        <v/>
      </c>
      <c r="K28" s="78"/>
      <c r="L28" s="83" t="str">
        <f>IFERROR(VLOOKUP(TableHandbook[[#This Row],[UDC]],TableBCONM[],7,FALSE),"")</f>
        <v>Core</v>
      </c>
      <c r="M28" s="83" t="str">
        <f>IFERROR(VLOOKUP(TableHandbook[[#This Row],[UDC]],TableSTRHCONMN[],7,FALSE),"")</f>
        <v/>
      </c>
      <c r="N28" s="83" t="str">
        <f>IFERROR(VLOOKUP(TableHandbook[[#This Row],[UDC]],TableSTRUCONMN[],7,FALSE),"")</f>
        <v/>
      </c>
      <c r="O28" s="83" t="str">
        <f>IFERROR(VLOOKUP(TableHandbook[[#This Row],[UDC]],TableSPUCANGAD[],7,FALSE),"")</f>
        <v/>
      </c>
      <c r="P28" s="83" t="str">
        <f>IFERROR(VLOOKUP(TableHandbook[[#This Row],[UDC]],TableSPUCFINCE[],7,FALSE),"")</f>
        <v/>
      </c>
      <c r="Q28" s="83" t="str">
        <f>IFERROR(VLOOKUP(TableHandbook[[#This Row],[UDC]],TableSPUCINARS[],7,FALSE),"")</f>
        <v/>
      </c>
      <c r="R28" s="83" t="str">
        <f>IFERROR(VLOOKUP(TableHandbook[[#This Row],[UDC]],TableSPUCINENT[],7,FALSE),"")</f>
        <v/>
      </c>
      <c r="S28" s="83" t="str">
        <f>IFERROR(VLOOKUP(TableHandbook[[#This Row],[UDC]],TableSPUCPROPT[],7,FALSE),"")</f>
        <v/>
      </c>
      <c r="T28" s="83" t="str">
        <f>IFERROR(VLOOKUP(TableHandbook[[#This Row],[UDC]],TableSPUCURDES[],7,FALSE),"")</f>
        <v/>
      </c>
    </row>
    <row r="29" spans="1:20" x14ac:dyDescent="0.25">
      <c r="A29" s="17" t="s">
        <v>101</v>
      </c>
      <c r="B29" s="18">
        <v>2</v>
      </c>
      <c r="C29" s="18"/>
      <c r="D29" s="78" t="s">
        <v>263</v>
      </c>
      <c r="E29" s="18">
        <v>25</v>
      </c>
      <c r="F29" s="113" t="s">
        <v>70</v>
      </c>
      <c r="G29" s="82" t="str">
        <f>IFERROR(IF(VLOOKUP(TableHandbook[[#This Row],[UDC]],TableAvailabilities[],2,FALSE)&gt;0,"Y",""),"")</f>
        <v>Y</v>
      </c>
      <c r="H29" s="82" t="str">
        <f>IFERROR(IF(VLOOKUP(TableHandbook[[#This Row],[UDC]],TableAvailabilities[],3,FALSE)&gt;0,"Y",""),"")</f>
        <v/>
      </c>
      <c r="I29" s="82" t="str">
        <f>IFERROR(IF(VLOOKUP(TableHandbook[[#This Row],[UDC]],TableAvailabilities[],4,FALSE)&gt;0,"Y",""),"")</f>
        <v/>
      </c>
      <c r="J29" s="82" t="str">
        <f>IFERROR(IF(VLOOKUP(TableHandbook[[#This Row],[UDC]],TableAvailabilities[],5,FALSE)&gt;0,"Y",""),"")</f>
        <v/>
      </c>
      <c r="K29" s="78"/>
      <c r="L29" s="83" t="str">
        <f>IFERROR(VLOOKUP(TableHandbook[[#This Row],[UDC]],TableBCONM[],7,FALSE),"")</f>
        <v>Core</v>
      </c>
      <c r="M29" s="83" t="str">
        <f>IFERROR(VLOOKUP(TableHandbook[[#This Row],[UDC]],TableSTRHCONMN[],7,FALSE),"")</f>
        <v/>
      </c>
      <c r="N29" s="83" t="str">
        <f>IFERROR(VLOOKUP(TableHandbook[[#This Row],[UDC]],TableSTRUCONMN[],7,FALSE),"")</f>
        <v/>
      </c>
      <c r="O29" s="83" t="str">
        <f>IFERROR(VLOOKUP(TableHandbook[[#This Row],[UDC]],TableSPUCANGAD[],7,FALSE),"")</f>
        <v/>
      </c>
      <c r="P29" s="83" t="str">
        <f>IFERROR(VLOOKUP(TableHandbook[[#This Row],[UDC]],TableSPUCFINCE[],7,FALSE),"")</f>
        <v/>
      </c>
      <c r="Q29" s="83" t="str">
        <f>IFERROR(VLOOKUP(TableHandbook[[#This Row],[UDC]],TableSPUCINARS[],7,FALSE),"")</f>
        <v/>
      </c>
      <c r="R29" s="83" t="str">
        <f>IFERROR(VLOOKUP(TableHandbook[[#This Row],[UDC]],TableSPUCINENT[],7,FALSE),"")</f>
        <v/>
      </c>
      <c r="S29" s="83" t="str">
        <f>IFERROR(VLOOKUP(TableHandbook[[#This Row],[UDC]],TableSPUCPROPT[],7,FALSE),"")</f>
        <v/>
      </c>
      <c r="T29" s="83" t="str">
        <f>IFERROR(VLOOKUP(TableHandbook[[#This Row],[UDC]],TableSPUCURDES[],7,FALSE),"")</f>
        <v/>
      </c>
    </row>
    <row r="30" spans="1:20" x14ac:dyDescent="0.25">
      <c r="A30" s="17" t="s">
        <v>114</v>
      </c>
      <c r="B30" s="18">
        <v>1</v>
      </c>
      <c r="C30" s="18"/>
      <c r="D30" s="78" t="s">
        <v>264</v>
      </c>
      <c r="E30" s="18">
        <v>25</v>
      </c>
      <c r="F30" s="113" t="s">
        <v>265</v>
      </c>
      <c r="G30" s="82" t="str">
        <f>IFERROR(IF(VLOOKUP(TableHandbook[[#This Row],[UDC]],TableAvailabilities[],2,FALSE)&gt;0,"Y",""),"")</f>
        <v/>
      </c>
      <c r="H30" s="82" t="str">
        <f>IFERROR(IF(VLOOKUP(TableHandbook[[#This Row],[UDC]],TableAvailabilities[],3,FALSE)&gt;0,"Y",""),"")</f>
        <v/>
      </c>
      <c r="I30" s="82" t="str">
        <f>IFERROR(IF(VLOOKUP(TableHandbook[[#This Row],[UDC]],TableAvailabilities[],4,FALSE)&gt;0,"Y",""),"")</f>
        <v>Y</v>
      </c>
      <c r="J30" s="82" t="str">
        <f>IFERROR(IF(VLOOKUP(TableHandbook[[#This Row],[UDC]],TableAvailabilities[],5,FALSE)&gt;0,"Y",""),"")</f>
        <v/>
      </c>
      <c r="K30" s="78"/>
      <c r="L30" s="83" t="str">
        <f>IFERROR(VLOOKUP(TableHandbook[[#This Row],[UDC]],TableBCONM[],7,FALSE),"")</f>
        <v>Core</v>
      </c>
      <c r="M30" s="83" t="str">
        <f>IFERROR(VLOOKUP(TableHandbook[[#This Row],[UDC]],TableSTRHCONMN[],7,FALSE),"")</f>
        <v/>
      </c>
      <c r="N30" s="83" t="str">
        <f>IFERROR(VLOOKUP(TableHandbook[[#This Row],[UDC]],TableSTRUCONMN[],7,FALSE),"")</f>
        <v/>
      </c>
      <c r="O30" s="83" t="str">
        <f>IFERROR(VLOOKUP(TableHandbook[[#This Row],[UDC]],TableSPUCANGAD[],7,FALSE),"")</f>
        <v/>
      </c>
      <c r="P30" s="83" t="str">
        <f>IFERROR(VLOOKUP(TableHandbook[[#This Row],[UDC]],TableSPUCFINCE[],7,FALSE),"")</f>
        <v/>
      </c>
      <c r="Q30" s="83" t="str">
        <f>IFERROR(VLOOKUP(TableHandbook[[#This Row],[UDC]],TableSPUCINARS[],7,FALSE),"")</f>
        <v/>
      </c>
      <c r="R30" s="83" t="str">
        <f>IFERROR(VLOOKUP(TableHandbook[[#This Row],[UDC]],TableSPUCINENT[],7,FALSE),"")</f>
        <v/>
      </c>
      <c r="S30" s="83" t="str">
        <f>IFERROR(VLOOKUP(TableHandbook[[#This Row],[UDC]],TableSPUCPROPT[],7,FALSE),"")</f>
        <v/>
      </c>
      <c r="T30" s="83" t="str">
        <f>IFERROR(VLOOKUP(TableHandbook[[#This Row],[UDC]],TableSPUCURDES[],7,FALSE),"")</f>
        <v/>
      </c>
    </row>
    <row r="31" spans="1:20" x14ac:dyDescent="0.25">
      <c r="A31" s="17" t="s">
        <v>111</v>
      </c>
      <c r="B31" s="18">
        <v>1</v>
      </c>
      <c r="C31" s="18"/>
      <c r="D31" s="78" t="s">
        <v>266</v>
      </c>
      <c r="E31" s="18">
        <v>25</v>
      </c>
      <c r="F31" s="113" t="s">
        <v>267</v>
      </c>
      <c r="G31" s="82" t="str">
        <f>IFERROR(IF(VLOOKUP(TableHandbook[[#This Row],[UDC]],TableAvailabilities[],2,FALSE)&gt;0,"Y",""),"")</f>
        <v/>
      </c>
      <c r="H31" s="82" t="str">
        <f>IFERROR(IF(VLOOKUP(TableHandbook[[#This Row],[UDC]],TableAvailabilities[],3,FALSE)&gt;0,"Y",""),"")</f>
        <v/>
      </c>
      <c r="I31" s="82" t="str">
        <f>IFERROR(IF(VLOOKUP(TableHandbook[[#This Row],[UDC]],TableAvailabilities[],4,FALSE)&gt;0,"Y",""),"")</f>
        <v>Y</v>
      </c>
      <c r="J31" s="82" t="str">
        <f>IFERROR(IF(VLOOKUP(TableHandbook[[#This Row],[UDC]],TableAvailabilities[],5,FALSE)&gt;0,"Y",""),"")</f>
        <v/>
      </c>
      <c r="K31" s="78"/>
      <c r="L31" s="83" t="str">
        <f>IFERROR(VLOOKUP(TableHandbook[[#This Row],[UDC]],TableBCONM[],7,FALSE),"")</f>
        <v>Core</v>
      </c>
      <c r="M31" s="83" t="str">
        <f>IFERROR(VLOOKUP(TableHandbook[[#This Row],[UDC]],TableSTRHCONMN[],7,FALSE),"")</f>
        <v/>
      </c>
      <c r="N31" s="83" t="str">
        <f>IFERROR(VLOOKUP(TableHandbook[[#This Row],[UDC]],TableSTRUCONMN[],7,FALSE),"")</f>
        <v/>
      </c>
      <c r="O31" s="83" t="str">
        <f>IFERROR(VLOOKUP(TableHandbook[[#This Row],[UDC]],TableSPUCANGAD[],7,FALSE),"")</f>
        <v/>
      </c>
      <c r="P31" s="83" t="str">
        <f>IFERROR(VLOOKUP(TableHandbook[[#This Row],[UDC]],TableSPUCFINCE[],7,FALSE),"")</f>
        <v/>
      </c>
      <c r="Q31" s="83" t="str">
        <f>IFERROR(VLOOKUP(TableHandbook[[#This Row],[UDC]],TableSPUCINARS[],7,FALSE),"")</f>
        <v/>
      </c>
      <c r="R31" s="83" t="str">
        <f>IFERROR(VLOOKUP(TableHandbook[[#This Row],[UDC]],TableSPUCINENT[],7,FALSE),"")</f>
        <v/>
      </c>
      <c r="S31" s="83" t="str">
        <f>IFERROR(VLOOKUP(TableHandbook[[#This Row],[UDC]],TableSPUCPROPT[],7,FALSE),"")</f>
        <v/>
      </c>
      <c r="T31" s="83" t="str">
        <f>IFERROR(VLOOKUP(TableHandbook[[#This Row],[UDC]],TableSPUCURDES[],7,FALSE),"")</f>
        <v/>
      </c>
    </row>
    <row r="32" spans="1:20" x14ac:dyDescent="0.25">
      <c r="A32" s="17" t="s">
        <v>99</v>
      </c>
      <c r="B32" s="18">
        <v>1</v>
      </c>
      <c r="C32" s="18"/>
      <c r="D32" s="78" t="s">
        <v>268</v>
      </c>
      <c r="E32" s="18">
        <v>25</v>
      </c>
      <c r="F32" s="113" t="s">
        <v>83</v>
      </c>
      <c r="G32" s="82" t="str">
        <f>IFERROR(IF(VLOOKUP(TableHandbook[[#This Row],[UDC]],TableAvailabilities[],2,FALSE)&gt;0,"Y",""),"")</f>
        <v>Y</v>
      </c>
      <c r="H32" s="82" t="str">
        <f>IFERROR(IF(VLOOKUP(TableHandbook[[#This Row],[UDC]],TableAvailabilities[],3,FALSE)&gt;0,"Y",""),"")</f>
        <v/>
      </c>
      <c r="I32" s="82" t="str">
        <f>IFERROR(IF(VLOOKUP(TableHandbook[[#This Row],[UDC]],TableAvailabilities[],4,FALSE)&gt;0,"Y",""),"")</f>
        <v/>
      </c>
      <c r="J32" s="82" t="str">
        <f>IFERROR(IF(VLOOKUP(TableHandbook[[#This Row],[UDC]],TableAvailabilities[],5,FALSE)&gt;0,"Y",""),"")</f>
        <v/>
      </c>
      <c r="K32" s="78"/>
      <c r="L32" s="83" t="str">
        <f>IFERROR(VLOOKUP(TableHandbook[[#This Row],[UDC]],TableBCONM[],7,FALSE),"")</f>
        <v>Core</v>
      </c>
      <c r="M32" s="83" t="str">
        <f>IFERROR(VLOOKUP(TableHandbook[[#This Row],[UDC]],TableSTRHCONMN[],7,FALSE),"")</f>
        <v/>
      </c>
      <c r="N32" s="83" t="str">
        <f>IFERROR(VLOOKUP(TableHandbook[[#This Row],[UDC]],TableSTRUCONMN[],7,FALSE),"")</f>
        <v/>
      </c>
      <c r="O32" s="83" t="str">
        <f>IFERROR(VLOOKUP(TableHandbook[[#This Row],[UDC]],TableSPUCANGAD[],7,FALSE),"")</f>
        <v/>
      </c>
      <c r="P32" s="83" t="str">
        <f>IFERROR(VLOOKUP(TableHandbook[[#This Row],[UDC]],TableSPUCFINCE[],7,FALSE),"")</f>
        <v/>
      </c>
      <c r="Q32" s="83" t="str">
        <f>IFERROR(VLOOKUP(TableHandbook[[#This Row],[UDC]],TableSPUCINARS[],7,FALSE),"")</f>
        <v/>
      </c>
      <c r="R32" s="83" t="str">
        <f>IFERROR(VLOOKUP(TableHandbook[[#This Row],[UDC]],TableSPUCINENT[],7,FALSE),"")</f>
        <v/>
      </c>
      <c r="S32" s="83" t="str">
        <f>IFERROR(VLOOKUP(TableHandbook[[#This Row],[UDC]],TableSPUCPROPT[],7,FALSE),"")</f>
        <v/>
      </c>
      <c r="T32" s="83" t="str">
        <f>IFERROR(VLOOKUP(TableHandbook[[#This Row],[UDC]],TableSPUCURDES[],7,FALSE),"")</f>
        <v/>
      </c>
    </row>
    <row r="33" spans="1:20" x14ac:dyDescent="0.25">
      <c r="A33" s="17" t="s">
        <v>131</v>
      </c>
      <c r="B33" s="18">
        <v>1</v>
      </c>
      <c r="C33" s="18"/>
      <c r="D33" s="108" t="s">
        <v>269</v>
      </c>
      <c r="E33" s="18">
        <v>50</v>
      </c>
      <c r="F33" s="113" t="s">
        <v>127</v>
      </c>
      <c r="G33" s="82" t="str">
        <f>IFERROR(IF(VLOOKUP(TableHandbook[[#This Row],[UDC]],TableAvailabilities[],2,FALSE)&gt;0,"Y",""),"")</f>
        <v/>
      </c>
      <c r="H33" s="82" t="str">
        <f>IFERROR(IF(VLOOKUP(TableHandbook[[#This Row],[UDC]],TableAvailabilities[],3,FALSE)&gt;0,"Y",""),"")</f>
        <v/>
      </c>
      <c r="I33" s="82" t="str">
        <f>IFERROR(IF(VLOOKUP(TableHandbook[[#This Row],[UDC]],TableAvailabilities[],4,FALSE)&gt;0,"Y",""),"")</f>
        <v>Y</v>
      </c>
      <c r="J33" s="82" t="str">
        <f>IFERROR(IF(VLOOKUP(TableHandbook[[#This Row],[UDC]],TableAvailabilities[],5,FALSE)&gt;0,"Y",""),"")</f>
        <v/>
      </c>
      <c r="K33" s="78"/>
      <c r="L33" s="83" t="str">
        <f>IFERROR(VLOOKUP(TableHandbook[[#This Row],[UDC]],TableBCONM[],7,FALSE),"")</f>
        <v/>
      </c>
      <c r="M33" s="83" t="str">
        <f>IFERROR(VLOOKUP(TableHandbook[[#This Row],[UDC]],TableSTRHCONMN[],7,FALSE),"")</f>
        <v>Core</v>
      </c>
      <c r="N33" s="83" t="str">
        <f>IFERROR(VLOOKUP(TableHandbook[[#This Row],[UDC]],TableSTRUCONMN[],7,FALSE),"")</f>
        <v/>
      </c>
      <c r="O33" s="83" t="str">
        <f>IFERROR(VLOOKUP(TableHandbook[[#This Row],[UDC]],TableSPUCANGAD[],7,FALSE),"")</f>
        <v/>
      </c>
      <c r="P33" s="83" t="str">
        <f>IFERROR(VLOOKUP(TableHandbook[[#This Row],[UDC]],TableSPUCFINCE[],7,FALSE),"")</f>
        <v/>
      </c>
      <c r="Q33" s="83" t="str">
        <f>IFERROR(VLOOKUP(TableHandbook[[#This Row],[UDC]],TableSPUCINARS[],7,FALSE),"")</f>
        <v/>
      </c>
      <c r="R33" s="83" t="str">
        <f>IFERROR(VLOOKUP(TableHandbook[[#This Row],[UDC]],TableSPUCINENT[],7,FALSE),"")</f>
        <v/>
      </c>
      <c r="S33" s="83" t="str">
        <f>IFERROR(VLOOKUP(TableHandbook[[#This Row],[UDC]],TableSPUCPROPT[],7,FALSE),"")</f>
        <v/>
      </c>
      <c r="T33" s="83" t="str">
        <f>IFERROR(VLOOKUP(TableHandbook[[#This Row],[UDC]],TableSPUCURDES[],7,FALSE),"")</f>
        <v/>
      </c>
    </row>
    <row r="34" spans="1:20" x14ac:dyDescent="0.25">
      <c r="A34" s="107" t="s">
        <v>128</v>
      </c>
      <c r="B34" s="18">
        <v>2</v>
      </c>
      <c r="C34" s="18"/>
      <c r="D34" s="108" t="s">
        <v>270</v>
      </c>
      <c r="E34" s="18">
        <v>25</v>
      </c>
      <c r="F34" s="113" t="s">
        <v>271</v>
      </c>
      <c r="G34" s="82" t="str">
        <f>IFERROR(IF(VLOOKUP(TableHandbook[[#This Row],[UDC]],TableAvailabilities[],2,FALSE)&gt;0,"Y",""),"")</f>
        <v/>
      </c>
      <c r="H34" s="82" t="str">
        <f>IFERROR(IF(VLOOKUP(TableHandbook[[#This Row],[UDC]],TableAvailabilities[],3,FALSE)&gt;0,"Y",""),"")</f>
        <v/>
      </c>
      <c r="I34" s="82" t="str">
        <f>IFERROR(IF(VLOOKUP(TableHandbook[[#This Row],[UDC]],TableAvailabilities[],4,FALSE)&gt;0,"Y",""),"")</f>
        <v>Y</v>
      </c>
      <c r="J34" s="82" t="str">
        <f>IFERROR(IF(VLOOKUP(TableHandbook[[#This Row],[UDC]],TableAvailabilities[],5,FALSE)&gt;0,"Y",""),"")</f>
        <v/>
      </c>
      <c r="K34" s="78"/>
      <c r="L34" s="83" t="str">
        <f>IFERROR(VLOOKUP(TableHandbook[[#This Row],[UDC]],TableBCONM[],7,FALSE),"")</f>
        <v/>
      </c>
      <c r="M34" s="83" t="str">
        <f>IFERROR(VLOOKUP(TableHandbook[[#This Row],[UDC]],TableSTRHCONMN[],7,FALSE),"")</f>
        <v>Core</v>
      </c>
      <c r="N34" s="83" t="str">
        <f>IFERROR(VLOOKUP(TableHandbook[[#This Row],[UDC]],TableSTRUCONMN[],7,FALSE),"")</f>
        <v>Core</v>
      </c>
      <c r="O34" s="83" t="str">
        <f>IFERROR(VLOOKUP(TableHandbook[[#This Row],[UDC]],TableSPUCANGAD[],7,FALSE),"")</f>
        <v/>
      </c>
      <c r="P34" s="83" t="str">
        <f>IFERROR(VLOOKUP(TableHandbook[[#This Row],[UDC]],TableSPUCFINCE[],7,FALSE),"")</f>
        <v/>
      </c>
      <c r="Q34" s="83" t="str">
        <f>IFERROR(VLOOKUP(TableHandbook[[#This Row],[UDC]],TableSPUCINARS[],7,FALSE),"")</f>
        <v/>
      </c>
      <c r="R34" s="83" t="str">
        <f>IFERROR(VLOOKUP(TableHandbook[[#This Row],[UDC]],TableSPUCINENT[],7,FALSE),"")</f>
        <v/>
      </c>
      <c r="S34" s="83" t="str">
        <f>IFERROR(VLOOKUP(TableHandbook[[#This Row],[UDC]],TableSPUCPROPT[],7,FALSE),"")</f>
        <v/>
      </c>
      <c r="T34" s="83" t="str">
        <f>IFERROR(VLOOKUP(TableHandbook[[#This Row],[UDC]],TableSPUCURDES[],7,FALSE),"")</f>
        <v/>
      </c>
    </row>
    <row r="35" spans="1:20" x14ac:dyDescent="0.25">
      <c r="A35" s="17" t="s">
        <v>127</v>
      </c>
      <c r="B35" s="18">
        <v>1</v>
      </c>
      <c r="C35" s="18"/>
      <c r="D35" s="108" t="s">
        <v>272</v>
      </c>
      <c r="E35" s="18">
        <v>25</v>
      </c>
      <c r="F35" s="113" t="s">
        <v>118</v>
      </c>
      <c r="G35" s="82" t="str">
        <f>IFERROR(IF(VLOOKUP(TableHandbook[[#This Row],[UDC]],TableAvailabilities[],2,FALSE)&gt;0,"Y",""),"")</f>
        <v>Y</v>
      </c>
      <c r="H35" s="82" t="str">
        <f>IFERROR(IF(VLOOKUP(TableHandbook[[#This Row],[UDC]],TableAvailabilities[],3,FALSE)&gt;0,"Y",""),"")</f>
        <v/>
      </c>
      <c r="I35" s="82" t="str">
        <f>IFERROR(IF(VLOOKUP(TableHandbook[[#This Row],[UDC]],TableAvailabilities[],4,FALSE)&gt;0,"Y",""),"")</f>
        <v/>
      </c>
      <c r="J35" s="82" t="str">
        <f>IFERROR(IF(VLOOKUP(TableHandbook[[#This Row],[UDC]],TableAvailabilities[],5,FALSE)&gt;0,"Y",""),"")</f>
        <v/>
      </c>
      <c r="K35" s="78"/>
      <c r="L35" s="83" t="str">
        <f>IFERROR(VLOOKUP(TableHandbook[[#This Row],[UDC]],TableBCONM[],7,FALSE),"")</f>
        <v/>
      </c>
      <c r="M35" s="83" t="str">
        <f>IFERROR(VLOOKUP(TableHandbook[[#This Row],[UDC]],TableSTRHCONMN[],7,FALSE),"")</f>
        <v>Core</v>
      </c>
      <c r="N35" s="83" t="str">
        <f>IFERROR(VLOOKUP(TableHandbook[[#This Row],[UDC]],TableSTRUCONMN[],7,FALSE),"")</f>
        <v/>
      </c>
      <c r="O35" s="83" t="str">
        <f>IFERROR(VLOOKUP(TableHandbook[[#This Row],[UDC]],TableSPUCANGAD[],7,FALSE),"")</f>
        <v/>
      </c>
      <c r="P35" s="83" t="str">
        <f>IFERROR(VLOOKUP(TableHandbook[[#This Row],[UDC]],TableSPUCFINCE[],7,FALSE),"")</f>
        <v/>
      </c>
      <c r="Q35" s="83" t="str">
        <f>IFERROR(VLOOKUP(TableHandbook[[#This Row],[UDC]],TableSPUCINARS[],7,FALSE),"")</f>
        <v/>
      </c>
      <c r="R35" s="83" t="str">
        <f>IFERROR(VLOOKUP(TableHandbook[[#This Row],[UDC]],TableSPUCINENT[],7,FALSE),"")</f>
        <v/>
      </c>
      <c r="S35" s="83" t="str">
        <f>IFERROR(VLOOKUP(TableHandbook[[#This Row],[UDC]],TableSPUCPROPT[],7,FALSE),"")</f>
        <v/>
      </c>
      <c r="T35" s="83" t="str">
        <f>IFERROR(VLOOKUP(TableHandbook[[#This Row],[UDC]],TableSPUCURDES[],7,FALSE),"")</f>
        <v/>
      </c>
    </row>
    <row r="36" spans="1:20" x14ac:dyDescent="0.25">
      <c r="A36" s="17" t="s">
        <v>126</v>
      </c>
      <c r="B36" s="18">
        <v>2</v>
      </c>
      <c r="C36" s="18"/>
      <c r="D36" s="108" t="s">
        <v>273</v>
      </c>
      <c r="E36" s="18">
        <v>25</v>
      </c>
      <c r="F36" s="113" t="s">
        <v>274</v>
      </c>
      <c r="G36" s="82" t="str">
        <f>IFERROR(IF(VLOOKUP(TableHandbook[[#This Row],[UDC]],TableAvailabilities[],2,FALSE)&gt;0,"Y",""),"")</f>
        <v>Y</v>
      </c>
      <c r="H36" s="82" t="str">
        <f>IFERROR(IF(VLOOKUP(TableHandbook[[#This Row],[UDC]],TableAvailabilities[],3,FALSE)&gt;0,"Y",""),"")</f>
        <v/>
      </c>
      <c r="I36" s="82" t="str">
        <f>IFERROR(IF(VLOOKUP(TableHandbook[[#This Row],[UDC]],TableAvailabilities[],4,FALSE)&gt;0,"Y",""),"")</f>
        <v/>
      </c>
      <c r="J36" s="82" t="str">
        <f>IFERROR(IF(VLOOKUP(TableHandbook[[#This Row],[UDC]],TableAvailabilities[],5,FALSE)&gt;0,"Y",""),"")</f>
        <v/>
      </c>
      <c r="K36" s="78"/>
      <c r="L36" s="83" t="str">
        <f>IFERROR(VLOOKUP(TableHandbook[[#This Row],[UDC]],TableBCONM[],7,FALSE),"")</f>
        <v/>
      </c>
      <c r="M36" s="83" t="str">
        <f>IFERROR(VLOOKUP(TableHandbook[[#This Row],[UDC]],TableSTRHCONMN[],7,FALSE),"")</f>
        <v>Core</v>
      </c>
      <c r="N36" s="83" t="str">
        <f>IFERROR(VLOOKUP(TableHandbook[[#This Row],[UDC]],TableSTRUCONMN[],7,FALSE),"")</f>
        <v>Core</v>
      </c>
      <c r="O36" s="83" t="str">
        <f>IFERROR(VLOOKUP(TableHandbook[[#This Row],[UDC]],TableSPUCANGAD[],7,FALSE),"")</f>
        <v/>
      </c>
      <c r="P36" s="83" t="str">
        <f>IFERROR(VLOOKUP(TableHandbook[[#This Row],[UDC]],TableSPUCFINCE[],7,FALSE),"")</f>
        <v/>
      </c>
      <c r="Q36" s="83" t="str">
        <f>IFERROR(VLOOKUP(TableHandbook[[#This Row],[UDC]],TableSPUCINARS[],7,FALSE),"")</f>
        <v/>
      </c>
      <c r="R36" s="83" t="str">
        <f>IFERROR(VLOOKUP(TableHandbook[[#This Row],[UDC]],TableSPUCINENT[],7,FALSE),"")</f>
        <v/>
      </c>
      <c r="S36" s="83" t="str">
        <f>IFERROR(VLOOKUP(TableHandbook[[#This Row],[UDC]],TableSPUCPROPT[],7,FALSE),"")</f>
        <v/>
      </c>
      <c r="T36" s="83" t="str">
        <f>IFERROR(VLOOKUP(TableHandbook[[#This Row],[UDC]],TableSPUCURDES[],7,FALSE),"")</f>
        <v/>
      </c>
    </row>
    <row r="37" spans="1:20" x14ac:dyDescent="0.25">
      <c r="A37" s="17" t="s">
        <v>129</v>
      </c>
      <c r="B37" s="18">
        <v>2</v>
      </c>
      <c r="C37" s="18"/>
      <c r="D37" s="108" t="s">
        <v>275</v>
      </c>
      <c r="E37" s="18">
        <v>25</v>
      </c>
      <c r="F37" s="113" t="s">
        <v>276</v>
      </c>
      <c r="G37" s="82" t="str">
        <f>IFERROR(IF(VLOOKUP(TableHandbook[[#This Row],[UDC]],TableAvailabilities[],2,FALSE)&gt;0,"Y",""),"")</f>
        <v/>
      </c>
      <c r="H37" s="82" t="str">
        <f>IFERROR(IF(VLOOKUP(TableHandbook[[#This Row],[UDC]],TableAvailabilities[],3,FALSE)&gt;0,"Y",""),"")</f>
        <v/>
      </c>
      <c r="I37" s="82" t="str">
        <f>IFERROR(IF(VLOOKUP(TableHandbook[[#This Row],[UDC]],TableAvailabilities[],4,FALSE)&gt;0,"Y",""),"")</f>
        <v>Y</v>
      </c>
      <c r="J37" s="82" t="str">
        <f>IFERROR(IF(VLOOKUP(TableHandbook[[#This Row],[UDC]],TableAvailabilities[],5,FALSE)&gt;0,"Y",""),"")</f>
        <v/>
      </c>
      <c r="K37" s="78"/>
      <c r="L37" s="83" t="str">
        <f>IFERROR(VLOOKUP(TableHandbook[[#This Row],[UDC]],TableBCONM[],7,FALSE),"")</f>
        <v/>
      </c>
      <c r="M37" s="83" t="str">
        <f>IFERROR(VLOOKUP(TableHandbook[[#This Row],[UDC]],TableSTRHCONMN[],7,FALSE),"")</f>
        <v>Core</v>
      </c>
      <c r="N37" s="83" t="str">
        <f>IFERROR(VLOOKUP(TableHandbook[[#This Row],[UDC]],TableSTRUCONMN[],7,FALSE),"")</f>
        <v>Core</v>
      </c>
      <c r="O37" s="83" t="str">
        <f>IFERROR(VLOOKUP(TableHandbook[[#This Row],[UDC]],TableSPUCANGAD[],7,FALSE),"")</f>
        <v/>
      </c>
      <c r="P37" s="83" t="str">
        <f>IFERROR(VLOOKUP(TableHandbook[[#This Row],[UDC]],TableSPUCFINCE[],7,FALSE),"")</f>
        <v/>
      </c>
      <c r="Q37" s="83" t="str">
        <f>IFERROR(VLOOKUP(TableHandbook[[#This Row],[UDC]],TableSPUCINARS[],7,FALSE),"")</f>
        <v/>
      </c>
      <c r="R37" s="83" t="str">
        <f>IFERROR(VLOOKUP(TableHandbook[[#This Row],[UDC]],TableSPUCINENT[],7,FALSE),"")</f>
        <v/>
      </c>
      <c r="S37" s="83" t="str">
        <f>IFERROR(VLOOKUP(TableHandbook[[#This Row],[UDC]],TableSPUCPROPT[],7,FALSE),"")</f>
        <v/>
      </c>
      <c r="T37" s="83" t="str">
        <f>IFERROR(VLOOKUP(TableHandbook[[#This Row],[UDC]],TableSPUCURDES[],7,FALSE),"")</f>
        <v/>
      </c>
    </row>
    <row r="38" spans="1:20" x14ac:dyDescent="0.25">
      <c r="A38" s="17" t="s">
        <v>125</v>
      </c>
      <c r="B38" s="18">
        <v>3</v>
      </c>
      <c r="C38" s="18"/>
      <c r="D38" s="108" t="s">
        <v>277</v>
      </c>
      <c r="E38" s="18">
        <v>25</v>
      </c>
      <c r="F38" s="113" t="s">
        <v>278</v>
      </c>
      <c r="G38" s="82" t="str">
        <f>IFERROR(IF(VLOOKUP(TableHandbook[[#This Row],[UDC]],TableAvailabilities[],2,FALSE)&gt;0,"Y",""),"")</f>
        <v>Y</v>
      </c>
      <c r="H38" s="82" t="str">
        <f>IFERROR(IF(VLOOKUP(TableHandbook[[#This Row],[UDC]],TableAvailabilities[],3,FALSE)&gt;0,"Y",""),"")</f>
        <v/>
      </c>
      <c r="I38" s="82" t="str">
        <f>IFERROR(IF(VLOOKUP(TableHandbook[[#This Row],[UDC]],TableAvailabilities[],4,FALSE)&gt;0,"Y",""),"")</f>
        <v/>
      </c>
      <c r="J38" s="82" t="str">
        <f>IFERROR(IF(VLOOKUP(TableHandbook[[#This Row],[UDC]],TableAvailabilities[],5,FALSE)&gt;0,"Y",""),"")</f>
        <v/>
      </c>
      <c r="K38" s="78"/>
      <c r="L38" s="83" t="str">
        <f>IFERROR(VLOOKUP(TableHandbook[[#This Row],[UDC]],TableBCONM[],7,FALSE),"")</f>
        <v/>
      </c>
      <c r="M38" s="83" t="str">
        <f>IFERROR(VLOOKUP(TableHandbook[[#This Row],[UDC]],TableSTRHCONMN[],7,FALSE),"")</f>
        <v/>
      </c>
      <c r="N38" s="83" t="str">
        <f>IFERROR(VLOOKUP(TableHandbook[[#This Row],[UDC]],TableSTRUCONMN[],7,FALSE),"")</f>
        <v>Core</v>
      </c>
      <c r="O38" s="83" t="str">
        <f>IFERROR(VLOOKUP(TableHandbook[[#This Row],[UDC]],TableSPUCANGAD[],7,FALSE),"")</f>
        <v/>
      </c>
      <c r="P38" s="83" t="str">
        <f>IFERROR(VLOOKUP(TableHandbook[[#This Row],[UDC]],TableSPUCFINCE[],7,FALSE),"")</f>
        <v/>
      </c>
      <c r="Q38" s="83" t="str">
        <f>IFERROR(VLOOKUP(TableHandbook[[#This Row],[UDC]],TableSPUCINARS[],7,FALSE),"")</f>
        <v/>
      </c>
      <c r="R38" s="83" t="str">
        <f>IFERROR(VLOOKUP(TableHandbook[[#This Row],[UDC]],TableSPUCINENT[],7,FALSE),"")</f>
        <v/>
      </c>
      <c r="S38" s="83" t="str">
        <f>IFERROR(VLOOKUP(TableHandbook[[#This Row],[UDC]],TableSPUCPROPT[],7,FALSE),"")</f>
        <v/>
      </c>
      <c r="T38" s="83" t="str">
        <f>IFERROR(VLOOKUP(TableHandbook[[#This Row],[UDC]],TableSPUCURDES[],7,FALSE),"")</f>
        <v/>
      </c>
    </row>
    <row r="39" spans="1:20" x14ac:dyDescent="0.25">
      <c r="A39" s="17" t="s">
        <v>123</v>
      </c>
      <c r="B39" s="18">
        <v>1</v>
      </c>
      <c r="C39" s="18"/>
      <c r="D39" s="108" t="s">
        <v>279</v>
      </c>
      <c r="E39" s="18">
        <v>25</v>
      </c>
      <c r="F39" s="113" t="s">
        <v>280</v>
      </c>
      <c r="G39" s="82" t="str">
        <f>IFERROR(IF(VLOOKUP(TableHandbook[[#This Row],[UDC]],TableAvailabilities[],2,FALSE)&gt;0,"Y",""),"")</f>
        <v>Y</v>
      </c>
      <c r="H39" s="82" t="str">
        <f>IFERROR(IF(VLOOKUP(TableHandbook[[#This Row],[UDC]],TableAvailabilities[],3,FALSE)&gt;0,"Y",""),"")</f>
        <v/>
      </c>
      <c r="I39" s="82" t="str">
        <f>IFERROR(IF(VLOOKUP(TableHandbook[[#This Row],[UDC]],TableAvailabilities[],4,FALSE)&gt;0,"Y",""),"")</f>
        <v/>
      </c>
      <c r="J39" s="82" t="str">
        <f>IFERROR(IF(VLOOKUP(TableHandbook[[#This Row],[UDC]],TableAvailabilities[],5,FALSE)&gt;0,"Y",""),"")</f>
        <v/>
      </c>
      <c r="K39" s="78"/>
      <c r="L39" s="83" t="str">
        <f>IFERROR(VLOOKUP(TableHandbook[[#This Row],[UDC]],TableBCONM[],7,FALSE),"")</f>
        <v/>
      </c>
      <c r="M39" s="83" t="str">
        <f>IFERROR(VLOOKUP(TableHandbook[[#This Row],[UDC]],TableSTRHCONMN[],7,FALSE),"")</f>
        <v>Core</v>
      </c>
      <c r="N39" s="83" t="str">
        <f>IFERROR(VLOOKUP(TableHandbook[[#This Row],[UDC]],TableSTRUCONMN[],7,FALSE),"")</f>
        <v>Core</v>
      </c>
      <c r="O39" s="83" t="str">
        <f>IFERROR(VLOOKUP(TableHandbook[[#This Row],[UDC]],TableSPUCANGAD[],7,FALSE),"")</f>
        <v/>
      </c>
      <c r="P39" s="83" t="str">
        <f>IFERROR(VLOOKUP(TableHandbook[[#This Row],[UDC]],TableSPUCFINCE[],7,FALSE),"")</f>
        <v/>
      </c>
      <c r="Q39" s="83" t="str">
        <f>IFERROR(VLOOKUP(TableHandbook[[#This Row],[UDC]],TableSPUCINARS[],7,FALSE),"")</f>
        <v/>
      </c>
      <c r="R39" s="83" t="str">
        <f>IFERROR(VLOOKUP(TableHandbook[[#This Row],[UDC]],TableSPUCINENT[],7,FALSE),"")</f>
        <v/>
      </c>
      <c r="S39" s="83" t="str">
        <f>IFERROR(VLOOKUP(TableHandbook[[#This Row],[UDC]],TableSPUCPROPT[],7,FALSE),"")</f>
        <v/>
      </c>
      <c r="T39" s="83" t="str">
        <f>IFERROR(VLOOKUP(TableHandbook[[#This Row],[UDC]],TableSPUCURDES[],7,FALSE),"")</f>
        <v/>
      </c>
    </row>
    <row r="40" spans="1:20" x14ac:dyDescent="0.25">
      <c r="A40" s="17" t="s">
        <v>130</v>
      </c>
      <c r="B40" s="18">
        <v>1</v>
      </c>
      <c r="C40" s="18"/>
      <c r="D40" s="108" t="s">
        <v>281</v>
      </c>
      <c r="E40" s="18">
        <v>50</v>
      </c>
      <c r="F40" s="113" t="s">
        <v>126</v>
      </c>
      <c r="G40" s="82" t="str">
        <f>IFERROR(IF(VLOOKUP(TableHandbook[[#This Row],[UDC]],TableAvailabilities[],2,FALSE)&gt;0,"Y",""),"")</f>
        <v/>
      </c>
      <c r="H40" s="82" t="str">
        <f>IFERROR(IF(VLOOKUP(TableHandbook[[#This Row],[UDC]],TableAvailabilities[],3,FALSE)&gt;0,"Y",""),"")</f>
        <v/>
      </c>
      <c r="I40" s="82" t="str">
        <f>IFERROR(IF(VLOOKUP(TableHandbook[[#This Row],[UDC]],TableAvailabilities[],4,FALSE)&gt;0,"Y",""),"")</f>
        <v>Y</v>
      </c>
      <c r="J40" s="82" t="str">
        <f>IFERROR(IF(VLOOKUP(TableHandbook[[#This Row],[UDC]],TableAvailabilities[],5,FALSE)&gt;0,"Y",""),"")</f>
        <v/>
      </c>
      <c r="K40" s="78"/>
      <c r="L40" s="83" t="str">
        <f>IFERROR(VLOOKUP(TableHandbook[[#This Row],[UDC]],TableBCONM[],7,FALSE),"")</f>
        <v/>
      </c>
      <c r="M40" s="83" t="str">
        <f>IFERROR(VLOOKUP(TableHandbook[[#This Row],[UDC]],TableSTRHCONMN[],7,FALSE),"")</f>
        <v/>
      </c>
      <c r="N40" s="83" t="str">
        <f>IFERROR(VLOOKUP(TableHandbook[[#This Row],[UDC]],TableSTRUCONMN[],7,FALSE),"")</f>
        <v>Core</v>
      </c>
      <c r="O40" s="83" t="str">
        <f>IFERROR(VLOOKUP(TableHandbook[[#This Row],[UDC]],TableSPUCANGAD[],7,FALSE),"")</f>
        <v/>
      </c>
      <c r="P40" s="83" t="str">
        <f>IFERROR(VLOOKUP(TableHandbook[[#This Row],[UDC]],TableSPUCFINCE[],7,FALSE),"")</f>
        <v/>
      </c>
      <c r="Q40" s="83" t="str">
        <f>IFERROR(VLOOKUP(TableHandbook[[#This Row],[UDC]],TableSPUCINARS[],7,FALSE),"")</f>
        <v/>
      </c>
      <c r="R40" s="83" t="str">
        <f>IFERROR(VLOOKUP(TableHandbook[[#This Row],[UDC]],TableSPUCINENT[],7,FALSE),"")</f>
        <v/>
      </c>
      <c r="S40" s="83" t="str">
        <f>IFERROR(VLOOKUP(TableHandbook[[#This Row],[UDC]],TableSPUCPROPT[],7,FALSE),"")</f>
        <v/>
      </c>
      <c r="T40" s="83" t="str">
        <f>IFERROR(VLOOKUP(TableHandbook[[#This Row],[UDC]],TableSPUCURDES[],7,FALSE),"")</f>
        <v/>
      </c>
    </row>
    <row r="41" spans="1:20" x14ac:dyDescent="0.25">
      <c r="A41" s="17" t="s">
        <v>124</v>
      </c>
      <c r="B41" s="18">
        <v>1</v>
      </c>
      <c r="C41" s="18"/>
      <c r="D41" s="108" t="s">
        <v>282</v>
      </c>
      <c r="E41" s="18">
        <v>25</v>
      </c>
      <c r="F41" s="113" t="s">
        <v>260</v>
      </c>
      <c r="G41" s="82" t="str">
        <f>IFERROR(IF(VLOOKUP(TableHandbook[[#This Row],[UDC]],TableAvailabilities[],2,FALSE)&gt;0,"Y",""),"")</f>
        <v>Y</v>
      </c>
      <c r="H41" s="82" t="str">
        <f>IFERROR(IF(VLOOKUP(TableHandbook[[#This Row],[UDC]],TableAvailabilities[],3,FALSE)&gt;0,"Y",""),"")</f>
        <v/>
      </c>
      <c r="I41" s="82" t="str">
        <f>IFERROR(IF(VLOOKUP(TableHandbook[[#This Row],[UDC]],TableAvailabilities[],4,FALSE)&gt;0,"Y",""),"")</f>
        <v/>
      </c>
      <c r="J41" s="82" t="str">
        <f>IFERROR(IF(VLOOKUP(TableHandbook[[#This Row],[UDC]],TableAvailabilities[],5,FALSE)&gt;0,"Y",""),"")</f>
        <v/>
      </c>
      <c r="K41" s="78"/>
      <c r="L41" s="83" t="str">
        <f>IFERROR(VLOOKUP(TableHandbook[[#This Row],[UDC]],TableBCONM[],7,FALSE),"")</f>
        <v/>
      </c>
      <c r="M41" s="83" t="str">
        <f>IFERROR(VLOOKUP(TableHandbook[[#This Row],[UDC]],TableSTRHCONMN[],7,FALSE),"")</f>
        <v>Core</v>
      </c>
      <c r="N41" s="83" t="str">
        <f>IFERROR(VLOOKUP(TableHandbook[[#This Row],[UDC]],TableSTRUCONMN[],7,FALSE),"")</f>
        <v>Core</v>
      </c>
      <c r="O41" s="83" t="str">
        <f>IFERROR(VLOOKUP(TableHandbook[[#This Row],[UDC]],TableSPUCANGAD[],7,FALSE),"")</f>
        <v/>
      </c>
      <c r="P41" s="83" t="str">
        <f>IFERROR(VLOOKUP(TableHandbook[[#This Row],[UDC]],TableSPUCFINCE[],7,FALSE),"")</f>
        <v/>
      </c>
      <c r="Q41" s="83" t="str">
        <f>IFERROR(VLOOKUP(TableHandbook[[#This Row],[UDC]],TableSPUCINARS[],7,FALSE),"")</f>
        <v/>
      </c>
      <c r="R41" s="83" t="str">
        <f>IFERROR(VLOOKUP(TableHandbook[[#This Row],[UDC]],TableSPUCINENT[],7,FALSE),"")</f>
        <v/>
      </c>
      <c r="S41" s="83" t="str">
        <f>IFERROR(VLOOKUP(TableHandbook[[#This Row],[UDC]],TableSPUCPROPT[],7,FALSE),"")</f>
        <v/>
      </c>
      <c r="T41" s="83" t="str">
        <f>IFERROR(VLOOKUP(TableHandbook[[#This Row],[UDC]],TableSPUCURDES[],7,FALSE),"")</f>
        <v/>
      </c>
    </row>
    <row r="42" spans="1:20" x14ac:dyDescent="0.25">
      <c r="A42" s="17" t="s">
        <v>48</v>
      </c>
      <c r="B42" s="18">
        <v>2</v>
      </c>
      <c r="C42" s="18"/>
      <c r="D42" s="78" t="s">
        <v>283</v>
      </c>
      <c r="E42" s="18">
        <v>25</v>
      </c>
      <c r="F42" s="81" t="s">
        <v>242</v>
      </c>
      <c r="G42" s="82" t="str">
        <f>IFERROR(IF(VLOOKUP(TableHandbook[[#This Row],[UDC]],TableAvailabilities[],2,FALSE)&gt;0,"Y",""),"")</f>
        <v>Y</v>
      </c>
      <c r="H42" s="82" t="str">
        <f>IFERROR(IF(VLOOKUP(TableHandbook[[#This Row],[UDC]],TableAvailabilities[],3,FALSE)&gt;0,"Y",""),"")</f>
        <v>Y</v>
      </c>
      <c r="I42" s="82" t="str">
        <f>IFERROR(IF(VLOOKUP(TableHandbook[[#This Row],[UDC]],TableAvailabilities[],4,FALSE)&gt;0,"Y",""),"")</f>
        <v>Y</v>
      </c>
      <c r="J42" s="82" t="str">
        <f>IFERROR(IF(VLOOKUP(TableHandbook[[#This Row],[UDC]],TableAvailabilities[],5,FALSE)&gt;0,"Y",""),"")</f>
        <v>Y</v>
      </c>
      <c r="K42" s="78"/>
      <c r="L42" s="83" t="str">
        <f>IFERROR(VLOOKUP(TableHandbook[[#This Row],[UDC]],TableBCONM[],7,FALSE),"")</f>
        <v>Core</v>
      </c>
      <c r="M42" s="83" t="str">
        <f>IFERROR(VLOOKUP(TableHandbook[[#This Row],[UDC]],TableSTRHCONMN[],7,FALSE),"")</f>
        <v/>
      </c>
      <c r="N42" s="83" t="str">
        <f>IFERROR(VLOOKUP(TableHandbook[[#This Row],[UDC]],TableSTRUCONMN[],7,FALSE),"")</f>
        <v/>
      </c>
      <c r="O42" s="83" t="str">
        <f>IFERROR(VLOOKUP(TableHandbook[[#This Row],[UDC]],TableSPUCANGAD[],7,FALSE),"")</f>
        <v/>
      </c>
      <c r="P42" s="83" t="str">
        <f>IFERROR(VLOOKUP(TableHandbook[[#This Row],[UDC]],TableSPUCFINCE[],7,FALSE),"")</f>
        <v/>
      </c>
      <c r="Q42" s="83" t="str">
        <f>IFERROR(VLOOKUP(TableHandbook[[#This Row],[UDC]],TableSPUCINARS[],7,FALSE),"")</f>
        <v/>
      </c>
      <c r="R42" s="83" t="str">
        <f>IFERROR(VLOOKUP(TableHandbook[[#This Row],[UDC]],TableSPUCINENT[],7,FALSE),"")</f>
        <v/>
      </c>
      <c r="S42" s="83" t="str">
        <f>IFERROR(VLOOKUP(TableHandbook[[#This Row],[UDC]],TableSPUCPROPT[],7,FALSE),"")</f>
        <v/>
      </c>
      <c r="T42" s="83" t="str">
        <f>IFERROR(VLOOKUP(TableHandbook[[#This Row],[UDC]],TableSPUCURDES[],7,FALSE),"")</f>
        <v/>
      </c>
    </row>
    <row r="43" spans="1:20" x14ac:dyDescent="0.25">
      <c r="A43" s="17" t="s">
        <v>149</v>
      </c>
      <c r="B43" s="18">
        <v>1</v>
      </c>
      <c r="C43" s="18"/>
      <c r="D43" s="78" t="s">
        <v>284</v>
      </c>
      <c r="E43" s="18">
        <v>25</v>
      </c>
      <c r="F43" s="81" t="s">
        <v>242</v>
      </c>
      <c r="G43" s="82" t="str">
        <f>IFERROR(IF(VLOOKUP(TableHandbook[[#This Row],[UDC]],TableAvailabilities[],2,FALSE)&gt;0,"Y",""),"")</f>
        <v>Y</v>
      </c>
      <c r="H43" s="82" t="str">
        <f>IFERROR(IF(VLOOKUP(TableHandbook[[#This Row],[UDC]],TableAvailabilities[],3,FALSE)&gt;0,"Y",""),"")</f>
        <v>Y</v>
      </c>
      <c r="I43" s="82" t="str">
        <f>IFERROR(IF(VLOOKUP(TableHandbook[[#This Row],[UDC]],TableAvailabilities[],4,FALSE)&gt;0,"Y",""),"")</f>
        <v>Y</v>
      </c>
      <c r="J43" s="82" t="str">
        <f>IFERROR(IF(VLOOKUP(TableHandbook[[#This Row],[UDC]],TableAvailabilities[],5,FALSE)&gt;0,"Y",""),"")</f>
        <v>Y</v>
      </c>
      <c r="K43" s="78"/>
      <c r="L43" s="83" t="str">
        <f>IFERROR(VLOOKUP(TableHandbook[[#This Row],[UDC]],TableBCONM[],7,FALSE),"")</f>
        <v/>
      </c>
      <c r="M43" s="83" t="str">
        <f>IFERROR(VLOOKUP(TableHandbook[[#This Row],[UDC]],TableSTRHCONMN[],7,FALSE),"")</f>
        <v/>
      </c>
      <c r="N43" s="83" t="str">
        <f>IFERROR(VLOOKUP(TableHandbook[[#This Row],[UDC]],TableSTRUCONMN[],7,FALSE),"")</f>
        <v/>
      </c>
      <c r="O43" s="83" t="str">
        <f>IFERROR(VLOOKUP(TableHandbook[[#This Row],[UDC]],TableSPUCANGAD[],7,FALSE),"")</f>
        <v/>
      </c>
      <c r="P43" s="83" t="str">
        <f>IFERROR(VLOOKUP(TableHandbook[[#This Row],[UDC]],TableSPUCFINCE[],7,FALSE),"")</f>
        <v>AltCore</v>
      </c>
      <c r="Q43" s="83" t="str">
        <f>IFERROR(VLOOKUP(TableHandbook[[#This Row],[UDC]],TableSPUCINARS[],7,FALSE),"")</f>
        <v/>
      </c>
      <c r="R43" s="83" t="str">
        <f>IFERROR(VLOOKUP(TableHandbook[[#This Row],[UDC]],TableSPUCINENT[],7,FALSE),"")</f>
        <v/>
      </c>
      <c r="S43" s="83" t="str">
        <f>IFERROR(VLOOKUP(TableHandbook[[#This Row],[UDC]],TableSPUCPROPT[],7,FALSE),"")</f>
        <v/>
      </c>
      <c r="T43" s="83" t="str">
        <f>IFERROR(VLOOKUP(TableHandbook[[#This Row],[UDC]],TableSPUCURDES[],7,FALSE),"")</f>
        <v/>
      </c>
    </row>
    <row r="44" spans="1:20" x14ac:dyDescent="0.25">
      <c r="A44" s="17" t="s">
        <v>170</v>
      </c>
      <c r="B44" s="18">
        <v>3</v>
      </c>
      <c r="C44" s="18"/>
      <c r="D44" s="78" t="s">
        <v>285</v>
      </c>
      <c r="E44" s="18">
        <v>25</v>
      </c>
      <c r="F44" s="113" t="s">
        <v>149</v>
      </c>
      <c r="G44" s="82" t="str">
        <f>IFERROR(IF(VLOOKUP(TableHandbook[[#This Row],[UDC]],TableAvailabilities[],2,FALSE)&gt;0,"Y",""),"")</f>
        <v>Y</v>
      </c>
      <c r="H44" s="82" t="str">
        <f>IFERROR(IF(VLOOKUP(TableHandbook[[#This Row],[UDC]],TableAvailabilities[],3,FALSE)&gt;0,"Y",""),"")</f>
        <v>Y</v>
      </c>
      <c r="I44" s="82" t="str">
        <f>IFERROR(IF(VLOOKUP(TableHandbook[[#This Row],[UDC]],TableAvailabilities[],4,FALSE)&gt;0,"Y",""),"")</f>
        <v>Y</v>
      </c>
      <c r="J44" s="82" t="str">
        <f>IFERROR(IF(VLOOKUP(TableHandbook[[#This Row],[UDC]],TableAvailabilities[],5,FALSE)&gt;0,"Y",""),"")</f>
        <v>Y</v>
      </c>
      <c r="K44" s="78"/>
      <c r="L44" s="83" t="str">
        <f>IFERROR(VLOOKUP(TableHandbook[[#This Row],[UDC]],TableBCONM[],7,FALSE),"")</f>
        <v/>
      </c>
      <c r="M44" s="83" t="str">
        <f>IFERROR(VLOOKUP(TableHandbook[[#This Row],[UDC]],TableSTRHCONMN[],7,FALSE),"")</f>
        <v/>
      </c>
      <c r="N44" s="83" t="str">
        <f>IFERROR(VLOOKUP(TableHandbook[[#This Row],[UDC]],TableSTRUCONMN[],7,FALSE),"")</f>
        <v/>
      </c>
      <c r="O44" s="83" t="str">
        <f>IFERROR(VLOOKUP(TableHandbook[[#This Row],[UDC]],TableSPUCANGAD[],7,FALSE),"")</f>
        <v/>
      </c>
      <c r="P44" s="83" t="str">
        <f>IFERROR(VLOOKUP(TableHandbook[[#This Row],[UDC]],TableSPUCFINCE[],7,FALSE),"")</f>
        <v>AltCore</v>
      </c>
      <c r="Q44" s="83" t="str">
        <f>IFERROR(VLOOKUP(TableHandbook[[#This Row],[UDC]],TableSPUCINARS[],7,FALSE),"")</f>
        <v/>
      </c>
      <c r="R44" s="83" t="str">
        <f>IFERROR(VLOOKUP(TableHandbook[[#This Row],[UDC]],TableSPUCINENT[],7,FALSE),"")</f>
        <v/>
      </c>
      <c r="S44" s="83" t="str">
        <f>IFERROR(VLOOKUP(TableHandbook[[#This Row],[UDC]],TableSPUCPROPT[],7,FALSE),"")</f>
        <v/>
      </c>
      <c r="T44" s="83" t="str">
        <f>IFERROR(VLOOKUP(TableHandbook[[#This Row],[UDC]],TableSPUCURDES[],7,FALSE),"")</f>
        <v/>
      </c>
    </row>
    <row r="45" spans="1:20" x14ac:dyDescent="0.25">
      <c r="A45" s="17" t="s">
        <v>177</v>
      </c>
      <c r="B45" s="18">
        <v>1</v>
      </c>
      <c r="C45" s="18"/>
      <c r="D45" s="78" t="s">
        <v>286</v>
      </c>
      <c r="E45" s="18">
        <v>25</v>
      </c>
      <c r="F45" s="113" t="s">
        <v>287</v>
      </c>
      <c r="G45" s="82" t="str">
        <f>IFERROR(IF(VLOOKUP(TableHandbook[[#This Row],[UDC]],TableAvailabilities[],2,FALSE)&gt;0,"Y",""),"")</f>
        <v>Y</v>
      </c>
      <c r="H45" s="82" t="str">
        <f>IFERROR(IF(VLOOKUP(TableHandbook[[#This Row],[UDC]],TableAvailabilities[],3,FALSE)&gt;0,"Y",""),"")</f>
        <v>Y</v>
      </c>
      <c r="I45" s="82" t="str">
        <f>IFERROR(IF(VLOOKUP(TableHandbook[[#This Row],[UDC]],TableAvailabilities[],4,FALSE)&gt;0,"Y",""),"")</f>
        <v>Y</v>
      </c>
      <c r="J45" s="82" t="str">
        <f>IFERROR(IF(VLOOKUP(TableHandbook[[#This Row],[UDC]],TableAvailabilities[],5,FALSE)&gt;0,"Y",""),"")</f>
        <v>Y</v>
      </c>
      <c r="K45" s="78"/>
      <c r="L45" s="83" t="str">
        <f>IFERROR(VLOOKUP(TableHandbook[[#This Row],[UDC]],TableBCONM[],7,FALSE),"")</f>
        <v/>
      </c>
      <c r="M45" s="83" t="str">
        <f>IFERROR(VLOOKUP(TableHandbook[[#This Row],[UDC]],TableSTRHCONMN[],7,FALSE),"")</f>
        <v/>
      </c>
      <c r="N45" s="83" t="str">
        <f>IFERROR(VLOOKUP(TableHandbook[[#This Row],[UDC]],TableSTRUCONMN[],7,FALSE),"")</f>
        <v/>
      </c>
      <c r="O45" s="83" t="str">
        <f>IFERROR(VLOOKUP(TableHandbook[[#This Row],[UDC]],TableSPUCANGAD[],7,FALSE),"")</f>
        <v/>
      </c>
      <c r="P45" s="83" t="str">
        <f>IFERROR(VLOOKUP(TableHandbook[[#This Row],[UDC]],TableSPUCFINCE[],7,FALSE),"")</f>
        <v>Option</v>
      </c>
      <c r="Q45" s="83" t="str">
        <f>IFERROR(VLOOKUP(TableHandbook[[#This Row],[UDC]],TableSPUCINARS[],7,FALSE),"")</f>
        <v/>
      </c>
      <c r="R45" s="83" t="str">
        <f>IFERROR(VLOOKUP(TableHandbook[[#This Row],[UDC]],TableSPUCINENT[],7,FALSE),"")</f>
        <v/>
      </c>
      <c r="S45" s="83" t="str">
        <f>IFERROR(VLOOKUP(TableHandbook[[#This Row],[UDC]],TableSPUCPROPT[],7,FALSE),"")</f>
        <v/>
      </c>
      <c r="T45" s="83" t="str">
        <f>IFERROR(VLOOKUP(TableHandbook[[#This Row],[UDC]],TableSPUCURDES[],7,FALSE),"")</f>
        <v/>
      </c>
    </row>
    <row r="46" spans="1:20" x14ac:dyDescent="0.25">
      <c r="A46" s="17" t="s">
        <v>182</v>
      </c>
      <c r="B46" s="18">
        <v>1</v>
      </c>
      <c r="C46" s="18"/>
      <c r="D46" s="78" t="s">
        <v>288</v>
      </c>
      <c r="E46" s="18">
        <v>25</v>
      </c>
      <c r="F46" s="113" t="s">
        <v>149</v>
      </c>
      <c r="G46" s="82" t="str">
        <f>IFERROR(IF(VLOOKUP(TableHandbook[[#This Row],[UDC]],TableAvailabilities[],2,FALSE)&gt;0,"Y",""),"")</f>
        <v>Y</v>
      </c>
      <c r="H46" s="82" t="str">
        <f>IFERROR(IF(VLOOKUP(TableHandbook[[#This Row],[UDC]],TableAvailabilities[],3,FALSE)&gt;0,"Y",""),"")</f>
        <v>Y</v>
      </c>
      <c r="I46" s="82" t="str">
        <f>IFERROR(IF(VLOOKUP(TableHandbook[[#This Row],[UDC]],TableAvailabilities[],4,FALSE)&gt;0,"Y",""),"")</f>
        <v>Y</v>
      </c>
      <c r="J46" s="82" t="str">
        <f>IFERROR(IF(VLOOKUP(TableHandbook[[#This Row],[UDC]],TableAvailabilities[],5,FALSE)&gt;0,"Y",""),"")</f>
        <v>Y</v>
      </c>
      <c r="K46" s="78"/>
      <c r="L46" s="83" t="str">
        <f>IFERROR(VLOOKUP(TableHandbook[[#This Row],[UDC]],TableBCONM[],7,FALSE),"")</f>
        <v/>
      </c>
      <c r="M46" s="83" t="str">
        <f>IFERROR(VLOOKUP(TableHandbook[[#This Row],[UDC]],TableSTRHCONMN[],7,FALSE),"")</f>
        <v/>
      </c>
      <c r="N46" s="83" t="str">
        <f>IFERROR(VLOOKUP(TableHandbook[[#This Row],[UDC]],TableSTRUCONMN[],7,FALSE),"")</f>
        <v/>
      </c>
      <c r="O46" s="83" t="str">
        <f>IFERROR(VLOOKUP(TableHandbook[[#This Row],[UDC]],TableSPUCANGAD[],7,FALSE),"")</f>
        <v/>
      </c>
      <c r="P46" s="83" t="str">
        <f>IFERROR(VLOOKUP(TableHandbook[[#This Row],[UDC]],TableSPUCFINCE[],7,FALSE),"")</f>
        <v>Option</v>
      </c>
      <c r="Q46" s="83" t="str">
        <f>IFERROR(VLOOKUP(TableHandbook[[#This Row],[UDC]],TableSPUCINARS[],7,FALSE),"")</f>
        <v/>
      </c>
      <c r="R46" s="83" t="str">
        <f>IFERROR(VLOOKUP(TableHandbook[[#This Row],[UDC]],TableSPUCINENT[],7,FALSE),"")</f>
        <v/>
      </c>
      <c r="S46" s="83" t="str">
        <f>IFERROR(VLOOKUP(TableHandbook[[#This Row],[UDC]],TableSPUCPROPT[],7,FALSE),"")</f>
        <v/>
      </c>
      <c r="T46" s="83" t="str">
        <f>IFERROR(VLOOKUP(TableHandbook[[#This Row],[UDC]],TableSPUCURDES[],7,FALSE),"")</f>
        <v/>
      </c>
    </row>
    <row r="47" spans="1:20" x14ac:dyDescent="0.25">
      <c r="A47" s="17" t="s">
        <v>187</v>
      </c>
      <c r="B47" s="18">
        <v>1</v>
      </c>
      <c r="C47" s="18"/>
      <c r="D47" s="78" t="s">
        <v>289</v>
      </c>
      <c r="E47" s="18">
        <v>25</v>
      </c>
      <c r="F47" s="113" t="s">
        <v>287</v>
      </c>
      <c r="G47" s="82" t="str">
        <f>IFERROR(IF(VLOOKUP(TableHandbook[[#This Row],[UDC]],TableAvailabilities[],2,FALSE)&gt;0,"Y",""),"")</f>
        <v>Y</v>
      </c>
      <c r="H47" s="82" t="str">
        <f>IFERROR(IF(VLOOKUP(TableHandbook[[#This Row],[UDC]],TableAvailabilities[],3,FALSE)&gt;0,"Y",""),"")</f>
        <v>Y</v>
      </c>
      <c r="I47" s="82" t="str">
        <f>IFERROR(IF(VLOOKUP(TableHandbook[[#This Row],[UDC]],TableAvailabilities[],4,FALSE)&gt;0,"Y",""),"")</f>
        <v>Y</v>
      </c>
      <c r="J47" s="82" t="str">
        <f>IFERROR(IF(VLOOKUP(TableHandbook[[#This Row],[UDC]],TableAvailabilities[],5,FALSE)&gt;0,"Y",""),"")</f>
        <v>Y</v>
      </c>
      <c r="K47" s="78"/>
      <c r="L47" s="83" t="str">
        <f>IFERROR(VLOOKUP(TableHandbook[[#This Row],[UDC]],TableBCONM[],7,FALSE),"")</f>
        <v/>
      </c>
      <c r="M47" s="83" t="str">
        <f>IFERROR(VLOOKUP(TableHandbook[[#This Row],[UDC]],TableSTRHCONMN[],7,FALSE),"")</f>
        <v/>
      </c>
      <c r="N47" s="83" t="str">
        <f>IFERROR(VLOOKUP(TableHandbook[[#This Row],[UDC]],TableSTRUCONMN[],7,FALSE),"")</f>
        <v/>
      </c>
      <c r="O47" s="83" t="str">
        <f>IFERROR(VLOOKUP(TableHandbook[[#This Row],[UDC]],TableSPUCANGAD[],7,FALSE),"")</f>
        <v/>
      </c>
      <c r="P47" s="83" t="str">
        <f>IFERROR(VLOOKUP(TableHandbook[[#This Row],[UDC]],TableSPUCFINCE[],7,FALSE),"")</f>
        <v>Option</v>
      </c>
      <c r="Q47" s="83" t="str">
        <f>IFERROR(VLOOKUP(TableHandbook[[#This Row],[UDC]],TableSPUCINARS[],7,FALSE),"")</f>
        <v/>
      </c>
      <c r="R47" s="83" t="str">
        <f>IFERROR(VLOOKUP(TableHandbook[[#This Row],[UDC]],TableSPUCINENT[],7,FALSE),"")</f>
        <v/>
      </c>
      <c r="S47" s="83" t="str">
        <f>IFERROR(VLOOKUP(TableHandbook[[#This Row],[UDC]],TableSPUCPROPT[],7,FALSE),"")</f>
        <v/>
      </c>
      <c r="T47" s="83" t="str">
        <f>IFERROR(VLOOKUP(TableHandbook[[#This Row],[UDC]],TableSPUCURDES[],7,FALSE),"")</f>
        <v/>
      </c>
    </row>
    <row r="48" spans="1:20" x14ac:dyDescent="0.25">
      <c r="A48" s="17" t="s">
        <v>148</v>
      </c>
      <c r="B48" s="18">
        <v>1</v>
      </c>
      <c r="C48" s="18"/>
      <c r="D48" s="78" t="s">
        <v>290</v>
      </c>
      <c r="E48" s="18">
        <v>25</v>
      </c>
      <c r="F48" s="81" t="s">
        <v>242</v>
      </c>
      <c r="G48" s="82" t="str">
        <f>IFERROR(IF(VLOOKUP(TableHandbook[[#This Row],[UDC]],TableAvailabilities[],2,FALSE)&gt;0,"Y",""),"")</f>
        <v>Y</v>
      </c>
      <c r="H48" s="82" t="str">
        <f>IFERROR(IF(VLOOKUP(TableHandbook[[#This Row],[UDC]],TableAvailabilities[],3,FALSE)&gt;0,"Y",""),"")</f>
        <v/>
      </c>
      <c r="I48" s="82" t="str">
        <f>IFERROR(IF(VLOOKUP(TableHandbook[[#This Row],[UDC]],TableAvailabilities[],4,FALSE)&gt;0,"Y",""),"")</f>
        <v>Y</v>
      </c>
      <c r="J48" s="82" t="str">
        <f>IFERROR(IF(VLOOKUP(TableHandbook[[#This Row],[UDC]],TableAvailabilities[],5,FALSE)&gt;0,"Y",""),"")</f>
        <v/>
      </c>
      <c r="K48" s="78"/>
      <c r="L48" s="83" t="str">
        <f>IFERROR(VLOOKUP(TableHandbook[[#This Row],[UDC]],TableBCONM[],7,FALSE),"")</f>
        <v/>
      </c>
      <c r="M48" s="83" t="str">
        <f>IFERROR(VLOOKUP(TableHandbook[[#This Row],[UDC]],TableSTRHCONMN[],7,FALSE),"")</f>
        <v/>
      </c>
      <c r="N48" s="83" t="str">
        <f>IFERROR(VLOOKUP(TableHandbook[[#This Row],[UDC]],TableSTRUCONMN[],7,FALSE),"")</f>
        <v/>
      </c>
      <c r="O48" s="83" t="str">
        <f>IFERROR(VLOOKUP(TableHandbook[[#This Row],[UDC]],TableSPUCANGAD[],7,FALSE),"")</f>
        <v>Core</v>
      </c>
      <c r="P48" s="83" t="str">
        <f>IFERROR(VLOOKUP(TableHandbook[[#This Row],[UDC]],TableSPUCFINCE[],7,FALSE),"")</f>
        <v/>
      </c>
      <c r="Q48" s="83" t="str">
        <f>IFERROR(VLOOKUP(TableHandbook[[#This Row],[UDC]],TableSPUCINARS[],7,FALSE),"")</f>
        <v/>
      </c>
      <c r="R48" s="83" t="str">
        <f>IFERROR(VLOOKUP(TableHandbook[[#This Row],[UDC]],TableSPUCINENT[],7,FALSE),"")</f>
        <v/>
      </c>
      <c r="S48" s="83" t="str">
        <f>IFERROR(VLOOKUP(TableHandbook[[#This Row],[UDC]],TableSPUCPROPT[],7,FALSE),"")</f>
        <v/>
      </c>
      <c r="T48" s="83" t="str">
        <f>IFERROR(VLOOKUP(TableHandbook[[#This Row],[UDC]],TableSPUCURDES[],7,FALSE),"")</f>
        <v/>
      </c>
    </row>
    <row r="49" spans="1:20" x14ac:dyDescent="0.25">
      <c r="A49" s="17" t="s">
        <v>156</v>
      </c>
      <c r="B49" s="18">
        <v>1</v>
      </c>
      <c r="C49" s="18"/>
      <c r="D49" s="78" t="s">
        <v>291</v>
      </c>
      <c r="E49" s="18">
        <v>25</v>
      </c>
      <c r="F49" s="81" t="s">
        <v>242</v>
      </c>
      <c r="G49" s="82" t="str">
        <f>IFERROR(IF(VLOOKUP(TableHandbook[[#This Row],[UDC]],TableAvailabilities[],2,FALSE)&gt;0,"Y",""),"")</f>
        <v/>
      </c>
      <c r="H49" s="82" t="str">
        <f>IFERROR(IF(VLOOKUP(TableHandbook[[#This Row],[UDC]],TableAvailabilities[],3,FALSE)&gt;0,"Y",""),"")</f>
        <v/>
      </c>
      <c r="I49" s="82" t="str">
        <f>IFERROR(IF(VLOOKUP(TableHandbook[[#This Row],[UDC]],TableAvailabilities[],4,FALSE)&gt;0,"Y",""),"")</f>
        <v>Y</v>
      </c>
      <c r="J49" s="82" t="str">
        <f>IFERROR(IF(VLOOKUP(TableHandbook[[#This Row],[UDC]],TableAvailabilities[],5,FALSE)&gt;0,"Y",""),"")</f>
        <v/>
      </c>
      <c r="K49" s="78"/>
      <c r="L49" s="83" t="str">
        <f>IFERROR(VLOOKUP(TableHandbook[[#This Row],[UDC]],TableBCONM[],7,FALSE),"")</f>
        <v/>
      </c>
      <c r="M49" s="83" t="str">
        <f>IFERROR(VLOOKUP(TableHandbook[[#This Row],[UDC]],TableSTRHCONMN[],7,FALSE),"")</f>
        <v/>
      </c>
      <c r="N49" s="83" t="str">
        <f>IFERROR(VLOOKUP(TableHandbook[[#This Row],[UDC]],TableSTRUCONMN[],7,FALSE),"")</f>
        <v/>
      </c>
      <c r="O49" s="83" t="str">
        <f>IFERROR(VLOOKUP(TableHandbook[[#This Row],[UDC]],TableSPUCANGAD[],7,FALSE),"")</f>
        <v>Core</v>
      </c>
      <c r="P49" s="83" t="str">
        <f>IFERROR(VLOOKUP(TableHandbook[[#This Row],[UDC]],TableSPUCFINCE[],7,FALSE),"")</f>
        <v/>
      </c>
      <c r="Q49" s="83" t="str">
        <f>IFERROR(VLOOKUP(TableHandbook[[#This Row],[UDC]],TableSPUCINARS[],7,FALSE),"")</f>
        <v/>
      </c>
      <c r="R49" s="83" t="str">
        <f>IFERROR(VLOOKUP(TableHandbook[[#This Row],[UDC]],TableSPUCINENT[],7,FALSE),"")</f>
        <v/>
      </c>
      <c r="S49" s="83" t="str">
        <f>IFERROR(VLOOKUP(TableHandbook[[#This Row],[UDC]],TableSPUCPROPT[],7,FALSE),"")</f>
        <v/>
      </c>
      <c r="T49" s="83" t="str">
        <f>IFERROR(VLOOKUP(TableHandbook[[#This Row],[UDC]],TableSPUCURDES[],7,FALSE),"")</f>
        <v/>
      </c>
    </row>
    <row r="50" spans="1:20" x14ac:dyDescent="0.25">
      <c r="A50" s="17" t="s">
        <v>179</v>
      </c>
      <c r="B50" s="18">
        <v>3</v>
      </c>
      <c r="C50" s="18"/>
      <c r="D50" s="78" t="s">
        <v>292</v>
      </c>
      <c r="E50" s="18">
        <v>25</v>
      </c>
      <c r="F50" s="81" t="s">
        <v>242</v>
      </c>
      <c r="G50" s="82" t="str">
        <f>IFERROR(IF(VLOOKUP(TableHandbook[[#This Row],[UDC]],TableAvailabilities[],2,FALSE)&gt;0,"Y",""),"")</f>
        <v/>
      </c>
      <c r="H50" s="82" t="str">
        <f>IFERROR(IF(VLOOKUP(TableHandbook[[#This Row],[UDC]],TableAvailabilities[],3,FALSE)&gt;0,"Y",""),"")</f>
        <v/>
      </c>
      <c r="I50" s="82" t="str">
        <f>IFERROR(IF(VLOOKUP(TableHandbook[[#This Row],[UDC]],TableAvailabilities[],4,FALSE)&gt;0,"Y",""),"")</f>
        <v>Y</v>
      </c>
      <c r="J50" s="82" t="str">
        <f>IFERROR(IF(VLOOKUP(TableHandbook[[#This Row],[UDC]],TableAvailabilities[],5,FALSE)&gt;0,"Y",""),"")</f>
        <v/>
      </c>
      <c r="K50" s="78"/>
      <c r="L50" s="83" t="str">
        <f>IFERROR(VLOOKUP(TableHandbook[[#This Row],[UDC]],TableBCONM[],7,FALSE),"")</f>
        <v/>
      </c>
      <c r="M50" s="83" t="str">
        <f>IFERROR(VLOOKUP(TableHandbook[[#This Row],[UDC]],TableSTRHCONMN[],7,FALSE),"")</f>
        <v/>
      </c>
      <c r="N50" s="83" t="str">
        <f>IFERROR(VLOOKUP(TableHandbook[[#This Row],[UDC]],TableSTRUCONMN[],7,FALSE),"")</f>
        <v/>
      </c>
      <c r="O50" s="83" t="str">
        <f>IFERROR(VLOOKUP(TableHandbook[[#This Row],[UDC]],TableSPUCANGAD[],7,FALSE),"")</f>
        <v/>
      </c>
      <c r="P50" s="83" t="str">
        <f>IFERROR(VLOOKUP(TableHandbook[[#This Row],[UDC]],TableSPUCFINCE[],7,FALSE),"")</f>
        <v/>
      </c>
      <c r="Q50" s="83" t="str">
        <f>IFERROR(VLOOKUP(TableHandbook[[#This Row],[UDC]],TableSPUCINARS[],7,FALSE),"")</f>
        <v/>
      </c>
      <c r="R50" s="83" t="str">
        <f>IFERROR(VLOOKUP(TableHandbook[[#This Row],[UDC]],TableSPUCINENT[],7,FALSE),"")</f>
        <v>AltCore</v>
      </c>
      <c r="S50" s="83" t="str">
        <f>IFERROR(VLOOKUP(TableHandbook[[#This Row],[UDC]],TableSPUCPROPT[],7,FALSE),"")</f>
        <v/>
      </c>
      <c r="T50" s="83" t="str">
        <f>IFERROR(VLOOKUP(TableHandbook[[#This Row],[UDC]],TableSPUCURDES[],7,FALSE),"")</f>
        <v/>
      </c>
    </row>
    <row r="51" spans="1:20" x14ac:dyDescent="0.25">
      <c r="A51" s="17" t="s">
        <v>164</v>
      </c>
      <c r="B51" s="18">
        <v>2</v>
      </c>
      <c r="C51" s="18"/>
      <c r="D51" s="78" t="s">
        <v>293</v>
      </c>
      <c r="E51" s="18">
        <v>25</v>
      </c>
      <c r="F51" s="113" t="s">
        <v>294</v>
      </c>
      <c r="G51" s="82" t="str">
        <f>IFERROR(IF(VLOOKUP(TableHandbook[[#This Row],[UDC]],TableAvailabilities[],2,FALSE)&gt;0,"Y",""),"")</f>
        <v>Y</v>
      </c>
      <c r="H51" s="82" t="str">
        <f>IFERROR(IF(VLOOKUP(TableHandbook[[#This Row],[UDC]],TableAvailabilities[],3,FALSE)&gt;0,"Y",""),"")</f>
        <v/>
      </c>
      <c r="I51" s="82" t="str">
        <f>IFERROR(IF(VLOOKUP(TableHandbook[[#This Row],[UDC]],TableAvailabilities[],4,FALSE)&gt;0,"Y",""),"")</f>
        <v/>
      </c>
      <c r="J51" s="82" t="str">
        <f>IFERROR(IF(VLOOKUP(TableHandbook[[#This Row],[UDC]],TableAvailabilities[],5,FALSE)&gt;0,"Y",""),"")</f>
        <v/>
      </c>
      <c r="K51" s="78"/>
      <c r="L51" s="83" t="str">
        <f>IFERROR(VLOOKUP(TableHandbook[[#This Row],[UDC]],TableBCONM[],7,FALSE),"")</f>
        <v/>
      </c>
      <c r="M51" s="83" t="str">
        <f>IFERROR(VLOOKUP(TableHandbook[[#This Row],[UDC]],TableSTRHCONMN[],7,FALSE),"")</f>
        <v/>
      </c>
      <c r="N51" s="83" t="str">
        <f>IFERROR(VLOOKUP(TableHandbook[[#This Row],[UDC]],TableSTRUCONMN[],7,FALSE),"")</f>
        <v/>
      </c>
      <c r="O51" s="83" t="str">
        <f>IFERROR(VLOOKUP(TableHandbook[[#This Row],[UDC]],TableSPUCANGAD[],7,FALSE),"")</f>
        <v>Core</v>
      </c>
      <c r="P51" s="83" t="str">
        <f>IFERROR(VLOOKUP(TableHandbook[[#This Row],[UDC]],TableSPUCFINCE[],7,FALSE),"")</f>
        <v/>
      </c>
      <c r="Q51" s="83" t="str">
        <f>IFERROR(VLOOKUP(TableHandbook[[#This Row],[UDC]],TableSPUCINARS[],7,FALSE),"")</f>
        <v/>
      </c>
      <c r="R51" s="83" t="str">
        <f>IFERROR(VLOOKUP(TableHandbook[[#This Row],[UDC]],TableSPUCINENT[],7,FALSE),"")</f>
        <v/>
      </c>
      <c r="S51" s="83" t="str">
        <f>IFERROR(VLOOKUP(TableHandbook[[#This Row],[UDC]],TableSPUCPROPT[],7,FALSE),"")</f>
        <v/>
      </c>
      <c r="T51" s="83" t="str">
        <f>IFERROR(VLOOKUP(TableHandbook[[#This Row],[UDC]],TableSPUCURDES[],7,FALSE),"")</f>
        <v/>
      </c>
    </row>
    <row r="52" spans="1:20" x14ac:dyDescent="0.25">
      <c r="A52" s="17" t="s">
        <v>181</v>
      </c>
      <c r="B52" s="18">
        <v>2</v>
      </c>
      <c r="C52" s="18"/>
      <c r="D52" s="78" t="s">
        <v>295</v>
      </c>
      <c r="E52" s="18">
        <v>25</v>
      </c>
      <c r="F52" s="113" t="s">
        <v>296</v>
      </c>
      <c r="G52" s="82" t="str">
        <f>IFERROR(IF(VLOOKUP(TableHandbook[[#This Row],[UDC]],TableAvailabilities[],2,FALSE)&gt;0,"Y",""),"")</f>
        <v/>
      </c>
      <c r="H52" s="82" t="str">
        <f>IFERROR(IF(VLOOKUP(TableHandbook[[#This Row],[UDC]],TableAvailabilities[],3,FALSE)&gt;0,"Y",""),"")</f>
        <v/>
      </c>
      <c r="I52" s="82" t="str">
        <f>IFERROR(IF(VLOOKUP(TableHandbook[[#This Row],[UDC]],TableAvailabilities[],4,FALSE)&gt;0,"Y",""),"")</f>
        <v>Y</v>
      </c>
      <c r="J52" s="82" t="str">
        <f>IFERROR(IF(VLOOKUP(TableHandbook[[#This Row],[UDC]],TableAvailabilities[],5,FALSE)&gt;0,"Y",""),"")</f>
        <v/>
      </c>
      <c r="K52" s="115" t="s">
        <v>297</v>
      </c>
      <c r="L52" s="83" t="str">
        <f>IFERROR(VLOOKUP(TableHandbook[[#This Row],[UDC]],TableBCONM[],7,FALSE),"")</f>
        <v/>
      </c>
      <c r="M52" s="83" t="str">
        <f>IFERROR(VLOOKUP(TableHandbook[[#This Row],[UDC]],TableSTRHCONMN[],7,FALSE),"")</f>
        <v/>
      </c>
      <c r="N52" s="83" t="str">
        <f>IFERROR(VLOOKUP(TableHandbook[[#This Row],[UDC]],TableSTRUCONMN[],7,FALSE),"")</f>
        <v/>
      </c>
      <c r="O52" s="83" t="str">
        <f>IFERROR(VLOOKUP(TableHandbook[[#This Row],[UDC]],TableSPUCANGAD[],7,FALSE),"")</f>
        <v>AltCore</v>
      </c>
      <c r="P52" s="83" t="str">
        <f>IFERROR(VLOOKUP(TableHandbook[[#This Row],[UDC]],TableSPUCFINCE[],7,FALSE),"")</f>
        <v/>
      </c>
      <c r="Q52" s="83" t="str">
        <f>IFERROR(VLOOKUP(TableHandbook[[#This Row],[UDC]],TableSPUCINARS[],7,FALSE),"")</f>
        <v/>
      </c>
      <c r="R52" s="83" t="str">
        <f>IFERROR(VLOOKUP(TableHandbook[[#This Row],[UDC]],TableSPUCINENT[],7,FALSE),"")</f>
        <v/>
      </c>
      <c r="S52" s="83" t="str">
        <f>IFERROR(VLOOKUP(TableHandbook[[#This Row],[UDC]],TableSPUCPROPT[],7,FALSE),"")</f>
        <v/>
      </c>
      <c r="T52" s="83" t="str">
        <f>IFERROR(VLOOKUP(TableHandbook[[#This Row],[UDC]],TableSPUCURDES[],7,FALSE),"")</f>
        <v/>
      </c>
    </row>
    <row r="53" spans="1:20" x14ac:dyDescent="0.25">
      <c r="A53" s="17" t="s">
        <v>150</v>
      </c>
      <c r="B53" s="18">
        <v>4</v>
      </c>
      <c r="C53" s="18"/>
      <c r="D53" s="78" t="s">
        <v>298</v>
      </c>
      <c r="E53" s="18">
        <v>25</v>
      </c>
      <c r="F53" s="81" t="s">
        <v>242</v>
      </c>
      <c r="G53" s="82" t="str">
        <f>IFERROR(IF(VLOOKUP(TableHandbook[[#This Row],[UDC]],TableAvailabilities[],2,FALSE)&gt;0,"Y",""),"")</f>
        <v>Y</v>
      </c>
      <c r="H53" s="82" t="str">
        <f>IFERROR(IF(VLOOKUP(TableHandbook[[#This Row],[UDC]],TableAvailabilities[],3,FALSE)&gt;0,"Y",""),"")</f>
        <v/>
      </c>
      <c r="I53" s="82" t="str">
        <f>IFERROR(IF(VLOOKUP(TableHandbook[[#This Row],[UDC]],TableAvailabilities[],4,FALSE)&gt;0,"Y",""),"")</f>
        <v/>
      </c>
      <c r="J53" s="82" t="str">
        <f>IFERROR(IF(VLOOKUP(TableHandbook[[#This Row],[UDC]],TableAvailabilities[],5,FALSE)&gt;0,"Y",""),"")</f>
        <v/>
      </c>
      <c r="K53" s="78"/>
      <c r="L53" s="83" t="str">
        <f>IFERROR(VLOOKUP(TableHandbook[[#This Row],[UDC]],TableBCONM[],7,FALSE),"")</f>
        <v/>
      </c>
      <c r="M53" s="83" t="str">
        <f>IFERROR(VLOOKUP(TableHandbook[[#This Row],[UDC]],TableSTRHCONMN[],7,FALSE),"")</f>
        <v/>
      </c>
      <c r="N53" s="83" t="str">
        <f>IFERROR(VLOOKUP(TableHandbook[[#This Row],[UDC]],TableSTRUCONMN[],7,FALSE),"")</f>
        <v/>
      </c>
      <c r="O53" s="83" t="str">
        <f>IFERROR(VLOOKUP(TableHandbook[[#This Row],[UDC]],TableSPUCANGAD[],7,FALSE),"")</f>
        <v/>
      </c>
      <c r="P53" s="83" t="str">
        <f>IFERROR(VLOOKUP(TableHandbook[[#This Row],[UDC]],TableSPUCFINCE[],7,FALSE),"")</f>
        <v/>
      </c>
      <c r="Q53" s="83" t="str">
        <f>IFERROR(VLOOKUP(TableHandbook[[#This Row],[UDC]],TableSPUCINARS[],7,FALSE),"")</f>
        <v>AltCore</v>
      </c>
      <c r="R53" s="83" t="str">
        <f>IFERROR(VLOOKUP(TableHandbook[[#This Row],[UDC]],TableSPUCINENT[],7,FALSE),"")</f>
        <v/>
      </c>
      <c r="S53" s="83" t="str">
        <f>IFERROR(VLOOKUP(TableHandbook[[#This Row],[UDC]],TableSPUCPROPT[],7,FALSE),"")</f>
        <v/>
      </c>
      <c r="T53" s="83" t="str">
        <f>IFERROR(VLOOKUP(TableHandbook[[#This Row],[UDC]],TableSPUCURDES[],7,FALSE),"")</f>
        <v/>
      </c>
    </row>
    <row r="54" spans="1:20" x14ac:dyDescent="0.25">
      <c r="A54" s="17" t="s">
        <v>158</v>
      </c>
      <c r="B54" s="18">
        <v>1</v>
      </c>
      <c r="C54" s="18"/>
      <c r="D54" s="78" t="s">
        <v>299</v>
      </c>
      <c r="E54" s="18">
        <v>25</v>
      </c>
      <c r="F54" s="81" t="s">
        <v>242</v>
      </c>
      <c r="G54" s="82" t="str">
        <f>IFERROR(IF(VLOOKUP(TableHandbook[[#This Row],[UDC]],TableAvailabilities[],2,FALSE)&gt;0,"Y",""),"")</f>
        <v/>
      </c>
      <c r="H54" s="82" t="str">
        <f>IFERROR(IF(VLOOKUP(TableHandbook[[#This Row],[UDC]],TableAvailabilities[],3,FALSE)&gt;0,"Y",""),"")</f>
        <v/>
      </c>
      <c r="I54" s="82" t="str">
        <f>IFERROR(IF(VLOOKUP(TableHandbook[[#This Row],[UDC]],TableAvailabilities[],4,FALSE)&gt;0,"Y",""),"")</f>
        <v>Y</v>
      </c>
      <c r="J54" s="82" t="str">
        <f>IFERROR(IF(VLOOKUP(TableHandbook[[#This Row],[UDC]],TableAvailabilities[],5,FALSE)&gt;0,"Y",""),"")</f>
        <v/>
      </c>
      <c r="K54" s="78"/>
      <c r="L54" s="83" t="str">
        <f>IFERROR(VLOOKUP(TableHandbook[[#This Row],[UDC]],TableBCONM[],7,FALSE),"")</f>
        <v/>
      </c>
      <c r="M54" s="83" t="str">
        <f>IFERROR(VLOOKUP(TableHandbook[[#This Row],[UDC]],TableSTRHCONMN[],7,FALSE),"")</f>
        <v/>
      </c>
      <c r="N54" s="83" t="str">
        <f>IFERROR(VLOOKUP(TableHandbook[[#This Row],[UDC]],TableSTRUCONMN[],7,FALSE),"")</f>
        <v/>
      </c>
      <c r="O54" s="83" t="str">
        <f>IFERROR(VLOOKUP(TableHandbook[[#This Row],[UDC]],TableSPUCANGAD[],7,FALSE),"")</f>
        <v/>
      </c>
      <c r="P54" s="83" t="str">
        <f>IFERROR(VLOOKUP(TableHandbook[[#This Row],[UDC]],TableSPUCFINCE[],7,FALSE),"")</f>
        <v/>
      </c>
      <c r="Q54" s="83" t="str">
        <f>IFERROR(VLOOKUP(TableHandbook[[#This Row],[UDC]],TableSPUCINARS[],7,FALSE),"")</f>
        <v>AltCore</v>
      </c>
      <c r="R54" s="83" t="str">
        <f>IFERROR(VLOOKUP(TableHandbook[[#This Row],[UDC]],TableSPUCINENT[],7,FALSE),"")</f>
        <v/>
      </c>
      <c r="S54" s="83" t="str">
        <f>IFERROR(VLOOKUP(TableHandbook[[#This Row],[UDC]],TableSPUCPROPT[],7,FALSE),"")</f>
        <v/>
      </c>
      <c r="T54" s="83" t="str">
        <f>IFERROR(VLOOKUP(TableHandbook[[#This Row],[UDC]],TableSPUCURDES[],7,FALSE),"")</f>
        <v/>
      </c>
    </row>
    <row r="55" spans="1:20" x14ac:dyDescent="0.25">
      <c r="A55" s="17" t="s">
        <v>195</v>
      </c>
      <c r="B55" s="18">
        <v>4</v>
      </c>
      <c r="C55" s="18"/>
      <c r="D55" s="78" t="s">
        <v>300</v>
      </c>
      <c r="E55" s="18">
        <v>25</v>
      </c>
      <c r="F55" s="113" t="s">
        <v>150</v>
      </c>
      <c r="G55" s="82" t="str">
        <f>IFERROR(IF(VLOOKUP(TableHandbook[[#This Row],[UDC]],TableAvailabilities[],2,FALSE)&gt;0,"Y",""),"")</f>
        <v/>
      </c>
      <c r="H55" s="82" t="str">
        <f>IFERROR(IF(VLOOKUP(TableHandbook[[#This Row],[UDC]],TableAvailabilities[],3,FALSE)&gt;0,"Y",""),"")</f>
        <v/>
      </c>
      <c r="I55" s="82" t="str">
        <f>IFERROR(IF(VLOOKUP(TableHandbook[[#This Row],[UDC]],TableAvailabilities[],4,FALSE)&gt;0,"Y",""),"")</f>
        <v>Y</v>
      </c>
      <c r="J55" s="82" t="str">
        <f>IFERROR(IF(VLOOKUP(TableHandbook[[#This Row],[UDC]],TableAvailabilities[],5,FALSE)&gt;0,"Y",""),"")</f>
        <v/>
      </c>
      <c r="K55" s="78"/>
      <c r="L55" s="83" t="str">
        <f>IFERROR(VLOOKUP(TableHandbook[[#This Row],[UDC]],TableBCONM[],7,FALSE),"")</f>
        <v/>
      </c>
      <c r="M55" s="83" t="str">
        <f>IFERROR(VLOOKUP(TableHandbook[[#This Row],[UDC]],TableSTRHCONMN[],7,FALSE),"")</f>
        <v/>
      </c>
      <c r="N55" s="83" t="str">
        <f>IFERROR(VLOOKUP(TableHandbook[[#This Row],[UDC]],TableSTRUCONMN[],7,FALSE),"")</f>
        <v/>
      </c>
      <c r="O55" s="83" t="str">
        <f>IFERROR(VLOOKUP(TableHandbook[[#This Row],[UDC]],TableSPUCANGAD[],7,FALSE),"")</f>
        <v/>
      </c>
      <c r="P55" s="83" t="str">
        <f>IFERROR(VLOOKUP(TableHandbook[[#This Row],[UDC]],TableSPUCFINCE[],7,FALSE),"")</f>
        <v/>
      </c>
      <c r="Q55" s="83" t="str">
        <f>IFERROR(VLOOKUP(TableHandbook[[#This Row],[UDC]],TableSPUCINARS[],7,FALSE),"")</f>
        <v>Option</v>
      </c>
      <c r="R55" s="83" t="str">
        <f>IFERROR(VLOOKUP(TableHandbook[[#This Row],[UDC]],TableSPUCINENT[],7,FALSE),"")</f>
        <v/>
      </c>
      <c r="S55" s="83" t="str">
        <f>IFERROR(VLOOKUP(TableHandbook[[#This Row],[UDC]],TableSPUCPROPT[],7,FALSE),"")</f>
        <v/>
      </c>
      <c r="T55" s="83" t="str">
        <f>IFERROR(VLOOKUP(TableHandbook[[#This Row],[UDC]],TableSPUCURDES[],7,FALSE),"")</f>
        <v/>
      </c>
    </row>
    <row r="56" spans="1:20" x14ac:dyDescent="0.25">
      <c r="A56" s="17" t="s">
        <v>178</v>
      </c>
      <c r="B56" s="18">
        <v>1</v>
      </c>
      <c r="C56" s="18"/>
      <c r="D56" s="78" t="s">
        <v>301</v>
      </c>
      <c r="E56" s="18">
        <v>25</v>
      </c>
      <c r="F56" s="113" t="s">
        <v>254</v>
      </c>
      <c r="G56" s="82" t="str">
        <f>IFERROR(IF(VLOOKUP(TableHandbook[[#This Row],[UDC]],TableAvailabilities[],2,FALSE)&gt;0,"Y",""),"")</f>
        <v>Y</v>
      </c>
      <c r="H56" s="82" t="str">
        <f>IFERROR(IF(VLOOKUP(TableHandbook[[#This Row],[UDC]],TableAvailabilities[],3,FALSE)&gt;0,"Y",""),"")</f>
        <v/>
      </c>
      <c r="I56" s="82" t="str">
        <f>IFERROR(IF(VLOOKUP(TableHandbook[[#This Row],[UDC]],TableAvailabilities[],4,FALSE)&gt;0,"Y",""),"")</f>
        <v/>
      </c>
      <c r="J56" s="82" t="str">
        <f>IFERROR(IF(VLOOKUP(TableHandbook[[#This Row],[UDC]],TableAvailabilities[],5,FALSE)&gt;0,"Y",""),"")</f>
        <v/>
      </c>
      <c r="K56" s="78"/>
      <c r="L56" s="83" t="str">
        <f>IFERROR(VLOOKUP(TableHandbook[[#This Row],[UDC]],TableBCONM[],7,FALSE),"")</f>
        <v/>
      </c>
      <c r="M56" s="83" t="str">
        <f>IFERROR(VLOOKUP(TableHandbook[[#This Row],[UDC]],TableSTRHCONMN[],7,FALSE),"")</f>
        <v/>
      </c>
      <c r="N56" s="83" t="str">
        <f>IFERROR(VLOOKUP(TableHandbook[[#This Row],[UDC]],TableSTRUCONMN[],7,FALSE),"")</f>
        <v/>
      </c>
      <c r="O56" s="83" t="str">
        <f>IFERROR(VLOOKUP(TableHandbook[[#This Row],[UDC]],TableSPUCANGAD[],7,FALSE),"")</f>
        <v/>
      </c>
      <c r="P56" s="83" t="str">
        <f>IFERROR(VLOOKUP(TableHandbook[[#This Row],[UDC]],TableSPUCFINCE[],7,FALSE),"")</f>
        <v/>
      </c>
      <c r="Q56" s="83" t="str">
        <f>IFERROR(VLOOKUP(TableHandbook[[#This Row],[UDC]],TableSPUCINARS[],7,FALSE),"")</f>
        <v>Core</v>
      </c>
      <c r="R56" s="83" t="str">
        <f>IFERROR(VLOOKUP(TableHandbook[[#This Row],[UDC]],TableSPUCINENT[],7,FALSE),"")</f>
        <v/>
      </c>
      <c r="S56" s="83" t="str">
        <f>IFERROR(VLOOKUP(TableHandbook[[#This Row],[UDC]],TableSPUCPROPT[],7,FALSE),"")</f>
        <v/>
      </c>
      <c r="T56" s="83" t="str">
        <f>IFERROR(VLOOKUP(TableHandbook[[#This Row],[UDC]],TableSPUCURDES[],7,FALSE),"")</f>
        <v/>
      </c>
    </row>
    <row r="57" spans="1:20" x14ac:dyDescent="0.25">
      <c r="A57" s="17" t="s">
        <v>198</v>
      </c>
      <c r="B57" s="18">
        <v>1</v>
      </c>
      <c r="C57" s="18"/>
      <c r="D57" s="78" t="s">
        <v>302</v>
      </c>
      <c r="E57" s="18">
        <v>25</v>
      </c>
      <c r="F57" s="113" t="s">
        <v>254</v>
      </c>
      <c r="G57" s="82" t="str">
        <f>IFERROR(IF(VLOOKUP(TableHandbook[[#This Row],[UDC]],TableAvailabilities[],2,FALSE)&gt;0,"Y",""),"")</f>
        <v>Y</v>
      </c>
      <c r="H57" s="82" t="str">
        <f>IFERROR(IF(VLOOKUP(TableHandbook[[#This Row],[UDC]],TableAvailabilities[],3,FALSE)&gt;0,"Y",""),"")</f>
        <v/>
      </c>
      <c r="I57" s="82" t="str">
        <f>IFERROR(IF(VLOOKUP(TableHandbook[[#This Row],[UDC]],TableAvailabilities[],4,FALSE)&gt;0,"Y",""),"")</f>
        <v/>
      </c>
      <c r="J57" s="82" t="str">
        <f>IFERROR(IF(VLOOKUP(TableHandbook[[#This Row],[UDC]],TableAvailabilities[],5,FALSE)&gt;0,"Y",""),"")</f>
        <v/>
      </c>
      <c r="K57" s="78"/>
      <c r="L57" s="83" t="str">
        <f>IFERROR(VLOOKUP(TableHandbook[[#This Row],[UDC]],TableBCONM[],7,FALSE),"")</f>
        <v/>
      </c>
      <c r="M57" s="83" t="str">
        <f>IFERROR(VLOOKUP(TableHandbook[[#This Row],[UDC]],TableSTRHCONMN[],7,FALSE),"")</f>
        <v/>
      </c>
      <c r="N57" s="83" t="str">
        <f>IFERROR(VLOOKUP(TableHandbook[[#This Row],[UDC]],TableSTRUCONMN[],7,FALSE),"")</f>
        <v/>
      </c>
      <c r="O57" s="83" t="str">
        <f>IFERROR(VLOOKUP(TableHandbook[[#This Row],[UDC]],TableSPUCANGAD[],7,FALSE),"")</f>
        <v/>
      </c>
      <c r="P57" s="83" t="str">
        <f>IFERROR(VLOOKUP(TableHandbook[[#This Row],[UDC]],TableSPUCFINCE[],7,FALSE),"")</f>
        <v/>
      </c>
      <c r="Q57" s="83" t="str">
        <f>IFERROR(VLOOKUP(TableHandbook[[#This Row],[UDC]],TableSPUCINARS[],7,FALSE),"")</f>
        <v>Option</v>
      </c>
      <c r="R57" s="83" t="str">
        <f>IFERROR(VLOOKUP(TableHandbook[[#This Row],[UDC]],TableSPUCINENT[],7,FALSE),"")</f>
        <v/>
      </c>
      <c r="S57" s="83" t="str">
        <f>IFERROR(VLOOKUP(TableHandbook[[#This Row],[UDC]],TableSPUCPROPT[],7,FALSE),"")</f>
        <v/>
      </c>
      <c r="T57" s="83" t="str">
        <f>IFERROR(VLOOKUP(TableHandbook[[#This Row],[UDC]],TableSPUCURDES[],7,FALSE),"")</f>
        <v/>
      </c>
    </row>
    <row r="58" spans="1:20" x14ac:dyDescent="0.25">
      <c r="A58" s="17" t="s">
        <v>183</v>
      </c>
      <c r="B58" s="18">
        <v>1</v>
      </c>
      <c r="C58" s="18"/>
      <c r="D58" s="108" t="s">
        <v>303</v>
      </c>
      <c r="E58" s="18">
        <v>25</v>
      </c>
      <c r="F58" s="113" t="s">
        <v>265</v>
      </c>
      <c r="G58" s="82" t="str">
        <f>IFERROR(IF(VLOOKUP(TableHandbook[[#This Row],[UDC]],TableAvailabilities[],2,FALSE)&gt;0,"Y",""),"")</f>
        <v/>
      </c>
      <c r="H58" s="82" t="str">
        <f>IFERROR(IF(VLOOKUP(TableHandbook[[#This Row],[UDC]],TableAvailabilities[],3,FALSE)&gt;0,"Y",""),"")</f>
        <v/>
      </c>
      <c r="I58" s="82" t="str">
        <f>IFERROR(IF(VLOOKUP(TableHandbook[[#This Row],[UDC]],TableAvailabilities[],4,FALSE)&gt;0,"Y",""),"")</f>
        <v>Y</v>
      </c>
      <c r="J58" s="82" t="str">
        <f>IFERROR(IF(VLOOKUP(TableHandbook[[#This Row],[UDC]],TableAvailabilities[],5,FALSE)&gt;0,"Y",""),"")</f>
        <v/>
      </c>
      <c r="K58" s="78"/>
      <c r="L58" s="83" t="str">
        <f>IFERROR(VLOOKUP(TableHandbook[[#This Row],[UDC]],TableBCONM[],7,FALSE),"")</f>
        <v/>
      </c>
      <c r="M58" s="83" t="str">
        <f>IFERROR(VLOOKUP(TableHandbook[[#This Row],[UDC]],TableSTRHCONMN[],7,FALSE),"")</f>
        <v/>
      </c>
      <c r="N58" s="83" t="str">
        <f>IFERROR(VLOOKUP(TableHandbook[[#This Row],[UDC]],TableSTRUCONMN[],7,FALSE),"")</f>
        <v/>
      </c>
      <c r="O58" s="83" t="str">
        <f>IFERROR(VLOOKUP(TableHandbook[[#This Row],[UDC]],TableSPUCANGAD[],7,FALSE),"")</f>
        <v/>
      </c>
      <c r="P58" s="83" t="str">
        <f>IFERROR(VLOOKUP(TableHandbook[[#This Row],[UDC]],TableSPUCFINCE[],7,FALSE),"")</f>
        <v/>
      </c>
      <c r="Q58" s="83" t="str">
        <f>IFERROR(VLOOKUP(TableHandbook[[#This Row],[UDC]],TableSPUCINARS[],7,FALSE),"")</f>
        <v>Core</v>
      </c>
      <c r="R58" s="83" t="str">
        <f>IFERROR(VLOOKUP(TableHandbook[[#This Row],[UDC]],TableSPUCINENT[],7,FALSE),"")</f>
        <v/>
      </c>
      <c r="S58" s="83" t="str">
        <f>IFERROR(VLOOKUP(TableHandbook[[#This Row],[UDC]],TableSPUCPROPT[],7,FALSE),"")</f>
        <v/>
      </c>
      <c r="T58" s="83" t="str">
        <f>IFERROR(VLOOKUP(TableHandbook[[#This Row],[UDC]],TableSPUCURDES[],7,FALSE),"")</f>
        <v/>
      </c>
    </row>
    <row r="59" spans="1:20" x14ac:dyDescent="0.25">
      <c r="A59" s="17" t="s">
        <v>190</v>
      </c>
      <c r="B59" s="18">
        <v>1</v>
      </c>
      <c r="C59" s="18"/>
      <c r="D59" s="78" t="s">
        <v>304</v>
      </c>
      <c r="E59" s="18">
        <v>25</v>
      </c>
      <c r="F59" s="113" t="s">
        <v>305</v>
      </c>
      <c r="G59" s="82" t="str">
        <f>IFERROR(IF(VLOOKUP(TableHandbook[[#This Row],[UDC]],TableAvailabilities[],2,FALSE)&gt;0,"Y",""),"")</f>
        <v>Y</v>
      </c>
      <c r="H59" s="82" t="str">
        <f>IFERROR(IF(VLOOKUP(TableHandbook[[#This Row],[UDC]],TableAvailabilities[],3,FALSE)&gt;0,"Y",""),"")</f>
        <v>Y</v>
      </c>
      <c r="I59" s="82" t="str">
        <f>IFERROR(IF(VLOOKUP(TableHandbook[[#This Row],[UDC]],TableAvailabilities[],4,FALSE)&gt;0,"Y",""),"")</f>
        <v>Y</v>
      </c>
      <c r="J59" s="82" t="str">
        <f>IFERROR(IF(VLOOKUP(TableHandbook[[#This Row],[UDC]],TableAvailabilities[],5,FALSE)&gt;0,"Y",""),"")</f>
        <v>Y</v>
      </c>
      <c r="K59" s="78"/>
      <c r="L59" s="83" t="str">
        <f>IFERROR(VLOOKUP(TableHandbook[[#This Row],[UDC]],TableBCONM[],7,FALSE),"")</f>
        <v/>
      </c>
      <c r="M59" s="83" t="str">
        <f>IFERROR(VLOOKUP(TableHandbook[[#This Row],[UDC]],TableSTRHCONMN[],7,FALSE),"")</f>
        <v/>
      </c>
      <c r="N59" s="83" t="str">
        <f>IFERROR(VLOOKUP(TableHandbook[[#This Row],[UDC]],TableSTRUCONMN[],7,FALSE),"")</f>
        <v/>
      </c>
      <c r="O59" s="83" t="str">
        <f>IFERROR(VLOOKUP(TableHandbook[[#This Row],[UDC]],TableSPUCANGAD[],7,FALSE),"")</f>
        <v/>
      </c>
      <c r="P59" s="83" t="str">
        <f>IFERROR(VLOOKUP(TableHandbook[[#This Row],[UDC]],TableSPUCFINCE[],7,FALSE),"")</f>
        <v>Option</v>
      </c>
      <c r="Q59" s="83" t="str">
        <f>IFERROR(VLOOKUP(TableHandbook[[#This Row],[UDC]],TableSPUCINARS[],7,FALSE),"")</f>
        <v/>
      </c>
      <c r="R59" s="83" t="str">
        <f>IFERROR(VLOOKUP(TableHandbook[[#This Row],[UDC]],TableSPUCINENT[],7,FALSE),"")</f>
        <v/>
      </c>
      <c r="S59" s="83" t="str">
        <f>IFERROR(VLOOKUP(TableHandbook[[#This Row],[UDC]],TableSPUCPROPT[],7,FALSE),"")</f>
        <v/>
      </c>
      <c r="T59" s="83" t="str">
        <f>IFERROR(VLOOKUP(TableHandbook[[#This Row],[UDC]],TableSPUCURDES[],7,FALSE),"")</f>
        <v/>
      </c>
    </row>
    <row r="60" spans="1:20" x14ac:dyDescent="0.25">
      <c r="A60" s="17" t="s">
        <v>194</v>
      </c>
      <c r="B60" s="18">
        <v>2</v>
      </c>
      <c r="C60" s="18"/>
      <c r="D60" s="78" t="s">
        <v>306</v>
      </c>
      <c r="E60" s="18">
        <v>25</v>
      </c>
      <c r="F60" s="113" t="s">
        <v>305</v>
      </c>
      <c r="G60" s="82" t="str">
        <f>IFERROR(IF(VLOOKUP(TableHandbook[[#This Row],[UDC]],TableAvailabilities[],2,FALSE)&gt;0,"Y",""),"")</f>
        <v>Y</v>
      </c>
      <c r="H60" s="82" t="str">
        <f>IFERROR(IF(VLOOKUP(TableHandbook[[#This Row],[UDC]],TableAvailabilities[],3,FALSE)&gt;0,"Y",""),"")</f>
        <v>Y</v>
      </c>
      <c r="I60" s="82" t="str">
        <f>IFERROR(IF(VLOOKUP(TableHandbook[[#This Row],[UDC]],TableAvailabilities[],4,FALSE)&gt;0,"Y",""),"")</f>
        <v>Y</v>
      </c>
      <c r="J60" s="82" t="str">
        <f>IFERROR(IF(VLOOKUP(TableHandbook[[#This Row],[UDC]],TableAvailabilities[],5,FALSE)&gt;0,"Y",""),"")</f>
        <v>Y</v>
      </c>
      <c r="K60" s="78"/>
      <c r="L60" s="83" t="str">
        <f>IFERROR(VLOOKUP(TableHandbook[[#This Row],[UDC]],TableBCONM[],7,FALSE),"")</f>
        <v/>
      </c>
      <c r="M60" s="83" t="str">
        <f>IFERROR(VLOOKUP(TableHandbook[[#This Row],[UDC]],TableSTRHCONMN[],7,FALSE),"")</f>
        <v/>
      </c>
      <c r="N60" s="83" t="str">
        <f>IFERROR(VLOOKUP(TableHandbook[[#This Row],[UDC]],TableSTRUCONMN[],7,FALSE),"")</f>
        <v/>
      </c>
      <c r="O60" s="83" t="str">
        <f>IFERROR(VLOOKUP(TableHandbook[[#This Row],[UDC]],TableSPUCANGAD[],7,FALSE),"")</f>
        <v/>
      </c>
      <c r="P60" s="83" t="str">
        <f>IFERROR(VLOOKUP(TableHandbook[[#This Row],[UDC]],TableSPUCFINCE[],7,FALSE),"")</f>
        <v>Option</v>
      </c>
      <c r="Q60" s="83" t="str">
        <f>IFERROR(VLOOKUP(TableHandbook[[#This Row],[UDC]],TableSPUCINARS[],7,FALSE),"")</f>
        <v/>
      </c>
      <c r="R60" s="83" t="str">
        <f>IFERROR(VLOOKUP(TableHandbook[[#This Row],[UDC]],TableSPUCINENT[],7,FALSE),"")</f>
        <v/>
      </c>
      <c r="S60" s="83" t="str">
        <f>IFERROR(VLOOKUP(TableHandbook[[#This Row],[UDC]],TableSPUCPROPT[],7,FALSE),"")</f>
        <v/>
      </c>
      <c r="T60" s="83" t="str">
        <f>IFERROR(VLOOKUP(TableHandbook[[#This Row],[UDC]],TableSPUCURDES[],7,FALSE),"")</f>
        <v/>
      </c>
    </row>
    <row r="61" spans="1:20" x14ac:dyDescent="0.25">
      <c r="A61" s="17" t="s">
        <v>184</v>
      </c>
      <c r="B61" s="18">
        <v>2</v>
      </c>
      <c r="C61" s="18"/>
      <c r="D61" s="78" t="s">
        <v>307</v>
      </c>
      <c r="E61" s="18">
        <v>25</v>
      </c>
      <c r="F61" s="113" t="s">
        <v>308</v>
      </c>
      <c r="G61" s="82" t="str">
        <f>IFERROR(IF(VLOOKUP(TableHandbook[[#This Row],[UDC]],TableAvailabilities[],2,FALSE)&gt;0,"Y",""),"")</f>
        <v>Y</v>
      </c>
      <c r="H61" s="82" t="str">
        <f>IFERROR(IF(VLOOKUP(TableHandbook[[#This Row],[UDC]],TableAvailabilities[],3,FALSE)&gt;0,"Y",""),"")</f>
        <v>Y</v>
      </c>
      <c r="I61" s="82" t="str">
        <f>IFERROR(IF(VLOOKUP(TableHandbook[[#This Row],[UDC]],TableAvailabilities[],4,FALSE)&gt;0,"Y",""),"")</f>
        <v/>
      </c>
      <c r="J61" s="82" t="str">
        <f>IFERROR(IF(VLOOKUP(TableHandbook[[#This Row],[UDC]],TableAvailabilities[],5,FALSE)&gt;0,"Y",""),"")</f>
        <v/>
      </c>
      <c r="K61" s="78"/>
      <c r="L61" s="83" t="str">
        <f>IFERROR(VLOOKUP(TableHandbook[[#This Row],[UDC]],TableBCONM[],7,FALSE),"")</f>
        <v/>
      </c>
      <c r="M61" s="83" t="str">
        <f>IFERROR(VLOOKUP(TableHandbook[[#This Row],[UDC]],TableSTRHCONMN[],7,FALSE),"")</f>
        <v/>
      </c>
      <c r="N61" s="83" t="str">
        <f>IFERROR(VLOOKUP(TableHandbook[[#This Row],[UDC]],TableSTRUCONMN[],7,FALSE),"")</f>
        <v/>
      </c>
      <c r="O61" s="83" t="str">
        <f>IFERROR(VLOOKUP(TableHandbook[[#This Row],[UDC]],TableSPUCANGAD[],7,FALSE),"")</f>
        <v/>
      </c>
      <c r="P61" s="83" t="str">
        <f>IFERROR(VLOOKUP(TableHandbook[[#This Row],[UDC]],TableSPUCFINCE[],7,FALSE),"")</f>
        <v/>
      </c>
      <c r="Q61" s="83" t="str">
        <f>IFERROR(VLOOKUP(TableHandbook[[#This Row],[UDC]],TableSPUCINARS[],7,FALSE),"")</f>
        <v/>
      </c>
      <c r="R61" s="83" t="str">
        <f>IFERROR(VLOOKUP(TableHandbook[[#This Row],[UDC]],TableSPUCINENT[],7,FALSE),"")</f>
        <v>Option</v>
      </c>
      <c r="S61" s="83" t="str">
        <f>IFERROR(VLOOKUP(TableHandbook[[#This Row],[UDC]],TableSPUCPROPT[],7,FALSE),"")</f>
        <v/>
      </c>
      <c r="T61" s="83" t="str">
        <f>IFERROR(VLOOKUP(TableHandbook[[#This Row],[UDC]],TableSPUCURDES[],7,FALSE),"")</f>
        <v/>
      </c>
    </row>
    <row r="62" spans="1:20" x14ac:dyDescent="0.25">
      <c r="A62" s="17" t="s">
        <v>192</v>
      </c>
      <c r="B62" s="18">
        <v>2</v>
      </c>
      <c r="C62" s="18"/>
      <c r="D62" s="78" t="s">
        <v>309</v>
      </c>
      <c r="E62" s="18">
        <v>25</v>
      </c>
      <c r="F62" s="113" t="s">
        <v>310</v>
      </c>
      <c r="G62" s="82" t="str">
        <f>IFERROR(IF(VLOOKUP(TableHandbook[[#This Row],[UDC]],TableAvailabilities[],2,FALSE)&gt;0,"Y",""),"")</f>
        <v>Y</v>
      </c>
      <c r="H62" s="82" t="str">
        <f>IFERROR(IF(VLOOKUP(TableHandbook[[#This Row],[UDC]],TableAvailabilities[],3,FALSE)&gt;0,"Y",""),"")</f>
        <v>Y</v>
      </c>
      <c r="I62" s="82" t="str">
        <f>IFERROR(IF(VLOOKUP(TableHandbook[[#This Row],[UDC]],TableAvailabilities[],4,FALSE)&gt;0,"Y",""),"")</f>
        <v>Y</v>
      </c>
      <c r="J62" s="82" t="str">
        <f>IFERROR(IF(VLOOKUP(TableHandbook[[#This Row],[UDC]],TableAvailabilities[],5,FALSE)&gt;0,"Y",""),"")</f>
        <v>Y</v>
      </c>
      <c r="K62" s="108" t="s">
        <v>311</v>
      </c>
      <c r="L62" s="83" t="str">
        <f>IFERROR(VLOOKUP(TableHandbook[[#This Row],[UDC]],TableBCONM[],7,FALSE),"")</f>
        <v/>
      </c>
      <c r="M62" s="83" t="str">
        <f>IFERROR(VLOOKUP(TableHandbook[[#This Row],[UDC]],TableSTRHCONMN[],7,FALSE),"")</f>
        <v/>
      </c>
      <c r="N62" s="83" t="str">
        <f>IFERROR(VLOOKUP(TableHandbook[[#This Row],[UDC]],TableSTRUCONMN[],7,FALSE),"")</f>
        <v/>
      </c>
      <c r="O62" s="83" t="str">
        <f>IFERROR(VLOOKUP(TableHandbook[[#This Row],[UDC]],TableSPUCANGAD[],7,FALSE),"")</f>
        <v/>
      </c>
      <c r="P62" s="83" t="str">
        <f>IFERROR(VLOOKUP(TableHandbook[[#This Row],[UDC]],TableSPUCFINCE[],7,FALSE),"")</f>
        <v/>
      </c>
      <c r="Q62" s="83" t="str">
        <f>IFERROR(VLOOKUP(TableHandbook[[#This Row],[UDC]],TableSPUCINARS[],7,FALSE),"")</f>
        <v/>
      </c>
      <c r="R62" s="83" t="str">
        <f>IFERROR(VLOOKUP(TableHandbook[[#This Row],[UDC]],TableSPUCINENT[],7,FALSE),"")</f>
        <v>Option</v>
      </c>
      <c r="S62" s="83" t="str">
        <f>IFERROR(VLOOKUP(TableHandbook[[#This Row],[UDC]],TableSPUCPROPT[],7,FALSE),"")</f>
        <v/>
      </c>
      <c r="T62" s="83" t="str">
        <f>IFERROR(VLOOKUP(TableHandbook[[#This Row],[UDC]],TableSPUCURDES[],7,FALSE),"")</f>
        <v/>
      </c>
    </row>
    <row r="63" spans="1:20" x14ac:dyDescent="0.25">
      <c r="A63" s="107" t="s">
        <v>312</v>
      </c>
      <c r="B63" s="18">
        <v>1</v>
      </c>
      <c r="C63" s="18"/>
      <c r="D63" s="78" t="s">
        <v>309</v>
      </c>
      <c r="E63" s="18">
        <v>25</v>
      </c>
      <c r="F63" s="109" t="s">
        <v>310</v>
      </c>
      <c r="G63" s="82" t="str">
        <f>IFERROR(IF(VLOOKUP(TableHandbook[[#This Row],[UDC]],TableAvailabilities[],2,FALSE)&gt;0,"Y",""),"")</f>
        <v/>
      </c>
      <c r="H63" s="82" t="str">
        <f>IFERROR(IF(VLOOKUP(TableHandbook[[#This Row],[UDC]],TableAvailabilities[],3,FALSE)&gt;0,"Y",""),"")</f>
        <v/>
      </c>
      <c r="I63" s="82" t="str">
        <f>IFERROR(IF(VLOOKUP(TableHandbook[[#This Row],[UDC]],TableAvailabilities[],4,FALSE)&gt;0,"Y",""),"")</f>
        <v/>
      </c>
      <c r="J63" s="82" t="str">
        <f>IFERROR(IF(VLOOKUP(TableHandbook[[#This Row],[UDC]],TableAvailabilities[],5,FALSE)&gt;0,"Y",""),"")</f>
        <v/>
      </c>
      <c r="K63" s="108" t="s">
        <v>313</v>
      </c>
      <c r="L63" s="83" t="str">
        <f>IFERROR(VLOOKUP(TableHandbook[[#This Row],[UDC]],TableBCONM[],7,FALSE),"")</f>
        <v/>
      </c>
      <c r="M63" s="83" t="str">
        <f>IFERROR(VLOOKUP(TableHandbook[[#This Row],[UDC]],TableSTRHCONMN[],7,FALSE),"")</f>
        <v/>
      </c>
      <c r="N63" s="83" t="str">
        <f>IFERROR(VLOOKUP(TableHandbook[[#This Row],[UDC]],TableSTRUCONMN[],7,FALSE),"")</f>
        <v/>
      </c>
      <c r="O63" s="83" t="str">
        <f>IFERROR(VLOOKUP(TableHandbook[[#This Row],[UDC]],TableSPUCANGAD[],7,FALSE),"")</f>
        <v/>
      </c>
      <c r="P63" s="83" t="str">
        <f>IFERROR(VLOOKUP(TableHandbook[[#This Row],[UDC]],TableSPUCFINCE[],7,FALSE),"")</f>
        <v/>
      </c>
      <c r="Q63" s="83" t="str">
        <f>IFERROR(VLOOKUP(TableHandbook[[#This Row],[UDC]],TableSPUCINARS[],7,FALSE),"")</f>
        <v/>
      </c>
      <c r="R63" s="83" t="str">
        <f>IFERROR(VLOOKUP(TableHandbook[[#This Row],[UDC]],TableSPUCINENT[],7,FALSE),"")</f>
        <v/>
      </c>
      <c r="S63" s="83" t="str">
        <f>IFERROR(VLOOKUP(TableHandbook[[#This Row],[UDC]],TableSPUCPROPT[],7,FALSE),"")</f>
        <v/>
      </c>
      <c r="T63" s="83" t="str">
        <f>IFERROR(VLOOKUP(TableHandbook[[#This Row],[UDC]],TableSPUCURDES[],7,FALSE),"")</f>
        <v/>
      </c>
    </row>
    <row r="64" spans="1:20" x14ac:dyDescent="0.25">
      <c r="A64" s="17" t="s">
        <v>151</v>
      </c>
      <c r="B64" s="18">
        <v>2</v>
      </c>
      <c r="C64" s="18"/>
      <c r="D64" s="78" t="s">
        <v>314</v>
      </c>
      <c r="E64" s="18">
        <v>25</v>
      </c>
      <c r="F64" s="113" t="s">
        <v>315</v>
      </c>
      <c r="G64" s="82" t="str">
        <f>IFERROR(IF(VLOOKUP(TableHandbook[[#This Row],[UDC]],TableAvailabilities[],2,FALSE)&gt;0,"Y",""),"")</f>
        <v>Y</v>
      </c>
      <c r="H64" s="82" t="str">
        <f>IFERROR(IF(VLOOKUP(TableHandbook[[#This Row],[UDC]],TableAvailabilities[],3,FALSE)&gt;0,"Y",""),"")</f>
        <v>Y</v>
      </c>
      <c r="I64" s="82" t="str">
        <f>IFERROR(IF(VLOOKUP(TableHandbook[[#This Row],[UDC]],TableAvailabilities[],4,FALSE)&gt;0,"Y",""),"")</f>
        <v>Y</v>
      </c>
      <c r="J64" s="82" t="str">
        <f>IFERROR(IF(VLOOKUP(TableHandbook[[#This Row],[UDC]],TableAvailabilities[],5,FALSE)&gt;0,"Y",""),"")</f>
        <v>Y</v>
      </c>
      <c r="K64" s="108" t="s">
        <v>311</v>
      </c>
      <c r="L64" s="83" t="str">
        <f>IFERROR(VLOOKUP(TableHandbook[[#This Row],[UDC]],TableBCONM[],7,FALSE),"")</f>
        <v/>
      </c>
      <c r="M64" s="83" t="str">
        <f>IFERROR(VLOOKUP(TableHandbook[[#This Row],[UDC]],TableSTRHCONMN[],7,FALSE),"")</f>
        <v/>
      </c>
      <c r="N64" s="83" t="str">
        <f>IFERROR(VLOOKUP(TableHandbook[[#This Row],[UDC]],TableSTRUCONMN[],7,FALSE),"")</f>
        <v/>
      </c>
      <c r="O64" s="83" t="str">
        <f>IFERROR(VLOOKUP(TableHandbook[[#This Row],[UDC]],TableSPUCANGAD[],7,FALSE),"")</f>
        <v/>
      </c>
      <c r="P64" s="83" t="str">
        <f>IFERROR(VLOOKUP(TableHandbook[[#This Row],[UDC]],TableSPUCFINCE[],7,FALSE),"")</f>
        <v/>
      </c>
      <c r="Q64" s="83" t="str">
        <f>IFERROR(VLOOKUP(TableHandbook[[#This Row],[UDC]],TableSPUCINARS[],7,FALSE),"")</f>
        <v/>
      </c>
      <c r="R64" s="83" t="str">
        <f>IFERROR(VLOOKUP(TableHandbook[[#This Row],[UDC]],TableSPUCINENT[],7,FALSE),"")</f>
        <v>AltCore</v>
      </c>
      <c r="S64" s="83" t="str">
        <f>IFERROR(VLOOKUP(TableHandbook[[#This Row],[UDC]],TableSPUCPROPT[],7,FALSE),"")</f>
        <v/>
      </c>
      <c r="T64" s="83" t="str">
        <f>IFERROR(VLOOKUP(TableHandbook[[#This Row],[UDC]],TableSPUCURDES[],7,FALSE),"")</f>
        <v/>
      </c>
    </row>
    <row r="65" spans="1:20" x14ac:dyDescent="0.25">
      <c r="A65" s="107" t="s">
        <v>316</v>
      </c>
      <c r="B65" s="18">
        <v>1</v>
      </c>
      <c r="C65" s="18"/>
      <c r="D65" s="78" t="s">
        <v>314</v>
      </c>
      <c r="E65" s="18">
        <v>25</v>
      </c>
      <c r="F65" s="109" t="s">
        <v>315</v>
      </c>
      <c r="G65" s="82" t="str">
        <f>IFERROR(IF(VLOOKUP(TableHandbook[[#This Row],[UDC]],TableAvailabilities[],2,FALSE)&gt;0,"Y",""),"")</f>
        <v/>
      </c>
      <c r="H65" s="82" t="str">
        <f>IFERROR(IF(VLOOKUP(TableHandbook[[#This Row],[UDC]],TableAvailabilities[],3,FALSE)&gt;0,"Y",""),"")</f>
        <v/>
      </c>
      <c r="I65" s="82" t="str">
        <f>IFERROR(IF(VLOOKUP(TableHandbook[[#This Row],[UDC]],TableAvailabilities[],4,FALSE)&gt;0,"Y",""),"")</f>
        <v/>
      </c>
      <c r="J65" s="82" t="str">
        <f>IFERROR(IF(VLOOKUP(TableHandbook[[#This Row],[UDC]],TableAvailabilities[],5,FALSE)&gt;0,"Y",""),"")</f>
        <v/>
      </c>
      <c r="K65" s="108" t="s">
        <v>313</v>
      </c>
      <c r="L65" s="83" t="str">
        <f>IFERROR(VLOOKUP(TableHandbook[[#This Row],[UDC]],TableBCONM[],7,FALSE),"")</f>
        <v/>
      </c>
      <c r="M65" s="83" t="str">
        <f>IFERROR(VLOOKUP(TableHandbook[[#This Row],[UDC]],TableSTRHCONMN[],7,FALSE),"")</f>
        <v/>
      </c>
      <c r="N65" s="83" t="str">
        <f>IFERROR(VLOOKUP(TableHandbook[[#This Row],[UDC]],TableSTRUCONMN[],7,FALSE),"")</f>
        <v/>
      </c>
      <c r="O65" s="83" t="str">
        <f>IFERROR(VLOOKUP(TableHandbook[[#This Row],[UDC]],TableSPUCANGAD[],7,FALSE),"")</f>
        <v/>
      </c>
      <c r="P65" s="83" t="str">
        <f>IFERROR(VLOOKUP(TableHandbook[[#This Row],[UDC]],TableSPUCFINCE[],7,FALSE),"")</f>
        <v/>
      </c>
      <c r="Q65" s="83" t="str">
        <f>IFERROR(VLOOKUP(TableHandbook[[#This Row],[UDC]],TableSPUCINARS[],7,FALSE),"")</f>
        <v/>
      </c>
      <c r="R65" s="83" t="str">
        <f>IFERROR(VLOOKUP(TableHandbook[[#This Row],[UDC]],TableSPUCINENT[],7,FALSE),"")</f>
        <v/>
      </c>
      <c r="S65" s="83" t="str">
        <f>IFERROR(VLOOKUP(TableHandbook[[#This Row],[UDC]],TableSPUCPROPT[],7,FALSE),"")</f>
        <v/>
      </c>
      <c r="T65" s="83" t="str">
        <f>IFERROR(VLOOKUP(TableHandbook[[#This Row],[UDC]],TableSPUCURDES[],7,FALSE),"")</f>
        <v/>
      </c>
    </row>
    <row r="66" spans="1:20" x14ac:dyDescent="0.25">
      <c r="A66" s="17" t="s">
        <v>159</v>
      </c>
      <c r="B66" s="18">
        <v>1</v>
      </c>
      <c r="C66" s="18"/>
      <c r="D66" s="78" t="s">
        <v>317</v>
      </c>
      <c r="E66" s="18">
        <v>25</v>
      </c>
      <c r="F66" s="81" t="s">
        <v>242</v>
      </c>
      <c r="G66" s="82" t="str">
        <f>IFERROR(IF(VLOOKUP(TableHandbook[[#This Row],[UDC]],TableAvailabilities[],2,FALSE)&gt;0,"Y",""),"")</f>
        <v/>
      </c>
      <c r="H66" s="82" t="str">
        <f>IFERROR(IF(VLOOKUP(TableHandbook[[#This Row],[UDC]],TableAvailabilities[],3,FALSE)&gt;0,"Y",""),"")</f>
        <v/>
      </c>
      <c r="I66" s="82" t="str">
        <f>IFERROR(IF(VLOOKUP(TableHandbook[[#This Row],[UDC]],TableAvailabilities[],4,FALSE)&gt;0,"Y",""),"")</f>
        <v>Y</v>
      </c>
      <c r="J66" s="82" t="str">
        <f>IFERROR(IF(VLOOKUP(TableHandbook[[#This Row],[UDC]],TableAvailabilities[],5,FALSE)&gt;0,"Y",""),"")</f>
        <v/>
      </c>
      <c r="K66" s="78"/>
      <c r="L66" s="83" t="str">
        <f>IFERROR(VLOOKUP(TableHandbook[[#This Row],[UDC]],TableBCONM[],7,FALSE),"")</f>
        <v/>
      </c>
      <c r="M66" s="83" t="str">
        <f>IFERROR(VLOOKUP(TableHandbook[[#This Row],[UDC]],TableSTRHCONMN[],7,FALSE),"")</f>
        <v/>
      </c>
      <c r="N66" s="83" t="str">
        <f>IFERROR(VLOOKUP(TableHandbook[[#This Row],[UDC]],TableSTRUCONMN[],7,FALSE),"")</f>
        <v/>
      </c>
      <c r="O66" s="83" t="str">
        <f>IFERROR(VLOOKUP(TableHandbook[[#This Row],[UDC]],TableSPUCANGAD[],7,FALSE),"")</f>
        <v/>
      </c>
      <c r="P66" s="83" t="str">
        <f>IFERROR(VLOOKUP(TableHandbook[[#This Row],[UDC]],TableSPUCFINCE[],7,FALSE),"")</f>
        <v/>
      </c>
      <c r="Q66" s="83" t="str">
        <f>IFERROR(VLOOKUP(TableHandbook[[#This Row],[UDC]],TableSPUCINARS[],7,FALSE),"")</f>
        <v/>
      </c>
      <c r="R66" s="83" t="str">
        <f>IFERROR(VLOOKUP(TableHandbook[[#This Row],[UDC]],TableSPUCINENT[],7,FALSE),"")</f>
        <v>Core</v>
      </c>
      <c r="S66" s="83" t="str">
        <f>IFERROR(VLOOKUP(TableHandbook[[#This Row],[UDC]],TableSPUCPROPT[],7,FALSE),"")</f>
        <v/>
      </c>
      <c r="T66" s="83" t="str">
        <f>IFERROR(VLOOKUP(TableHandbook[[#This Row],[UDC]],TableSPUCURDES[],7,FALSE),"")</f>
        <v/>
      </c>
    </row>
    <row r="67" spans="1:20" x14ac:dyDescent="0.25">
      <c r="A67" s="17" t="s">
        <v>196</v>
      </c>
      <c r="B67" s="18">
        <v>1</v>
      </c>
      <c r="C67" s="18"/>
      <c r="D67" s="78" t="s">
        <v>318</v>
      </c>
      <c r="E67" s="18">
        <v>25</v>
      </c>
      <c r="F67" s="81" t="s">
        <v>242</v>
      </c>
      <c r="G67" s="82" t="str">
        <f>IFERROR(IF(VLOOKUP(TableHandbook[[#This Row],[UDC]],TableAvailabilities[],2,FALSE)&gt;0,"Y",""),"")</f>
        <v/>
      </c>
      <c r="H67" s="82" t="str">
        <f>IFERROR(IF(VLOOKUP(TableHandbook[[#This Row],[UDC]],TableAvailabilities[],3,FALSE)&gt;0,"Y",""),"")</f>
        <v/>
      </c>
      <c r="I67" s="82" t="str">
        <f>IFERROR(IF(VLOOKUP(TableHandbook[[#This Row],[UDC]],TableAvailabilities[],4,FALSE)&gt;0,"Y",""),"")</f>
        <v>Y</v>
      </c>
      <c r="J67" s="82" t="str">
        <f>IFERROR(IF(VLOOKUP(TableHandbook[[#This Row],[UDC]],TableAvailabilities[],5,FALSE)&gt;0,"Y",""),"")</f>
        <v/>
      </c>
      <c r="K67" s="78"/>
      <c r="L67" s="83" t="str">
        <f>IFERROR(VLOOKUP(TableHandbook[[#This Row],[UDC]],TableBCONM[],7,FALSE),"")</f>
        <v/>
      </c>
      <c r="M67" s="83" t="str">
        <f>IFERROR(VLOOKUP(TableHandbook[[#This Row],[UDC]],TableSTRHCONMN[],7,FALSE),"")</f>
        <v/>
      </c>
      <c r="N67" s="83" t="str">
        <f>IFERROR(VLOOKUP(TableHandbook[[#This Row],[UDC]],TableSTRUCONMN[],7,FALSE),"")</f>
        <v/>
      </c>
      <c r="O67" s="83" t="str">
        <f>IFERROR(VLOOKUP(TableHandbook[[#This Row],[UDC]],TableSPUCANGAD[],7,FALSE),"")</f>
        <v/>
      </c>
      <c r="P67" s="83" t="str">
        <f>IFERROR(VLOOKUP(TableHandbook[[#This Row],[UDC]],TableSPUCFINCE[],7,FALSE),"")</f>
        <v/>
      </c>
      <c r="Q67" s="83" t="str">
        <f>IFERROR(VLOOKUP(TableHandbook[[#This Row],[UDC]],TableSPUCINARS[],7,FALSE),"")</f>
        <v/>
      </c>
      <c r="R67" s="83" t="str">
        <f>IFERROR(VLOOKUP(TableHandbook[[#This Row],[UDC]],TableSPUCINENT[],7,FALSE),"")</f>
        <v>Option</v>
      </c>
      <c r="S67" s="83" t="str">
        <f>IFERROR(VLOOKUP(TableHandbook[[#This Row],[UDC]],TableSPUCPROPT[],7,FALSE),"")</f>
        <v/>
      </c>
      <c r="T67" s="83" t="str">
        <f>IFERROR(VLOOKUP(TableHandbook[[#This Row],[UDC]],TableSPUCURDES[],7,FALSE),"")</f>
        <v/>
      </c>
    </row>
    <row r="68" spans="1:20" x14ac:dyDescent="0.25">
      <c r="A68" s="17" t="s">
        <v>188</v>
      </c>
      <c r="B68" s="18">
        <v>2</v>
      </c>
      <c r="C68" s="18"/>
      <c r="D68" s="78" t="s">
        <v>319</v>
      </c>
      <c r="E68" s="18">
        <v>25</v>
      </c>
      <c r="F68" s="113" t="s">
        <v>320</v>
      </c>
      <c r="G68" s="82" t="str">
        <f>IFERROR(IF(VLOOKUP(TableHandbook[[#This Row],[UDC]],TableAvailabilities[],2,FALSE)&gt;0,"Y",""),"")</f>
        <v>Y</v>
      </c>
      <c r="H68" s="82" t="str">
        <f>IFERROR(IF(VLOOKUP(TableHandbook[[#This Row],[UDC]],TableAvailabilities[],3,FALSE)&gt;0,"Y",""),"")</f>
        <v/>
      </c>
      <c r="I68" s="82" t="str">
        <f>IFERROR(IF(VLOOKUP(TableHandbook[[#This Row],[UDC]],TableAvailabilities[],4,FALSE)&gt;0,"Y",""),"")</f>
        <v>Y</v>
      </c>
      <c r="J68" s="82" t="str">
        <f>IFERROR(IF(VLOOKUP(TableHandbook[[#This Row],[UDC]],TableAvailabilities[],5,FALSE)&gt;0,"Y",""),"")</f>
        <v/>
      </c>
      <c r="K68" s="115" t="s">
        <v>321</v>
      </c>
      <c r="L68" s="83" t="str">
        <f>IFERROR(VLOOKUP(TableHandbook[[#This Row],[UDC]],TableBCONM[],7,FALSE),"")</f>
        <v/>
      </c>
      <c r="M68" s="83" t="str">
        <f>IFERROR(VLOOKUP(TableHandbook[[#This Row],[UDC]],TableSTRHCONMN[],7,FALSE),"")</f>
        <v/>
      </c>
      <c r="N68" s="83" t="str">
        <f>IFERROR(VLOOKUP(TableHandbook[[#This Row],[UDC]],TableSTRUCONMN[],7,FALSE),"")</f>
        <v/>
      </c>
      <c r="O68" s="83" t="str">
        <f>IFERROR(VLOOKUP(TableHandbook[[#This Row],[UDC]],TableSPUCANGAD[],7,FALSE),"")</f>
        <v/>
      </c>
      <c r="P68" s="83" t="str">
        <f>IFERROR(VLOOKUP(TableHandbook[[#This Row],[UDC]],TableSPUCFINCE[],7,FALSE),"")</f>
        <v/>
      </c>
      <c r="Q68" s="83" t="str">
        <f>IFERROR(VLOOKUP(TableHandbook[[#This Row],[UDC]],TableSPUCINARS[],7,FALSE),"")</f>
        <v/>
      </c>
      <c r="R68" s="83" t="str">
        <f>IFERROR(VLOOKUP(TableHandbook[[#This Row],[UDC]],TableSPUCINENT[],7,FALSE),"")</f>
        <v>Option</v>
      </c>
      <c r="S68" s="83" t="str">
        <f>IFERROR(VLOOKUP(TableHandbook[[#This Row],[UDC]],TableSPUCPROPT[],7,FALSE),"")</f>
        <v/>
      </c>
      <c r="T68" s="83" t="str">
        <f>IFERROR(VLOOKUP(TableHandbook[[#This Row],[UDC]],TableSPUCURDES[],7,FALSE),"")</f>
        <v/>
      </c>
    </row>
    <row r="69" spans="1:20" x14ac:dyDescent="0.25">
      <c r="A69" s="17" t="s">
        <v>322</v>
      </c>
      <c r="B69" s="18">
        <v>1</v>
      </c>
      <c r="C69" s="18"/>
      <c r="D69" s="78" t="s">
        <v>323</v>
      </c>
      <c r="E69" s="18">
        <v>25</v>
      </c>
      <c r="F69" s="81" t="s">
        <v>320</v>
      </c>
      <c r="G69" s="82" t="str">
        <f>IFERROR(IF(VLOOKUP(TableHandbook[[#This Row],[UDC]],TableAvailabilities[],2,FALSE)&gt;0,"Y",""),"")</f>
        <v/>
      </c>
      <c r="H69" s="82" t="str">
        <f>IFERROR(IF(VLOOKUP(TableHandbook[[#This Row],[UDC]],TableAvailabilities[],3,FALSE)&gt;0,"Y",""),"")</f>
        <v/>
      </c>
      <c r="I69" s="82" t="str">
        <f>IFERROR(IF(VLOOKUP(TableHandbook[[#This Row],[UDC]],TableAvailabilities[],4,FALSE)&gt;0,"Y",""),"")</f>
        <v/>
      </c>
      <c r="J69" s="82" t="str">
        <f>IFERROR(IF(VLOOKUP(TableHandbook[[#This Row],[UDC]],TableAvailabilities[],5,FALSE)&gt;0,"Y",""),"")</f>
        <v/>
      </c>
      <c r="K69" s="108" t="s">
        <v>313</v>
      </c>
      <c r="L69" s="83" t="str">
        <f>IFERROR(VLOOKUP(TableHandbook[[#This Row],[UDC]],TableBCONM[],7,FALSE),"")</f>
        <v/>
      </c>
      <c r="M69" s="83" t="str">
        <f>IFERROR(VLOOKUP(TableHandbook[[#This Row],[UDC]],TableSTRHCONMN[],7,FALSE),"")</f>
        <v/>
      </c>
      <c r="N69" s="83" t="str">
        <f>IFERROR(VLOOKUP(TableHandbook[[#This Row],[UDC]],TableSTRUCONMN[],7,FALSE),"")</f>
        <v/>
      </c>
      <c r="O69" s="83" t="str">
        <f>IFERROR(VLOOKUP(TableHandbook[[#This Row],[UDC]],TableSPUCANGAD[],7,FALSE),"")</f>
        <v/>
      </c>
      <c r="P69" s="83" t="str">
        <f>IFERROR(VLOOKUP(TableHandbook[[#This Row],[UDC]],TableSPUCFINCE[],7,FALSE),"")</f>
        <v/>
      </c>
      <c r="Q69" s="83" t="str">
        <f>IFERROR(VLOOKUP(TableHandbook[[#This Row],[UDC]],TableSPUCINARS[],7,FALSE),"")</f>
        <v/>
      </c>
      <c r="R69" s="83" t="str">
        <f>IFERROR(VLOOKUP(TableHandbook[[#This Row],[UDC]],TableSPUCINENT[],7,FALSE),"")</f>
        <v/>
      </c>
      <c r="S69" s="83" t="str">
        <f>IFERROR(VLOOKUP(TableHandbook[[#This Row],[UDC]],TableSPUCPROPT[],7,FALSE),"")</f>
        <v/>
      </c>
      <c r="T69" s="83" t="str">
        <f>IFERROR(VLOOKUP(TableHandbook[[#This Row],[UDC]],TableSPUCURDES[],7,FALSE),"")</f>
        <v/>
      </c>
    </row>
    <row r="70" spans="1:20" x14ac:dyDescent="0.25">
      <c r="A70" s="17" t="s">
        <v>165</v>
      </c>
      <c r="B70" s="18">
        <v>0</v>
      </c>
      <c r="C70" s="18"/>
      <c r="D70" s="78" t="s">
        <v>324</v>
      </c>
      <c r="E70" s="18">
        <v>75</v>
      </c>
      <c r="F70" s="81"/>
      <c r="G70" s="82" t="str">
        <f>IFERROR(IF(VLOOKUP(TableHandbook[[#This Row],[UDC]],TableAvailabilities[],2,FALSE)&gt;0,"Y",""),"")</f>
        <v/>
      </c>
      <c r="H70" s="82" t="str">
        <f>IFERROR(IF(VLOOKUP(TableHandbook[[#This Row],[UDC]],TableAvailabilities[],3,FALSE)&gt;0,"Y",""),"")</f>
        <v/>
      </c>
      <c r="I70" s="82" t="str">
        <f>IFERROR(IF(VLOOKUP(TableHandbook[[#This Row],[UDC]],TableAvailabilities[],4,FALSE)&gt;0,"Y",""),"")</f>
        <v/>
      </c>
      <c r="J70" s="82" t="str">
        <f>IFERROR(IF(VLOOKUP(TableHandbook[[#This Row],[UDC]],TableAvailabilities[],5,FALSE)&gt;0,"Y",""),"")</f>
        <v/>
      </c>
      <c r="K70" s="78"/>
      <c r="L70" s="83" t="str">
        <f>IFERROR(VLOOKUP(TableHandbook[[#This Row],[UDC]],TableBCONM[],7,FALSE),"")</f>
        <v/>
      </c>
      <c r="M70" s="83" t="str">
        <f>IFERROR(VLOOKUP(TableHandbook[[#This Row],[UDC]],TableSTRHCONMN[],7,FALSE),"")</f>
        <v/>
      </c>
      <c r="N70" s="83" t="str">
        <f>IFERROR(VLOOKUP(TableHandbook[[#This Row],[UDC]],TableSTRUCONMN[],7,FALSE),"")</f>
        <v/>
      </c>
      <c r="O70" s="83" t="str">
        <f>IFERROR(VLOOKUP(TableHandbook[[#This Row],[UDC]],TableSPUCANGAD[],7,FALSE),"")</f>
        <v/>
      </c>
      <c r="P70" s="83" t="str">
        <f>IFERROR(VLOOKUP(TableHandbook[[#This Row],[UDC]],TableSPUCFINCE[],7,FALSE),"")</f>
        <v>Option</v>
      </c>
      <c r="Q70" s="83" t="str">
        <f>IFERROR(VLOOKUP(TableHandbook[[#This Row],[UDC]],TableSPUCINARS[],7,FALSE),"")</f>
        <v/>
      </c>
      <c r="R70" s="83" t="str">
        <f>IFERROR(VLOOKUP(TableHandbook[[#This Row],[UDC]],TableSPUCINENT[],7,FALSE),"")</f>
        <v/>
      </c>
      <c r="S70" s="83" t="str">
        <f>IFERROR(VLOOKUP(TableHandbook[[#This Row],[UDC]],TableSPUCPROPT[],7,FALSE),"")</f>
        <v/>
      </c>
      <c r="T70" s="83" t="str">
        <f>IFERROR(VLOOKUP(TableHandbook[[#This Row],[UDC]],TableSPUCURDES[],7,FALSE),"")</f>
        <v/>
      </c>
    </row>
    <row r="71" spans="1:20" x14ac:dyDescent="0.25">
      <c r="A71" s="17" t="s">
        <v>191</v>
      </c>
      <c r="B71" s="18">
        <v>0</v>
      </c>
      <c r="C71" s="18"/>
      <c r="D71" s="78" t="s">
        <v>325</v>
      </c>
      <c r="E71" s="18">
        <v>25</v>
      </c>
      <c r="F71" s="81"/>
      <c r="G71" s="82" t="str">
        <f>IFERROR(IF(VLOOKUP(TableHandbook[[#This Row],[UDC]],TableAvailabilities[],2,FALSE)&gt;0,"Y",""),"")</f>
        <v/>
      </c>
      <c r="H71" s="82" t="str">
        <f>IFERROR(IF(VLOOKUP(TableHandbook[[#This Row],[UDC]],TableAvailabilities[],3,FALSE)&gt;0,"Y",""),"")</f>
        <v/>
      </c>
      <c r="I71" s="82" t="str">
        <f>IFERROR(IF(VLOOKUP(TableHandbook[[#This Row],[UDC]],TableAvailabilities[],4,FALSE)&gt;0,"Y",""),"")</f>
        <v/>
      </c>
      <c r="J71" s="82" t="str">
        <f>IFERROR(IF(VLOOKUP(TableHandbook[[#This Row],[UDC]],TableAvailabilities[],5,FALSE)&gt;0,"Y",""),"")</f>
        <v/>
      </c>
      <c r="K71" s="78"/>
      <c r="L71" s="83" t="str">
        <f>IFERROR(VLOOKUP(TableHandbook[[#This Row],[UDC]],TableBCONM[],7,FALSE),"")</f>
        <v/>
      </c>
      <c r="M71" s="83" t="str">
        <f>IFERROR(VLOOKUP(TableHandbook[[#This Row],[UDC]],TableSTRHCONMN[],7,FALSE),"")</f>
        <v/>
      </c>
      <c r="N71" s="83" t="str">
        <f>IFERROR(VLOOKUP(TableHandbook[[#This Row],[UDC]],TableSTRUCONMN[],7,FALSE),"")</f>
        <v/>
      </c>
      <c r="O71" s="83" t="str">
        <f>IFERROR(VLOOKUP(TableHandbook[[#This Row],[UDC]],TableSPUCANGAD[],7,FALSE),"")</f>
        <v/>
      </c>
      <c r="P71" s="83" t="str">
        <f>IFERROR(VLOOKUP(TableHandbook[[#This Row],[UDC]],TableSPUCFINCE[],7,FALSE),"")</f>
        <v/>
      </c>
      <c r="Q71" s="83" t="str">
        <f>IFERROR(VLOOKUP(TableHandbook[[#This Row],[UDC]],TableSPUCINARS[],7,FALSE),"")</f>
        <v>Option</v>
      </c>
      <c r="R71" s="83" t="str">
        <f>IFERROR(VLOOKUP(TableHandbook[[#This Row],[UDC]],TableSPUCINENT[],7,FALSE),"")</f>
        <v/>
      </c>
      <c r="S71" s="83" t="str">
        <f>IFERROR(VLOOKUP(TableHandbook[[#This Row],[UDC]],TableSPUCPROPT[],7,FALSE),"")</f>
        <v/>
      </c>
      <c r="T71" s="83" t="str">
        <f>IFERROR(VLOOKUP(TableHandbook[[#This Row],[UDC]],TableSPUCURDES[],7,FALSE),"")</f>
        <v/>
      </c>
    </row>
    <row r="72" spans="1:20" x14ac:dyDescent="0.25">
      <c r="A72" s="17" t="s">
        <v>171</v>
      </c>
      <c r="B72" s="18">
        <v>0</v>
      </c>
      <c r="C72" s="18"/>
      <c r="D72" s="78" t="s">
        <v>326</v>
      </c>
      <c r="E72" s="18">
        <v>50</v>
      </c>
      <c r="F72" s="81"/>
      <c r="G72" s="82" t="str">
        <f>IFERROR(IF(VLOOKUP(TableHandbook[[#This Row],[UDC]],TableAvailabilities[],2,FALSE)&gt;0,"Y",""),"")</f>
        <v/>
      </c>
      <c r="H72" s="82" t="str">
        <f>IFERROR(IF(VLOOKUP(TableHandbook[[#This Row],[UDC]],TableAvailabilities[],3,FALSE)&gt;0,"Y",""),"")</f>
        <v/>
      </c>
      <c r="I72" s="82" t="str">
        <f>IFERROR(IF(VLOOKUP(TableHandbook[[#This Row],[UDC]],TableAvailabilities[],4,FALSE)&gt;0,"Y",""),"")</f>
        <v/>
      </c>
      <c r="J72" s="82" t="str">
        <f>IFERROR(IF(VLOOKUP(TableHandbook[[#This Row],[UDC]],TableAvailabilities[],5,FALSE)&gt;0,"Y",""),"")</f>
        <v/>
      </c>
      <c r="K72" s="78"/>
      <c r="L72" s="83" t="str">
        <f>IFERROR(VLOOKUP(TableHandbook[[#This Row],[UDC]],TableBCONM[],7,FALSE),"")</f>
        <v/>
      </c>
      <c r="M72" s="83" t="str">
        <f>IFERROR(VLOOKUP(TableHandbook[[#This Row],[UDC]],TableSTRHCONMN[],7,FALSE),"")</f>
        <v/>
      </c>
      <c r="N72" s="83" t="str">
        <f>IFERROR(VLOOKUP(TableHandbook[[#This Row],[UDC]],TableSTRUCONMN[],7,FALSE),"")</f>
        <v/>
      </c>
      <c r="O72" s="83" t="str">
        <f>IFERROR(VLOOKUP(TableHandbook[[#This Row],[UDC]],TableSPUCANGAD[],7,FALSE),"")</f>
        <v/>
      </c>
      <c r="P72" s="83" t="str">
        <f>IFERROR(VLOOKUP(TableHandbook[[#This Row],[UDC]],TableSPUCFINCE[],7,FALSE),"")</f>
        <v/>
      </c>
      <c r="Q72" s="83" t="str">
        <f>IFERROR(VLOOKUP(TableHandbook[[#This Row],[UDC]],TableSPUCINARS[],7,FALSE),"")</f>
        <v/>
      </c>
      <c r="R72" s="83" t="str">
        <f>IFERROR(VLOOKUP(TableHandbook[[#This Row],[UDC]],TableSPUCINENT[],7,FALSE),"")</f>
        <v>Option</v>
      </c>
      <c r="S72" s="83" t="str">
        <f>IFERROR(VLOOKUP(TableHandbook[[#This Row],[UDC]],TableSPUCPROPT[],7,FALSE),"")</f>
        <v/>
      </c>
      <c r="T72" s="83" t="str">
        <f>IFERROR(VLOOKUP(TableHandbook[[#This Row],[UDC]],TableSPUCURDES[],7,FALSE),"")</f>
        <v/>
      </c>
    </row>
    <row r="73" spans="1:20" x14ac:dyDescent="0.25">
      <c r="A73" s="17" t="s">
        <v>152</v>
      </c>
      <c r="B73" s="18">
        <v>2</v>
      </c>
      <c r="C73" s="18"/>
      <c r="D73" s="78" t="s">
        <v>327</v>
      </c>
      <c r="E73" s="18">
        <v>25</v>
      </c>
      <c r="F73" s="81" t="s">
        <v>242</v>
      </c>
      <c r="G73" s="82" t="str">
        <f>IFERROR(IF(VLOOKUP(TableHandbook[[#This Row],[UDC]],TableAvailabilities[],2,FALSE)&gt;0,"Y",""),"")</f>
        <v>Y</v>
      </c>
      <c r="H73" s="82" t="str">
        <f>IFERROR(IF(VLOOKUP(TableHandbook[[#This Row],[UDC]],TableAvailabilities[],3,FALSE)&gt;0,"Y",""),"")</f>
        <v/>
      </c>
      <c r="I73" s="82" t="str">
        <f>IFERROR(IF(VLOOKUP(TableHandbook[[#This Row],[UDC]],TableAvailabilities[],4,FALSE)&gt;0,"Y",""),"")</f>
        <v/>
      </c>
      <c r="J73" s="82" t="str">
        <f>IFERROR(IF(VLOOKUP(TableHandbook[[#This Row],[UDC]],TableAvailabilities[],5,FALSE)&gt;0,"Y",""),"")</f>
        <v/>
      </c>
      <c r="K73" s="78"/>
      <c r="L73" s="83" t="str">
        <f>IFERROR(VLOOKUP(TableHandbook[[#This Row],[UDC]],TableBCONM[],7,FALSE),"")</f>
        <v/>
      </c>
      <c r="M73" s="83" t="str">
        <f>IFERROR(VLOOKUP(TableHandbook[[#This Row],[UDC]],TableSTRHCONMN[],7,FALSE),"")</f>
        <v/>
      </c>
      <c r="N73" s="83" t="str">
        <f>IFERROR(VLOOKUP(TableHandbook[[#This Row],[UDC]],TableSTRUCONMN[],7,FALSE),"")</f>
        <v/>
      </c>
      <c r="O73" s="83" t="str">
        <f>IFERROR(VLOOKUP(TableHandbook[[#This Row],[UDC]],TableSPUCANGAD[],7,FALSE),"")</f>
        <v/>
      </c>
      <c r="P73" s="83" t="str">
        <f>IFERROR(VLOOKUP(TableHandbook[[#This Row],[UDC]],TableSPUCFINCE[],7,FALSE),"")</f>
        <v/>
      </c>
      <c r="Q73" s="83" t="str">
        <f>IFERROR(VLOOKUP(TableHandbook[[#This Row],[UDC]],TableSPUCINARS[],7,FALSE),"")</f>
        <v/>
      </c>
      <c r="R73" s="83" t="str">
        <f>IFERROR(VLOOKUP(TableHandbook[[#This Row],[UDC]],TableSPUCINENT[],7,FALSE),"")</f>
        <v/>
      </c>
      <c r="S73" s="83" t="str">
        <f>IFERROR(VLOOKUP(TableHandbook[[#This Row],[UDC]],TableSPUCPROPT[],7,FALSE),"")</f>
        <v>Core</v>
      </c>
      <c r="T73" s="83" t="str">
        <f>IFERROR(VLOOKUP(TableHandbook[[#This Row],[UDC]],TableSPUCURDES[],7,FALSE),"")</f>
        <v/>
      </c>
    </row>
    <row r="74" spans="1:20" x14ac:dyDescent="0.25">
      <c r="A74" s="17" t="s">
        <v>160</v>
      </c>
      <c r="B74" s="18">
        <v>2</v>
      </c>
      <c r="C74" s="18"/>
      <c r="D74" s="78" t="s">
        <v>328</v>
      </c>
      <c r="E74" s="18">
        <v>25</v>
      </c>
      <c r="F74" s="81" t="s">
        <v>242</v>
      </c>
      <c r="G74" s="82" t="str">
        <f>IFERROR(IF(VLOOKUP(TableHandbook[[#This Row],[UDC]],TableAvailabilities[],2,FALSE)&gt;0,"Y",""),"")</f>
        <v>Y</v>
      </c>
      <c r="H74" s="82" t="str">
        <f>IFERROR(IF(VLOOKUP(TableHandbook[[#This Row],[UDC]],TableAvailabilities[],3,FALSE)&gt;0,"Y",""),"")</f>
        <v/>
      </c>
      <c r="I74" s="82" t="str">
        <f>IFERROR(IF(VLOOKUP(TableHandbook[[#This Row],[UDC]],TableAvailabilities[],4,FALSE)&gt;0,"Y",""),"")</f>
        <v>Y</v>
      </c>
      <c r="J74" s="82" t="str">
        <f>IFERROR(IF(VLOOKUP(TableHandbook[[#This Row],[UDC]],TableAvailabilities[],5,FALSE)&gt;0,"Y",""),"")</f>
        <v/>
      </c>
      <c r="K74" s="78"/>
      <c r="L74" s="83" t="str">
        <f>IFERROR(VLOOKUP(TableHandbook[[#This Row],[UDC]],TableBCONM[],7,FALSE),"")</f>
        <v/>
      </c>
      <c r="M74" s="83" t="str">
        <f>IFERROR(VLOOKUP(TableHandbook[[#This Row],[UDC]],TableSTRHCONMN[],7,FALSE),"")</f>
        <v/>
      </c>
      <c r="N74" s="83" t="str">
        <f>IFERROR(VLOOKUP(TableHandbook[[#This Row],[UDC]],TableSTRUCONMN[],7,FALSE),"")</f>
        <v/>
      </c>
      <c r="O74" s="83" t="str">
        <f>IFERROR(VLOOKUP(TableHandbook[[#This Row],[UDC]],TableSPUCANGAD[],7,FALSE),"")</f>
        <v/>
      </c>
      <c r="P74" s="83" t="str">
        <f>IFERROR(VLOOKUP(TableHandbook[[#This Row],[UDC]],TableSPUCFINCE[],7,FALSE),"")</f>
        <v/>
      </c>
      <c r="Q74" s="83" t="str">
        <f>IFERROR(VLOOKUP(TableHandbook[[#This Row],[UDC]],TableSPUCINARS[],7,FALSE),"")</f>
        <v/>
      </c>
      <c r="R74" s="83" t="str">
        <f>IFERROR(VLOOKUP(TableHandbook[[#This Row],[UDC]],TableSPUCINENT[],7,FALSE),"")</f>
        <v/>
      </c>
      <c r="S74" s="83" t="str">
        <f>IFERROR(VLOOKUP(TableHandbook[[#This Row],[UDC]],TableSPUCPROPT[],7,FALSE),"")</f>
        <v>Core</v>
      </c>
      <c r="T74" s="83" t="str">
        <f>IFERROR(VLOOKUP(TableHandbook[[#This Row],[UDC]],TableSPUCURDES[],7,FALSE),"")</f>
        <v/>
      </c>
    </row>
    <row r="75" spans="1:20" x14ac:dyDescent="0.25">
      <c r="A75" s="17" t="s">
        <v>166</v>
      </c>
      <c r="B75" s="18">
        <v>1</v>
      </c>
      <c r="C75" s="18"/>
      <c r="D75" s="78" t="s">
        <v>329</v>
      </c>
      <c r="E75" s="18">
        <v>25</v>
      </c>
      <c r="F75" s="113" t="s">
        <v>160</v>
      </c>
      <c r="G75" s="82" t="str">
        <f>IFERROR(IF(VLOOKUP(TableHandbook[[#This Row],[UDC]],TableAvailabilities[],2,FALSE)&gt;0,"Y",""),"")</f>
        <v/>
      </c>
      <c r="H75" s="82" t="str">
        <f>IFERROR(IF(VLOOKUP(TableHandbook[[#This Row],[UDC]],TableAvailabilities[],3,FALSE)&gt;0,"Y",""),"")</f>
        <v/>
      </c>
      <c r="I75" s="82" t="str">
        <f>IFERROR(IF(VLOOKUP(TableHandbook[[#This Row],[UDC]],TableAvailabilities[],4,FALSE)&gt;0,"Y",""),"")</f>
        <v>Y</v>
      </c>
      <c r="J75" s="82" t="str">
        <f>IFERROR(IF(VLOOKUP(TableHandbook[[#This Row],[UDC]],TableAvailabilities[],5,FALSE)&gt;0,"Y",""),"")</f>
        <v/>
      </c>
      <c r="K75" s="78"/>
      <c r="L75" s="83" t="str">
        <f>IFERROR(VLOOKUP(TableHandbook[[#This Row],[UDC]],TableBCONM[],7,FALSE),"")</f>
        <v/>
      </c>
      <c r="M75" s="83" t="str">
        <f>IFERROR(VLOOKUP(TableHandbook[[#This Row],[UDC]],TableSTRHCONMN[],7,FALSE),"")</f>
        <v/>
      </c>
      <c r="N75" s="83" t="str">
        <f>IFERROR(VLOOKUP(TableHandbook[[#This Row],[UDC]],TableSTRUCONMN[],7,FALSE),"")</f>
        <v/>
      </c>
      <c r="O75" s="83" t="str">
        <f>IFERROR(VLOOKUP(TableHandbook[[#This Row],[UDC]],TableSPUCANGAD[],7,FALSE),"")</f>
        <v/>
      </c>
      <c r="P75" s="83" t="str">
        <f>IFERROR(VLOOKUP(TableHandbook[[#This Row],[UDC]],TableSPUCFINCE[],7,FALSE),"")</f>
        <v/>
      </c>
      <c r="Q75" s="83" t="str">
        <f>IFERROR(VLOOKUP(TableHandbook[[#This Row],[UDC]],TableSPUCINARS[],7,FALSE),"")</f>
        <v/>
      </c>
      <c r="R75" s="83" t="str">
        <f>IFERROR(VLOOKUP(TableHandbook[[#This Row],[UDC]],TableSPUCINENT[],7,FALSE),"")</f>
        <v/>
      </c>
      <c r="S75" s="83" t="str">
        <f>IFERROR(VLOOKUP(TableHandbook[[#This Row],[UDC]],TableSPUCPROPT[],7,FALSE),"")</f>
        <v>Core</v>
      </c>
      <c r="T75" s="83" t="str">
        <f>IFERROR(VLOOKUP(TableHandbook[[#This Row],[UDC]],TableSPUCURDES[],7,FALSE),"")</f>
        <v/>
      </c>
    </row>
    <row r="76" spans="1:20" x14ac:dyDescent="0.25">
      <c r="A76" s="17" t="s">
        <v>172</v>
      </c>
      <c r="B76" s="18">
        <v>2</v>
      </c>
      <c r="C76" s="18"/>
      <c r="D76" s="78" t="s">
        <v>330</v>
      </c>
      <c r="E76" s="18">
        <v>25</v>
      </c>
      <c r="F76" s="113" t="s">
        <v>331</v>
      </c>
      <c r="G76" s="82" t="str">
        <f>IFERROR(IF(VLOOKUP(TableHandbook[[#This Row],[UDC]],TableAvailabilities[],2,FALSE)&gt;0,"Y",""),"")</f>
        <v>Y</v>
      </c>
      <c r="H76" s="82" t="str">
        <f>IFERROR(IF(VLOOKUP(TableHandbook[[#This Row],[UDC]],TableAvailabilities[],3,FALSE)&gt;0,"Y",""),"")</f>
        <v/>
      </c>
      <c r="I76" s="82" t="str">
        <f>IFERROR(IF(VLOOKUP(TableHandbook[[#This Row],[UDC]],TableAvailabilities[],4,FALSE)&gt;0,"Y",""),"")</f>
        <v/>
      </c>
      <c r="J76" s="82" t="str">
        <f>IFERROR(IF(VLOOKUP(TableHandbook[[#This Row],[UDC]],TableAvailabilities[],5,FALSE)&gt;0,"Y",""),"")</f>
        <v/>
      </c>
      <c r="K76" s="78"/>
      <c r="L76" s="83" t="str">
        <f>IFERROR(VLOOKUP(TableHandbook[[#This Row],[UDC]],TableBCONM[],7,FALSE),"")</f>
        <v/>
      </c>
      <c r="M76" s="83" t="str">
        <f>IFERROR(VLOOKUP(TableHandbook[[#This Row],[UDC]],TableSTRHCONMN[],7,FALSE),"")</f>
        <v/>
      </c>
      <c r="N76" s="83" t="str">
        <f>IFERROR(VLOOKUP(TableHandbook[[#This Row],[UDC]],TableSTRUCONMN[],7,FALSE),"")</f>
        <v/>
      </c>
      <c r="O76" s="83" t="str">
        <f>IFERROR(VLOOKUP(TableHandbook[[#This Row],[UDC]],TableSPUCANGAD[],7,FALSE),"")</f>
        <v/>
      </c>
      <c r="P76" s="83" t="str">
        <f>IFERROR(VLOOKUP(TableHandbook[[#This Row],[UDC]],TableSPUCFINCE[],7,FALSE),"")</f>
        <v/>
      </c>
      <c r="Q76" s="83" t="str">
        <f>IFERROR(VLOOKUP(TableHandbook[[#This Row],[UDC]],TableSPUCINARS[],7,FALSE),"")</f>
        <v/>
      </c>
      <c r="R76" s="83" t="str">
        <f>IFERROR(VLOOKUP(TableHandbook[[#This Row],[UDC]],TableSPUCINENT[],7,FALSE),"")</f>
        <v/>
      </c>
      <c r="S76" s="83" t="str">
        <f>IFERROR(VLOOKUP(TableHandbook[[#This Row],[UDC]],TableSPUCPROPT[],7,FALSE),"")</f>
        <v>Core</v>
      </c>
      <c r="T76" s="83" t="str">
        <f>IFERROR(VLOOKUP(TableHandbook[[#This Row],[UDC]],TableSPUCURDES[],7,FALSE),"")</f>
        <v/>
      </c>
    </row>
    <row r="77" spans="1:20" x14ac:dyDescent="0.25">
      <c r="A77" s="17" t="s">
        <v>86</v>
      </c>
      <c r="B77" s="18"/>
      <c r="C77" s="18"/>
      <c r="D77" s="78" t="s">
        <v>332</v>
      </c>
      <c r="E77" s="18">
        <v>25</v>
      </c>
      <c r="F77" s="81" t="s">
        <v>333</v>
      </c>
      <c r="G77" s="82" t="str">
        <f>IFERROR(IF(VLOOKUP(TableHandbook[[#This Row],[UDC]],TableAvailabilities[],2,FALSE)&gt;0,"Y",""),"")</f>
        <v/>
      </c>
      <c r="H77" s="82" t="str">
        <f>IFERROR(IF(VLOOKUP(TableHandbook[[#This Row],[UDC]],TableAvailabilities[],3,FALSE)&gt;0,"Y",""),"")</f>
        <v/>
      </c>
      <c r="I77" s="82" t="str">
        <f>IFERROR(IF(VLOOKUP(TableHandbook[[#This Row],[UDC]],TableAvailabilities[],4,FALSE)&gt;0,"Y",""),"")</f>
        <v/>
      </c>
      <c r="J77" s="82" t="str">
        <f>IFERROR(IF(VLOOKUP(TableHandbook[[#This Row],[UDC]],TableAvailabilities[],5,FALSE)&gt;0,"Y",""),"")</f>
        <v/>
      </c>
      <c r="K77" s="78"/>
      <c r="L77" s="83" t="str">
        <f>IFERROR(VLOOKUP(TableHandbook[[#This Row],[UDC]],TableBCONM[],7,FALSE),"")</f>
        <v/>
      </c>
      <c r="M77" s="83" t="str">
        <f>IFERROR(VLOOKUP(TableHandbook[[#This Row],[UDC]],TableSTRHCONMN[],7,FALSE),"")</f>
        <v/>
      </c>
      <c r="N77" s="83" t="str">
        <f>IFERROR(VLOOKUP(TableHandbook[[#This Row],[UDC]],TableSTRUCONMN[],7,FALSE),"")</f>
        <v/>
      </c>
      <c r="O77" s="83" t="str">
        <f>IFERROR(VLOOKUP(TableHandbook[[#This Row],[UDC]],TableSPUCANGAD[],7,FALSE),"")</f>
        <v/>
      </c>
      <c r="P77" s="83" t="str">
        <f>IFERROR(VLOOKUP(TableHandbook[[#This Row],[UDC]],TableSPUCFINCE[],7,FALSE),"")</f>
        <v/>
      </c>
      <c r="Q77" s="83" t="str">
        <f>IFERROR(VLOOKUP(TableHandbook[[#This Row],[UDC]],TableSPUCINARS[],7,FALSE),"")</f>
        <v/>
      </c>
      <c r="R77" s="83" t="str">
        <f>IFERROR(VLOOKUP(TableHandbook[[#This Row],[UDC]],TableSPUCINENT[],7,FALSE),"")</f>
        <v/>
      </c>
      <c r="S77" s="83" t="str">
        <f>IFERROR(VLOOKUP(TableHandbook[[#This Row],[UDC]],TableSPUCPROPT[],7,FALSE),"")</f>
        <v/>
      </c>
      <c r="T77" s="83" t="str">
        <f>IFERROR(VLOOKUP(TableHandbook[[#This Row],[UDC]],TableSPUCURDES[],7,FALSE),"")</f>
        <v/>
      </c>
    </row>
    <row r="78" spans="1:20" x14ac:dyDescent="0.25">
      <c r="A78" s="17" t="s">
        <v>103</v>
      </c>
      <c r="B78" s="18">
        <v>1</v>
      </c>
      <c r="C78" s="18"/>
      <c r="D78" s="78" t="s">
        <v>102</v>
      </c>
      <c r="E78" s="18">
        <v>100</v>
      </c>
      <c r="F78" s="81"/>
      <c r="G78" s="82" t="str">
        <f>IFERROR(IF(VLOOKUP(TableHandbook[[#This Row],[UDC]],TableAvailabilities[],2,FALSE)&gt;0,"Y",""),"")</f>
        <v/>
      </c>
      <c r="H78" s="82" t="str">
        <f>IFERROR(IF(VLOOKUP(TableHandbook[[#This Row],[UDC]],TableAvailabilities[],3,FALSE)&gt;0,"Y",""),"")</f>
        <v/>
      </c>
      <c r="I78" s="82" t="str">
        <f>IFERROR(IF(VLOOKUP(TableHandbook[[#This Row],[UDC]],TableAvailabilities[],4,FALSE)&gt;0,"Y",""),"")</f>
        <v/>
      </c>
      <c r="J78" s="82" t="str">
        <f>IFERROR(IF(VLOOKUP(TableHandbook[[#This Row],[UDC]],TableAvailabilities[],5,FALSE)&gt;0,"Y",""),"")</f>
        <v/>
      </c>
      <c r="K78" s="78" t="s">
        <v>334</v>
      </c>
      <c r="L78" s="83" t="str">
        <f>IFERROR(VLOOKUP(TableHandbook[[#This Row],[UDC]],TableBCONM[],7,FALSE),"")</f>
        <v>Option</v>
      </c>
      <c r="M78" s="83" t="str">
        <f>IFERROR(VLOOKUP(TableHandbook[[#This Row],[UDC]],TableSTRHCONMN[],7,FALSE),"")</f>
        <v/>
      </c>
      <c r="N78" s="83" t="str">
        <f>IFERROR(VLOOKUP(TableHandbook[[#This Row],[UDC]],TableSTRUCONMN[],7,FALSE),"")</f>
        <v/>
      </c>
      <c r="O78" s="83" t="str">
        <f>IFERROR(VLOOKUP(TableHandbook[[#This Row],[UDC]],TableSPUCANGAD[],7,FALSE),"")</f>
        <v/>
      </c>
      <c r="P78" s="83" t="str">
        <f>IFERROR(VLOOKUP(TableHandbook[[#This Row],[UDC]],TableSPUCFINCE[],7,FALSE),"")</f>
        <v/>
      </c>
      <c r="Q78" s="83" t="str">
        <f>IFERROR(VLOOKUP(TableHandbook[[#This Row],[UDC]],TableSPUCINARS[],7,FALSE),"")</f>
        <v/>
      </c>
      <c r="R78" s="83" t="str">
        <f>IFERROR(VLOOKUP(TableHandbook[[#This Row],[UDC]],TableSPUCINENT[],7,FALSE),"")</f>
        <v/>
      </c>
      <c r="S78" s="83" t="str">
        <f>IFERROR(VLOOKUP(TableHandbook[[#This Row],[UDC]],TableSPUCPROPT[],7,FALSE),"")</f>
        <v/>
      </c>
      <c r="T78" s="83" t="str">
        <f>IFERROR(VLOOKUP(TableHandbook[[#This Row],[UDC]],TableSPUCURDES[],7,FALSE),"")</f>
        <v/>
      </c>
    </row>
    <row r="79" spans="1:20" x14ac:dyDescent="0.25">
      <c r="A79" s="17" t="s">
        <v>108</v>
      </c>
      <c r="B79" s="18">
        <v>1</v>
      </c>
      <c r="C79" s="18"/>
      <c r="D79" s="78" t="s">
        <v>107</v>
      </c>
      <c r="E79" s="18">
        <v>100</v>
      </c>
      <c r="F79" s="81"/>
      <c r="G79" s="82" t="str">
        <f>IFERROR(IF(VLOOKUP(TableHandbook[[#This Row],[UDC]],TableAvailabilities[],2,FALSE)&gt;0,"Y",""),"")</f>
        <v/>
      </c>
      <c r="H79" s="82" t="str">
        <f>IFERROR(IF(VLOOKUP(TableHandbook[[#This Row],[UDC]],TableAvailabilities[],3,FALSE)&gt;0,"Y",""),"")</f>
        <v/>
      </c>
      <c r="I79" s="82" t="str">
        <f>IFERROR(IF(VLOOKUP(TableHandbook[[#This Row],[UDC]],TableAvailabilities[],4,FALSE)&gt;0,"Y",""),"")</f>
        <v/>
      </c>
      <c r="J79" s="82" t="str">
        <f>IFERROR(IF(VLOOKUP(TableHandbook[[#This Row],[UDC]],TableAvailabilities[],5,FALSE)&gt;0,"Y",""),"")</f>
        <v/>
      </c>
      <c r="K79" s="78"/>
      <c r="L79" s="83" t="str">
        <f>IFERROR(VLOOKUP(TableHandbook[[#This Row],[UDC]],TableBCONM[],7,FALSE),"")</f>
        <v>Option</v>
      </c>
      <c r="M79" s="83" t="str">
        <f>IFERROR(VLOOKUP(TableHandbook[[#This Row],[UDC]],TableSTRHCONMN[],7,FALSE),"")</f>
        <v/>
      </c>
      <c r="N79" s="83" t="str">
        <f>IFERROR(VLOOKUP(TableHandbook[[#This Row],[UDC]],TableSTRUCONMN[],7,FALSE),"")</f>
        <v/>
      </c>
      <c r="O79" s="83" t="str">
        <f>IFERROR(VLOOKUP(TableHandbook[[#This Row],[UDC]],TableSPUCANGAD[],7,FALSE),"")</f>
        <v/>
      </c>
      <c r="P79" s="83" t="str">
        <f>IFERROR(VLOOKUP(TableHandbook[[#This Row],[UDC]],TableSPUCFINCE[],7,FALSE),"")</f>
        <v/>
      </c>
      <c r="Q79" s="83" t="str">
        <f>IFERROR(VLOOKUP(TableHandbook[[#This Row],[UDC]],TableSPUCINARS[],7,FALSE),"")</f>
        <v/>
      </c>
      <c r="R79" s="83" t="str">
        <f>IFERROR(VLOOKUP(TableHandbook[[#This Row],[UDC]],TableSPUCINENT[],7,FALSE),"")</f>
        <v/>
      </c>
      <c r="S79" s="83" t="str">
        <f>IFERROR(VLOOKUP(TableHandbook[[#This Row],[UDC]],TableSPUCPROPT[],7,FALSE),"")</f>
        <v/>
      </c>
      <c r="T79" s="83" t="str">
        <f>IFERROR(VLOOKUP(TableHandbook[[#This Row],[UDC]],TableSPUCURDES[],7,FALSE),"")</f>
        <v/>
      </c>
    </row>
    <row r="80" spans="1:20" x14ac:dyDescent="0.25">
      <c r="A80" s="17" t="s">
        <v>110</v>
      </c>
      <c r="B80" s="18">
        <v>3</v>
      </c>
      <c r="C80" s="18"/>
      <c r="D80" s="78" t="s">
        <v>109</v>
      </c>
      <c r="E80" s="18">
        <v>100</v>
      </c>
      <c r="F80" s="81"/>
      <c r="G80" s="82" t="str">
        <f>IFERROR(IF(VLOOKUP(TableHandbook[[#This Row],[UDC]],TableAvailabilities[],2,FALSE)&gt;0,"Y",""),"")</f>
        <v/>
      </c>
      <c r="H80" s="82" t="str">
        <f>IFERROR(IF(VLOOKUP(TableHandbook[[#This Row],[UDC]],TableAvailabilities[],3,FALSE)&gt;0,"Y",""),"")</f>
        <v/>
      </c>
      <c r="I80" s="82" t="str">
        <f>IFERROR(IF(VLOOKUP(TableHandbook[[#This Row],[UDC]],TableAvailabilities[],4,FALSE)&gt;0,"Y",""),"")</f>
        <v/>
      </c>
      <c r="J80" s="82" t="str">
        <f>IFERROR(IF(VLOOKUP(TableHandbook[[#This Row],[UDC]],TableAvailabilities[],5,FALSE)&gt;0,"Y",""),"")</f>
        <v/>
      </c>
      <c r="K80" s="78"/>
      <c r="L80" s="83" t="str">
        <f>IFERROR(VLOOKUP(TableHandbook[[#This Row],[UDC]],TableBCONM[],7,FALSE),"")</f>
        <v>Option</v>
      </c>
      <c r="M80" s="83" t="str">
        <f>IFERROR(VLOOKUP(TableHandbook[[#This Row],[UDC]],TableSTRHCONMN[],7,FALSE),"")</f>
        <v/>
      </c>
      <c r="N80" s="83" t="str">
        <f>IFERROR(VLOOKUP(TableHandbook[[#This Row],[UDC]],TableSTRUCONMN[],7,FALSE),"")</f>
        <v/>
      </c>
      <c r="O80" s="83" t="str">
        <f>IFERROR(VLOOKUP(TableHandbook[[#This Row],[UDC]],TableSPUCANGAD[],7,FALSE),"")</f>
        <v/>
      </c>
      <c r="P80" s="83" t="str">
        <f>IFERROR(VLOOKUP(TableHandbook[[#This Row],[UDC]],TableSPUCFINCE[],7,FALSE),"")</f>
        <v/>
      </c>
      <c r="Q80" s="83" t="str">
        <f>IFERROR(VLOOKUP(TableHandbook[[#This Row],[UDC]],TableSPUCINARS[],7,FALSE),"")</f>
        <v/>
      </c>
      <c r="R80" s="83" t="str">
        <f>IFERROR(VLOOKUP(TableHandbook[[#This Row],[UDC]],TableSPUCINENT[],7,FALSE),"")</f>
        <v/>
      </c>
      <c r="S80" s="83" t="str">
        <f>IFERROR(VLOOKUP(TableHandbook[[#This Row],[UDC]],TableSPUCPROPT[],7,FALSE),"")</f>
        <v/>
      </c>
      <c r="T80" s="83" t="str">
        <f>IFERROR(VLOOKUP(TableHandbook[[#This Row],[UDC]],TableSPUCURDES[],7,FALSE),"")</f>
        <v/>
      </c>
    </row>
    <row r="81" spans="1:20" x14ac:dyDescent="0.25">
      <c r="A81" s="17" t="s">
        <v>113</v>
      </c>
      <c r="B81" s="18">
        <v>1</v>
      </c>
      <c r="C81" s="18"/>
      <c r="D81" s="78" t="s">
        <v>112</v>
      </c>
      <c r="E81" s="18">
        <v>100</v>
      </c>
      <c r="F81" s="81"/>
      <c r="G81" s="82" t="str">
        <f>IFERROR(IF(VLOOKUP(TableHandbook[[#This Row],[UDC]],TableAvailabilities[],2,FALSE)&gt;0,"Y",""),"")</f>
        <v/>
      </c>
      <c r="H81" s="82" t="str">
        <f>IFERROR(IF(VLOOKUP(TableHandbook[[#This Row],[UDC]],TableAvailabilities[],3,FALSE)&gt;0,"Y",""),"")</f>
        <v/>
      </c>
      <c r="I81" s="82" t="str">
        <f>IFERROR(IF(VLOOKUP(TableHandbook[[#This Row],[UDC]],TableAvailabilities[],4,FALSE)&gt;0,"Y",""),"")</f>
        <v/>
      </c>
      <c r="J81" s="82" t="str">
        <f>IFERROR(IF(VLOOKUP(TableHandbook[[#This Row],[UDC]],TableAvailabilities[],5,FALSE)&gt;0,"Y",""),"")</f>
        <v/>
      </c>
      <c r="K81" s="78" t="s">
        <v>335</v>
      </c>
      <c r="L81" s="83" t="str">
        <f>IFERROR(VLOOKUP(TableHandbook[[#This Row],[UDC]],TableBCONM[],7,FALSE),"")</f>
        <v>Option</v>
      </c>
      <c r="M81" s="83" t="str">
        <f>IFERROR(VLOOKUP(TableHandbook[[#This Row],[UDC]],TableSTRHCONMN[],7,FALSE),"")</f>
        <v/>
      </c>
      <c r="N81" s="83" t="str">
        <f>IFERROR(VLOOKUP(TableHandbook[[#This Row],[UDC]],TableSTRUCONMN[],7,FALSE),"")</f>
        <v/>
      </c>
      <c r="O81" s="83" t="str">
        <f>IFERROR(VLOOKUP(TableHandbook[[#This Row],[UDC]],TableSPUCANGAD[],7,FALSE),"")</f>
        <v/>
      </c>
      <c r="P81" s="83" t="str">
        <f>IFERROR(VLOOKUP(TableHandbook[[#This Row],[UDC]],TableSPUCFINCE[],7,FALSE),"")</f>
        <v/>
      </c>
      <c r="Q81" s="83" t="str">
        <f>IFERROR(VLOOKUP(TableHandbook[[#This Row],[UDC]],TableSPUCINARS[],7,FALSE),"")</f>
        <v/>
      </c>
      <c r="R81" s="83" t="str">
        <f>IFERROR(VLOOKUP(TableHandbook[[#This Row],[UDC]],TableSPUCINENT[],7,FALSE),"")</f>
        <v/>
      </c>
      <c r="S81" s="83" t="str">
        <f>IFERROR(VLOOKUP(TableHandbook[[#This Row],[UDC]],TableSPUCPROPT[],7,FALSE),"")</f>
        <v/>
      </c>
      <c r="T81" s="83" t="str">
        <f>IFERROR(VLOOKUP(TableHandbook[[#This Row],[UDC]],TableSPUCURDES[],7,FALSE),"")</f>
        <v/>
      </c>
    </row>
    <row r="82" spans="1:20" x14ac:dyDescent="0.25">
      <c r="A82" s="17" t="s">
        <v>116</v>
      </c>
      <c r="B82" s="18">
        <v>2</v>
      </c>
      <c r="C82" s="18"/>
      <c r="D82" s="78" t="s">
        <v>115</v>
      </c>
      <c r="E82" s="18">
        <v>100</v>
      </c>
      <c r="F82" s="81"/>
      <c r="G82" s="82" t="str">
        <f>IFERROR(IF(VLOOKUP(TableHandbook[[#This Row],[UDC]],TableAvailabilities[],2,FALSE)&gt;0,"Y",""),"")</f>
        <v/>
      </c>
      <c r="H82" s="82" t="str">
        <f>IFERROR(IF(VLOOKUP(TableHandbook[[#This Row],[UDC]],TableAvailabilities[],3,FALSE)&gt;0,"Y",""),"")</f>
        <v/>
      </c>
      <c r="I82" s="82" t="str">
        <f>IFERROR(IF(VLOOKUP(TableHandbook[[#This Row],[UDC]],TableAvailabilities[],4,FALSE)&gt;0,"Y",""),"")</f>
        <v/>
      </c>
      <c r="J82" s="82" t="str">
        <f>IFERROR(IF(VLOOKUP(TableHandbook[[#This Row],[UDC]],TableAvailabilities[],5,FALSE)&gt;0,"Y",""),"")</f>
        <v/>
      </c>
      <c r="K82" s="78" t="s">
        <v>336</v>
      </c>
      <c r="L82" s="83" t="str">
        <f>IFERROR(VLOOKUP(TableHandbook[[#This Row],[UDC]],TableBCONM[],7,FALSE),"")</f>
        <v>Option</v>
      </c>
      <c r="M82" s="83" t="str">
        <f>IFERROR(VLOOKUP(TableHandbook[[#This Row],[UDC]],TableSTRHCONMN[],7,FALSE),"")</f>
        <v/>
      </c>
      <c r="N82" s="83" t="str">
        <f>IFERROR(VLOOKUP(TableHandbook[[#This Row],[UDC]],TableSTRUCONMN[],7,FALSE),"")</f>
        <v/>
      </c>
      <c r="O82" s="83" t="str">
        <f>IFERROR(VLOOKUP(TableHandbook[[#This Row],[UDC]],TableSPUCANGAD[],7,FALSE),"")</f>
        <v/>
      </c>
      <c r="P82" s="83" t="str">
        <f>IFERROR(VLOOKUP(TableHandbook[[#This Row],[UDC]],TableSPUCFINCE[],7,FALSE),"")</f>
        <v/>
      </c>
      <c r="Q82" s="83" t="str">
        <f>IFERROR(VLOOKUP(TableHandbook[[#This Row],[UDC]],TableSPUCINARS[],7,FALSE),"")</f>
        <v/>
      </c>
      <c r="R82" s="83" t="str">
        <f>IFERROR(VLOOKUP(TableHandbook[[#This Row],[UDC]],TableSPUCINENT[],7,FALSE),"")</f>
        <v/>
      </c>
      <c r="S82" s="83" t="str">
        <f>IFERROR(VLOOKUP(TableHandbook[[#This Row],[UDC]],TableSPUCPROPT[],7,FALSE),"")</f>
        <v/>
      </c>
      <c r="T82" s="83" t="str">
        <f>IFERROR(VLOOKUP(TableHandbook[[#This Row],[UDC]],TableSPUCURDES[],7,FALSE),"")</f>
        <v/>
      </c>
    </row>
    <row r="83" spans="1:20" x14ac:dyDescent="0.25">
      <c r="A83" s="17" t="s">
        <v>120</v>
      </c>
      <c r="B83" s="18">
        <v>1</v>
      </c>
      <c r="C83" s="18"/>
      <c r="D83" s="78" t="s">
        <v>119</v>
      </c>
      <c r="E83" s="18">
        <v>100</v>
      </c>
      <c r="F83" s="81"/>
      <c r="G83" s="82" t="str">
        <f>IFERROR(IF(VLOOKUP(TableHandbook[[#This Row],[UDC]],TableAvailabilities[],2,FALSE)&gt;0,"Y",""),"")</f>
        <v/>
      </c>
      <c r="H83" s="82" t="str">
        <f>IFERROR(IF(VLOOKUP(TableHandbook[[#This Row],[UDC]],TableAvailabilities[],3,FALSE)&gt;0,"Y",""),"")</f>
        <v/>
      </c>
      <c r="I83" s="82" t="str">
        <f>IFERROR(IF(VLOOKUP(TableHandbook[[#This Row],[UDC]],TableAvailabilities[],4,FALSE)&gt;0,"Y",""),"")</f>
        <v/>
      </c>
      <c r="J83" s="82" t="str">
        <f>IFERROR(IF(VLOOKUP(TableHandbook[[#This Row],[UDC]],TableAvailabilities[],5,FALSE)&gt;0,"Y",""),"")</f>
        <v/>
      </c>
      <c r="K83" s="78"/>
      <c r="L83" s="83" t="str">
        <f>IFERROR(VLOOKUP(TableHandbook[[#This Row],[UDC]],TableBCONM[],7,FALSE),"")</f>
        <v>Option</v>
      </c>
      <c r="M83" s="83" t="str">
        <f>IFERROR(VLOOKUP(TableHandbook[[#This Row],[UDC]],TableSTRHCONMN[],7,FALSE),"")</f>
        <v/>
      </c>
      <c r="N83" s="83" t="str">
        <f>IFERROR(VLOOKUP(TableHandbook[[#This Row],[UDC]],TableSTRUCONMN[],7,FALSE),"")</f>
        <v/>
      </c>
      <c r="O83" s="83" t="str">
        <f>IFERROR(VLOOKUP(TableHandbook[[#This Row],[UDC]],TableSPUCANGAD[],7,FALSE),"")</f>
        <v/>
      </c>
      <c r="P83" s="83" t="str">
        <f>IFERROR(VLOOKUP(TableHandbook[[#This Row],[UDC]],TableSPUCFINCE[],7,FALSE),"")</f>
        <v/>
      </c>
      <c r="Q83" s="83" t="str">
        <f>IFERROR(VLOOKUP(TableHandbook[[#This Row],[UDC]],TableSPUCINARS[],7,FALSE),"")</f>
        <v/>
      </c>
      <c r="R83" s="83" t="str">
        <f>IFERROR(VLOOKUP(TableHandbook[[#This Row],[UDC]],TableSPUCINENT[],7,FALSE),"")</f>
        <v/>
      </c>
      <c r="S83" s="83" t="str">
        <f>IFERROR(VLOOKUP(TableHandbook[[#This Row],[UDC]],TableSPUCPROPT[],7,FALSE),"")</f>
        <v/>
      </c>
      <c r="T83" s="83" t="str">
        <f>IFERROR(VLOOKUP(TableHandbook[[#This Row],[UDC]],TableSPUCURDES[],7,FALSE),"")</f>
        <v/>
      </c>
    </row>
    <row r="84" spans="1:20" x14ac:dyDescent="0.25">
      <c r="A84" s="17" t="s">
        <v>337</v>
      </c>
      <c r="B84" s="18">
        <v>1</v>
      </c>
      <c r="C84" s="18"/>
      <c r="D84" s="78" t="s">
        <v>338</v>
      </c>
      <c r="E84" s="18">
        <v>100</v>
      </c>
      <c r="F84" s="81"/>
      <c r="G84" s="82" t="str">
        <f>IFERROR(IF(VLOOKUP(TableHandbook[[#This Row],[UDC]],TableAvailabilities[],2,FALSE)&gt;0,"Y",""),"")</f>
        <v/>
      </c>
      <c r="H84" s="82" t="str">
        <f>IFERROR(IF(VLOOKUP(TableHandbook[[#This Row],[UDC]],TableAvailabilities[],3,FALSE)&gt;0,"Y",""),"")</f>
        <v/>
      </c>
      <c r="I84" s="82" t="str">
        <f>IFERROR(IF(VLOOKUP(TableHandbook[[#This Row],[UDC]],TableAvailabilities[],4,FALSE)&gt;0,"Y",""),"")</f>
        <v/>
      </c>
      <c r="J84" s="82" t="str">
        <f>IFERROR(IF(VLOOKUP(TableHandbook[[#This Row],[UDC]],TableAvailabilities[],5,FALSE)&gt;0,"Y",""),"")</f>
        <v/>
      </c>
      <c r="K84" s="116" t="s">
        <v>339</v>
      </c>
      <c r="L84" s="83" t="str">
        <f>IFERROR(VLOOKUP(TableHandbook[[#This Row],[UDC]],TableBCONM[],7,FALSE),"")</f>
        <v>Option</v>
      </c>
      <c r="M84" s="83" t="str">
        <f>IFERROR(VLOOKUP(TableHandbook[[#This Row],[UDC]],TableSTRHCONMN[],7,FALSE),"")</f>
        <v/>
      </c>
      <c r="N84" s="83" t="str">
        <f>IFERROR(VLOOKUP(TableHandbook[[#This Row],[UDC]],TableSTRUCONMN[],7,FALSE),"")</f>
        <v/>
      </c>
      <c r="O84" s="83" t="str">
        <f>IFERROR(VLOOKUP(TableHandbook[[#This Row],[UDC]],TableSPUCANGAD[],7,FALSE),"")</f>
        <v/>
      </c>
      <c r="P84" s="83" t="str">
        <f>IFERROR(VLOOKUP(TableHandbook[[#This Row],[UDC]],TableSPUCFINCE[],7,FALSE),"")</f>
        <v/>
      </c>
      <c r="Q84" s="83" t="str">
        <f>IFERROR(VLOOKUP(TableHandbook[[#This Row],[UDC]],TableSPUCINARS[],7,FALSE),"")</f>
        <v/>
      </c>
      <c r="R84" s="83" t="str">
        <f>IFERROR(VLOOKUP(TableHandbook[[#This Row],[UDC]],TableSPUCINENT[],7,FALSE),"")</f>
        <v/>
      </c>
      <c r="S84" s="83" t="str">
        <f>IFERROR(VLOOKUP(TableHandbook[[#This Row],[UDC]],TableSPUCPROPT[],7,FALSE),"")</f>
        <v/>
      </c>
      <c r="T84" s="83" t="str">
        <f>IFERROR(VLOOKUP(TableHandbook[[#This Row],[UDC]],TableSPUCURDES[],7,FALSE),"")</f>
        <v/>
      </c>
    </row>
    <row r="85" spans="1:20" x14ac:dyDescent="0.25">
      <c r="A85" s="17" t="s">
        <v>95</v>
      </c>
      <c r="B85" s="18">
        <v>3</v>
      </c>
      <c r="C85" s="18"/>
      <c r="D85" s="78" t="s">
        <v>94</v>
      </c>
      <c r="E85" s="18">
        <v>200</v>
      </c>
      <c r="F85" s="81"/>
      <c r="G85" s="82" t="str">
        <f>IFERROR(IF(VLOOKUP(TableHandbook[[#This Row],[UDC]],TableAvailabilities[],2,FALSE)&gt;0,"Y",""),"")</f>
        <v/>
      </c>
      <c r="H85" s="82" t="str">
        <f>IFERROR(IF(VLOOKUP(TableHandbook[[#This Row],[UDC]],TableAvailabilities[],3,FALSE)&gt;0,"Y",""),"")</f>
        <v/>
      </c>
      <c r="I85" s="82" t="str">
        <f>IFERROR(IF(VLOOKUP(TableHandbook[[#This Row],[UDC]],TableAvailabilities[],4,FALSE)&gt;0,"Y",""),"")</f>
        <v/>
      </c>
      <c r="J85" s="82" t="str">
        <f>IFERROR(IF(VLOOKUP(TableHandbook[[#This Row],[UDC]],TableAvailabilities[],5,FALSE)&gt;0,"Y",""),"")</f>
        <v/>
      </c>
      <c r="K85" s="78"/>
      <c r="L85" s="83" t="str">
        <f>IFERROR(VLOOKUP(TableHandbook[[#This Row],[UDC]],TableBCONM[],7,FALSE),"")</f>
        <v>AltCore</v>
      </c>
      <c r="M85" s="83" t="str">
        <f>IFERROR(VLOOKUP(TableHandbook[[#This Row],[UDC]],TableSTRHCONMN[],7,FALSE),"")</f>
        <v/>
      </c>
      <c r="N85" s="83" t="str">
        <f>IFERROR(VLOOKUP(TableHandbook[[#This Row],[UDC]],TableSTRUCONMN[],7,FALSE),"")</f>
        <v/>
      </c>
      <c r="O85" s="83" t="str">
        <f>IFERROR(VLOOKUP(TableHandbook[[#This Row],[UDC]],TableSPUCANGAD[],7,FALSE),"")</f>
        <v/>
      </c>
      <c r="P85" s="83" t="str">
        <f>IFERROR(VLOOKUP(TableHandbook[[#This Row],[UDC]],TableSPUCFINCE[],7,FALSE),"")</f>
        <v/>
      </c>
      <c r="Q85" s="83" t="str">
        <f>IFERROR(VLOOKUP(TableHandbook[[#This Row],[UDC]],TableSPUCINARS[],7,FALSE),"")</f>
        <v/>
      </c>
      <c r="R85" s="83" t="str">
        <f>IFERROR(VLOOKUP(TableHandbook[[#This Row],[UDC]],TableSPUCINENT[],7,FALSE),"")</f>
        <v/>
      </c>
      <c r="S85" s="83" t="str">
        <f>IFERROR(VLOOKUP(TableHandbook[[#This Row],[UDC]],TableSPUCPROPT[],7,FALSE),"")</f>
        <v/>
      </c>
      <c r="T85" s="83" t="str">
        <f>IFERROR(VLOOKUP(TableHandbook[[#This Row],[UDC]],TableSPUCURDES[],7,FALSE),"")</f>
        <v/>
      </c>
    </row>
    <row r="86" spans="1:20" x14ac:dyDescent="0.25">
      <c r="A86" s="17" t="s">
        <v>90</v>
      </c>
      <c r="B86" s="18">
        <v>3</v>
      </c>
      <c r="C86" s="18"/>
      <c r="D86" s="78" t="s">
        <v>89</v>
      </c>
      <c r="E86" s="18">
        <v>200</v>
      </c>
      <c r="F86" s="81"/>
      <c r="G86" s="82" t="str">
        <f>IFERROR(IF(VLOOKUP(TableHandbook[[#This Row],[UDC]],TableAvailabilities[],2,FALSE)&gt;0,"Y",""),"")</f>
        <v/>
      </c>
      <c r="H86" s="82" t="str">
        <f>IFERROR(IF(VLOOKUP(TableHandbook[[#This Row],[UDC]],TableAvailabilities[],3,FALSE)&gt;0,"Y",""),"")</f>
        <v/>
      </c>
      <c r="I86" s="82" t="str">
        <f>IFERROR(IF(VLOOKUP(TableHandbook[[#This Row],[UDC]],TableAvailabilities[],4,FALSE)&gt;0,"Y",""),"")</f>
        <v/>
      </c>
      <c r="J86" s="82" t="str">
        <f>IFERROR(IF(VLOOKUP(TableHandbook[[#This Row],[UDC]],TableAvailabilities[],5,FALSE)&gt;0,"Y",""),"")</f>
        <v/>
      </c>
      <c r="K86" s="78"/>
      <c r="L86" s="83" t="str">
        <f>IFERROR(VLOOKUP(TableHandbook[[#This Row],[UDC]],TableBCONM[],7,FALSE),"")</f>
        <v>AltCore</v>
      </c>
      <c r="M86" s="83" t="str">
        <f>IFERROR(VLOOKUP(TableHandbook[[#This Row],[UDC]],TableSTRHCONMN[],7,FALSE),"")</f>
        <v/>
      </c>
      <c r="N86" s="83" t="str">
        <f>IFERROR(VLOOKUP(TableHandbook[[#This Row],[UDC]],TableSTRUCONMN[],7,FALSE),"")</f>
        <v/>
      </c>
      <c r="O86" s="83" t="str">
        <f>IFERROR(VLOOKUP(TableHandbook[[#This Row],[UDC]],TableSPUCANGAD[],7,FALSE),"")</f>
        <v/>
      </c>
      <c r="P86" s="83" t="str">
        <f>IFERROR(VLOOKUP(TableHandbook[[#This Row],[UDC]],TableSPUCFINCE[],7,FALSE),"")</f>
        <v/>
      </c>
      <c r="Q86" s="83" t="str">
        <f>IFERROR(VLOOKUP(TableHandbook[[#This Row],[UDC]],TableSPUCINARS[],7,FALSE),"")</f>
        <v/>
      </c>
      <c r="R86" s="83" t="str">
        <f>IFERROR(VLOOKUP(TableHandbook[[#This Row],[UDC]],TableSPUCINENT[],7,FALSE),"")</f>
        <v/>
      </c>
      <c r="S86" s="83" t="str">
        <f>IFERROR(VLOOKUP(TableHandbook[[#This Row],[UDC]],TableSPUCPROPT[],7,FALSE),"")</f>
        <v/>
      </c>
      <c r="T86" s="83" t="str">
        <f>IFERROR(VLOOKUP(TableHandbook[[#This Row],[UDC]],TableSPUCURDES[],7,FALSE),"")</f>
        <v/>
      </c>
    </row>
    <row r="87" spans="1:20" x14ac:dyDescent="0.25">
      <c r="A87" s="17" t="s">
        <v>153</v>
      </c>
      <c r="B87" s="18">
        <v>1</v>
      </c>
      <c r="C87" s="18"/>
      <c r="D87" s="78" t="s">
        <v>340</v>
      </c>
      <c r="E87" s="18">
        <v>25</v>
      </c>
      <c r="F87" s="81" t="s">
        <v>242</v>
      </c>
      <c r="G87" s="82" t="str">
        <f>IFERROR(IF(VLOOKUP(TableHandbook[[#This Row],[UDC]],TableAvailabilities[],2,FALSE)&gt;0,"Y",""),"")</f>
        <v>Y</v>
      </c>
      <c r="H87" s="82" t="str">
        <f>IFERROR(IF(VLOOKUP(TableHandbook[[#This Row],[UDC]],TableAvailabilities[],3,FALSE)&gt;0,"Y",""),"")</f>
        <v/>
      </c>
      <c r="I87" s="82" t="str">
        <f>IFERROR(IF(VLOOKUP(TableHandbook[[#This Row],[UDC]],TableAvailabilities[],4,FALSE)&gt;0,"Y",""),"")</f>
        <v/>
      </c>
      <c r="J87" s="82" t="str">
        <f>IFERROR(IF(VLOOKUP(TableHandbook[[#This Row],[UDC]],TableAvailabilities[],5,FALSE)&gt;0,"Y",""),"")</f>
        <v/>
      </c>
      <c r="K87" s="78"/>
      <c r="L87" s="83" t="str">
        <f>IFERROR(VLOOKUP(TableHandbook[[#This Row],[UDC]],TableBCONM[],7,FALSE),"")</f>
        <v/>
      </c>
      <c r="M87" s="83" t="str">
        <f>IFERROR(VLOOKUP(TableHandbook[[#This Row],[UDC]],TableSTRHCONMN[],7,FALSE),"")</f>
        <v/>
      </c>
      <c r="N87" s="83" t="str">
        <f>IFERROR(VLOOKUP(TableHandbook[[#This Row],[UDC]],TableSTRUCONMN[],7,FALSE),"")</f>
        <v/>
      </c>
      <c r="O87" s="83" t="str">
        <f>IFERROR(VLOOKUP(TableHandbook[[#This Row],[UDC]],TableSPUCANGAD[],7,FALSE),"")</f>
        <v/>
      </c>
      <c r="P87" s="83" t="str">
        <f>IFERROR(VLOOKUP(TableHandbook[[#This Row],[UDC]],TableSPUCFINCE[],7,FALSE),"")</f>
        <v/>
      </c>
      <c r="Q87" s="83" t="str">
        <f>IFERROR(VLOOKUP(TableHandbook[[#This Row],[UDC]],TableSPUCINARS[],7,FALSE),"")</f>
        <v/>
      </c>
      <c r="R87" s="83" t="str">
        <f>IFERROR(VLOOKUP(TableHandbook[[#This Row],[UDC]],TableSPUCINENT[],7,FALSE),"")</f>
        <v/>
      </c>
      <c r="S87" s="83" t="str">
        <f>IFERROR(VLOOKUP(TableHandbook[[#This Row],[UDC]],TableSPUCPROPT[],7,FALSE),"")</f>
        <v/>
      </c>
      <c r="T87" s="83" t="str">
        <f>IFERROR(VLOOKUP(TableHandbook[[#This Row],[UDC]],TableSPUCURDES[],7,FALSE),"")</f>
        <v>Core</v>
      </c>
    </row>
    <row r="88" spans="1:20" x14ac:dyDescent="0.25">
      <c r="A88" s="17" t="s">
        <v>161</v>
      </c>
      <c r="B88" s="18">
        <v>1</v>
      </c>
      <c r="C88" s="18"/>
      <c r="D88" s="78" t="s">
        <v>341</v>
      </c>
      <c r="E88" s="18">
        <v>25</v>
      </c>
      <c r="F88" s="81" t="s">
        <v>242</v>
      </c>
      <c r="G88" s="82" t="str">
        <f>IFERROR(IF(VLOOKUP(TableHandbook[[#This Row],[UDC]],TableAvailabilities[],2,FALSE)&gt;0,"Y",""),"")</f>
        <v/>
      </c>
      <c r="H88" s="82" t="str">
        <f>IFERROR(IF(VLOOKUP(TableHandbook[[#This Row],[UDC]],TableAvailabilities[],3,FALSE)&gt;0,"Y",""),"")</f>
        <v/>
      </c>
      <c r="I88" s="82" t="str">
        <f>IFERROR(IF(VLOOKUP(TableHandbook[[#This Row],[UDC]],TableAvailabilities[],4,FALSE)&gt;0,"Y",""),"")</f>
        <v>Y</v>
      </c>
      <c r="J88" s="82" t="str">
        <f>IFERROR(IF(VLOOKUP(TableHandbook[[#This Row],[UDC]],TableAvailabilities[],5,FALSE)&gt;0,"Y",""),"")</f>
        <v/>
      </c>
      <c r="K88" s="78"/>
      <c r="L88" s="83" t="str">
        <f>IFERROR(VLOOKUP(TableHandbook[[#This Row],[UDC]],TableBCONM[],7,FALSE),"")</f>
        <v/>
      </c>
      <c r="M88" s="83" t="str">
        <f>IFERROR(VLOOKUP(TableHandbook[[#This Row],[UDC]],TableSTRHCONMN[],7,FALSE),"")</f>
        <v/>
      </c>
      <c r="N88" s="83" t="str">
        <f>IFERROR(VLOOKUP(TableHandbook[[#This Row],[UDC]],TableSTRUCONMN[],7,FALSE),"")</f>
        <v/>
      </c>
      <c r="O88" s="83" t="str">
        <f>IFERROR(VLOOKUP(TableHandbook[[#This Row],[UDC]],TableSPUCANGAD[],7,FALSE),"")</f>
        <v/>
      </c>
      <c r="P88" s="83" t="str">
        <f>IFERROR(VLOOKUP(TableHandbook[[#This Row],[UDC]],TableSPUCFINCE[],7,FALSE),"")</f>
        <v/>
      </c>
      <c r="Q88" s="83" t="str">
        <f>IFERROR(VLOOKUP(TableHandbook[[#This Row],[UDC]],TableSPUCINARS[],7,FALSE),"")</f>
        <v/>
      </c>
      <c r="R88" s="83" t="str">
        <f>IFERROR(VLOOKUP(TableHandbook[[#This Row],[UDC]],TableSPUCINENT[],7,FALSE),"")</f>
        <v/>
      </c>
      <c r="S88" s="83" t="str">
        <f>IFERROR(VLOOKUP(TableHandbook[[#This Row],[UDC]],TableSPUCPROPT[],7,FALSE),"")</f>
        <v/>
      </c>
      <c r="T88" s="83" t="str">
        <f>IFERROR(VLOOKUP(TableHandbook[[#This Row],[UDC]],TableSPUCURDES[],7,FALSE),"")</f>
        <v>Core</v>
      </c>
    </row>
    <row r="89" spans="1:20" x14ac:dyDescent="0.25">
      <c r="A89" s="17" t="s">
        <v>173</v>
      </c>
      <c r="B89" s="18">
        <v>1</v>
      </c>
      <c r="C89" s="18"/>
      <c r="D89" s="78" t="s">
        <v>342</v>
      </c>
      <c r="E89" s="18">
        <v>25</v>
      </c>
      <c r="F89" s="113" t="s">
        <v>153</v>
      </c>
      <c r="G89" s="82" t="str">
        <f>IFERROR(IF(VLOOKUP(TableHandbook[[#This Row],[UDC]],TableAvailabilities[],2,FALSE)&gt;0,"Y",""),"")</f>
        <v/>
      </c>
      <c r="H89" s="82" t="str">
        <f>IFERROR(IF(VLOOKUP(TableHandbook[[#This Row],[UDC]],TableAvailabilities[],3,FALSE)&gt;0,"Y",""),"")</f>
        <v/>
      </c>
      <c r="I89" s="82" t="str">
        <f>IFERROR(IF(VLOOKUP(TableHandbook[[#This Row],[UDC]],TableAvailabilities[],4,FALSE)&gt;0,"Y",""),"")</f>
        <v>Y</v>
      </c>
      <c r="J89" s="82" t="str">
        <f>IFERROR(IF(VLOOKUP(TableHandbook[[#This Row],[UDC]],TableAvailabilities[],5,FALSE)&gt;0,"Y",""),"")</f>
        <v/>
      </c>
      <c r="K89" s="78"/>
      <c r="L89" s="83" t="str">
        <f>IFERROR(VLOOKUP(TableHandbook[[#This Row],[UDC]],TableBCONM[],7,FALSE),"")</f>
        <v/>
      </c>
      <c r="M89" s="83" t="str">
        <f>IFERROR(VLOOKUP(TableHandbook[[#This Row],[UDC]],TableSTRHCONMN[],7,FALSE),"")</f>
        <v/>
      </c>
      <c r="N89" s="83" t="str">
        <f>IFERROR(VLOOKUP(TableHandbook[[#This Row],[UDC]],TableSTRUCONMN[],7,FALSE),"")</f>
        <v/>
      </c>
      <c r="O89" s="83" t="str">
        <f>IFERROR(VLOOKUP(TableHandbook[[#This Row],[UDC]],TableSPUCANGAD[],7,FALSE),"")</f>
        <v/>
      </c>
      <c r="P89" s="83" t="str">
        <f>IFERROR(VLOOKUP(TableHandbook[[#This Row],[UDC]],TableSPUCFINCE[],7,FALSE),"")</f>
        <v/>
      </c>
      <c r="Q89" s="83" t="str">
        <f>IFERROR(VLOOKUP(TableHandbook[[#This Row],[UDC]],TableSPUCINARS[],7,FALSE),"")</f>
        <v/>
      </c>
      <c r="R89" s="83" t="str">
        <f>IFERROR(VLOOKUP(TableHandbook[[#This Row],[UDC]],TableSPUCINENT[],7,FALSE),"")</f>
        <v/>
      </c>
      <c r="S89" s="83" t="str">
        <f>IFERROR(VLOOKUP(TableHandbook[[#This Row],[UDC]],TableSPUCPROPT[],7,FALSE),"")</f>
        <v/>
      </c>
      <c r="T89" s="83" t="str">
        <f>IFERROR(VLOOKUP(TableHandbook[[#This Row],[UDC]],TableSPUCURDES[],7,FALSE),"")</f>
        <v>Core</v>
      </c>
    </row>
    <row r="90" spans="1:20" x14ac:dyDescent="0.25">
      <c r="A90" s="17" t="s">
        <v>167</v>
      </c>
      <c r="B90" s="18">
        <v>1</v>
      </c>
      <c r="C90" s="18"/>
      <c r="D90" s="78" t="s">
        <v>343</v>
      </c>
      <c r="E90" s="18">
        <v>25</v>
      </c>
      <c r="F90" s="109" t="s">
        <v>344</v>
      </c>
      <c r="G90" s="82" t="str">
        <f>IFERROR(IF(VLOOKUP(TableHandbook[[#This Row],[UDC]],TableAvailabilities[],2,FALSE)&gt;0,"Y",""),"")</f>
        <v>Y</v>
      </c>
      <c r="H90" s="82" t="str">
        <f>IFERROR(IF(VLOOKUP(TableHandbook[[#This Row],[UDC]],TableAvailabilities[],3,FALSE)&gt;0,"Y",""),"")</f>
        <v/>
      </c>
      <c r="I90" s="82" t="str">
        <f>IFERROR(IF(VLOOKUP(TableHandbook[[#This Row],[UDC]],TableAvailabilities[],4,FALSE)&gt;0,"Y",""),"")</f>
        <v/>
      </c>
      <c r="J90" s="82" t="str">
        <f>IFERROR(IF(VLOOKUP(TableHandbook[[#This Row],[UDC]],TableAvailabilities[],5,FALSE)&gt;0,"Y",""),"")</f>
        <v/>
      </c>
      <c r="K90" s="78"/>
      <c r="L90" s="83" t="str">
        <f>IFERROR(VLOOKUP(TableHandbook[[#This Row],[UDC]],TableBCONM[],7,FALSE),"")</f>
        <v/>
      </c>
      <c r="M90" s="83" t="str">
        <f>IFERROR(VLOOKUP(TableHandbook[[#This Row],[UDC]],TableSTRHCONMN[],7,FALSE),"")</f>
        <v/>
      </c>
      <c r="N90" s="83" t="str">
        <f>IFERROR(VLOOKUP(TableHandbook[[#This Row],[UDC]],TableSTRUCONMN[],7,FALSE),"")</f>
        <v/>
      </c>
      <c r="O90" s="83" t="str">
        <f>IFERROR(VLOOKUP(TableHandbook[[#This Row],[UDC]],TableSPUCANGAD[],7,FALSE),"")</f>
        <v/>
      </c>
      <c r="P90" s="83" t="str">
        <f>IFERROR(VLOOKUP(TableHandbook[[#This Row],[UDC]],TableSPUCFINCE[],7,FALSE),"")</f>
        <v/>
      </c>
      <c r="Q90" s="83" t="str">
        <f>IFERROR(VLOOKUP(TableHandbook[[#This Row],[UDC]],TableSPUCINARS[],7,FALSE),"")</f>
        <v/>
      </c>
      <c r="R90" s="83" t="str">
        <f>IFERROR(VLOOKUP(TableHandbook[[#This Row],[UDC]],TableSPUCINENT[],7,FALSE),"")</f>
        <v/>
      </c>
      <c r="S90" s="83" t="str">
        <f>IFERROR(VLOOKUP(TableHandbook[[#This Row],[UDC]],TableSPUCPROPT[],7,FALSE),"")</f>
        <v/>
      </c>
      <c r="T90" s="83" t="str">
        <f>IFERROR(VLOOKUP(TableHandbook[[#This Row],[UDC]],TableSPUCURDES[],7,FALSE),"")</f>
        <v>Core</v>
      </c>
    </row>
    <row r="91" spans="1:20" x14ac:dyDescent="0.25">
      <c r="A91" s="17" t="s">
        <v>204</v>
      </c>
      <c r="B91" s="18">
        <v>1</v>
      </c>
      <c r="C91" s="18"/>
      <c r="D91" s="78" t="s">
        <v>345</v>
      </c>
      <c r="E91" s="18">
        <v>25</v>
      </c>
      <c r="F91" s="81" t="s">
        <v>244</v>
      </c>
      <c r="G91" s="82" t="str">
        <f>IFERROR(IF(VLOOKUP(TableHandbook[[#This Row],[UDC]],TableAvailabilities[],2,FALSE)&gt;0,"Y",""),"")</f>
        <v/>
      </c>
      <c r="H91" s="82" t="str">
        <f>IFERROR(IF(VLOOKUP(TableHandbook[[#This Row],[UDC]],TableAvailabilities[],3,FALSE)&gt;0,"Y",""),"")</f>
        <v/>
      </c>
      <c r="I91" s="82" t="str">
        <f>IFERROR(IF(VLOOKUP(TableHandbook[[#This Row],[UDC]],TableAvailabilities[],4,FALSE)&gt;0,"Y",""),"")</f>
        <v/>
      </c>
      <c r="J91" s="82" t="str">
        <f>IFERROR(IF(VLOOKUP(TableHandbook[[#This Row],[UDC]],TableAvailabilities[],5,FALSE)&gt;0,"Y",""),"")</f>
        <v/>
      </c>
      <c r="K91" s="78"/>
      <c r="L91" s="83" t="str">
        <f>IFERROR(VLOOKUP(TableHandbook[[#This Row],[UDC]],TableBCONM[],7,FALSE),"")</f>
        <v/>
      </c>
      <c r="M91" s="83" t="str">
        <f>IFERROR(VLOOKUP(TableHandbook[[#This Row],[UDC]],TableSTRHCONMN[],7,FALSE),"")</f>
        <v/>
      </c>
      <c r="N91" s="83" t="str">
        <f>IFERROR(VLOOKUP(TableHandbook[[#This Row],[UDC]],TableSTRUCONMN[],7,FALSE),"")</f>
        <v/>
      </c>
      <c r="O91" s="83" t="str">
        <f>IFERROR(VLOOKUP(TableHandbook[[#This Row],[UDC]],TableSPUCANGAD[],7,FALSE),"")</f>
        <v/>
      </c>
      <c r="P91" s="83" t="str">
        <f>IFERROR(VLOOKUP(TableHandbook[[#This Row],[UDC]],TableSPUCFINCE[],7,FALSE),"")</f>
        <v/>
      </c>
      <c r="Q91" s="83" t="str">
        <f>IFERROR(VLOOKUP(TableHandbook[[#This Row],[UDC]],TableSPUCINARS[],7,FALSE),"")</f>
        <v>Option</v>
      </c>
      <c r="R91" s="83" t="str">
        <f>IFERROR(VLOOKUP(TableHandbook[[#This Row],[UDC]],TableSPUCINENT[],7,FALSE),"")</f>
        <v/>
      </c>
      <c r="S91" s="83" t="str">
        <f>IFERROR(VLOOKUP(TableHandbook[[#This Row],[UDC]],TableSPUCPROPT[],7,FALSE),"")</f>
        <v/>
      </c>
      <c r="T91" s="83" t="str">
        <f>IFERROR(VLOOKUP(TableHandbook[[#This Row],[UDC]],TableSPUCURDES[],7,FALSE),"")</f>
        <v/>
      </c>
    </row>
    <row r="92" spans="1:20" x14ac:dyDescent="0.25">
      <c r="A92" s="17" t="s">
        <v>118</v>
      </c>
      <c r="B92" s="18">
        <v>2</v>
      </c>
      <c r="C92" s="18"/>
      <c r="D92" s="78" t="s">
        <v>346</v>
      </c>
      <c r="E92" s="18">
        <v>25</v>
      </c>
      <c r="F92" s="113" t="s">
        <v>265</v>
      </c>
      <c r="G92" s="82" t="str">
        <f>IFERROR(IF(VLOOKUP(TableHandbook[[#This Row],[UDC]],TableAvailabilities[],2,FALSE)&gt;0,"Y",""),"")</f>
        <v>Y</v>
      </c>
      <c r="H92" s="82" t="str">
        <f>IFERROR(IF(VLOOKUP(TableHandbook[[#This Row],[UDC]],TableAvailabilities[],3,FALSE)&gt;0,"Y",""),"")</f>
        <v/>
      </c>
      <c r="I92" s="82" t="str">
        <f>IFERROR(IF(VLOOKUP(TableHandbook[[#This Row],[UDC]],TableAvailabilities[],4,FALSE)&gt;0,"Y",""),"")</f>
        <v>Y</v>
      </c>
      <c r="J92" s="82" t="str">
        <f>IFERROR(IF(VLOOKUP(TableHandbook[[#This Row],[UDC]],TableAvailabilities[],5,FALSE)&gt;0,"Y",""),"")</f>
        <v/>
      </c>
      <c r="K92" s="78"/>
      <c r="L92" s="83" t="str">
        <f>IFERROR(VLOOKUP(TableHandbook[[#This Row],[UDC]],TableBCONM[],7,FALSE),"")</f>
        <v>Core</v>
      </c>
      <c r="M92" s="83" t="str">
        <f>IFERROR(VLOOKUP(TableHandbook[[#This Row],[UDC]],TableSTRHCONMN[],7,FALSE),"")</f>
        <v/>
      </c>
      <c r="N92" s="83" t="str">
        <f>IFERROR(VLOOKUP(TableHandbook[[#This Row],[UDC]],TableSTRUCONMN[],7,FALSE),"")</f>
        <v/>
      </c>
      <c r="O92" s="83" t="str">
        <f>IFERROR(VLOOKUP(TableHandbook[[#This Row],[UDC]],TableSPUCANGAD[],7,FALSE),"")</f>
        <v/>
      </c>
      <c r="P92" s="83" t="str">
        <f>IFERROR(VLOOKUP(TableHandbook[[#This Row],[UDC]],TableSPUCFINCE[],7,FALSE),"")</f>
        <v/>
      </c>
      <c r="Q92" s="83" t="str">
        <f>IFERROR(VLOOKUP(TableHandbook[[#This Row],[UDC]],TableSPUCINARS[],7,FALSE),"")</f>
        <v/>
      </c>
      <c r="R92" s="83" t="str">
        <f>IFERROR(VLOOKUP(TableHandbook[[#This Row],[UDC]],TableSPUCINENT[],7,FALSE),"")</f>
        <v/>
      </c>
      <c r="S92" s="83" t="str">
        <f>IFERROR(VLOOKUP(TableHandbook[[#This Row],[UDC]],TableSPUCPROPT[],7,FALSE),"")</f>
        <v/>
      </c>
      <c r="T92" s="83" t="str">
        <f>IFERROR(VLOOKUP(TableHandbook[[#This Row],[UDC]],TableSPUCURDES[],7,FALSE),"")</f>
        <v/>
      </c>
    </row>
    <row r="93" spans="1:20" x14ac:dyDescent="0.25">
      <c r="A93" s="17" t="s">
        <v>206</v>
      </c>
      <c r="B93" s="18">
        <v>1</v>
      </c>
      <c r="C93" s="18"/>
      <c r="D93" s="78" t="s">
        <v>347</v>
      </c>
      <c r="E93" s="18">
        <v>25</v>
      </c>
      <c r="F93" s="81" t="s">
        <v>244</v>
      </c>
      <c r="G93" s="82" t="str">
        <f>IFERROR(IF(VLOOKUP(TableHandbook[[#This Row],[UDC]],TableAvailabilities[],2,FALSE)&gt;0,"Y",""),"")</f>
        <v/>
      </c>
      <c r="H93" s="82" t="str">
        <f>IFERROR(IF(VLOOKUP(TableHandbook[[#This Row],[UDC]],TableAvailabilities[],3,FALSE)&gt;0,"Y",""),"")</f>
        <v/>
      </c>
      <c r="I93" s="82" t="str">
        <f>IFERROR(IF(VLOOKUP(TableHandbook[[#This Row],[UDC]],TableAvailabilities[],4,FALSE)&gt;0,"Y",""),"")</f>
        <v/>
      </c>
      <c r="J93" s="82" t="str">
        <f>IFERROR(IF(VLOOKUP(TableHandbook[[#This Row],[UDC]],TableAvailabilities[],5,FALSE)&gt;0,"Y",""),"")</f>
        <v/>
      </c>
      <c r="K93" s="78"/>
      <c r="L93" s="83" t="str">
        <f>IFERROR(VLOOKUP(TableHandbook[[#This Row],[UDC]],TableBCONM[],7,FALSE),"")</f>
        <v/>
      </c>
      <c r="M93" s="83" t="str">
        <f>IFERROR(VLOOKUP(TableHandbook[[#This Row],[UDC]],TableSTRHCONMN[],7,FALSE),"")</f>
        <v/>
      </c>
      <c r="N93" s="83" t="str">
        <f>IFERROR(VLOOKUP(TableHandbook[[#This Row],[UDC]],TableSTRUCONMN[],7,FALSE),"")</f>
        <v/>
      </c>
      <c r="O93" s="83" t="str">
        <f>IFERROR(VLOOKUP(TableHandbook[[#This Row],[UDC]],TableSPUCANGAD[],7,FALSE),"")</f>
        <v/>
      </c>
      <c r="P93" s="83" t="str">
        <f>IFERROR(VLOOKUP(TableHandbook[[#This Row],[UDC]],TableSPUCFINCE[],7,FALSE),"")</f>
        <v/>
      </c>
      <c r="Q93" s="83" t="str">
        <f>IFERROR(VLOOKUP(TableHandbook[[#This Row],[UDC]],TableSPUCINARS[],7,FALSE),"")</f>
        <v>Option</v>
      </c>
      <c r="R93" s="83" t="str">
        <f>IFERROR(VLOOKUP(TableHandbook[[#This Row],[UDC]],TableSPUCINENT[],7,FALSE),"")</f>
        <v/>
      </c>
      <c r="S93" s="83" t="str">
        <f>IFERROR(VLOOKUP(TableHandbook[[#This Row],[UDC]],TableSPUCPROPT[],7,FALSE),"")</f>
        <v/>
      </c>
      <c r="T93" s="83" t="str">
        <f>IFERROR(VLOOKUP(TableHandbook[[#This Row],[UDC]],TableSPUCURDES[],7,FALSE),"")</f>
        <v/>
      </c>
    </row>
    <row r="94" spans="1:20" x14ac:dyDescent="0.25">
      <c r="A94" s="17" t="s">
        <v>208</v>
      </c>
      <c r="B94" s="18">
        <v>3</v>
      </c>
      <c r="C94" s="18"/>
      <c r="D94" s="108" t="s">
        <v>348</v>
      </c>
      <c r="E94" s="18">
        <v>25</v>
      </c>
      <c r="F94" s="109" t="s">
        <v>244</v>
      </c>
      <c r="G94" s="82" t="str">
        <f>IFERROR(IF(VLOOKUP(TableHandbook[[#This Row],[UDC]],TableAvailabilities[],2,FALSE)&gt;0,"Y",""),"")</f>
        <v/>
      </c>
      <c r="H94" s="82" t="str">
        <f>IFERROR(IF(VLOOKUP(TableHandbook[[#This Row],[UDC]],TableAvailabilities[],3,FALSE)&gt;0,"Y",""),"")</f>
        <v/>
      </c>
      <c r="I94" s="82" t="str">
        <f>IFERROR(IF(VLOOKUP(TableHandbook[[#This Row],[UDC]],TableAvailabilities[],4,FALSE)&gt;0,"Y",""),"")</f>
        <v/>
      </c>
      <c r="J94" s="82" t="str">
        <f>IFERROR(IF(VLOOKUP(TableHandbook[[#This Row],[UDC]],TableAvailabilities[],5,FALSE)&gt;0,"Y",""),"")</f>
        <v/>
      </c>
      <c r="K94" s="78"/>
      <c r="L94" s="83" t="str">
        <f>IFERROR(VLOOKUP(TableHandbook[[#This Row],[UDC]],TableBCONM[],7,FALSE),"")</f>
        <v/>
      </c>
      <c r="M94" s="83" t="str">
        <f>IFERROR(VLOOKUP(TableHandbook[[#This Row],[UDC]],TableSTRHCONMN[],7,FALSE),"")</f>
        <v/>
      </c>
      <c r="N94" s="83" t="str">
        <f>IFERROR(VLOOKUP(TableHandbook[[#This Row],[UDC]],TableSTRUCONMN[],7,FALSE),"")</f>
        <v/>
      </c>
      <c r="O94" s="83" t="str">
        <f>IFERROR(VLOOKUP(TableHandbook[[#This Row],[UDC]],TableSPUCANGAD[],7,FALSE),"")</f>
        <v/>
      </c>
      <c r="P94" s="83" t="str">
        <f>IFERROR(VLOOKUP(TableHandbook[[#This Row],[UDC]],TableSPUCFINCE[],7,FALSE),"")</f>
        <v/>
      </c>
      <c r="Q94" s="83" t="str">
        <f>IFERROR(VLOOKUP(TableHandbook[[#This Row],[UDC]],TableSPUCINARS[],7,FALSE),"")</f>
        <v>Option</v>
      </c>
      <c r="R94" s="83" t="str">
        <f>IFERROR(VLOOKUP(TableHandbook[[#This Row],[UDC]],TableSPUCINENT[],7,FALSE),"")</f>
        <v/>
      </c>
      <c r="S94" s="83" t="str">
        <f>IFERROR(VLOOKUP(TableHandbook[[#This Row],[UDC]],TableSPUCPROPT[],7,FALSE),"")</f>
        <v/>
      </c>
      <c r="T94" s="83" t="str">
        <f>IFERROR(VLOOKUP(TableHandbook[[#This Row],[UDC]],TableSPUCURDES[],7,FALSE),"")</f>
        <v/>
      </c>
    </row>
    <row r="95" spans="1:20" x14ac:dyDescent="0.25">
      <c r="A95" s="107" t="s">
        <v>349</v>
      </c>
      <c r="B95" s="18">
        <v>1</v>
      </c>
      <c r="C95" s="18"/>
      <c r="D95" s="108" t="s">
        <v>350</v>
      </c>
      <c r="E95" s="18">
        <v>25</v>
      </c>
      <c r="F95" s="81" t="s">
        <v>244</v>
      </c>
      <c r="G95" s="82" t="str">
        <f>IFERROR(IF(VLOOKUP(TableHandbook[[#This Row],[UDC]],TableAvailabilities[],2,FALSE)&gt;0,"Y",""),"")</f>
        <v/>
      </c>
      <c r="H95" s="82" t="str">
        <f>IFERROR(IF(VLOOKUP(TableHandbook[[#This Row],[UDC]],TableAvailabilities[],3,FALSE)&gt;0,"Y",""),"")</f>
        <v/>
      </c>
      <c r="I95" s="82" t="str">
        <f>IFERROR(IF(VLOOKUP(TableHandbook[[#This Row],[UDC]],TableAvailabilities[],4,FALSE)&gt;0,"Y",""),"")</f>
        <v/>
      </c>
      <c r="J95" s="82" t="str">
        <f>IFERROR(IF(VLOOKUP(TableHandbook[[#This Row],[UDC]],TableAvailabilities[],5,FALSE)&gt;0,"Y",""),"")</f>
        <v/>
      </c>
      <c r="K95" s="78"/>
      <c r="L95" s="83" t="str">
        <f>IFERROR(VLOOKUP(TableHandbook[[#This Row],[UDC]],TableBCONM[],7,FALSE),"")</f>
        <v/>
      </c>
      <c r="M95" s="83" t="str">
        <f>IFERROR(VLOOKUP(TableHandbook[[#This Row],[UDC]],TableSTRHCONMN[],7,FALSE),"")</f>
        <v/>
      </c>
      <c r="N95" s="83" t="str">
        <f>IFERROR(VLOOKUP(TableHandbook[[#This Row],[UDC]],TableSTRUCONMN[],7,FALSE),"")</f>
        <v/>
      </c>
      <c r="O95" s="83" t="str">
        <f>IFERROR(VLOOKUP(TableHandbook[[#This Row],[UDC]],TableSPUCANGAD[],7,FALSE),"")</f>
        <v/>
      </c>
      <c r="P95" s="83" t="str">
        <f>IFERROR(VLOOKUP(TableHandbook[[#This Row],[UDC]],TableSPUCFINCE[],7,FALSE),"")</f>
        <v/>
      </c>
      <c r="Q95" s="83" t="str">
        <f>IFERROR(VLOOKUP(TableHandbook[[#This Row],[UDC]],TableSPUCINARS[],7,FALSE),"")</f>
        <v/>
      </c>
      <c r="R95" s="83" t="str">
        <f>IFERROR(VLOOKUP(TableHandbook[[#This Row],[UDC]],TableSPUCINENT[],7,FALSE),"")</f>
        <v/>
      </c>
      <c r="S95" s="83" t="str">
        <f>IFERROR(VLOOKUP(TableHandbook[[#This Row],[UDC]],TableSPUCPROPT[],7,FALSE),"")</f>
        <v/>
      </c>
      <c r="T95" s="83" t="str">
        <f>IFERROR(VLOOKUP(TableHandbook[[#This Row],[UDC]],TableSPUCURDES[],7,FALSE),"")</f>
        <v/>
      </c>
    </row>
    <row r="96" spans="1:20" x14ac:dyDescent="0.25">
      <c r="A96" s="17" t="s">
        <v>210</v>
      </c>
      <c r="B96" s="18">
        <v>2</v>
      </c>
      <c r="C96" s="18"/>
      <c r="D96" s="108" t="s">
        <v>351</v>
      </c>
      <c r="E96" s="18">
        <v>25</v>
      </c>
      <c r="F96" s="109" t="s">
        <v>244</v>
      </c>
      <c r="G96" s="82" t="str">
        <f>IFERROR(IF(VLOOKUP(TableHandbook[[#This Row],[UDC]],TableAvailabilities[],2,FALSE)&gt;0,"Y",""),"")</f>
        <v/>
      </c>
      <c r="H96" s="82" t="str">
        <f>IFERROR(IF(VLOOKUP(TableHandbook[[#This Row],[UDC]],TableAvailabilities[],3,FALSE)&gt;0,"Y",""),"")</f>
        <v/>
      </c>
      <c r="I96" s="82" t="str">
        <f>IFERROR(IF(VLOOKUP(TableHandbook[[#This Row],[UDC]],TableAvailabilities[],4,FALSE)&gt;0,"Y",""),"")</f>
        <v/>
      </c>
      <c r="J96" s="82" t="str">
        <f>IFERROR(IF(VLOOKUP(TableHandbook[[#This Row],[UDC]],TableAvailabilities[],5,FALSE)&gt;0,"Y",""),"")</f>
        <v/>
      </c>
      <c r="K96" s="78"/>
      <c r="L96" s="83" t="str">
        <f>IFERROR(VLOOKUP(TableHandbook[[#This Row],[UDC]],TableBCONM[],7,FALSE),"")</f>
        <v/>
      </c>
      <c r="M96" s="83" t="str">
        <f>IFERROR(VLOOKUP(TableHandbook[[#This Row],[UDC]],TableSTRHCONMN[],7,FALSE),"")</f>
        <v/>
      </c>
      <c r="N96" s="83" t="str">
        <f>IFERROR(VLOOKUP(TableHandbook[[#This Row],[UDC]],TableSTRUCONMN[],7,FALSE),"")</f>
        <v/>
      </c>
      <c r="O96" s="83" t="str">
        <f>IFERROR(VLOOKUP(TableHandbook[[#This Row],[UDC]],TableSPUCANGAD[],7,FALSE),"")</f>
        <v/>
      </c>
      <c r="P96" s="83" t="str">
        <f>IFERROR(VLOOKUP(TableHandbook[[#This Row],[UDC]],TableSPUCFINCE[],7,FALSE),"")</f>
        <v/>
      </c>
      <c r="Q96" s="83" t="str">
        <f>IFERROR(VLOOKUP(TableHandbook[[#This Row],[UDC]],TableSPUCINARS[],7,FALSE),"")</f>
        <v>Option</v>
      </c>
      <c r="R96" s="83" t="str">
        <f>IFERROR(VLOOKUP(TableHandbook[[#This Row],[UDC]],TableSPUCINENT[],7,FALSE),"")</f>
        <v/>
      </c>
      <c r="S96" s="83" t="str">
        <f>IFERROR(VLOOKUP(TableHandbook[[#This Row],[UDC]],TableSPUCPROPT[],7,FALSE),"")</f>
        <v/>
      </c>
      <c r="T96" s="83" t="str">
        <f>IFERROR(VLOOKUP(TableHandbook[[#This Row],[UDC]],TableSPUCURDES[],7,FALSE),"")</f>
        <v/>
      </c>
    </row>
    <row r="97" spans="1:20" x14ac:dyDescent="0.25">
      <c r="A97" s="107" t="s">
        <v>352</v>
      </c>
      <c r="B97" s="18">
        <v>1</v>
      </c>
      <c r="C97" s="18"/>
      <c r="D97" s="108" t="s">
        <v>353</v>
      </c>
      <c r="E97" s="18">
        <v>25</v>
      </c>
      <c r="F97" s="81" t="s">
        <v>244</v>
      </c>
      <c r="G97" s="82" t="str">
        <f>IFERROR(IF(VLOOKUP(TableHandbook[[#This Row],[UDC]],TableAvailabilities[],2,FALSE)&gt;0,"Y",""),"")</f>
        <v/>
      </c>
      <c r="H97" s="82" t="str">
        <f>IFERROR(IF(VLOOKUP(TableHandbook[[#This Row],[UDC]],TableAvailabilities[],3,FALSE)&gt;0,"Y",""),"")</f>
        <v/>
      </c>
      <c r="I97" s="82" t="str">
        <f>IFERROR(IF(VLOOKUP(TableHandbook[[#This Row],[UDC]],TableAvailabilities[],4,FALSE)&gt;0,"Y",""),"")</f>
        <v/>
      </c>
      <c r="J97" s="82" t="str">
        <f>IFERROR(IF(VLOOKUP(TableHandbook[[#This Row],[UDC]],TableAvailabilities[],5,FALSE)&gt;0,"Y",""),"")</f>
        <v/>
      </c>
      <c r="K97" s="78"/>
      <c r="L97" s="83" t="str">
        <f>IFERROR(VLOOKUP(TableHandbook[[#This Row],[UDC]],TableBCONM[],7,FALSE),"")</f>
        <v/>
      </c>
      <c r="M97" s="83" t="str">
        <f>IFERROR(VLOOKUP(TableHandbook[[#This Row],[UDC]],TableSTRHCONMN[],7,FALSE),"")</f>
        <v/>
      </c>
      <c r="N97" s="83" t="str">
        <f>IFERROR(VLOOKUP(TableHandbook[[#This Row],[UDC]],TableSTRUCONMN[],7,FALSE),"")</f>
        <v/>
      </c>
      <c r="O97" s="83" t="str">
        <f>IFERROR(VLOOKUP(TableHandbook[[#This Row],[UDC]],TableSPUCANGAD[],7,FALSE),"")</f>
        <v/>
      </c>
      <c r="P97" s="83" t="str">
        <f>IFERROR(VLOOKUP(TableHandbook[[#This Row],[UDC]],TableSPUCFINCE[],7,FALSE),"")</f>
        <v/>
      </c>
      <c r="Q97" s="83" t="str">
        <f>IFERROR(VLOOKUP(TableHandbook[[#This Row],[UDC]],TableSPUCINARS[],7,FALSE),"")</f>
        <v/>
      </c>
      <c r="R97" s="83" t="str">
        <f>IFERROR(VLOOKUP(TableHandbook[[#This Row],[UDC]],TableSPUCINENT[],7,FALSE),"")</f>
        <v/>
      </c>
      <c r="S97" s="83" t="str">
        <f>IFERROR(VLOOKUP(TableHandbook[[#This Row],[UDC]],TableSPUCPROPT[],7,FALSE),"")</f>
        <v/>
      </c>
      <c r="T97" s="83" t="str">
        <f>IFERROR(VLOOKUP(TableHandbook[[#This Row],[UDC]],TableSPUCURDES[],7,FALSE),"")</f>
        <v/>
      </c>
    </row>
    <row r="98" spans="1:20" x14ac:dyDescent="0.25">
      <c r="A98" s="17" t="s">
        <v>212</v>
      </c>
      <c r="B98" s="18">
        <v>1</v>
      </c>
      <c r="C98" s="18"/>
      <c r="D98" s="78" t="s">
        <v>354</v>
      </c>
      <c r="E98" s="18">
        <v>25</v>
      </c>
      <c r="F98" s="81" t="s">
        <v>244</v>
      </c>
      <c r="G98" s="82" t="str">
        <f>IFERROR(IF(VLOOKUP(TableHandbook[[#This Row],[UDC]],TableAvailabilities[],2,FALSE)&gt;0,"Y",""),"")</f>
        <v/>
      </c>
      <c r="H98" s="82" t="str">
        <f>IFERROR(IF(VLOOKUP(TableHandbook[[#This Row],[UDC]],TableAvailabilities[],3,FALSE)&gt;0,"Y",""),"")</f>
        <v/>
      </c>
      <c r="I98" s="82" t="str">
        <f>IFERROR(IF(VLOOKUP(TableHandbook[[#This Row],[UDC]],TableAvailabilities[],4,FALSE)&gt;0,"Y",""),"")</f>
        <v/>
      </c>
      <c r="J98" s="82" t="str">
        <f>IFERROR(IF(VLOOKUP(TableHandbook[[#This Row],[UDC]],TableAvailabilities[],5,FALSE)&gt;0,"Y",""),"")</f>
        <v/>
      </c>
      <c r="K98" s="78"/>
      <c r="L98" s="83" t="str">
        <f>IFERROR(VLOOKUP(TableHandbook[[#This Row],[UDC]],TableBCONM[],7,FALSE),"")</f>
        <v/>
      </c>
      <c r="M98" s="83" t="str">
        <f>IFERROR(VLOOKUP(TableHandbook[[#This Row],[UDC]],TableSTRHCONMN[],7,FALSE),"")</f>
        <v/>
      </c>
      <c r="N98" s="83" t="str">
        <f>IFERROR(VLOOKUP(TableHandbook[[#This Row],[UDC]],TableSTRUCONMN[],7,FALSE),"")</f>
        <v/>
      </c>
      <c r="O98" s="83" t="str">
        <f>IFERROR(VLOOKUP(TableHandbook[[#This Row],[UDC]],TableSPUCANGAD[],7,FALSE),"")</f>
        <v/>
      </c>
      <c r="P98" s="83" t="str">
        <f>IFERROR(VLOOKUP(TableHandbook[[#This Row],[UDC]],TableSPUCFINCE[],7,FALSE),"")</f>
        <v/>
      </c>
      <c r="Q98" s="83" t="str">
        <f>IFERROR(VLOOKUP(TableHandbook[[#This Row],[UDC]],TableSPUCINARS[],7,FALSE),"")</f>
        <v>Option</v>
      </c>
      <c r="R98" s="83" t="str">
        <f>IFERROR(VLOOKUP(TableHandbook[[#This Row],[UDC]],TableSPUCINENT[],7,FALSE),"")</f>
        <v/>
      </c>
      <c r="S98" s="83" t="str">
        <f>IFERROR(VLOOKUP(TableHandbook[[#This Row],[UDC]],TableSPUCPROPT[],7,FALSE),"")</f>
        <v/>
      </c>
      <c r="T98" s="83" t="str">
        <f>IFERROR(VLOOKUP(TableHandbook[[#This Row],[UDC]],TableSPUCURDES[],7,FALSE),"")</f>
        <v/>
      </c>
    </row>
    <row r="99" spans="1:20" x14ac:dyDescent="0.25">
      <c r="A99" s="17" t="s">
        <v>186</v>
      </c>
      <c r="B99" s="18">
        <v>2</v>
      </c>
      <c r="C99" s="18"/>
      <c r="D99" s="78" t="s">
        <v>355</v>
      </c>
      <c r="E99" s="18">
        <v>25</v>
      </c>
      <c r="F99" s="81" t="s">
        <v>244</v>
      </c>
      <c r="G99" s="82" t="str">
        <f>IFERROR(IF(VLOOKUP(TableHandbook[[#This Row],[UDC]],TableAvailabilities[],2,FALSE)&gt;0,"Y",""),"")</f>
        <v/>
      </c>
      <c r="H99" s="82" t="str">
        <f>IFERROR(IF(VLOOKUP(TableHandbook[[#This Row],[UDC]],TableAvailabilities[],3,FALSE)&gt;0,"Y",""),"")</f>
        <v/>
      </c>
      <c r="I99" s="82" t="str">
        <f>IFERROR(IF(VLOOKUP(TableHandbook[[#This Row],[UDC]],TableAvailabilities[],4,FALSE)&gt;0,"Y",""),"")</f>
        <v/>
      </c>
      <c r="J99" s="82" t="str">
        <f>IFERROR(IF(VLOOKUP(TableHandbook[[#This Row],[UDC]],TableAvailabilities[],5,FALSE)&gt;0,"Y",""),"")</f>
        <v/>
      </c>
      <c r="K99" s="78"/>
      <c r="L99" s="83" t="str">
        <f>IFERROR(VLOOKUP(TableHandbook[[#This Row],[UDC]],TableBCONM[],7,FALSE),"")</f>
        <v/>
      </c>
      <c r="M99" s="83" t="str">
        <f>IFERROR(VLOOKUP(TableHandbook[[#This Row],[UDC]],TableSTRHCONMN[],7,FALSE),"")</f>
        <v/>
      </c>
      <c r="N99" s="83" t="str">
        <f>IFERROR(VLOOKUP(TableHandbook[[#This Row],[UDC]],TableSTRUCONMN[],7,FALSE),"")</f>
        <v/>
      </c>
      <c r="O99" s="83" t="str">
        <f>IFERROR(VLOOKUP(TableHandbook[[#This Row],[UDC]],TableSPUCANGAD[],7,FALSE),"")</f>
        <v>AltCore</v>
      </c>
      <c r="P99" s="83" t="str">
        <f>IFERROR(VLOOKUP(TableHandbook[[#This Row],[UDC]],TableSPUCFINCE[],7,FALSE),"")</f>
        <v/>
      </c>
      <c r="Q99" s="83" t="str">
        <f>IFERROR(VLOOKUP(TableHandbook[[#This Row],[UDC]],TableSPUCINARS[],7,FALSE),"")</f>
        <v>Option</v>
      </c>
      <c r="R99" s="83" t="str">
        <f>IFERROR(VLOOKUP(TableHandbook[[#This Row],[UDC]],TableSPUCINENT[],7,FALSE),"")</f>
        <v/>
      </c>
      <c r="S99" s="83" t="str">
        <f>IFERROR(VLOOKUP(TableHandbook[[#This Row],[UDC]],TableSPUCPROPT[],7,FALSE),"")</f>
        <v/>
      </c>
      <c r="T99" s="83" t="str">
        <f>IFERROR(VLOOKUP(TableHandbook[[#This Row],[UDC]],TableSPUCURDES[],7,FALSE),"")</f>
        <v/>
      </c>
    </row>
    <row r="100" spans="1:20" x14ac:dyDescent="0.25">
      <c r="A100" s="17" t="s">
        <v>215</v>
      </c>
      <c r="B100" s="18">
        <v>1</v>
      </c>
      <c r="C100" s="18"/>
      <c r="D100" s="78" t="s">
        <v>356</v>
      </c>
      <c r="E100" s="18">
        <v>25</v>
      </c>
      <c r="F100" s="81" t="s">
        <v>244</v>
      </c>
      <c r="G100" s="82" t="str">
        <f>IFERROR(IF(VLOOKUP(TableHandbook[[#This Row],[UDC]],TableAvailabilities[],2,FALSE)&gt;0,"Y",""),"")</f>
        <v/>
      </c>
      <c r="H100" s="82" t="str">
        <f>IFERROR(IF(VLOOKUP(TableHandbook[[#This Row],[UDC]],TableAvailabilities[],3,FALSE)&gt;0,"Y",""),"")</f>
        <v/>
      </c>
      <c r="I100" s="82" t="str">
        <f>IFERROR(IF(VLOOKUP(TableHandbook[[#This Row],[UDC]],TableAvailabilities[],4,FALSE)&gt;0,"Y",""),"")</f>
        <v/>
      </c>
      <c r="J100" s="82" t="str">
        <f>IFERROR(IF(VLOOKUP(TableHandbook[[#This Row],[UDC]],TableAvailabilities[],5,FALSE)&gt;0,"Y",""),"")</f>
        <v/>
      </c>
      <c r="K100" s="78"/>
      <c r="L100" s="83" t="str">
        <f>IFERROR(VLOOKUP(TableHandbook[[#This Row],[UDC]],TableBCONM[],7,FALSE),"")</f>
        <v/>
      </c>
      <c r="M100" s="83" t="str">
        <f>IFERROR(VLOOKUP(TableHandbook[[#This Row],[UDC]],TableSTRHCONMN[],7,FALSE),"")</f>
        <v/>
      </c>
      <c r="N100" s="83" t="str">
        <f>IFERROR(VLOOKUP(TableHandbook[[#This Row],[UDC]],TableSTRUCONMN[],7,FALSE),"")</f>
        <v/>
      </c>
      <c r="O100" s="83" t="str">
        <f>IFERROR(VLOOKUP(TableHandbook[[#This Row],[UDC]],TableSPUCANGAD[],7,FALSE),"")</f>
        <v/>
      </c>
      <c r="P100" s="83" t="str">
        <f>IFERROR(VLOOKUP(TableHandbook[[#This Row],[UDC]],TableSPUCFINCE[],7,FALSE),"")</f>
        <v/>
      </c>
      <c r="Q100" s="83" t="str">
        <f>IFERROR(VLOOKUP(TableHandbook[[#This Row],[UDC]],TableSPUCINARS[],7,FALSE),"")</f>
        <v>Option</v>
      </c>
      <c r="R100" s="83" t="str">
        <f>IFERROR(VLOOKUP(TableHandbook[[#This Row],[UDC]],TableSPUCINENT[],7,FALSE),"")</f>
        <v/>
      </c>
      <c r="S100" s="83" t="str">
        <f>IFERROR(VLOOKUP(TableHandbook[[#This Row],[UDC]],TableSPUCPROPT[],7,FALSE),"")</f>
        <v/>
      </c>
      <c r="T100" s="83" t="str">
        <f>IFERROR(VLOOKUP(TableHandbook[[#This Row],[UDC]],TableSPUCURDES[],7,FALSE),"")</f>
        <v/>
      </c>
    </row>
    <row r="101" spans="1:20" x14ac:dyDescent="0.25">
      <c r="A101" s="17" t="s">
        <v>217</v>
      </c>
      <c r="B101" s="18">
        <v>1</v>
      </c>
      <c r="C101" s="18"/>
      <c r="D101" s="78" t="s">
        <v>357</v>
      </c>
      <c r="E101" s="18">
        <v>25</v>
      </c>
      <c r="F101" s="81" t="s">
        <v>244</v>
      </c>
      <c r="G101" s="82" t="str">
        <f>IFERROR(IF(VLOOKUP(TableHandbook[[#This Row],[UDC]],TableAvailabilities[],2,FALSE)&gt;0,"Y",""),"")</f>
        <v/>
      </c>
      <c r="H101" s="82" t="str">
        <f>IFERROR(IF(VLOOKUP(TableHandbook[[#This Row],[UDC]],TableAvailabilities[],3,FALSE)&gt;0,"Y",""),"")</f>
        <v/>
      </c>
      <c r="I101" s="82" t="str">
        <f>IFERROR(IF(VLOOKUP(TableHandbook[[#This Row],[UDC]],TableAvailabilities[],4,FALSE)&gt;0,"Y",""),"")</f>
        <v/>
      </c>
      <c r="J101" s="82" t="str">
        <f>IFERROR(IF(VLOOKUP(TableHandbook[[#This Row],[UDC]],TableAvailabilities[],5,FALSE)&gt;0,"Y",""),"")</f>
        <v/>
      </c>
      <c r="K101" s="78"/>
      <c r="L101" s="83" t="str">
        <f>IFERROR(VLOOKUP(TableHandbook[[#This Row],[UDC]],TableBCONM[],7,FALSE),"")</f>
        <v/>
      </c>
      <c r="M101" s="83" t="str">
        <f>IFERROR(VLOOKUP(TableHandbook[[#This Row],[UDC]],TableSTRHCONMN[],7,FALSE),"")</f>
        <v/>
      </c>
      <c r="N101" s="83" t="str">
        <f>IFERROR(VLOOKUP(TableHandbook[[#This Row],[UDC]],TableSTRUCONMN[],7,FALSE),"")</f>
        <v/>
      </c>
      <c r="O101" s="83" t="str">
        <f>IFERROR(VLOOKUP(TableHandbook[[#This Row],[UDC]],TableSPUCANGAD[],7,FALSE),"")</f>
        <v/>
      </c>
      <c r="P101" s="83" t="str">
        <f>IFERROR(VLOOKUP(TableHandbook[[#This Row],[UDC]],TableSPUCFINCE[],7,FALSE),"")</f>
        <v/>
      </c>
      <c r="Q101" s="83" t="str">
        <f>IFERROR(VLOOKUP(TableHandbook[[#This Row],[UDC]],TableSPUCINARS[],7,FALSE),"")</f>
        <v>Option</v>
      </c>
      <c r="R101" s="83" t="str">
        <f>IFERROR(VLOOKUP(TableHandbook[[#This Row],[UDC]],TableSPUCINENT[],7,FALSE),"")</f>
        <v/>
      </c>
      <c r="S101" s="83" t="str">
        <f>IFERROR(VLOOKUP(TableHandbook[[#This Row],[UDC]],TableSPUCPROPT[],7,FALSE),"")</f>
        <v/>
      </c>
      <c r="T101" s="83" t="str">
        <f>IFERROR(VLOOKUP(TableHandbook[[#This Row],[UDC]],TableSPUCURDES[],7,FALSE),"")</f>
        <v/>
      </c>
    </row>
  </sheetData>
  <sortState xmlns:xlrd2="http://schemas.microsoft.com/office/spreadsheetml/2017/richdata2" ref="A24:D37">
    <sortCondition ref="A24"/>
  </sortState>
  <conditionalFormatting sqref="A3:A101">
    <cfRule type="duplicateValues" dxfId="30" priority="278"/>
    <cfRule type="duplicateValues" dxfId="29" priority="279"/>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5"/>
  <sheetViews>
    <sheetView zoomScale="70" zoomScaleNormal="70" workbookViewId="0">
      <selection activeCell="A44" sqref="A44"/>
    </sheetView>
  </sheetViews>
  <sheetFormatPr defaultRowHeight="15.75" x14ac:dyDescent="0.25"/>
  <cols>
    <col min="1" max="1" width="14.625" bestFit="1" customWidth="1"/>
    <col min="2" max="2" width="6.875" style="2" bestFit="1" customWidth="1"/>
    <col min="3" max="3" width="12" bestFit="1" customWidth="1"/>
    <col min="4" max="4" width="57.625"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42.375" bestFit="1" customWidth="1"/>
    <col min="13" max="13" width="14.375" bestFit="1" customWidth="1"/>
    <col min="14" max="14" width="10.75" bestFit="1" customWidth="1"/>
    <col min="15" max="15" width="11.625" bestFit="1" customWidth="1"/>
    <col min="16" max="16" width="10.125" bestFit="1" customWidth="1"/>
    <col min="17" max="17" width="15.375" bestFit="1" customWidth="1"/>
    <col min="18" max="18" width="11" bestFit="1" customWidth="1"/>
  </cols>
  <sheetData>
    <row r="1" spans="1:18" x14ac:dyDescent="0.25">
      <c r="B1"/>
      <c r="E1"/>
      <c r="F1" s="30"/>
      <c r="G1" s="31" t="s">
        <v>358</v>
      </c>
      <c r="H1" s="102">
        <v>45658</v>
      </c>
      <c r="I1" s="70"/>
      <c r="J1" s="104" t="s">
        <v>227</v>
      </c>
      <c r="K1" s="103" t="s">
        <v>91</v>
      </c>
      <c r="L1" s="70" t="s">
        <v>15</v>
      </c>
      <c r="M1" s="70"/>
      <c r="N1" s="75" t="s">
        <v>359</v>
      </c>
      <c r="O1" s="76">
        <v>45572</v>
      </c>
      <c r="P1" s="101">
        <v>45292</v>
      </c>
    </row>
    <row r="2" spans="1:18" x14ac:dyDescent="0.25">
      <c r="A2" t="s">
        <v>0</v>
      </c>
      <c r="B2" s="2" t="s">
        <v>360</v>
      </c>
      <c r="C2" t="s">
        <v>361</v>
      </c>
      <c r="D2" t="s">
        <v>3</v>
      </c>
      <c r="E2" s="32" t="s">
        <v>362</v>
      </c>
      <c r="F2" t="s">
        <v>363</v>
      </c>
      <c r="G2" t="s">
        <v>364</v>
      </c>
      <c r="H2" t="s">
        <v>365</v>
      </c>
      <c r="I2" t="s">
        <v>25</v>
      </c>
      <c r="J2" t="s">
        <v>366</v>
      </c>
      <c r="K2" t="s">
        <v>1</v>
      </c>
      <c r="L2" t="s">
        <v>367</v>
      </c>
      <c r="M2" t="s">
        <v>58</v>
      </c>
      <c r="N2" t="s">
        <v>368</v>
      </c>
      <c r="O2" t="s">
        <v>369</v>
      </c>
      <c r="Q2" t="s">
        <v>370</v>
      </c>
      <c r="R2" t="s">
        <v>371</v>
      </c>
    </row>
    <row r="3" spans="1:18" x14ac:dyDescent="0.25">
      <c r="A3" t="str">
        <f>TableBCONM[[#This Row],[Study Package Code]]</f>
        <v>COMS1010</v>
      </c>
      <c r="B3" s="2">
        <f>TableBCONM[[#This Row],[Ver]]</f>
        <v>2</v>
      </c>
      <c r="D3" t="str">
        <f>TableBCONM[[#This Row],[Structure Line]]</f>
        <v>Academic and Professional Communications</v>
      </c>
      <c r="E3" s="32">
        <f>TableBCONM[[#This Row],[Credit Points]]</f>
        <v>25</v>
      </c>
      <c r="F3">
        <v>1</v>
      </c>
      <c r="G3" t="s">
        <v>372</v>
      </c>
      <c r="H3">
        <v>1</v>
      </c>
      <c r="I3" t="s">
        <v>373</v>
      </c>
      <c r="J3" t="s">
        <v>48</v>
      </c>
      <c r="K3" s="46">
        <v>2</v>
      </c>
      <c r="L3" s="46" t="s">
        <v>283</v>
      </c>
      <c r="M3" s="46">
        <v>25</v>
      </c>
      <c r="N3" s="77">
        <v>42917</v>
      </c>
      <c r="O3" s="77"/>
      <c r="Q3" t="s">
        <v>48</v>
      </c>
      <c r="R3">
        <v>2</v>
      </c>
    </row>
    <row r="4" spans="1:18" x14ac:dyDescent="0.25">
      <c r="A4" t="str">
        <f>TableBCONM[[#This Row],[Study Package Code]]</f>
        <v>ARCH1016</v>
      </c>
      <c r="B4" s="2">
        <f>TableBCONM[[#This Row],[Ver]]</f>
        <v>3</v>
      </c>
      <c r="D4" t="str">
        <f>TableBCONM[[#This Row],[Structure Line]]</f>
        <v>Architecture and Interior Architecture Methods 1B - Digital Literacy</v>
      </c>
      <c r="E4" s="32">
        <f>TableBCONM[[#This Row],[Credit Points]]</f>
        <v>25</v>
      </c>
      <c r="F4">
        <v>2</v>
      </c>
      <c r="G4" t="s">
        <v>372</v>
      </c>
      <c r="H4">
        <v>1</v>
      </c>
      <c r="I4" t="s">
        <v>373</v>
      </c>
      <c r="J4" t="s">
        <v>72</v>
      </c>
      <c r="K4" s="46">
        <v>3</v>
      </c>
      <c r="L4" s="46" t="s">
        <v>241</v>
      </c>
      <c r="M4" s="46">
        <v>25</v>
      </c>
      <c r="N4" s="77">
        <v>44562</v>
      </c>
      <c r="O4" s="77"/>
      <c r="Q4" t="s">
        <v>72</v>
      </c>
      <c r="R4">
        <v>3</v>
      </c>
    </row>
    <row r="5" spans="1:18" x14ac:dyDescent="0.25">
      <c r="A5" t="str">
        <f>TableBCONM[[#This Row],[Study Package Code]]</f>
        <v>BLDG1016</v>
      </c>
      <c r="B5" s="2">
        <f>TableBCONM[[#This Row],[Ver]]</f>
        <v>1</v>
      </c>
      <c r="D5" t="str">
        <f>TableBCONM[[#This Row],[Structure Line]]</f>
        <v>Building Construction Measurement</v>
      </c>
      <c r="E5" s="32">
        <f>TableBCONM[[#This Row],[Credit Points]]</f>
        <v>25</v>
      </c>
      <c r="F5">
        <v>3</v>
      </c>
      <c r="G5" t="s">
        <v>372</v>
      </c>
      <c r="H5">
        <v>1</v>
      </c>
      <c r="I5" t="s">
        <v>373</v>
      </c>
      <c r="J5" t="s">
        <v>69</v>
      </c>
      <c r="K5" s="46">
        <v>1</v>
      </c>
      <c r="L5" s="46" t="s">
        <v>250</v>
      </c>
      <c r="M5" s="46">
        <v>25</v>
      </c>
      <c r="N5" s="77">
        <v>44927</v>
      </c>
      <c r="O5" s="77"/>
      <c r="Q5" t="s">
        <v>69</v>
      </c>
      <c r="R5">
        <v>1</v>
      </c>
    </row>
    <row r="6" spans="1:18" x14ac:dyDescent="0.25">
      <c r="A6" t="str">
        <f>TableBCONM[[#This Row],[Study Package Code]]</f>
        <v>BLDG1018</v>
      </c>
      <c r="B6" s="2">
        <f>TableBCONM[[#This Row],[Ver]]</f>
        <v>1</v>
      </c>
      <c r="D6" t="str">
        <f>TableBCONM[[#This Row],[Structure Line]]</f>
        <v>Health, Safety and Quality in the Built Environment</v>
      </c>
      <c r="E6" s="32">
        <f>TableBCONM[[#This Row],[Credit Points]]</f>
        <v>25</v>
      </c>
      <c r="F6">
        <v>4</v>
      </c>
      <c r="G6" t="s">
        <v>372</v>
      </c>
      <c r="H6">
        <v>1</v>
      </c>
      <c r="I6" t="s">
        <v>373</v>
      </c>
      <c r="J6" t="s">
        <v>76</v>
      </c>
      <c r="K6" s="46">
        <v>1</v>
      </c>
      <c r="L6" s="46" t="s">
        <v>251</v>
      </c>
      <c r="M6" s="46">
        <v>25</v>
      </c>
      <c r="N6" s="77">
        <v>44927</v>
      </c>
      <c r="O6" s="77"/>
      <c r="Q6" t="s">
        <v>76</v>
      </c>
      <c r="R6">
        <v>1</v>
      </c>
    </row>
    <row r="7" spans="1:18" x14ac:dyDescent="0.25">
      <c r="A7" t="str">
        <f>TableBCONM[[#This Row],[Study Package Code]]</f>
        <v>BLDG1001</v>
      </c>
      <c r="B7" s="2">
        <f>TableBCONM[[#This Row],[Ver]]</f>
        <v>3</v>
      </c>
      <c r="D7" t="str">
        <f>TableBCONM[[#This Row],[Structure Line]]</f>
        <v>High-rise Construction</v>
      </c>
      <c r="E7" s="32">
        <f>TableBCONM[[#This Row],[Credit Points]]</f>
        <v>25</v>
      </c>
      <c r="F7">
        <v>5</v>
      </c>
      <c r="G7" t="s">
        <v>372</v>
      </c>
      <c r="H7">
        <v>1</v>
      </c>
      <c r="I7" t="s">
        <v>373</v>
      </c>
      <c r="J7" t="s">
        <v>70</v>
      </c>
      <c r="K7" s="46">
        <v>3</v>
      </c>
      <c r="L7" s="46" t="s">
        <v>247</v>
      </c>
      <c r="M7" s="46">
        <v>25</v>
      </c>
      <c r="N7" s="77">
        <v>44927</v>
      </c>
      <c r="O7" s="77"/>
      <c r="Q7" t="s">
        <v>70</v>
      </c>
      <c r="R7">
        <v>3</v>
      </c>
    </row>
    <row r="8" spans="1:18" x14ac:dyDescent="0.25">
      <c r="A8" t="str">
        <f>TableBCONM[[#This Row],[Study Package Code]]</f>
        <v>BLDG1004</v>
      </c>
      <c r="B8" s="2">
        <f>TableBCONM[[#This Row],[Ver]]</f>
        <v>3</v>
      </c>
      <c r="D8" t="str">
        <f>TableBCONM[[#This Row],[Structure Line]]</f>
        <v>Introduction to Management in Construction</v>
      </c>
      <c r="E8" s="32">
        <f>TableBCONM[[#This Row],[Credit Points]]</f>
        <v>25</v>
      </c>
      <c r="F8">
        <v>6</v>
      </c>
      <c r="G8" t="s">
        <v>372</v>
      </c>
      <c r="H8">
        <v>1</v>
      </c>
      <c r="I8" t="s">
        <v>373</v>
      </c>
      <c r="J8" t="s">
        <v>66</v>
      </c>
      <c r="K8" s="46">
        <v>3</v>
      </c>
      <c r="L8" s="46" t="s">
        <v>249</v>
      </c>
      <c r="M8" s="46">
        <v>25</v>
      </c>
      <c r="N8" s="77">
        <v>44927</v>
      </c>
      <c r="O8" s="77"/>
      <c r="Q8" t="s">
        <v>66</v>
      </c>
      <c r="R8">
        <v>3</v>
      </c>
    </row>
    <row r="9" spans="1:18" x14ac:dyDescent="0.25">
      <c r="A9" t="str">
        <f>TableBCONM[[#This Row],[Study Package Code]]</f>
        <v>BLDG1000</v>
      </c>
      <c r="B9" s="2">
        <f>TableBCONM[[#This Row],[Ver]]</f>
        <v>2</v>
      </c>
      <c r="D9" t="str">
        <f>TableBCONM[[#This Row],[Structure Line]]</f>
        <v>Low Rise Construction</v>
      </c>
      <c r="E9" s="32">
        <f>TableBCONM[[#This Row],[Credit Points]]</f>
        <v>25</v>
      </c>
      <c r="F9">
        <v>7</v>
      </c>
      <c r="G9" t="s">
        <v>372</v>
      </c>
      <c r="H9">
        <v>1</v>
      </c>
      <c r="I9" t="s">
        <v>373</v>
      </c>
      <c r="J9" t="s">
        <v>52</v>
      </c>
      <c r="K9" s="46">
        <v>2</v>
      </c>
      <c r="L9" s="46" t="s">
        <v>246</v>
      </c>
      <c r="M9" s="46">
        <v>25</v>
      </c>
      <c r="N9" s="77">
        <v>43466</v>
      </c>
      <c r="O9" s="77"/>
      <c r="Q9" t="s">
        <v>52</v>
      </c>
      <c r="R9">
        <v>2</v>
      </c>
    </row>
    <row r="10" spans="1:18" x14ac:dyDescent="0.25">
      <c r="A10" t="str">
        <f>TableBCONM[[#This Row],[Study Package Code]]</f>
        <v>BLDG1003</v>
      </c>
      <c r="B10" s="2">
        <f>TableBCONM[[#This Row],[Ver]]</f>
        <v>1</v>
      </c>
      <c r="D10" t="str">
        <f>TableBCONM[[#This Row],[Structure Line]]</f>
        <v>Structures</v>
      </c>
      <c r="E10" s="32">
        <f>TableBCONM[[#This Row],[Credit Points]]</f>
        <v>25</v>
      </c>
      <c r="F10">
        <v>8</v>
      </c>
      <c r="G10" t="s">
        <v>372</v>
      </c>
      <c r="H10">
        <v>1</v>
      </c>
      <c r="I10" t="s">
        <v>373</v>
      </c>
      <c r="J10" t="s">
        <v>60</v>
      </c>
      <c r="K10" s="46">
        <v>1</v>
      </c>
      <c r="L10" s="46" t="s">
        <v>248</v>
      </c>
      <c r="M10" s="46">
        <v>25</v>
      </c>
      <c r="N10" s="77">
        <v>42005</v>
      </c>
      <c r="O10" s="77"/>
      <c r="Q10" t="s">
        <v>60</v>
      </c>
      <c r="R10">
        <v>1</v>
      </c>
    </row>
    <row r="11" spans="1:18" x14ac:dyDescent="0.25">
      <c r="A11" t="str">
        <f>TableBCONM[[#This Row],[Study Package Code]]</f>
        <v>BLDG2015</v>
      </c>
      <c r="B11" s="2">
        <f>TableBCONM[[#This Row],[Ver]]</f>
        <v>3</v>
      </c>
      <c r="D11" t="str">
        <f>TableBCONM[[#This Row],[Structure Line]]</f>
        <v>Building Information Management and Modelling</v>
      </c>
      <c r="E11" s="32">
        <f>TableBCONM[[#This Row],[Credit Points]]</f>
        <v>25</v>
      </c>
      <c r="F11">
        <v>9</v>
      </c>
      <c r="G11" t="s">
        <v>372</v>
      </c>
      <c r="H11">
        <v>2</v>
      </c>
      <c r="I11" t="s">
        <v>373</v>
      </c>
      <c r="J11" t="s">
        <v>88</v>
      </c>
      <c r="K11" s="46">
        <v>3</v>
      </c>
      <c r="L11" s="46" t="s">
        <v>255</v>
      </c>
      <c r="M11" s="46">
        <v>25</v>
      </c>
      <c r="N11" s="77">
        <v>44927</v>
      </c>
      <c r="O11" s="77"/>
      <c r="Q11" t="s">
        <v>88</v>
      </c>
      <c r="R11">
        <v>3</v>
      </c>
    </row>
    <row r="12" spans="1:18" x14ac:dyDescent="0.25">
      <c r="A12" t="str">
        <f>TableBCONM[[#This Row],[Study Package Code]]</f>
        <v>BLDG2012</v>
      </c>
      <c r="B12" s="2">
        <f>TableBCONM[[#This Row],[Ver]]</f>
        <v>1</v>
      </c>
      <c r="D12" t="str">
        <f>TableBCONM[[#This Row],[Structure Line]]</f>
        <v>Building Services</v>
      </c>
      <c r="E12" s="32">
        <f>TableBCONM[[#This Row],[Credit Points]]</f>
        <v>25</v>
      </c>
      <c r="F12">
        <v>10</v>
      </c>
      <c r="G12" t="s">
        <v>372</v>
      </c>
      <c r="H12">
        <v>2</v>
      </c>
      <c r="I12" t="s">
        <v>373</v>
      </c>
      <c r="J12" t="s">
        <v>93</v>
      </c>
      <c r="K12" s="46">
        <v>1</v>
      </c>
      <c r="L12" s="46" t="s">
        <v>252</v>
      </c>
      <c r="M12" s="46">
        <v>25</v>
      </c>
      <c r="N12" s="77">
        <v>42005</v>
      </c>
      <c r="O12" s="77"/>
      <c r="Q12" t="s">
        <v>93</v>
      </c>
      <c r="R12">
        <v>1</v>
      </c>
    </row>
    <row r="13" spans="1:18" x14ac:dyDescent="0.25">
      <c r="A13" t="str">
        <f>TableBCONM[[#This Row],[Study Package Code]]</f>
        <v>BLDG2024</v>
      </c>
      <c r="B13" s="2">
        <f>TableBCONM[[#This Row],[Ver]]</f>
        <v>2</v>
      </c>
      <c r="D13" t="str">
        <f>TableBCONM[[#This Row],[Structure Line]]</f>
        <v>Building Surveying</v>
      </c>
      <c r="E13" s="32">
        <f>TableBCONM[[#This Row],[Credit Points]]</f>
        <v>25</v>
      </c>
      <c r="F13">
        <v>11</v>
      </c>
      <c r="G13" t="s">
        <v>372</v>
      </c>
      <c r="H13">
        <v>2</v>
      </c>
      <c r="I13" t="s">
        <v>373</v>
      </c>
      <c r="J13" t="s">
        <v>84</v>
      </c>
      <c r="K13" s="46">
        <v>2</v>
      </c>
      <c r="L13" s="46" t="s">
        <v>258</v>
      </c>
      <c r="M13" s="46">
        <v>25</v>
      </c>
      <c r="N13" s="77">
        <v>43466</v>
      </c>
      <c r="O13" s="77"/>
      <c r="Q13" t="s">
        <v>84</v>
      </c>
      <c r="R13">
        <v>2</v>
      </c>
    </row>
    <row r="14" spans="1:18" x14ac:dyDescent="0.25">
      <c r="A14" t="str">
        <f>TableBCONM[[#This Row],[Study Package Code]]</f>
        <v>BLDG2033</v>
      </c>
      <c r="B14" s="2">
        <f>TableBCONM[[#This Row],[Ver]]</f>
        <v>1</v>
      </c>
      <c r="D14" t="str">
        <f>TableBCONM[[#This Row],[Structure Line]]</f>
        <v>Construction Estimating and Cost Planning</v>
      </c>
      <c r="E14" s="32">
        <f>TableBCONM[[#This Row],[Credit Points]]</f>
        <v>25</v>
      </c>
      <c r="F14">
        <v>12</v>
      </c>
      <c r="G14" t="s">
        <v>372</v>
      </c>
      <c r="H14">
        <v>2</v>
      </c>
      <c r="I14" t="s">
        <v>373</v>
      </c>
      <c r="J14" t="s">
        <v>96</v>
      </c>
      <c r="K14" s="46">
        <v>1</v>
      </c>
      <c r="L14" s="46" t="s">
        <v>259</v>
      </c>
      <c r="M14" s="46">
        <v>25</v>
      </c>
      <c r="N14" s="77">
        <v>44927</v>
      </c>
      <c r="O14" s="77"/>
      <c r="Q14" t="s">
        <v>96</v>
      </c>
      <c r="R14">
        <v>1</v>
      </c>
    </row>
    <row r="15" spans="1:18" x14ac:dyDescent="0.25">
      <c r="A15" t="str">
        <f>TableBCONM[[#This Row],[Study Package Code]]</f>
        <v>BLDG2013</v>
      </c>
      <c r="B15" s="2">
        <f>TableBCONM[[#This Row],[Ver]]</f>
        <v>1</v>
      </c>
      <c r="D15" t="str">
        <f>TableBCONM[[#This Row],[Structure Line]]</f>
        <v>Construction Plant and Equipment</v>
      </c>
      <c r="E15" s="32">
        <f>TableBCONM[[#This Row],[Credit Points]]</f>
        <v>25</v>
      </c>
      <c r="F15">
        <v>13</v>
      </c>
      <c r="G15" t="s">
        <v>372</v>
      </c>
      <c r="H15">
        <v>2</v>
      </c>
      <c r="I15" t="s">
        <v>373</v>
      </c>
      <c r="J15" t="s">
        <v>80</v>
      </c>
      <c r="K15" s="46">
        <v>1</v>
      </c>
      <c r="L15" s="46" t="s">
        <v>253</v>
      </c>
      <c r="M15" s="46">
        <v>25</v>
      </c>
      <c r="N15" s="77">
        <v>42005</v>
      </c>
      <c r="O15" s="77"/>
      <c r="Q15" t="s">
        <v>80</v>
      </c>
      <c r="R15">
        <v>1</v>
      </c>
    </row>
    <row r="16" spans="1:18" x14ac:dyDescent="0.25">
      <c r="A16" t="str">
        <f>TableBCONM[[#This Row],[Study Package Code]]</f>
        <v>BLDG2023</v>
      </c>
      <c r="B16" s="2">
        <f>TableBCONM[[#This Row],[Ver]]</f>
        <v>1</v>
      </c>
      <c r="D16" t="str">
        <f>TableBCONM[[#This Row],[Structure Line]]</f>
        <v>Specialised Construction</v>
      </c>
      <c r="E16" s="32">
        <f>TableBCONM[[#This Row],[Credit Points]]</f>
        <v>25</v>
      </c>
      <c r="F16">
        <v>14</v>
      </c>
      <c r="G16" t="s">
        <v>372</v>
      </c>
      <c r="H16">
        <v>2</v>
      </c>
      <c r="I16" t="s">
        <v>373</v>
      </c>
      <c r="J16" t="s">
        <v>83</v>
      </c>
      <c r="K16" s="46">
        <v>1</v>
      </c>
      <c r="L16" s="46" t="s">
        <v>256</v>
      </c>
      <c r="M16" s="46">
        <v>25</v>
      </c>
      <c r="N16" s="77">
        <v>42005</v>
      </c>
      <c r="O16" s="77"/>
      <c r="Q16" t="s">
        <v>83</v>
      </c>
      <c r="R16">
        <v>1</v>
      </c>
    </row>
    <row r="17" spans="1:18" x14ac:dyDescent="0.25">
      <c r="A17" t="str">
        <f>TableBCONM[[#This Row],[Study Package Code]]</f>
        <v>Specialisation</v>
      </c>
      <c r="B17" s="2">
        <f>TableBCONM[[#This Row],[Ver]]</f>
        <v>0</v>
      </c>
      <c r="D17" t="str">
        <f>TableBCONM[[#This Row],[Structure Line]]</f>
        <v>Choose a Specialisation. SPUE-QSURV is only available for Miri Students. Students at Miri Sarawak can only choose SPUC-FINCE or SPUC-INENT.  You should enrol into two units in Year 2 and two units in Year 3 for your selected specialisation.</v>
      </c>
      <c r="E17" s="32">
        <f>TableBCONM[[#This Row],[Credit Points]]</f>
        <v>100</v>
      </c>
      <c r="F17">
        <v>15</v>
      </c>
      <c r="G17" t="s">
        <v>374</v>
      </c>
      <c r="H17">
        <v>2</v>
      </c>
      <c r="I17" t="s">
        <v>373</v>
      </c>
      <c r="J17" t="s">
        <v>375</v>
      </c>
      <c r="K17" s="46">
        <v>0</v>
      </c>
      <c r="L17" s="46" t="s">
        <v>376</v>
      </c>
      <c r="M17" s="46">
        <v>100</v>
      </c>
      <c r="N17" s="77"/>
      <c r="O17" s="77"/>
      <c r="Q17" t="s">
        <v>375</v>
      </c>
      <c r="R17">
        <v>0</v>
      </c>
    </row>
    <row r="18" spans="1:18" x14ac:dyDescent="0.25">
      <c r="A18" t="str">
        <f>TableBCONM[[#This Row],[Study Package Code]]</f>
        <v>BLDG3030</v>
      </c>
      <c r="B18" s="2">
        <f>TableBCONM[[#This Row],[Ver]]</f>
        <v>1</v>
      </c>
      <c r="D18" t="str">
        <f>TableBCONM[[#This Row],[Structure Line]]</f>
        <v>Construction Contracts and Procurement</v>
      </c>
      <c r="E18" s="32">
        <f>TableBCONM[[#This Row],[Credit Points]]</f>
        <v>25</v>
      </c>
      <c r="F18">
        <v>16</v>
      </c>
      <c r="G18" t="s">
        <v>372</v>
      </c>
      <c r="H18">
        <v>3</v>
      </c>
      <c r="I18" t="s">
        <v>373</v>
      </c>
      <c r="J18" t="s">
        <v>114</v>
      </c>
      <c r="K18" s="46">
        <v>1</v>
      </c>
      <c r="L18" s="46" t="s">
        <v>264</v>
      </c>
      <c r="M18" s="46">
        <v>25</v>
      </c>
      <c r="N18" s="77">
        <v>44927</v>
      </c>
      <c r="O18" s="77"/>
      <c r="Q18" t="s">
        <v>114</v>
      </c>
      <c r="R18">
        <v>1</v>
      </c>
    </row>
    <row r="19" spans="1:18" x14ac:dyDescent="0.25">
      <c r="A19" t="str">
        <f>TableBCONM[[#This Row],[Study Package Code]]</f>
        <v>BLDG3016</v>
      </c>
      <c r="B19" s="2">
        <f>TableBCONM[[#This Row],[Ver]]</f>
        <v>2</v>
      </c>
      <c r="D19" t="str">
        <f>TableBCONM[[#This Row],[Structure Line]]</f>
        <v>Construction Planning and Scheduling</v>
      </c>
      <c r="E19" s="32">
        <f>TableBCONM[[#This Row],[Credit Points]]</f>
        <v>25</v>
      </c>
      <c r="F19">
        <v>17</v>
      </c>
      <c r="G19" t="s">
        <v>372</v>
      </c>
      <c r="H19">
        <v>3</v>
      </c>
      <c r="I19" t="s">
        <v>373</v>
      </c>
      <c r="J19" t="s">
        <v>101</v>
      </c>
      <c r="K19" s="46">
        <v>2</v>
      </c>
      <c r="L19" s="46" t="s">
        <v>263</v>
      </c>
      <c r="M19" s="46">
        <v>25</v>
      </c>
      <c r="N19" s="77">
        <v>44927</v>
      </c>
      <c r="O19" s="77"/>
      <c r="Q19" t="s">
        <v>101</v>
      </c>
      <c r="R19">
        <v>2</v>
      </c>
    </row>
    <row r="20" spans="1:18" x14ac:dyDescent="0.25">
      <c r="A20" t="str">
        <f>TableBCONM[[#This Row],[Study Package Code]]</f>
        <v>BLDG3012</v>
      </c>
      <c r="B20" s="2">
        <f>TableBCONM[[#This Row],[Ver]]</f>
        <v>3</v>
      </c>
      <c r="D20" t="str">
        <f>TableBCONM[[#This Row],[Structure Line]]</f>
        <v>Cost Management</v>
      </c>
      <c r="E20" s="32">
        <f>TableBCONM[[#This Row],[Credit Points]]</f>
        <v>25</v>
      </c>
      <c r="F20">
        <v>18</v>
      </c>
      <c r="G20" t="s">
        <v>372</v>
      </c>
      <c r="H20">
        <v>3</v>
      </c>
      <c r="I20" t="s">
        <v>373</v>
      </c>
      <c r="J20" t="s">
        <v>106</v>
      </c>
      <c r="K20" s="46">
        <v>3</v>
      </c>
      <c r="L20" s="46" t="s">
        <v>261</v>
      </c>
      <c r="M20" s="46">
        <v>25</v>
      </c>
      <c r="N20" s="77">
        <v>44927</v>
      </c>
      <c r="O20" s="77"/>
      <c r="Q20" t="s">
        <v>106</v>
      </c>
      <c r="R20">
        <v>3</v>
      </c>
    </row>
    <row r="21" spans="1:18" x14ac:dyDescent="0.25">
      <c r="A21" t="str">
        <f>TableBCONM[[#This Row],[Study Package Code]]</f>
        <v>URDE3007</v>
      </c>
      <c r="B21" s="2">
        <f>TableBCONM[[#This Row],[Ver]]</f>
        <v>2</v>
      </c>
      <c r="D21" t="str">
        <f>TableBCONM[[#This Row],[Structure Line]]</f>
        <v>Design and Built Environment Research Methods</v>
      </c>
      <c r="E21" s="32">
        <f>TableBCONM[[#This Row],[Credit Points]]</f>
        <v>25</v>
      </c>
      <c r="F21">
        <v>19</v>
      </c>
      <c r="G21" t="s">
        <v>372</v>
      </c>
      <c r="H21">
        <v>3</v>
      </c>
      <c r="I21" t="s">
        <v>373</v>
      </c>
      <c r="J21" t="s">
        <v>118</v>
      </c>
      <c r="K21" s="46">
        <v>2</v>
      </c>
      <c r="L21" s="46" t="s">
        <v>346</v>
      </c>
      <c r="M21" s="46">
        <v>25</v>
      </c>
      <c r="N21" s="77">
        <v>44197</v>
      </c>
      <c r="O21" s="77"/>
      <c r="Q21" t="s">
        <v>118</v>
      </c>
      <c r="R21">
        <v>2</v>
      </c>
    </row>
    <row r="22" spans="1:18" x14ac:dyDescent="0.25">
      <c r="A22" t="str">
        <f>TableBCONM[[#This Row],[Study Package Code]]</f>
        <v>BLDG3034</v>
      </c>
      <c r="B22" s="2">
        <f>TableBCONM[[#This Row],[Ver]]</f>
        <v>1</v>
      </c>
      <c r="D22" t="str">
        <f>TableBCONM[[#This Row],[Structure Line]]</f>
        <v>Sustainable Construction Practices in Building and Infrastructure</v>
      </c>
      <c r="E22" s="32">
        <f>TableBCONM[[#This Row],[Credit Points]]</f>
        <v>25</v>
      </c>
      <c r="F22">
        <v>20</v>
      </c>
      <c r="G22" t="s">
        <v>372</v>
      </c>
      <c r="H22">
        <v>3</v>
      </c>
      <c r="I22" t="s">
        <v>373</v>
      </c>
      <c r="J22" t="s">
        <v>99</v>
      </c>
      <c r="K22" s="46">
        <v>1</v>
      </c>
      <c r="L22" s="46" t="s">
        <v>268</v>
      </c>
      <c r="M22" s="46">
        <v>25</v>
      </c>
      <c r="N22" s="77">
        <v>44927</v>
      </c>
      <c r="O22" s="77"/>
      <c r="Q22" t="s">
        <v>99</v>
      </c>
      <c r="R22">
        <v>1</v>
      </c>
    </row>
    <row r="23" spans="1:18" x14ac:dyDescent="0.25">
      <c r="A23" t="str">
        <f>TableBCONM[[#This Row],[Study Package Code]]</f>
        <v>BLDG3032</v>
      </c>
      <c r="B23" s="2">
        <f>TableBCONM[[#This Row],[Ver]]</f>
        <v>1</v>
      </c>
      <c r="D23" t="str">
        <f>TableBCONM[[#This Row],[Structure Line]]</f>
        <v>Virtual Design and Construction</v>
      </c>
      <c r="E23" s="32">
        <f>TableBCONM[[#This Row],[Credit Points]]</f>
        <v>25</v>
      </c>
      <c r="F23">
        <v>21</v>
      </c>
      <c r="G23" t="s">
        <v>372</v>
      </c>
      <c r="H23">
        <v>3</v>
      </c>
      <c r="I23" t="s">
        <v>373</v>
      </c>
      <c r="J23" t="s">
        <v>111</v>
      </c>
      <c r="K23" s="46">
        <v>1</v>
      </c>
      <c r="L23" s="46" t="s">
        <v>266</v>
      </c>
      <c r="M23" s="46">
        <v>25</v>
      </c>
      <c r="N23" s="77">
        <v>44927</v>
      </c>
      <c r="O23" s="77"/>
      <c r="Q23" t="s">
        <v>111</v>
      </c>
      <c r="R23">
        <v>1</v>
      </c>
    </row>
    <row r="24" spans="1:18" x14ac:dyDescent="0.25">
      <c r="A24" t="str">
        <f>TableBCONM[[#This Row],[Study Package Code]]</f>
        <v>4th Year Stream</v>
      </c>
      <c r="B24" s="2">
        <f>TableBCONM[[#This Row],[Ver]]</f>
        <v>0</v>
      </c>
      <c r="D24" t="str">
        <f>TableBCONM[[#This Row],[Structure Line]]</f>
        <v>Choose Your Fourth Year Stream.  Eligible students may be invited by the School to complete the Honours stream.</v>
      </c>
      <c r="E24" s="32">
        <f>TableBCONM[[#This Row],[Credit Points]]</f>
        <v>200</v>
      </c>
      <c r="F24">
        <v>22</v>
      </c>
      <c r="G24" t="s">
        <v>377</v>
      </c>
      <c r="H24">
        <v>4</v>
      </c>
      <c r="I24" t="s">
        <v>373</v>
      </c>
      <c r="J24" t="s">
        <v>235</v>
      </c>
      <c r="K24" s="46">
        <v>0</v>
      </c>
      <c r="L24" s="46" t="s">
        <v>236</v>
      </c>
      <c r="M24" s="46">
        <v>200</v>
      </c>
      <c r="N24" s="77"/>
      <c r="O24" s="77"/>
      <c r="Q24" t="s">
        <v>235</v>
      </c>
      <c r="R24">
        <v>0</v>
      </c>
    </row>
    <row r="25" spans="1:18" x14ac:dyDescent="0.25">
      <c r="A25" t="str">
        <f>TableBCONM[[#This Row],[Study Package Code]]</f>
        <v>SPUC-ANGAD</v>
      </c>
      <c r="B25" s="2">
        <f>TableBCONM[[#This Row],[Ver]]</f>
        <v>1</v>
      </c>
      <c r="D25" t="str">
        <f>TableBCONM[[#This Row],[Structure Line]]</f>
        <v>Animation and Game Architecture Design Specialisation</v>
      </c>
      <c r="E25" s="32">
        <f>TableBCONM[[#This Row],[Credit Points]]</f>
        <v>100</v>
      </c>
      <c r="F25">
        <v>15</v>
      </c>
      <c r="G25" t="s">
        <v>374</v>
      </c>
      <c r="H25">
        <v>2</v>
      </c>
      <c r="I25" t="s">
        <v>373</v>
      </c>
      <c r="J25" t="s">
        <v>103</v>
      </c>
      <c r="K25" s="46">
        <v>1</v>
      </c>
      <c r="L25" s="46" t="s">
        <v>102</v>
      </c>
      <c r="M25" s="46">
        <v>100</v>
      </c>
      <c r="N25" s="77">
        <v>44562</v>
      </c>
      <c r="O25" s="77"/>
      <c r="Q25" t="s">
        <v>103</v>
      </c>
      <c r="R25">
        <v>1</v>
      </c>
    </row>
    <row r="26" spans="1:18" x14ac:dyDescent="0.25">
      <c r="A26" t="str">
        <f>TableBCONM[[#This Row],[Study Package Code]]</f>
        <v>SPUC-FINCE</v>
      </c>
      <c r="B26" s="2">
        <f>TableBCONM[[#This Row],[Ver]]</f>
        <v>1</v>
      </c>
      <c r="D26" t="str">
        <f>TableBCONM[[#This Row],[Structure Line]]</f>
        <v>Applied Finance Specialisation</v>
      </c>
      <c r="E26" s="32">
        <f>TableBCONM[[#This Row],[Credit Points]]</f>
        <v>100</v>
      </c>
      <c r="F26">
        <v>15</v>
      </c>
      <c r="G26" t="s">
        <v>374</v>
      </c>
      <c r="H26">
        <v>2</v>
      </c>
      <c r="I26" t="s">
        <v>373</v>
      </c>
      <c r="J26" t="s">
        <v>108</v>
      </c>
      <c r="K26" s="46">
        <v>1</v>
      </c>
      <c r="L26" s="46" t="s">
        <v>107</v>
      </c>
      <c r="M26" s="46">
        <v>100</v>
      </c>
      <c r="N26" s="77">
        <v>44562</v>
      </c>
      <c r="O26" s="77"/>
      <c r="Q26" t="s">
        <v>108</v>
      </c>
      <c r="R26">
        <v>1</v>
      </c>
    </row>
    <row r="27" spans="1:18" x14ac:dyDescent="0.25">
      <c r="A27" t="str">
        <f>TableBCONM[[#This Row],[Study Package Code]]</f>
        <v>SPUC-INARS</v>
      </c>
      <c r="B27" s="2">
        <f>TableBCONM[[#This Row],[Ver]]</f>
        <v>3</v>
      </c>
      <c r="D27" t="str">
        <f>TableBCONM[[#This Row],[Structure Line]]</f>
        <v>Interior Architecture Specialisation</v>
      </c>
      <c r="E27" s="32">
        <f>TableBCONM[[#This Row],[Credit Points]]</f>
        <v>100</v>
      </c>
      <c r="F27">
        <v>15</v>
      </c>
      <c r="G27" t="s">
        <v>374</v>
      </c>
      <c r="H27">
        <v>2</v>
      </c>
      <c r="I27" t="s">
        <v>373</v>
      </c>
      <c r="J27" t="s">
        <v>110</v>
      </c>
      <c r="K27" s="46">
        <v>3</v>
      </c>
      <c r="L27" s="46" t="s">
        <v>109</v>
      </c>
      <c r="M27" s="46">
        <v>100</v>
      </c>
      <c r="N27" s="77">
        <v>45292</v>
      </c>
      <c r="O27" s="77"/>
      <c r="Q27" t="s">
        <v>110</v>
      </c>
      <c r="R27">
        <v>3</v>
      </c>
    </row>
    <row r="28" spans="1:18" x14ac:dyDescent="0.25">
      <c r="A28" t="str">
        <f>TableBCONM[[#This Row],[Study Package Code]]</f>
        <v>SPUC-INENT</v>
      </c>
      <c r="B28" s="2">
        <f>TableBCONM[[#This Row],[Ver]]</f>
        <v>1</v>
      </c>
      <c r="D28" t="str">
        <f>TableBCONM[[#This Row],[Structure Line]]</f>
        <v>Innovation and Entrepreneurship Specialisation</v>
      </c>
      <c r="E28" s="32">
        <f>TableBCONM[[#This Row],[Credit Points]]</f>
        <v>100</v>
      </c>
      <c r="F28">
        <v>15</v>
      </c>
      <c r="G28" t="s">
        <v>374</v>
      </c>
      <c r="H28">
        <v>2</v>
      </c>
      <c r="I28" t="s">
        <v>373</v>
      </c>
      <c r="J28" t="s">
        <v>113</v>
      </c>
      <c r="K28" s="46">
        <v>1</v>
      </c>
      <c r="L28" s="46" t="s">
        <v>112</v>
      </c>
      <c r="M28" s="46">
        <v>100</v>
      </c>
      <c r="N28" s="77">
        <v>44197</v>
      </c>
      <c r="O28" s="77"/>
      <c r="Q28" t="s">
        <v>113</v>
      </c>
      <c r="R28">
        <v>1</v>
      </c>
    </row>
    <row r="29" spans="1:18" x14ac:dyDescent="0.25">
      <c r="A29" t="str">
        <f>TableBCONM[[#This Row],[Study Package Code]]</f>
        <v>SPUC-PROPT</v>
      </c>
      <c r="B29" s="2">
        <f>TableBCONM[[#This Row],[Ver]]</f>
        <v>2</v>
      </c>
      <c r="D29" t="str">
        <f>TableBCONM[[#This Row],[Structure Line]]</f>
        <v>Property Investment Specialisation</v>
      </c>
      <c r="E29" s="32">
        <f>TableBCONM[[#This Row],[Credit Points]]</f>
        <v>100</v>
      </c>
      <c r="F29">
        <v>15</v>
      </c>
      <c r="G29" t="s">
        <v>374</v>
      </c>
      <c r="H29">
        <v>2</v>
      </c>
      <c r="I29" t="s">
        <v>373</v>
      </c>
      <c r="J29" t="s">
        <v>116</v>
      </c>
      <c r="K29" s="46">
        <v>2</v>
      </c>
      <c r="L29" s="46" t="s">
        <v>115</v>
      </c>
      <c r="M29" s="46">
        <v>100</v>
      </c>
      <c r="N29" s="77">
        <v>45292</v>
      </c>
      <c r="O29" s="77"/>
      <c r="Q29" t="s">
        <v>116</v>
      </c>
      <c r="R29">
        <v>2</v>
      </c>
    </row>
    <row r="30" spans="1:18" x14ac:dyDescent="0.25">
      <c r="A30" t="str">
        <f>TableBCONM[[#This Row],[Study Package Code]]</f>
        <v>SPUC-URDES</v>
      </c>
      <c r="B30" s="2">
        <f>TableBCONM[[#This Row],[Ver]]</f>
        <v>1</v>
      </c>
      <c r="D30" t="str">
        <f>TableBCONM[[#This Row],[Structure Line]]</f>
        <v>Urban Design and Planning Specialisation</v>
      </c>
      <c r="E30" s="32">
        <f>TableBCONM[[#This Row],[Credit Points]]</f>
        <v>100</v>
      </c>
      <c r="F30">
        <v>15</v>
      </c>
      <c r="G30" t="s">
        <v>374</v>
      </c>
      <c r="H30">
        <v>2</v>
      </c>
      <c r="I30" t="s">
        <v>373</v>
      </c>
      <c r="J30" t="s">
        <v>120</v>
      </c>
      <c r="K30" s="46">
        <v>1</v>
      </c>
      <c r="L30" s="46" t="s">
        <v>119</v>
      </c>
      <c r="M30" s="46">
        <v>100</v>
      </c>
      <c r="N30" s="77">
        <v>44197</v>
      </c>
      <c r="O30" s="77"/>
      <c r="Q30" t="s">
        <v>120</v>
      </c>
      <c r="R30">
        <v>1</v>
      </c>
    </row>
    <row r="31" spans="1:18" x14ac:dyDescent="0.25">
      <c r="A31" t="str">
        <f>TableBCONM[[#This Row],[Study Package Code]]</f>
        <v>SPUE-QSURV</v>
      </c>
      <c r="B31" s="2">
        <f>TableBCONM[[#This Row],[Ver]]</f>
        <v>1</v>
      </c>
      <c r="D31" t="str">
        <f>TableBCONM[[#This Row],[Structure Line]]</f>
        <v>Quantity Surveying Specialisation</v>
      </c>
      <c r="E31" s="32">
        <f>TableBCONM[[#This Row],[Credit Points]]</f>
        <v>100</v>
      </c>
      <c r="F31">
        <v>15</v>
      </c>
      <c r="G31" t="s">
        <v>374</v>
      </c>
      <c r="H31">
        <v>2</v>
      </c>
      <c r="I31" t="s">
        <v>373</v>
      </c>
      <c r="J31" t="s">
        <v>337</v>
      </c>
      <c r="K31" s="46">
        <v>1</v>
      </c>
      <c r="L31" s="46" t="s">
        <v>338</v>
      </c>
      <c r="M31" s="46">
        <v>100</v>
      </c>
      <c r="N31" s="77">
        <v>45658</v>
      </c>
      <c r="O31" s="77"/>
    </row>
    <row r="32" spans="1:18" x14ac:dyDescent="0.25">
      <c r="A32" t="str">
        <f>TableBCONM[[#This Row],[Study Package Code]]</f>
        <v>STRH-CONMN</v>
      </c>
      <c r="B32" s="2">
        <f>TableBCONM[[#This Row],[Ver]]</f>
        <v>3</v>
      </c>
      <c r="D32" t="str">
        <f>TableBCONM[[#This Row],[Structure Line]]</f>
        <v>Honours Construction Management Stream</v>
      </c>
      <c r="E32" s="32">
        <f>TableBCONM[[#This Row],[Credit Points]]</f>
        <v>200</v>
      </c>
      <c r="F32">
        <v>22</v>
      </c>
      <c r="G32" t="s">
        <v>377</v>
      </c>
      <c r="H32">
        <v>4</v>
      </c>
      <c r="I32" t="s">
        <v>373</v>
      </c>
      <c r="J32" t="s">
        <v>95</v>
      </c>
      <c r="K32" s="46">
        <v>3</v>
      </c>
      <c r="L32" s="46" t="s">
        <v>94</v>
      </c>
      <c r="M32" s="46">
        <v>200</v>
      </c>
      <c r="N32" s="77">
        <v>45292</v>
      </c>
      <c r="O32" s="77"/>
      <c r="Q32" t="s">
        <v>95</v>
      </c>
      <c r="R32">
        <v>3</v>
      </c>
    </row>
    <row r="33" spans="1:18" x14ac:dyDescent="0.25">
      <c r="A33" t="str">
        <f>TableBCONM[[#This Row],[Study Package Code]]</f>
        <v>STRU-CONMN</v>
      </c>
      <c r="B33" s="2">
        <f>TableBCONM[[#This Row],[Ver]]</f>
        <v>3</v>
      </c>
      <c r="D33" t="str">
        <f>TableBCONM[[#This Row],[Structure Line]]</f>
        <v>Construction Management Fourth Year Stream</v>
      </c>
      <c r="E33" s="32">
        <f>TableBCONM[[#This Row],[Credit Points]]</f>
        <v>200</v>
      </c>
      <c r="F33">
        <v>22</v>
      </c>
      <c r="G33" t="s">
        <v>377</v>
      </c>
      <c r="H33">
        <v>4</v>
      </c>
      <c r="I33" t="s">
        <v>373</v>
      </c>
      <c r="J33" t="s">
        <v>90</v>
      </c>
      <c r="K33" s="46">
        <v>3</v>
      </c>
      <c r="L33" s="46" t="s">
        <v>89</v>
      </c>
      <c r="M33" s="46">
        <v>200</v>
      </c>
      <c r="N33" s="77">
        <v>45292</v>
      </c>
      <c r="O33" s="77"/>
      <c r="Q33" t="s">
        <v>90</v>
      </c>
      <c r="R33">
        <v>3</v>
      </c>
    </row>
    <row r="34" spans="1:18" x14ac:dyDescent="0.25">
      <c r="B34"/>
      <c r="E34"/>
      <c r="F34" s="30"/>
      <c r="G34" s="31" t="s">
        <v>358</v>
      </c>
      <c r="H34" s="105">
        <v>45292</v>
      </c>
      <c r="I34" s="70"/>
      <c r="J34" s="104" t="s">
        <v>90</v>
      </c>
      <c r="K34" s="106" t="s">
        <v>91</v>
      </c>
      <c r="L34" s="70" t="s">
        <v>89</v>
      </c>
      <c r="M34" s="70"/>
      <c r="N34" s="75" t="s">
        <v>359</v>
      </c>
      <c r="O34" s="76">
        <v>45572</v>
      </c>
    </row>
    <row r="35" spans="1:18" x14ac:dyDescent="0.25">
      <c r="A35" t="s">
        <v>0</v>
      </c>
      <c r="B35" s="2" t="s">
        <v>360</v>
      </c>
      <c r="C35" t="s">
        <v>361</v>
      </c>
      <c r="D35" t="s">
        <v>3</v>
      </c>
      <c r="E35" s="32" t="s">
        <v>362</v>
      </c>
      <c r="F35" t="s">
        <v>363</v>
      </c>
      <c r="G35" t="s">
        <v>364</v>
      </c>
      <c r="H35" t="s">
        <v>365</v>
      </c>
      <c r="I35" t="s">
        <v>25</v>
      </c>
      <c r="J35" t="s">
        <v>366</v>
      </c>
      <c r="K35" t="s">
        <v>1</v>
      </c>
      <c r="L35" t="s">
        <v>367</v>
      </c>
      <c r="M35" t="s">
        <v>58</v>
      </c>
      <c r="N35" t="s">
        <v>368</v>
      </c>
      <c r="O35" t="s">
        <v>369</v>
      </c>
      <c r="Q35" t="s">
        <v>370</v>
      </c>
      <c r="R35" t="s">
        <v>371</v>
      </c>
    </row>
    <row r="36" spans="1:18" x14ac:dyDescent="0.25">
      <c r="A36" t="str">
        <f>TableSTRUCONMN[[#This Row],[Study Package Code]]</f>
        <v>BLDG4028</v>
      </c>
      <c r="B36" s="2">
        <f>TableSTRUCONMN[[#This Row],[Ver]]</f>
        <v>1</v>
      </c>
      <c r="D36" t="str">
        <f>TableSTRUCONMN[[#This Row],[Structure Line]]</f>
        <v>Contract Administration</v>
      </c>
      <c r="E36" s="32">
        <f>TableSTRUCONMN[[#This Row],[Credit Points]]</f>
        <v>25</v>
      </c>
      <c r="F36">
        <v>1</v>
      </c>
      <c r="G36" t="s">
        <v>372</v>
      </c>
      <c r="H36">
        <v>4</v>
      </c>
      <c r="I36" t="s">
        <v>373</v>
      </c>
      <c r="J36" t="s">
        <v>123</v>
      </c>
      <c r="K36" s="46">
        <v>1</v>
      </c>
      <c r="L36" s="46" t="s">
        <v>279</v>
      </c>
      <c r="M36" s="46">
        <v>25</v>
      </c>
      <c r="N36" s="77">
        <v>43466</v>
      </c>
      <c r="O36" s="77"/>
      <c r="Q36" t="s">
        <v>123</v>
      </c>
      <c r="R36">
        <v>1</v>
      </c>
    </row>
    <row r="37" spans="1:18" x14ac:dyDescent="0.25">
      <c r="A37" t="str">
        <f>TableSTRUCONMN[[#This Row],[Study Package Code]]</f>
        <v>BLDG4034</v>
      </c>
      <c r="B37" s="2">
        <f>TableSTRUCONMN[[#This Row],[Ver]]</f>
        <v>1</v>
      </c>
      <c r="D37" t="str">
        <f>TableSTRUCONMN[[#This Row],[Structure Line]]</f>
        <v>Engineering Measurement</v>
      </c>
      <c r="E37" s="32">
        <f>TableSTRUCONMN[[#This Row],[Credit Points]]</f>
        <v>25</v>
      </c>
      <c r="F37">
        <v>2</v>
      </c>
      <c r="G37" t="s">
        <v>372</v>
      </c>
      <c r="H37">
        <v>4</v>
      </c>
      <c r="I37" t="s">
        <v>373</v>
      </c>
      <c r="J37" t="s">
        <v>124</v>
      </c>
      <c r="K37" s="46">
        <v>1</v>
      </c>
      <c r="L37" s="46" t="s">
        <v>282</v>
      </c>
      <c r="M37" s="46">
        <v>25</v>
      </c>
      <c r="N37" s="77">
        <v>44927</v>
      </c>
      <c r="O37" s="77"/>
      <c r="Q37" t="s">
        <v>124</v>
      </c>
      <c r="R37">
        <v>1</v>
      </c>
    </row>
    <row r="38" spans="1:18" x14ac:dyDescent="0.25">
      <c r="A38" t="str">
        <f>TableSTRUCONMN[[#This Row],[Study Package Code]]</f>
        <v>BLDG4001</v>
      </c>
      <c r="B38" s="2">
        <f>TableSTRUCONMN[[#This Row],[Ver]]</f>
        <v>2</v>
      </c>
      <c r="D38" t="str">
        <f>TableSTRUCONMN[[#This Row],[Structure Line]]</f>
        <v>Facilities and Asset Management</v>
      </c>
      <c r="E38" s="32">
        <f>TableSTRUCONMN[[#This Row],[Credit Points]]</f>
        <v>25</v>
      </c>
      <c r="F38">
        <v>3</v>
      </c>
      <c r="G38" t="s">
        <v>372</v>
      </c>
      <c r="H38">
        <v>4</v>
      </c>
      <c r="I38" t="s">
        <v>373</v>
      </c>
      <c r="J38" t="s">
        <v>128</v>
      </c>
      <c r="K38" s="46">
        <v>2</v>
      </c>
      <c r="L38" s="46" t="s">
        <v>270</v>
      </c>
      <c r="M38" s="46">
        <v>25</v>
      </c>
      <c r="N38" s="77">
        <v>45108</v>
      </c>
      <c r="O38" s="77"/>
      <c r="Q38" t="s">
        <v>128</v>
      </c>
      <c r="R38">
        <v>2</v>
      </c>
    </row>
    <row r="39" spans="1:18" x14ac:dyDescent="0.25">
      <c r="A39" t="str">
        <f>TableSTRUCONMN[[#This Row],[Study Package Code]]</f>
        <v>BLDG4010</v>
      </c>
      <c r="B39" s="2">
        <f>TableSTRUCONMN[[#This Row],[Ver]]</f>
        <v>2</v>
      </c>
      <c r="D39" t="str">
        <f>TableSTRUCONMN[[#This Row],[Structure Line]]</f>
        <v>Integrated Construction Project 1</v>
      </c>
      <c r="E39" s="32">
        <f>TableSTRUCONMN[[#This Row],[Credit Points]]</f>
        <v>25</v>
      </c>
      <c r="F39">
        <v>4</v>
      </c>
      <c r="G39" t="s">
        <v>372</v>
      </c>
      <c r="H39">
        <v>4</v>
      </c>
      <c r="I39" t="s">
        <v>373</v>
      </c>
      <c r="J39" t="s">
        <v>126</v>
      </c>
      <c r="K39" s="46">
        <v>2</v>
      </c>
      <c r="L39" s="46" t="s">
        <v>273</v>
      </c>
      <c r="M39" s="46">
        <v>25</v>
      </c>
      <c r="N39" s="77">
        <v>44927</v>
      </c>
      <c r="O39" s="77"/>
      <c r="Q39" t="s">
        <v>126</v>
      </c>
      <c r="R39">
        <v>2</v>
      </c>
    </row>
    <row r="40" spans="1:18" x14ac:dyDescent="0.25">
      <c r="A40" t="str">
        <f>TableSTRUCONMN[[#This Row],[Study Package Code]]</f>
        <v>BLDG4032</v>
      </c>
      <c r="B40" s="2">
        <f>TableSTRUCONMN[[#This Row],[Ver]]</f>
        <v>1</v>
      </c>
      <c r="D40" t="str">
        <f>TableSTRUCONMN[[#This Row],[Structure Line]]</f>
        <v>Integrated Construction Project 2</v>
      </c>
      <c r="E40" s="32">
        <f>TableSTRUCONMN[[#This Row],[Credit Points]]</f>
        <v>50</v>
      </c>
      <c r="F40">
        <v>5</v>
      </c>
      <c r="G40" t="s">
        <v>372</v>
      </c>
      <c r="H40">
        <v>4</v>
      </c>
      <c r="I40" t="s">
        <v>373</v>
      </c>
      <c r="J40" t="s">
        <v>130</v>
      </c>
      <c r="K40" s="46">
        <v>1</v>
      </c>
      <c r="L40" s="46" t="s">
        <v>281</v>
      </c>
      <c r="M40" s="46">
        <v>50</v>
      </c>
      <c r="N40" s="77">
        <v>43466</v>
      </c>
      <c r="O40" s="77"/>
      <c r="Q40" t="s">
        <v>130</v>
      </c>
      <c r="R40">
        <v>1</v>
      </c>
    </row>
    <row r="41" spans="1:18" x14ac:dyDescent="0.25">
      <c r="A41" t="str">
        <f>TableSTRUCONMN[[#This Row],[Study Package Code]]</f>
        <v>BLDG4011</v>
      </c>
      <c r="B41" s="2">
        <f>TableSTRUCONMN[[#This Row],[Ver]]</f>
        <v>1</v>
      </c>
      <c r="D41" t="str">
        <f>TableSTRUCONMN[[#This Row],[Structure Line]]</f>
        <v>Project Development and Appraisal</v>
      </c>
      <c r="E41" s="32">
        <f>TableSTRUCONMN[[#This Row],[Credit Points]]</f>
        <v>25</v>
      </c>
      <c r="F41">
        <v>6</v>
      </c>
      <c r="G41" t="s">
        <v>372</v>
      </c>
      <c r="H41">
        <v>4</v>
      </c>
      <c r="I41" t="s">
        <v>373</v>
      </c>
      <c r="J41" t="s">
        <v>129</v>
      </c>
      <c r="K41" s="46">
        <v>1</v>
      </c>
      <c r="L41" s="46" t="s">
        <v>378</v>
      </c>
      <c r="M41" s="46">
        <v>25</v>
      </c>
      <c r="N41" s="77">
        <v>42736</v>
      </c>
      <c r="O41" s="77"/>
      <c r="Q41" t="s">
        <v>129</v>
      </c>
      <c r="R41">
        <v>1</v>
      </c>
    </row>
    <row r="42" spans="1:18" x14ac:dyDescent="0.25">
      <c r="A42" t="str">
        <f>TableSTRUCONMN[[#This Row],[Study Package Code]]</f>
        <v>BLDG4027</v>
      </c>
      <c r="B42" s="2">
        <f>TableSTRUCONMN[[#This Row],[Ver]]</f>
        <v>2</v>
      </c>
      <c r="D42" t="str">
        <f>TableSTRUCONMN[[#This Row],[Structure Line]]</f>
        <v>Research in Professional Practice in Construction</v>
      </c>
      <c r="E42" s="32">
        <f>TableSTRUCONMN[[#This Row],[Credit Points]]</f>
        <v>25</v>
      </c>
      <c r="F42">
        <v>7</v>
      </c>
      <c r="G42" t="s">
        <v>372</v>
      </c>
      <c r="H42">
        <v>4</v>
      </c>
      <c r="I42" t="s">
        <v>373</v>
      </c>
      <c r="J42" t="s">
        <v>125</v>
      </c>
      <c r="K42" s="46">
        <v>2</v>
      </c>
      <c r="L42" s="46" t="s">
        <v>379</v>
      </c>
      <c r="M42" s="46">
        <v>25</v>
      </c>
      <c r="N42" s="77">
        <v>43466</v>
      </c>
      <c r="O42" s="77"/>
      <c r="Q42" t="s">
        <v>125</v>
      </c>
      <c r="R42">
        <v>2</v>
      </c>
    </row>
    <row r="43" spans="1:18" x14ac:dyDescent="0.25">
      <c r="B43"/>
      <c r="E43"/>
      <c r="F43" s="30"/>
      <c r="G43" s="31" t="s">
        <v>358</v>
      </c>
      <c r="H43" s="105">
        <v>45292</v>
      </c>
      <c r="I43" s="70"/>
      <c r="J43" s="104" t="s">
        <v>95</v>
      </c>
      <c r="K43" s="106" t="s">
        <v>91</v>
      </c>
      <c r="L43" s="70" t="s">
        <v>94</v>
      </c>
      <c r="M43" s="70"/>
      <c r="N43" s="75" t="s">
        <v>359</v>
      </c>
      <c r="O43" s="76">
        <v>45572</v>
      </c>
    </row>
    <row r="44" spans="1:18" x14ac:dyDescent="0.25">
      <c r="A44" t="s">
        <v>0</v>
      </c>
      <c r="B44" s="2" t="s">
        <v>360</v>
      </c>
      <c r="C44" t="s">
        <v>361</v>
      </c>
      <c r="D44" t="s">
        <v>3</v>
      </c>
      <c r="E44" s="32" t="s">
        <v>362</v>
      </c>
      <c r="F44" t="s">
        <v>363</v>
      </c>
      <c r="G44" t="s">
        <v>364</v>
      </c>
      <c r="H44" t="s">
        <v>365</v>
      </c>
      <c r="I44" t="s">
        <v>25</v>
      </c>
      <c r="J44" t="s">
        <v>366</v>
      </c>
      <c r="K44" t="s">
        <v>1</v>
      </c>
      <c r="L44" t="s">
        <v>367</v>
      </c>
      <c r="M44" t="s">
        <v>58</v>
      </c>
      <c r="N44" t="s">
        <v>368</v>
      </c>
      <c r="O44" t="s">
        <v>369</v>
      </c>
      <c r="Q44" t="s">
        <v>370</v>
      </c>
      <c r="R44" t="s">
        <v>371</v>
      </c>
    </row>
    <row r="45" spans="1:18" x14ac:dyDescent="0.25">
      <c r="A45" t="str">
        <f>TableSTRHCONMN[[#This Row],[Study Package Code]]</f>
        <v>BLDG4007</v>
      </c>
      <c r="B45" s="2">
        <f>TableSTRHCONMN[[#This Row],[Ver]]</f>
        <v>1</v>
      </c>
      <c r="D45" t="str">
        <f>TableSTRHCONMN[[#This Row],[Structure Line]]</f>
        <v>Building Dissertation 1</v>
      </c>
      <c r="E45" s="32">
        <f>TableSTRHCONMN[[#This Row],[Credit Points]]</f>
        <v>25</v>
      </c>
      <c r="F45">
        <v>1</v>
      </c>
      <c r="G45" t="s">
        <v>372</v>
      </c>
      <c r="H45">
        <v>4</v>
      </c>
      <c r="I45" t="s">
        <v>373</v>
      </c>
      <c r="J45" t="s">
        <v>127</v>
      </c>
      <c r="K45" s="46">
        <v>1</v>
      </c>
      <c r="L45" s="46" t="s">
        <v>272</v>
      </c>
      <c r="M45" s="46">
        <v>25</v>
      </c>
      <c r="N45" s="77">
        <v>42005</v>
      </c>
      <c r="O45" s="77"/>
      <c r="Q45" t="s">
        <v>127</v>
      </c>
      <c r="R45">
        <v>1</v>
      </c>
    </row>
    <row r="46" spans="1:18" x14ac:dyDescent="0.25">
      <c r="A46" t="str">
        <f>TableSTRHCONMN[[#This Row],[Study Package Code]]</f>
        <v>BLDG4000</v>
      </c>
      <c r="B46" s="2">
        <f>TableSTRHCONMN[[#This Row],[Ver]]</f>
        <v>1</v>
      </c>
      <c r="D46" t="str">
        <f>TableSTRHCONMN[[#This Row],[Structure Line]]</f>
        <v>Building Dissertation 2</v>
      </c>
      <c r="E46" s="32">
        <f>TableSTRHCONMN[[#This Row],[Credit Points]]</f>
        <v>50</v>
      </c>
      <c r="F46">
        <v>2</v>
      </c>
      <c r="G46" t="s">
        <v>372</v>
      </c>
      <c r="H46">
        <v>4</v>
      </c>
      <c r="I46" t="s">
        <v>373</v>
      </c>
      <c r="J46" t="s">
        <v>131</v>
      </c>
      <c r="K46" s="46">
        <v>1</v>
      </c>
      <c r="L46" s="46" t="s">
        <v>269</v>
      </c>
      <c r="M46" s="46">
        <v>50</v>
      </c>
      <c r="N46" s="77">
        <v>42005</v>
      </c>
      <c r="O46" s="77"/>
      <c r="Q46" t="s">
        <v>131</v>
      </c>
      <c r="R46">
        <v>1</v>
      </c>
    </row>
    <row r="47" spans="1:18" x14ac:dyDescent="0.25">
      <c r="A47" t="str">
        <f>TableSTRHCONMN[[#This Row],[Study Package Code]]</f>
        <v>BLDG4028</v>
      </c>
      <c r="B47" s="2">
        <f>TableSTRHCONMN[[#This Row],[Ver]]</f>
        <v>1</v>
      </c>
      <c r="D47" t="str">
        <f>TableSTRHCONMN[[#This Row],[Structure Line]]</f>
        <v>Contract Administration</v>
      </c>
      <c r="E47" s="32">
        <f>TableSTRHCONMN[[#This Row],[Credit Points]]</f>
        <v>25</v>
      </c>
      <c r="F47">
        <v>3</v>
      </c>
      <c r="G47" t="s">
        <v>372</v>
      </c>
      <c r="H47">
        <v>4</v>
      </c>
      <c r="I47" t="s">
        <v>373</v>
      </c>
      <c r="J47" t="s">
        <v>123</v>
      </c>
      <c r="K47" s="46">
        <v>1</v>
      </c>
      <c r="L47" s="46" t="s">
        <v>279</v>
      </c>
      <c r="M47" s="46">
        <v>25</v>
      </c>
      <c r="N47" s="77">
        <v>43466</v>
      </c>
      <c r="O47" s="77"/>
      <c r="Q47" t="s">
        <v>123</v>
      </c>
      <c r="R47">
        <v>1</v>
      </c>
    </row>
    <row r="48" spans="1:18" x14ac:dyDescent="0.25">
      <c r="A48" t="str">
        <f>TableSTRHCONMN[[#This Row],[Study Package Code]]</f>
        <v>BLDG4034</v>
      </c>
      <c r="B48" s="2">
        <f>TableSTRHCONMN[[#This Row],[Ver]]</f>
        <v>1</v>
      </c>
      <c r="D48" t="str">
        <f>TableSTRHCONMN[[#This Row],[Structure Line]]</f>
        <v>Engineering Measurement</v>
      </c>
      <c r="E48" s="32">
        <f>TableSTRHCONMN[[#This Row],[Credit Points]]</f>
        <v>25</v>
      </c>
      <c r="F48">
        <v>4</v>
      </c>
      <c r="G48" t="s">
        <v>372</v>
      </c>
      <c r="H48">
        <v>4</v>
      </c>
      <c r="I48" t="s">
        <v>373</v>
      </c>
      <c r="J48" t="s">
        <v>124</v>
      </c>
      <c r="K48" s="46">
        <v>1</v>
      </c>
      <c r="L48" s="46" t="s">
        <v>282</v>
      </c>
      <c r="M48" s="46">
        <v>25</v>
      </c>
      <c r="N48" s="77">
        <v>44927</v>
      </c>
      <c r="O48" s="77"/>
      <c r="Q48" t="s">
        <v>124</v>
      </c>
      <c r="R48">
        <v>1</v>
      </c>
    </row>
    <row r="49" spans="1:18" x14ac:dyDescent="0.25">
      <c r="A49" t="str">
        <f>TableSTRHCONMN[[#This Row],[Study Package Code]]</f>
        <v>BLDG4001</v>
      </c>
      <c r="B49" s="2">
        <f>TableSTRHCONMN[[#This Row],[Ver]]</f>
        <v>2</v>
      </c>
      <c r="D49" t="str">
        <f>TableSTRHCONMN[[#This Row],[Structure Line]]</f>
        <v>Facilities and Asset Management</v>
      </c>
      <c r="E49" s="32">
        <f>TableSTRHCONMN[[#This Row],[Credit Points]]</f>
        <v>25</v>
      </c>
      <c r="F49">
        <v>5</v>
      </c>
      <c r="G49" t="s">
        <v>372</v>
      </c>
      <c r="H49">
        <v>4</v>
      </c>
      <c r="I49" t="s">
        <v>373</v>
      </c>
      <c r="J49" t="s">
        <v>128</v>
      </c>
      <c r="K49" s="46">
        <v>2</v>
      </c>
      <c r="L49" s="46" t="s">
        <v>270</v>
      </c>
      <c r="M49" s="46">
        <v>25</v>
      </c>
      <c r="N49" s="77">
        <v>45108</v>
      </c>
      <c r="O49" s="77"/>
      <c r="Q49" t="s">
        <v>128</v>
      </c>
      <c r="R49">
        <v>2</v>
      </c>
    </row>
    <row r="50" spans="1:18" x14ac:dyDescent="0.25">
      <c r="A50" t="str">
        <f>TableSTRHCONMN[[#This Row],[Study Package Code]]</f>
        <v>BLDG4010</v>
      </c>
      <c r="B50" s="2">
        <f>TableSTRHCONMN[[#This Row],[Ver]]</f>
        <v>2</v>
      </c>
      <c r="D50" t="str">
        <f>TableSTRHCONMN[[#This Row],[Structure Line]]</f>
        <v>Integrated Construction Project 1</v>
      </c>
      <c r="E50" s="32">
        <f>TableSTRHCONMN[[#This Row],[Credit Points]]</f>
        <v>25</v>
      </c>
      <c r="F50">
        <v>6</v>
      </c>
      <c r="G50" t="s">
        <v>372</v>
      </c>
      <c r="H50">
        <v>4</v>
      </c>
      <c r="I50" t="s">
        <v>373</v>
      </c>
      <c r="J50" t="s">
        <v>126</v>
      </c>
      <c r="K50" s="46">
        <v>2</v>
      </c>
      <c r="L50" s="46" t="s">
        <v>273</v>
      </c>
      <c r="M50" s="46">
        <v>25</v>
      </c>
      <c r="N50" s="77">
        <v>44927</v>
      </c>
      <c r="O50" s="77"/>
      <c r="Q50" t="s">
        <v>126</v>
      </c>
      <c r="R50">
        <v>2</v>
      </c>
    </row>
    <row r="51" spans="1:18" x14ac:dyDescent="0.25">
      <c r="A51" t="str">
        <f>TableSTRHCONMN[[#This Row],[Study Package Code]]</f>
        <v>BLDG4011</v>
      </c>
      <c r="B51" s="2">
        <f>TableSTRHCONMN[[#This Row],[Ver]]</f>
        <v>1</v>
      </c>
      <c r="D51" t="str">
        <f>TableSTRHCONMN[[#This Row],[Structure Line]]</f>
        <v>Project Development and Appraisal</v>
      </c>
      <c r="E51" s="32">
        <f>TableSTRHCONMN[[#This Row],[Credit Points]]</f>
        <v>25</v>
      </c>
      <c r="F51">
        <v>7</v>
      </c>
      <c r="G51" t="s">
        <v>372</v>
      </c>
      <c r="H51">
        <v>4</v>
      </c>
      <c r="I51" t="s">
        <v>373</v>
      </c>
      <c r="J51" t="s">
        <v>129</v>
      </c>
      <c r="K51" s="46">
        <v>1</v>
      </c>
      <c r="L51" s="46" t="s">
        <v>378</v>
      </c>
      <c r="M51" s="46">
        <v>25</v>
      </c>
      <c r="N51" s="77">
        <v>42736</v>
      </c>
      <c r="O51" s="77"/>
      <c r="Q51" t="s">
        <v>129</v>
      </c>
      <c r="R51">
        <v>1</v>
      </c>
    </row>
    <row r="52" spans="1:18" x14ac:dyDescent="0.25">
      <c r="B52"/>
      <c r="E52"/>
      <c r="F52" s="30"/>
      <c r="G52" s="31" t="s">
        <v>358</v>
      </c>
      <c r="H52" s="105">
        <v>44562</v>
      </c>
      <c r="I52" s="70"/>
      <c r="J52" s="104" t="s">
        <v>103</v>
      </c>
      <c r="K52" s="106" t="s">
        <v>104</v>
      </c>
      <c r="L52" s="70" t="s">
        <v>102</v>
      </c>
      <c r="M52" s="70"/>
      <c r="N52" s="75" t="s">
        <v>359</v>
      </c>
      <c r="O52" s="76">
        <v>45572</v>
      </c>
    </row>
    <row r="53" spans="1:18" x14ac:dyDescent="0.25">
      <c r="A53" t="s">
        <v>0</v>
      </c>
      <c r="B53" s="2" t="s">
        <v>360</v>
      </c>
      <c r="C53" t="s">
        <v>361</v>
      </c>
      <c r="D53" t="s">
        <v>3</v>
      </c>
      <c r="E53" s="32" t="s">
        <v>362</v>
      </c>
      <c r="F53" t="s">
        <v>363</v>
      </c>
      <c r="G53" t="s">
        <v>364</v>
      </c>
      <c r="H53" t="s">
        <v>365</v>
      </c>
      <c r="I53" t="s">
        <v>25</v>
      </c>
      <c r="J53" t="s">
        <v>366</v>
      </c>
      <c r="K53" t="s">
        <v>1</v>
      </c>
      <c r="L53" t="s">
        <v>367</v>
      </c>
      <c r="M53" t="s">
        <v>58</v>
      </c>
      <c r="N53" t="s">
        <v>368</v>
      </c>
      <c r="O53" t="s">
        <v>369</v>
      </c>
      <c r="Q53" t="s">
        <v>370</v>
      </c>
      <c r="R53" t="s">
        <v>371</v>
      </c>
    </row>
    <row r="54" spans="1:18" x14ac:dyDescent="0.25">
      <c r="A54" t="str">
        <f>TableSPUCANGAD[[#This Row],[Study Package Code]]</f>
        <v>GRDE1001</v>
      </c>
      <c r="B54" s="2">
        <f>TableSPUCANGAD[[#This Row],[Ver]]</f>
        <v>1</v>
      </c>
      <c r="D54" t="str">
        <f>TableSPUCANGAD[[#This Row],[Structure Line]]</f>
        <v>Animation Design Introduction</v>
      </c>
      <c r="E54" s="32">
        <f>TableSPUCANGAD[[#This Row],[Credit Points]]</f>
        <v>25</v>
      </c>
      <c r="F54">
        <v>1</v>
      </c>
      <c r="G54" t="s">
        <v>372</v>
      </c>
      <c r="H54">
        <v>1</v>
      </c>
      <c r="I54" t="s">
        <v>373</v>
      </c>
      <c r="J54" t="s">
        <v>148</v>
      </c>
      <c r="K54" s="46">
        <v>1</v>
      </c>
      <c r="L54" s="46" t="s">
        <v>290</v>
      </c>
      <c r="M54" s="46">
        <v>25</v>
      </c>
      <c r="N54" s="77">
        <v>42005</v>
      </c>
      <c r="O54" s="77"/>
      <c r="Q54" t="s">
        <v>148</v>
      </c>
      <c r="R54">
        <v>1</v>
      </c>
    </row>
    <row r="55" spans="1:18" x14ac:dyDescent="0.25">
      <c r="A55" t="str">
        <f>TableSPUCANGAD[[#This Row],[Study Package Code]]</f>
        <v>GRDE1020</v>
      </c>
      <c r="B55" s="2">
        <f>TableSPUCANGAD[[#This Row],[Ver]]</f>
        <v>1</v>
      </c>
      <c r="D55" t="str">
        <f>TableSPUCANGAD[[#This Row],[Structure Line]]</f>
        <v>Game Design Introduction</v>
      </c>
      <c r="E55" s="32">
        <f>TableSPUCANGAD[[#This Row],[Credit Points]]</f>
        <v>25</v>
      </c>
      <c r="F55">
        <v>2</v>
      </c>
      <c r="G55" t="s">
        <v>372</v>
      </c>
      <c r="H55">
        <v>1</v>
      </c>
      <c r="I55" t="s">
        <v>373</v>
      </c>
      <c r="J55" t="s">
        <v>156</v>
      </c>
      <c r="K55" s="46">
        <v>1</v>
      </c>
      <c r="L55" s="46" t="s">
        <v>291</v>
      </c>
      <c r="M55" s="46">
        <v>25</v>
      </c>
      <c r="N55" s="77">
        <v>42736</v>
      </c>
      <c r="O55" s="77"/>
      <c r="Q55" t="s">
        <v>156</v>
      </c>
      <c r="R55">
        <v>1</v>
      </c>
    </row>
    <row r="56" spans="1:18" x14ac:dyDescent="0.25">
      <c r="A56" t="str">
        <f>TableSPUCANGAD[[#This Row],[Study Package Code]]</f>
        <v>GRDE2037</v>
      </c>
      <c r="B56" s="2">
        <f>TableSPUCANGAD[[#This Row],[Ver]]</f>
        <v>2</v>
      </c>
      <c r="D56" t="str">
        <f>TableSPUCANGAD[[#This Row],[Structure Line]]</f>
        <v>3D Level Design</v>
      </c>
      <c r="E56" s="32">
        <f>TableSPUCANGAD[[#This Row],[Credit Points]]</f>
        <v>25</v>
      </c>
      <c r="F56">
        <v>3</v>
      </c>
      <c r="G56" t="s">
        <v>372</v>
      </c>
      <c r="H56">
        <v>2</v>
      </c>
      <c r="I56" t="s">
        <v>373</v>
      </c>
      <c r="J56" t="s">
        <v>164</v>
      </c>
      <c r="K56" s="46">
        <v>2</v>
      </c>
      <c r="L56" s="46" t="s">
        <v>293</v>
      </c>
      <c r="M56" s="46">
        <v>25</v>
      </c>
      <c r="N56" s="77">
        <v>43466</v>
      </c>
      <c r="O56" s="77"/>
      <c r="Q56" t="s">
        <v>164</v>
      </c>
      <c r="R56">
        <v>2</v>
      </c>
    </row>
    <row r="57" spans="1:18" x14ac:dyDescent="0.25">
      <c r="A57" t="str">
        <f>TableSPUCANGAD[[#This Row],[Study Package Code]]</f>
        <v>AC-ANGAD</v>
      </c>
      <c r="B57" s="2">
        <f>TableSPUCANGAD[[#This Row],[Ver]]</f>
        <v>0</v>
      </c>
      <c r="D57" t="str">
        <f>TableSPUCANGAD[[#This Row],[Structure Line]]</f>
        <v>Choose GRDE3030 or WORK3000</v>
      </c>
      <c r="E57" s="32">
        <f>TableSPUCANGAD[[#This Row],[Credit Points]]</f>
        <v>25</v>
      </c>
      <c r="F57">
        <v>4</v>
      </c>
      <c r="G57" t="s">
        <v>377</v>
      </c>
      <c r="H57">
        <v>3</v>
      </c>
      <c r="I57" t="s">
        <v>373</v>
      </c>
      <c r="J57" t="s">
        <v>176</v>
      </c>
      <c r="K57" s="46">
        <v>0</v>
      </c>
      <c r="L57" s="46" t="s">
        <v>380</v>
      </c>
      <c r="M57" s="46">
        <v>25</v>
      </c>
      <c r="N57" s="77"/>
      <c r="O57" s="77"/>
      <c r="Q57" t="s">
        <v>381</v>
      </c>
    </row>
    <row r="58" spans="1:18" x14ac:dyDescent="0.25">
      <c r="A58" t="str">
        <f>TableSPUCANGAD[[#This Row],[Study Package Code]]</f>
        <v>GRDE3030</v>
      </c>
      <c r="B58" s="2">
        <f>TableSPUCANGAD[[#This Row],[Ver]]</f>
        <v>2</v>
      </c>
      <c r="D58" t="str">
        <f>TableSPUCANGAD[[#This Row],[Structure Line]]</f>
        <v>Industry Project Development</v>
      </c>
      <c r="E58" s="32">
        <f>TableSPUCANGAD[[#This Row],[Credit Points]]</f>
        <v>25</v>
      </c>
      <c r="F58">
        <v>4</v>
      </c>
      <c r="G58" t="s">
        <v>377</v>
      </c>
      <c r="H58">
        <v>3</v>
      </c>
      <c r="I58" t="s">
        <v>373</v>
      </c>
      <c r="J58" t="s">
        <v>181</v>
      </c>
      <c r="K58" s="46">
        <v>2</v>
      </c>
      <c r="L58" s="46" t="s">
        <v>295</v>
      </c>
      <c r="M58" s="46">
        <v>25</v>
      </c>
      <c r="N58" s="77">
        <v>43831</v>
      </c>
      <c r="O58" s="77"/>
      <c r="Q58" t="s">
        <v>181</v>
      </c>
      <c r="R58">
        <v>2</v>
      </c>
    </row>
    <row r="59" spans="1:18" x14ac:dyDescent="0.25">
      <c r="A59" t="str">
        <f>TableSPUCANGAD[[#This Row],[Study Package Code]]</f>
        <v>WORK3000</v>
      </c>
      <c r="B59" s="2">
        <f>TableSPUCANGAD[[#This Row],[Ver]]</f>
        <v>2</v>
      </c>
      <c r="D59" t="str">
        <f>TableSPUCANGAD[[#This Row],[Structure Line]]</f>
        <v>Work Based Project</v>
      </c>
      <c r="E59" s="32">
        <f>TableSPUCANGAD[[#This Row],[Credit Points]]</f>
        <v>25</v>
      </c>
      <c r="F59">
        <v>4</v>
      </c>
      <c r="G59" t="s">
        <v>377</v>
      </c>
      <c r="H59">
        <v>3</v>
      </c>
      <c r="I59" t="s">
        <v>373</v>
      </c>
      <c r="J59" t="s">
        <v>186</v>
      </c>
      <c r="K59" s="46">
        <v>2</v>
      </c>
      <c r="L59" s="46" t="s">
        <v>382</v>
      </c>
      <c r="M59" s="46">
        <v>25</v>
      </c>
      <c r="N59" s="77">
        <v>42736</v>
      </c>
      <c r="O59" s="77"/>
      <c r="Q59" t="s">
        <v>186</v>
      </c>
      <c r="R59">
        <v>2</v>
      </c>
    </row>
    <row r="60" spans="1:18" x14ac:dyDescent="0.25">
      <c r="B60"/>
      <c r="E60"/>
      <c r="F60" s="30"/>
      <c r="G60" s="31" t="s">
        <v>358</v>
      </c>
      <c r="H60" s="105">
        <v>44562</v>
      </c>
      <c r="I60" s="70"/>
      <c r="J60" s="104" t="s">
        <v>108</v>
      </c>
      <c r="K60" s="106" t="s">
        <v>104</v>
      </c>
      <c r="L60" s="70" t="s">
        <v>107</v>
      </c>
      <c r="M60" s="70"/>
      <c r="N60" s="75" t="s">
        <v>359</v>
      </c>
      <c r="O60" s="76">
        <v>45572</v>
      </c>
    </row>
    <row r="61" spans="1:18" x14ac:dyDescent="0.25">
      <c r="A61" t="s">
        <v>0</v>
      </c>
      <c r="B61" s="2" t="s">
        <v>360</v>
      </c>
      <c r="C61" t="s">
        <v>361</v>
      </c>
      <c r="D61" t="s">
        <v>3</v>
      </c>
      <c r="E61" s="32" t="s">
        <v>362</v>
      </c>
      <c r="F61" t="s">
        <v>363</v>
      </c>
      <c r="G61" t="s">
        <v>364</v>
      </c>
      <c r="H61" t="s">
        <v>365</v>
      </c>
      <c r="I61" t="s">
        <v>25</v>
      </c>
      <c r="J61" t="s">
        <v>366</v>
      </c>
      <c r="K61" t="s">
        <v>1</v>
      </c>
      <c r="L61" t="s">
        <v>367</v>
      </c>
      <c r="M61" t="s">
        <v>58</v>
      </c>
      <c r="N61" t="s">
        <v>368</v>
      </c>
      <c r="O61" t="s">
        <v>369</v>
      </c>
      <c r="Q61" t="s">
        <v>370</v>
      </c>
      <c r="R61" t="s">
        <v>371</v>
      </c>
    </row>
    <row r="62" spans="1:18" x14ac:dyDescent="0.25">
      <c r="A62" t="str">
        <f>TableSPUCFINCE[[#This Row],[Study Package Code]]</f>
        <v>AC-FINCE</v>
      </c>
      <c r="B62" s="2">
        <f>TableSPUCFINCE[[#This Row],[Ver]]</f>
        <v>0</v>
      </c>
      <c r="D62" t="str">
        <f>TableSPUCFINCE[[#This Row],[Structure Line]]</f>
        <v>You must complete FNCE2000 as it is a foundation unit for the Finance specialisation. If you have already completed FNCE2000 choose FNCE2003.</v>
      </c>
      <c r="E62" s="32">
        <f>TableSPUCFINCE[[#This Row],[Credit Points]]</f>
        <v>25</v>
      </c>
      <c r="F62">
        <v>1</v>
      </c>
      <c r="G62" t="s">
        <v>377</v>
      </c>
      <c r="H62">
        <v>0</v>
      </c>
      <c r="I62" t="s">
        <v>373</v>
      </c>
      <c r="J62" t="s">
        <v>383</v>
      </c>
      <c r="K62" s="46">
        <v>0</v>
      </c>
      <c r="L62" s="46" t="s">
        <v>384</v>
      </c>
      <c r="M62" s="46">
        <v>25</v>
      </c>
      <c r="N62" s="77"/>
      <c r="O62" s="77"/>
      <c r="Q62" t="s">
        <v>149</v>
      </c>
      <c r="R62">
        <v>1</v>
      </c>
    </row>
    <row r="63" spans="1:18" x14ac:dyDescent="0.25">
      <c r="A63" t="str">
        <f>TableSPUCFINCE[[#This Row],[Study Package Code]]</f>
        <v>Opt-FINCE</v>
      </c>
      <c r="B63" s="2">
        <f>TableSPUCFINCE[[#This Row],[Ver]]</f>
        <v>0</v>
      </c>
      <c r="D63" t="str">
        <f>TableSPUCFINCE[[#This Row],[Structure Line]]</f>
        <v>Choose an Option</v>
      </c>
      <c r="E63" s="32">
        <f>TableSPUCFINCE[[#This Row],[Credit Points]]</f>
        <v>75</v>
      </c>
      <c r="F63">
        <v>2</v>
      </c>
      <c r="G63" t="s">
        <v>374</v>
      </c>
      <c r="H63">
        <v>0</v>
      </c>
      <c r="I63" t="s">
        <v>373</v>
      </c>
      <c r="J63" t="s">
        <v>165</v>
      </c>
      <c r="K63" s="46">
        <v>0</v>
      </c>
      <c r="L63" s="46" t="s">
        <v>385</v>
      </c>
      <c r="M63" s="46">
        <v>75</v>
      </c>
      <c r="N63" s="77"/>
      <c r="O63" s="77"/>
      <c r="Q63" t="s">
        <v>386</v>
      </c>
      <c r="R63">
        <v>0</v>
      </c>
    </row>
    <row r="64" spans="1:18" x14ac:dyDescent="0.25">
      <c r="A64" t="str">
        <f>TableSPUCFINCE[[#This Row],[Study Package Code]]</f>
        <v>FNCE2000</v>
      </c>
      <c r="B64" s="2">
        <f>TableSPUCFINCE[[#This Row],[Ver]]</f>
        <v>1</v>
      </c>
      <c r="D64" t="str">
        <f>TableSPUCFINCE[[#This Row],[Structure Line]]</f>
        <v>Introduction to Finance Principles</v>
      </c>
      <c r="E64" s="32">
        <f>TableSPUCFINCE[[#This Row],[Credit Points]]</f>
        <v>25</v>
      </c>
      <c r="F64">
        <v>1</v>
      </c>
      <c r="G64" t="s">
        <v>377</v>
      </c>
      <c r="H64">
        <v>0</v>
      </c>
      <c r="I64" t="s">
        <v>373</v>
      </c>
      <c r="J64" t="s">
        <v>149</v>
      </c>
      <c r="K64" s="46">
        <v>1</v>
      </c>
      <c r="L64" s="46" t="s">
        <v>284</v>
      </c>
      <c r="M64" s="46">
        <v>25</v>
      </c>
      <c r="N64" s="77">
        <v>42005</v>
      </c>
      <c r="O64" s="77"/>
    </row>
    <row r="65" spans="1:18" x14ac:dyDescent="0.25">
      <c r="A65" t="str">
        <f>TableSPUCFINCE[[#This Row],[Study Package Code]]</f>
        <v>FNCE2003</v>
      </c>
      <c r="B65" s="2">
        <f>TableSPUCFINCE[[#This Row],[Ver]]</f>
        <v>3</v>
      </c>
      <c r="D65" t="str">
        <f>TableSPUCFINCE[[#This Row],[Structure Line]]</f>
        <v>Business Analysis for Investment</v>
      </c>
      <c r="E65" s="32">
        <f>TableSPUCFINCE[[#This Row],[Credit Points]]</f>
        <v>25</v>
      </c>
      <c r="F65">
        <v>1</v>
      </c>
      <c r="G65" t="s">
        <v>377</v>
      </c>
      <c r="H65">
        <v>0</v>
      </c>
      <c r="I65" t="s">
        <v>373</v>
      </c>
      <c r="J65" t="s">
        <v>170</v>
      </c>
      <c r="K65" s="46">
        <v>3</v>
      </c>
      <c r="L65" s="46" t="s">
        <v>285</v>
      </c>
      <c r="M65" s="46">
        <v>25</v>
      </c>
      <c r="N65" s="77">
        <v>43282</v>
      </c>
      <c r="O65" s="77"/>
    </row>
    <row r="66" spans="1:18" x14ac:dyDescent="0.25">
      <c r="A66" t="str">
        <f>TableSPUCFINCE[[#This Row],[Study Package Code]]</f>
        <v>FNCE2003</v>
      </c>
      <c r="B66" s="2">
        <f>TableSPUCFINCE[[#This Row],[Ver]]</f>
        <v>3</v>
      </c>
      <c r="D66" t="str">
        <f>TableSPUCFINCE[[#This Row],[Structure Line]]</f>
        <v>Business Analysis for Investment</v>
      </c>
      <c r="E66" s="32">
        <f>TableSPUCFINCE[[#This Row],[Credit Points]]</f>
        <v>25</v>
      </c>
      <c r="F66">
        <v>2</v>
      </c>
      <c r="G66" t="s">
        <v>374</v>
      </c>
      <c r="H66">
        <v>0</v>
      </c>
      <c r="I66" t="s">
        <v>373</v>
      </c>
      <c r="J66" t="s">
        <v>170</v>
      </c>
      <c r="K66" s="46">
        <v>3</v>
      </c>
      <c r="L66" s="46" t="s">
        <v>285</v>
      </c>
      <c r="M66" s="46">
        <v>25</v>
      </c>
      <c r="N66" s="77">
        <v>43282</v>
      </c>
      <c r="O66" s="77"/>
      <c r="Q66" t="s">
        <v>170</v>
      </c>
      <c r="R66">
        <v>3</v>
      </c>
    </row>
    <row r="67" spans="1:18" x14ac:dyDescent="0.25">
      <c r="A67" t="str">
        <f>TableSPUCFINCE[[#This Row],[Study Package Code]]</f>
        <v>FNCE3000</v>
      </c>
      <c r="B67" s="2">
        <f>TableSPUCFINCE[[#This Row],[Ver]]</f>
        <v>1</v>
      </c>
      <c r="D67" t="str">
        <f>TableSPUCFINCE[[#This Row],[Structure Line]]</f>
        <v>Corporate Finance</v>
      </c>
      <c r="E67" s="32">
        <f>TableSPUCFINCE[[#This Row],[Credit Points]]</f>
        <v>25</v>
      </c>
      <c r="F67">
        <v>2</v>
      </c>
      <c r="G67" t="s">
        <v>374</v>
      </c>
      <c r="H67">
        <v>0</v>
      </c>
      <c r="I67" t="s">
        <v>373</v>
      </c>
      <c r="J67" t="s">
        <v>177</v>
      </c>
      <c r="K67" s="46">
        <v>1</v>
      </c>
      <c r="L67" s="46" t="s">
        <v>286</v>
      </c>
      <c r="M67" s="46">
        <v>25</v>
      </c>
      <c r="N67" s="77">
        <v>42005</v>
      </c>
      <c r="O67" s="77"/>
      <c r="Q67" t="s">
        <v>177</v>
      </c>
      <c r="R67">
        <v>1</v>
      </c>
    </row>
    <row r="68" spans="1:18" x14ac:dyDescent="0.25">
      <c r="A68" t="str">
        <f>TableSPUCFINCE[[#This Row],[Study Package Code]]</f>
        <v>FNCE3001</v>
      </c>
      <c r="B68" s="2">
        <f>TableSPUCFINCE[[#This Row],[Ver]]</f>
        <v>1</v>
      </c>
      <c r="D68" t="str">
        <f>TableSPUCFINCE[[#This Row],[Structure Line]]</f>
        <v>Introduction to Financial Instruments and Markets</v>
      </c>
      <c r="E68" s="32">
        <f>TableSPUCFINCE[[#This Row],[Credit Points]]</f>
        <v>25</v>
      </c>
      <c r="F68">
        <v>2</v>
      </c>
      <c r="G68" t="s">
        <v>374</v>
      </c>
      <c r="H68">
        <v>0</v>
      </c>
      <c r="I68" t="s">
        <v>373</v>
      </c>
      <c r="J68" t="s">
        <v>182</v>
      </c>
      <c r="K68" s="46">
        <v>1</v>
      </c>
      <c r="L68" s="46" t="s">
        <v>288</v>
      </c>
      <c r="M68" s="46">
        <v>25</v>
      </c>
      <c r="N68" s="77">
        <v>42005</v>
      </c>
      <c r="O68" s="77"/>
      <c r="Q68" t="s">
        <v>182</v>
      </c>
      <c r="R68">
        <v>1</v>
      </c>
    </row>
    <row r="69" spans="1:18" x14ac:dyDescent="0.25">
      <c r="A69" t="str">
        <f>TableSPUCFINCE[[#This Row],[Study Package Code]]</f>
        <v>FNCE3004</v>
      </c>
      <c r="B69" s="2">
        <f>TableSPUCFINCE[[#This Row],[Ver]]</f>
        <v>1</v>
      </c>
      <c r="D69" t="str">
        <f>TableSPUCFINCE[[#This Row],[Structure Line]]</f>
        <v>International Finance</v>
      </c>
      <c r="E69" s="32">
        <f>TableSPUCFINCE[[#This Row],[Credit Points]]</f>
        <v>25</v>
      </c>
      <c r="F69">
        <v>2</v>
      </c>
      <c r="G69" t="s">
        <v>374</v>
      </c>
      <c r="H69">
        <v>0</v>
      </c>
      <c r="I69" t="s">
        <v>373</v>
      </c>
      <c r="J69" t="s">
        <v>187</v>
      </c>
      <c r="K69" s="46">
        <v>1</v>
      </c>
      <c r="L69" s="46" t="s">
        <v>289</v>
      </c>
      <c r="M69" s="46">
        <v>25</v>
      </c>
      <c r="N69" s="77">
        <v>42005</v>
      </c>
      <c r="O69" s="77"/>
      <c r="Q69" t="s">
        <v>187</v>
      </c>
      <c r="R69">
        <v>1</v>
      </c>
    </row>
    <row r="70" spans="1:18" x14ac:dyDescent="0.25">
      <c r="A70" t="str">
        <f>TableSPUCFINCE[[#This Row],[Study Package Code]]</f>
        <v>INVE3000</v>
      </c>
      <c r="B70" s="2">
        <f>TableSPUCFINCE[[#This Row],[Ver]]</f>
        <v>1</v>
      </c>
      <c r="D70" t="str">
        <f>TableSPUCFINCE[[#This Row],[Structure Line]]</f>
        <v>Introduction to Derivative Securities</v>
      </c>
      <c r="E70" s="32">
        <f>TableSPUCFINCE[[#This Row],[Credit Points]]</f>
        <v>25</v>
      </c>
      <c r="F70">
        <v>2</v>
      </c>
      <c r="G70" t="s">
        <v>374</v>
      </c>
      <c r="H70">
        <v>0</v>
      </c>
      <c r="I70" t="s">
        <v>373</v>
      </c>
      <c r="J70" t="s">
        <v>190</v>
      </c>
      <c r="K70" s="46">
        <v>1</v>
      </c>
      <c r="L70" s="46" t="s">
        <v>304</v>
      </c>
      <c r="M70" s="46">
        <v>25</v>
      </c>
      <c r="N70" s="77">
        <v>42005</v>
      </c>
      <c r="O70" s="77"/>
      <c r="Q70" t="s">
        <v>190</v>
      </c>
      <c r="R70">
        <v>1</v>
      </c>
    </row>
    <row r="71" spans="1:18" x14ac:dyDescent="0.25">
      <c r="A71" t="str">
        <f>TableSPUCFINCE[[#This Row],[Study Package Code]]</f>
        <v>INVE3001</v>
      </c>
      <c r="B71" s="2">
        <f>TableSPUCFINCE[[#This Row],[Ver]]</f>
        <v>2</v>
      </c>
      <c r="D71" t="str">
        <f>TableSPUCFINCE[[#This Row],[Structure Line]]</f>
        <v>Portfolio Management</v>
      </c>
      <c r="E71" s="32">
        <f>TableSPUCFINCE[[#This Row],[Credit Points]]</f>
        <v>25</v>
      </c>
      <c r="F71">
        <v>2</v>
      </c>
      <c r="G71" t="s">
        <v>374</v>
      </c>
      <c r="H71">
        <v>0</v>
      </c>
      <c r="I71" t="s">
        <v>373</v>
      </c>
      <c r="J71" t="s">
        <v>194</v>
      </c>
      <c r="K71" s="46">
        <v>2</v>
      </c>
      <c r="L71" s="46" t="s">
        <v>306</v>
      </c>
      <c r="M71" s="46">
        <v>25</v>
      </c>
      <c r="N71" s="77">
        <v>45108</v>
      </c>
      <c r="O71" s="77"/>
      <c r="Q71" t="s">
        <v>194</v>
      </c>
      <c r="R71">
        <v>2</v>
      </c>
    </row>
    <row r="72" spans="1:18" x14ac:dyDescent="0.25">
      <c r="B72"/>
      <c r="E72"/>
      <c r="F72" s="30"/>
      <c r="G72" s="31" t="s">
        <v>358</v>
      </c>
      <c r="H72" s="105">
        <v>45292</v>
      </c>
      <c r="I72" s="70"/>
      <c r="J72" s="104" t="s">
        <v>110</v>
      </c>
      <c r="K72" s="106" t="s">
        <v>91</v>
      </c>
      <c r="L72" s="70" t="s">
        <v>109</v>
      </c>
      <c r="M72" s="70"/>
      <c r="N72" s="75" t="s">
        <v>359</v>
      </c>
      <c r="O72" s="76">
        <v>45572</v>
      </c>
    </row>
    <row r="73" spans="1:18" x14ac:dyDescent="0.25">
      <c r="A73" t="s">
        <v>0</v>
      </c>
      <c r="B73" s="2" t="s">
        <v>360</v>
      </c>
      <c r="C73" t="s">
        <v>361</v>
      </c>
      <c r="D73" t="s">
        <v>3</v>
      </c>
      <c r="E73" s="32" t="s">
        <v>362</v>
      </c>
      <c r="F73" t="s">
        <v>363</v>
      </c>
      <c r="G73" t="s">
        <v>364</v>
      </c>
      <c r="H73" t="s">
        <v>365</v>
      </c>
      <c r="I73" t="s">
        <v>25</v>
      </c>
      <c r="J73" t="s">
        <v>366</v>
      </c>
      <c r="K73" t="s">
        <v>1</v>
      </c>
      <c r="L73" t="s">
        <v>367</v>
      </c>
      <c r="M73" t="s">
        <v>58</v>
      </c>
      <c r="N73" t="s">
        <v>368</v>
      </c>
      <c r="O73" t="s">
        <v>369</v>
      </c>
      <c r="Q73" t="s">
        <v>370</v>
      </c>
      <c r="R73" t="s">
        <v>371</v>
      </c>
    </row>
    <row r="74" spans="1:18" x14ac:dyDescent="0.25">
      <c r="A74" t="str">
        <f>TableSPUCINARS[[#This Row],[Study Package Code]]</f>
        <v>INAR3020</v>
      </c>
      <c r="B74" s="2">
        <f>TableSPUCINARS[[#This Row],[Ver]]</f>
        <v>1</v>
      </c>
      <c r="D74" t="str">
        <f>TableSPUCINARS[[#This Row],[Structure Line]]</f>
        <v>Furniture Design</v>
      </c>
      <c r="E74" s="32">
        <f>TableSPUCINARS[[#This Row],[Credit Points]]</f>
        <v>25</v>
      </c>
      <c r="F74">
        <v>1</v>
      </c>
      <c r="G74" t="s">
        <v>372</v>
      </c>
      <c r="H74">
        <v>0</v>
      </c>
      <c r="I74" t="s">
        <v>373</v>
      </c>
      <c r="J74" t="s">
        <v>183</v>
      </c>
      <c r="K74" s="46">
        <v>1</v>
      </c>
      <c r="L74" s="46" t="s">
        <v>303</v>
      </c>
      <c r="M74" s="46">
        <v>25</v>
      </c>
      <c r="N74" s="77">
        <v>45292</v>
      </c>
      <c r="O74" s="77"/>
      <c r="Q74" t="s">
        <v>183</v>
      </c>
      <c r="R74">
        <v>1</v>
      </c>
    </row>
    <row r="75" spans="1:18" x14ac:dyDescent="0.25">
      <c r="A75" t="str">
        <f>TableSPUCINARS[[#This Row],[Study Package Code]]</f>
        <v>INAR2022</v>
      </c>
      <c r="B75" s="2">
        <f>TableSPUCINARS[[#This Row],[Ver]]</f>
        <v>1</v>
      </c>
      <c r="D75" t="str">
        <f>TableSPUCINARS[[#This Row],[Structure Line]]</f>
        <v>Philosophy and Practice</v>
      </c>
      <c r="E75" s="32">
        <f>TableSPUCINARS[[#This Row],[Credit Points]]</f>
        <v>25</v>
      </c>
      <c r="F75">
        <v>2</v>
      </c>
      <c r="G75" t="s">
        <v>372</v>
      </c>
      <c r="H75">
        <v>0</v>
      </c>
      <c r="I75" t="s">
        <v>373</v>
      </c>
      <c r="J75" t="s">
        <v>178</v>
      </c>
      <c r="K75" s="46">
        <v>1</v>
      </c>
      <c r="L75" s="46" t="s">
        <v>301</v>
      </c>
      <c r="M75" s="46">
        <v>25</v>
      </c>
      <c r="N75" s="77">
        <v>44562</v>
      </c>
      <c r="O75" s="77"/>
      <c r="Q75" t="s">
        <v>178</v>
      </c>
      <c r="R75">
        <v>1</v>
      </c>
    </row>
    <row r="76" spans="1:18" x14ac:dyDescent="0.25">
      <c r="A76" t="str">
        <f>TableSPUCINARS[[#This Row],[Study Package Code]]</f>
        <v>AC-INARS</v>
      </c>
      <c r="B76" s="2">
        <f>TableSPUCINARS[[#This Row],[Ver]]</f>
        <v>0</v>
      </c>
      <c r="D76" t="str">
        <f>TableSPUCINARS[[#This Row],[Structure Line]]</f>
        <v>Choose INAR1012 or INAR1010</v>
      </c>
      <c r="E76" s="32">
        <f>TableSPUCINARS[[#This Row],[Credit Points]]</f>
        <v>25</v>
      </c>
      <c r="F76">
        <v>3</v>
      </c>
      <c r="G76" t="s">
        <v>377</v>
      </c>
      <c r="H76">
        <v>0</v>
      </c>
      <c r="I76" t="s">
        <v>373</v>
      </c>
      <c r="J76" t="s">
        <v>143</v>
      </c>
      <c r="K76" s="46">
        <v>0</v>
      </c>
      <c r="L76" s="46" t="s">
        <v>387</v>
      </c>
      <c r="M76" s="46">
        <v>25</v>
      </c>
      <c r="N76" s="77"/>
      <c r="O76" s="77"/>
      <c r="Q76" t="s">
        <v>388</v>
      </c>
      <c r="R76">
        <v>0</v>
      </c>
    </row>
    <row r="77" spans="1:18" x14ac:dyDescent="0.25">
      <c r="A77" t="str">
        <f>TableSPUCINARS[[#This Row],[Study Package Code]]</f>
        <v>Opt-INARS</v>
      </c>
      <c r="B77" s="2">
        <f>TableSPUCINARS[[#This Row],[Ver]]</f>
        <v>0</v>
      </c>
      <c r="D77" t="str">
        <f>TableSPUCINARS[[#This Row],[Structure Line]]</f>
        <v>Choose an Option</v>
      </c>
      <c r="E77" s="32">
        <f>TableSPUCINARS[[#This Row],[Credit Points]]</f>
        <v>25</v>
      </c>
      <c r="F77">
        <v>4</v>
      </c>
      <c r="G77" t="s">
        <v>374</v>
      </c>
      <c r="H77">
        <v>0</v>
      </c>
      <c r="I77" t="s">
        <v>373</v>
      </c>
      <c r="J77" t="s">
        <v>191</v>
      </c>
      <c r="K77" s="46">
        <v>0</v>
      </c>
      <c r="L77" s="46" t="s">
        <v>385</v>
      </c>
      <c r="M77" s="46">
        <v>25</v>
      </c>
      <c r="N77" s="77"/>
      <c r="O77" s="77"/>
      <c r="Q77" t="s">
        <v>389</v>
      </c>
      <c r="R77">
        <v>0</v>
      </c>
    </row>
    <row r="78" spans="1:18" x14ac:dyDescent="0.25">
      <c r="A78" t="str">
        <f>TableSPUCINARS[[#This Row],[Study Package Code]]</f>
        <v>INAR1010</v>
      </c>
      <c r="B78" s="2">
        <f>TableSPUCINARS[[#This Row],[Ver]]</f>
        <v>4</v>
      </c>
      <c r="D78" t="str">
        <f>TableSPUCINARS[[#This Row],[Structure Line]]</f>
        <v>Interior Architecture Studio - Foundation</v>
      </c>
      <c r="E78" s="32">
        <f>TableSPUCINARS[[#This Row],[Credit Points]]</f>
        <v>25</v>
      </c>
      <c r="F78">
        <v>3</v>
      </c>
      <c r="G78" t="s">
        <v>377</v>
      </c>
      <c r="H78">
        <v>0</v>
      </c>
      <c r="I78" t="s">
        <v>373</v>
      </c>
      <c r="J78" t="s">
        <v>150</v>
      </c>
      <c r="K78" s="46">
        <v>4</v>
      </c>
      <c r="L78" s="46" t="s">
        <v>298</v>
      </c>
      <c r="M78" s="46">
        <v>25</v>
      </c>
      <c r="N78" s="77">
        <v>45292</v>
      </c>
      <c r="O78" s="77"/>
      <c r="Q78" t="s">
        <v>150</v>
      </c>
      <c r="R78">
        <v>4</v>
      </c>
    </row>
    <row r="79" spans="1:18" x14ac:dyDescent="0.25">
      <c r="A79" t="str">
        <f>TableSPUCINARS[[#This Row],[Study Package Code]]</f>
        <v>INAR1012</v>
      </c>
      <c r="B79" s="2">
        <f>TableSPUCINARS[[#This Row],[Ver]]</f>
        <v>1</v>
      </c>
      <c r="D79" t="str">
        <f>TableSPUCINARS[[#This Row],[Structure Line]]</f>
        <v>History of the Interior</v>
      </c>
      <c r="E79" s="32">
        <f>TableSPUCINARS[[#This Row],[Credit Points]]</f>
        <v>25</v>
      </c>
      <c r="F79">
        <v>3</v>
      </c>
      <c r="G79" t="s">
        <v>377</v>
      </c>
      <c r="H79">
        <v>0</v>
      </c>
      <c r="I79" t="s">
        <v>373</v>
      </c>
      <c r="J79" t="s">
        <v>158</v>
      </c>
      <c r="K79" s="46">
        <v>1</v>
      </c>
      <c r="L79" s="46" t="s">
        <v>299</v>
      </c>
      <c r="M79" s="46">
        <v>25</v>
      </c>
      <c r="N79" s="77">
        <v>43101</v>
      </c>
      <c r="O79" s="77"/>
      <c r="Q79" t="s">
        <v>158</v>
      </c>
      <c r="R79">
        <v>1</v>
      </c>
    </row>
    <row r="80" spans="1:18" x14ac:dyDescent="0.25">
      <c r="A80" t="str">
        <f>TableSPUCINARS[[#This Row],[Study Package Code]]</f>
        <v>ARCH2012</v>
      </c>
      <c r="B80" s="2">
        <f>TableSPUCINARS[[#This Row],[Ver]]</f>
        <v>1</v>
      </c>
      <c r="D80" t="str">
        <f>TableSPUCINARS[[#This Row],[Structure Line]]</f>
        <v>Built Environment Special Topic</v>
      </c>
      <c r="E80" s="32">
        <f>TableSPUCINARS[[#This Row],[Credit Points]]</f>
        <v>25</v>
      </c>
      <c r="F80">
        <v>4</v>
      </c>
      <c r="G80" t="s">
        <v>374</v>
      </c>
      <c r="H80">
        <v>0</v>
      </c>
      <c r="I80" t="s">
        <v>373</v>
      </c>
      <c r="J80" t="s">
        <v>200</v>
      </c>
      <c r="K80" s="46">
        <v>1</v>
      </c>
      <c r="L80" s="46" t="s">
        <v>390</v>
      </c>
      <c r="M80" s="46">
        <v>25</v>
      </c>
      <c r="N80" s="77">
        <v>42005</v>
      </c>
      <c r="O80" s="77"/>
      <c r="Q80" t="s">
        <v>200</v>
      </c>
      <c r="R80">
        <v>1</v>
      </c>
    </row>
    <row r="81" spans="1:18" x14ac:dyDescent="0.25">
      <c r="A81" t="str">
        <f>TableSPUCINARS[[#This Row],[Study Package Code]]</f>
        <v>ARCH3001</v>
      </c>
      <c r="B81" s="2">
        <f>TableSPUCINARS[[#This Row],[Ver]]</f>
        <v>1</v>
      </c>
      <c r="D81" t="str">
        <f>TableSPUCINARS[[#This Row],[Structure Line]]</f>
        <v>Special Topics in Architecture Construction and Planning</v>
      </c>
      <c r="E81" s="32">
        <f>TableSPUCINARS[[#This Row],[Credit Points]]</f>
        <v>25</v>
      </c>
      <c r="F81">
        <v>4</v>
      </c>
      <c r="G81" t="s">
        <v>374</v>
      </c>
      <c r="H81">
        <v>0</v>
      </c>
      <c r="I81" t="s">
        <v>373</v>
      </c>
      <c r="J81" t="s">
        <v>202</v>
      </c>
      <c r="K81" s="46">
        <v>1</v>
      </c>
      <c r="L81" s="46" t="s">
        <v>391</v>
      </c>
      <c r="M81" s="46">
        <v>25</v>
      </c>
      <c r="N81" s="77">
        <v>42005</v>
      </c>
      <c r="O81" s="77"/>
      <c r="Q81" t="s">
        <v>202</v>
      </c>
      <c r="R81">
        <v>1</v>
      </c>
    </row>
    <row r="82" spans="1:18" x14ac:dyDescent="0.25">
      <c r="A82" t="str">
        <f>TableSPUCINARS[[#This Row],[Study Package Code]]</f>
        <v>INAR2012</v>
      </c>
      <c r="B82" s="2">
        <f>TableSPUCINARS[[#This Row],[Ver]]</f>
        <v>4</v>
      </c>
      <c r="D82" t="str">
        <f>TableSPUCINARS[[#This Row],[Structure Line]]</f>
        <v>Interior Architecture Studio – Community</v>
      </c>
      <c r="E82" s="32">
        <f>TableSPUCINARS[[#This Row],[Credit Points]]</f>
        <v>25</v>
      </c>
      <c r="F82">
        <v>4</v>
      </c>
      <c r="G82" t="s">
        <v>374</v>
      </c>
      <c r="H82">
        <v>0</v>
      </c>
      <c r="I82" t="s">
        <v>373</v>
      </c>
      <c r="J82" t="s">
        <v>195</v>
      </c>
      <c r="K82" s="46">
        <v>4</v>
      </c>
      <c r="L82" s="46" t="s">
        <v>300</v>
      </c>
      <c r="M82" s="46">
        <v>25</v>
      </c>
      <c r="N82" s="77">
        <v>45292</v>
      </c>
      <c r="O82" s="77"/>
      <c r="Q82" t="s">
        <v>195</v>
      </c>
      <c r="R82">
        <v>4</v>
      </c>
    </row>
    <row r="83" spans="1:18" x14ac:dyDescent="0.25">
      <c r="A83" t="str">
        <f>TableSPUCINARS[[#This Row],[Study Package Code]]</f>
        <v>INAR2024</v>
      </c>
      <c r="B83" s="2">
        <f>TableSPUCINARS[[#This Row],[Ver]]</f>
        <v>1</v>
      </c>
      <c r="D83" t="str">
        <f>TableSPUCINARS[[#This Row],[Structure Line]]</f>
        <v>Design Fabrication</v>
      </c>
      <c r="E83" s="32">
        <f>TableSPUCINARS[[#This Row],[Credit Points]]</f>
        <v>25</v>
      </c>
      <c r="F83">
        <v>4</v>
      </c>
      <c r="G83" t="s">
        <v>374</v>
      </c>
      <c r="H83">
        <v>0</v>
      </c>
      <c r="I83" t="s">
        <v>373</v>
      </c>
      <c r="J83" t="s">
        <v>198</v>
      </c>
      <c r="K83" s="46">
        <v>1</v>
      </c>
      <c r="L83" s="46" t="s">
        <v>302</v>
      </c>
      <c r="M83" s="46">
        <v>25</v>
      </c>
      <c r="N83" s="77">
        <v>45292</v>
      </c>
      <c r="O83" s="77"/>
      <c r="Q83" t="s">
        <v>198</v>
      </c>
      <c r="R83">
        <v>1</v>
      </c>
    </row>
    <row r="84" spans="1:18" x14ac:dyDescent="0.25">
      <c r="A84" t="str">
        <f>TableSPUCINARS[[#This Row],[Study Package Code]]</f>
        <v>URDE3005</v>
      </c>
      <c r="B84" s="2">
        <f>TableSPUCINARS[[#This Row],[Ver]]</f>
        <v>1</v>
      </c>
      <c r="D84" t="str">
        <f>TableSPUCINARS[[#This Row],[Structure Line]]</f>
        <v>Special Topics in Urban &amp; Regional Planning</v>
      </c>
      <c r="E84" s="32">
        <f>TableSPUCINARS[[#This Row],[Credit Points]]</f>
        <v>25</v>
      </c>
      <c r="F84">
        <v>4</v>
      </c>
      <c r="G84" t="s">
        <v>374</v>
      </c>
      <c r="H84">
        <v>0</v>
      </c>
      <c r="I84" t="s">
        <v>373</v>
      </c>
      <c r="J84" t="s">
        <v>204</v>
      </c>
      <c r="K84" s="46">
        <v>1</v>
      </c>
      <c r="L84" s="46" t="s">
        <v>392</v>
      </c>
      <c r="M84" s="46">
        <v>25</v>
      </c>
      <c r="N84" s="77">
        <v>42005</v>
      </c>
      <c r="O84" s="77"/>
      <c r="Q84" t="s">
        <v>204</v>
      </c>
      <c r="R84">
        <v>1</v>
      </c>
    </row>
    <row r="85" spans="1:18" x14ac:dyDescent="0.25">
      <c r="A85" t="str">
        <f>TableSPUCINARS[[#This Row],[Study Package Code]]</f>
        <v>WORK2001</v>
      </c>
      <c r="B85" s="2">
        <f>TableSPUCINARS[[#This Row],[Ver]]</f>
        <v>1</v>
      </c>
      <c r="D85" t="str">
        <f>TableSPUCINARS[[#This Row],[Structure Line]]</f>
        <v>Balance of the Planet</v>
      </c>
      <c r="E85" s="32">
        <f>TableSPUCINARS[[#This Row],[Credit Points]]</f>
        <v>25</v>
      </c>
      <c r="F85">
        <v>4</v>
      </c>
      <c r="G85" t="s">
        <v>374</v>
      </c>
      <c r="H85">
        <v>0</v>
      </c>
      <c r="I85" t="s">
        <v>373</v>
      </c>
      <c r="J85" t="s">
        <v>206</v>
      </c>
      <c r="K85" s="46">
        <v>1</v>
      </c>
      <c r="L85" s="46" t="s">
        <v>393</v>
      </c>
      <c r="M85" s="46">
        <v>25</v>
      </c>
      <c r="N85" s="77">
        <v>44743</v>
      </c>
      <c r="O85" s="77"/>
      <c r="Q85" t="s">
        <v>206</v>
      </c>
      <c r="R85">
        <v>1</v>
      </c>
    </row>
    <row r="86" spans="1:18" x14ac:dyDescent="0.25">
      <c r="A86" t="str">
        <f>TableSPUCINARS[[#This Row],[Study Package Code]]</f>
        <v>WORK2002</v>
      </c>
      <c r="B86" s="2">
        <f>TableSPUCINARS[[#This Row],[Ver]]</f>
        <v>3</v>
      </c>
      <c r="D86" t="str">
        <f>TableSPUCINARS[[#This Row],[Structure Line]]</f>
        <v>Changemakers Innovation Lab</v>
      </c>
      <c r="E86" s="32">
        <f>TableSPUCINARS[[#This Row],[Credit Points]]</f>
        <v>25</v>
      </c>
      <c r="F86">
        <v>4</v>
      </c>
      <c r="G86" t="s">
        <v>374</v>
      </c>
      <c r="H86">
        <v>0</v>
      </c>
      <c r="I86" t="s">
        <v>373</v>
      </c>
      <c r="J86" t="s">
        <v>208</v>
      </c>
      <c r="K86" s="46">
        <v>3</v>
      </c>
      <c r="L86" s="46" t="s">
        <v>394</v>
      </c>
      <c r="M86" s="46">
        <v>25</v>
      </c>
      <c r="N86" s="77">
        <v>45474</v>
      </c>
      <c r="O86" s="77"/>
      <c r="Q86" t="s">
        <v>208</v>
      </c>
      <c r="R86">
        <v>1</v>
      </c>
    </row>
    <row r="87" spans="1:18" x14ac:dyDescent="0.25">
      <c r="A87" t="str">
        <f>TableSPUCINARS[[#This Row],[Study Package Code]]</f>
        <v>WORK2003</v>
      </c>
      <c r="B87" s="2">
        <f>TableSPUCINARS[[#This Row],[Ver]]</f>
        <v>2</v>
      </c>
      <c r="D87" t="str">
        <f>TableSPUCINARS[[#This Row],[Structure Line]]</f>
        <v>Regional Industry Internship</v>
      </c>
      <c r="E87" s="32">
        <f>TableSPUCINARS[[#This Row],[Credit Points]]</f>
        <v>25</v>
      </c>
      <c r="F87">
        <v>4</v>
      </c>
      <c r="G87" t="s">
        <v>374</v>
      </c>
      <c r="H87">
        <v>0</v>
      </c>
      <c r="I87" t="s">
        <v>373</v>
      </c>
      <c r="J87" t="s">
        <v>210</v>
      </c>
      <c r="K87" s="46">
        <v>2</v>
      </c>
      <c r="L87" s="46" t="s">
        <v>395</v>
      </c>
      <c r="M87" s="46">
        <v>25</v>
      </c>
      <c r="N87" s="77">
        <v>45474</v>
      </c>
      <c r="O87" s="77"/>
      <c r="Q87" t="s">
        <v>210</v>
      </c>
      <c r="R87">
        <v>1</v>
      </c>
    </row>
    <row r="88" spans="1:18" x14ac:dyDescent="0.25">
      <c r="A88" t="str">
        <f>TableSPUCINARS[[#This Row],[Study Package Code]]</f>
        <v>WORK2005</v>
      </c>
      <c r="B88" s="2">
        <f>TableSPUCINARS[[#This Row],[Ver]]</f>
        <v>1</v>
      </c>
      <c r="D88" t="str">
        <f>TableSPUCINARS[[#This Row],[Structure Line]]</f>
        <v>Go Global - Internship 2</v>
      </c>
      <c r="E88" s="32">
        <f>TableSPUCINARS[[#This Row],[Credit Points]]</f>
        <v>25</v>
      </c>
      <c r="F88">
        <v>4</v>
      </c>
      <c r="G88" t="s">
        <v>374</v>
      </c>
      <c r="H88">
        <v>0</v>
      </c>
      <c r="I88" t="s">
        <v>373</v>
      </c>
      <c r="J88" t="s">
        <v>212</v>
      </c>
      <c r="K88" s="46">
        <v>1</v>
      </c>
      <c r="L88" s="46" t="s">
        <v>396</v>
      </c>
      <c r="M88" s="46">
        <v>25</v>
      </c>
      <c r="N88" s="77">
        <v>44743</v>
      </c>
      <c r="O88" s="77"/>
      <c r="Q88" t="s">
        <v>212</v>
      </c>
      <c r="R88">
        <v>1</v>
      </c>
    </row>
    <row r="89" spans="1:18" x14ac:dyDescent="0.25">
      <c r="A89" t="str">
        <f>TableSPUCINARS[[#This Row],[Study Package Code]]</f>
        <v>WORK3000</v>
      </c>
      <c r="B89" s="2">
        <f>TableSPUCINARS[[#This Row],[Ver]]</f>
        <v>2</v>
      </c>
      <c r="D89" t="str">
        <f>TableSPUCINARS[[#This Row],[Structure Line]]</f>
        <v>Work Based Project</v>
      </c>
      <c r="E89" s="32">
        <f>TableSPUCINARS[[#This Row],[Credit Points]]</f>
        <v>25</v>
      </c>
      <c r="F89">
        <v>4</v>
      </c>
      <c r="G89" t="s">
        <v>374</v>
      </c>
      <c r="H89">
        <v>0</v>
      </c>
      <c r="I89" t="s">
        <v>373</v>
      </c>
      <c r="J89" t="s">
        <v>186</v>
      </c>
      <c r="K89" s="46">
        <v>2</v>
      </c>
      <c r="L89" s="46" t="s">
        <v>382</v>
      </c>
      <c r="M89" s="46">
        <v>25</v>
      </c>
      <c r="N89" s="77">
        <v>42736</v>
      </c>
      <c r="O89" s="77"/>
      <c r="Q89" t="s">
        <v>186</v>
      </c>
      <c r="R89">
        <v>2</v>
      </c>
    </row>
    <row r="90" spans="1:18" x14ac:dyDescent="0.25">
      <c r="A90" t="str">
        <f>TableSPUCINARS[[#This Row],[Study Package Code]]</f>
        <v>WORK3004</v>
      </c>
      <c r="B90" s="2">
        <f>TableSPUCINARS[[#This Row],[Ver]]</f>
        <v>1</v>
      </c>
      <c r="D90" t="str">
        <f>TableSPUCINARS[[#This Row],[Structure Line]]</f>
        <v>Go Practice - Internship</v>
      </c>
      <c r="E90" s="32">
        <f>TableSPUCINARS[[#This Row],[Credit Points]]</f>
        <v>25</v>
      </c>
      <c r="F90">
        <v>4</v>
      </c>
      <c r="G90" t="s">
        <v>374</v>
      </c>
      <c r="H90">
        <v>0</v>
      </c>
      <c r="I90" t="s">
        <v>373</v>
      </c>
      <c r="J90" t="s">
        <v>215</v>
      </c>
      <c r="K90" s="46">
        <v>1</v>
      </c>
      <c r="L90" s="46" t="s">
        <v>397</v>
      </c>
      <c r="M90" s="46">
        <v>25</v>
      </c>
      <c r="N90" s="77">
        <v>44562</v>
      </c>
      <c r="O90" s="77"/>
      <c r="Q90" t="s">
        <v>215</v>
      </c>
      <c r="R90">
        <v>1</v>
      </c>
    </row>
    <row r="91" spans="1:18" x14ac:dyDescent="0.25">
      <c r="A91" t="str">
        <f>TableSPUCINARS[[#This Row],[Study Package Code]]</f>
        <v>WORK3006</v>
      </c>
      <c r="B91" s="2">
        <f>TableSPUCINARS[[#This Row],[Ver]]</f>
        <v>1</v>
      </c>
      <c r="D91" t="str">
        <f>TableSPUCINARS[[#This Row],[Structure Line]]</f>
        <v>Go Global - Internship 4</v>
      </c>
      <c r="E91" s="32">
        <f>TableSPUCINARS[[#This Row],[Credit Points]]</f>
        <v>25</v>
      </c>
      <c r="F91">
        <v>4</v>
      </c>
      <c r="G91" t="s">
        <v>374</v>
      </c>
      <c r="H91">
        <v>0</v>
      </c>
      <c r="I91" t="s">
        <v>373</v>
      </c>
      <c r="J91" t="s">
        <v>217</v>
      </c>
      <c r="K91" s="46">
        <v>1</v>
      </c>
      <c r="L91" s="46" t="s">
        <v>398</v>
      </c>
      <c r="M91" s="46">
        <v>25</v>
      </c>
      <c r="N91" s="77">
        <v>44743</v>
      </c>
      <c r="O91" s="77"/>
      <c r="Q91" t="s">
        <v>217</v>
      </c>
      <c r="R91">
        <v>1</v>
      </c>
    </row>
    <row r="92" spans="1:18" x14ac:dyDescent="0.25">
      <c r="B92"/>
      <c r="E92"/>
      <c r="F92" s="30"/>
      <c r="G92" s="31" t="s">
        <v>358</v>
      </c>
      <c r="H92" s="105">
        <v>44197</v>
      </c>
      <c r="I92" s="70"/>
      <c r="J92" s="104" t="s">
        <v>113</v>
      </c>
      <c r="K92" s="106" t="s">
        <v>104</v>
      </c>
      <c r="L92" s="70" t="s">
        <v>112</v>
      </c>
      <c r="M92" s="70"/>
      <c r="N92" s="75" t="s">
        <v>359</v>
      </c>
      <c r="O92" s="76">
        <v>45572</v>
      </c>
    </row>
    <row r="93" spans="1:18" x14ac:dyDescent="0.25">
      <c r="A93" t="s">
        <v>0</v>
      </c>
      <c r="B93" s="2" t="s">
        <v>360</v>
      </c>
      <c r="C93" t="s">
        <v>361</v>
      </c>
      <c r="D93" t="s">
        <v>3</v>
      </c>
      <c r="E93" s="32" t="s">
        <v>362</v>
      </c>
      <c r="F93" t="s">
        <v>363</v>
      </c>
      <c r="G93" t="s">
        <v>364</v>
      </c>
      <c r="H93" t="s">
        <v>365</v>
      </c>
      <c r="I93" t="s">
        <v>25</v>
      </c>
      <c r="J93" t="s">
        <v>366</v>
      </c>
      <c r="K93" t="s">
        <v>1</v>
      </c>
      <c r="L93" t="s">
        <v>367</v>
      </c>
      <c r="M93" t="s">
        <v>58</v>
      </c>
      <c r="N93" t="s">
        <v>368</v>
      </c>
      <c r="O93" t="s">
        <v>369</v>
      </c>
      <c r="Q93" t="s">
        <v>370</v>
      </c>
      <c r="R93" t="s">
        <v>371</v>
      </c>
    </row>
    <row r="94" spans="1:18" x14ac:dyDescent="0.25">
      <c r="A94" t="str">
        <f>TableSPUCINENT[[#This Row],[Study Package Code]]</f>
        <v>MGMT3007</v>
      </c>
      <c r="B94" s="2">
        <f>TableSPUCINENT[[#This Row],[Ver]]</f>
        <v>1</v>
      </c>
      <c r="D94" t="str">
        <f>TableSPUCINENT[[#This Row],[Structure Line]]</f>
        <v>Management of Innovation</v>
      </c>
      <c r="E94" s="32">
        <f>TableSPUCINENT[[#This Row],[Credit Points]]</f>
        <v>25</v>
      </c>
      <c r="F94">
        <v>1</v>
      </c>
      <c r="G94" t="s">
        <v>372</v>
      </c>
      <c r="H94">
        <v>0</v>
      </c>
      <c r="I94" t="s">
        <v>373</v>
      </c>
      <c r="J94" t="s">
        <v>159</v>
      </c>
      <c r="K94" s="46">
        <v>1</v>
      </c>
      <c r="L94" s="46" t="s">
        <v>317</v>
      </c>
      <c r="M94" s="46">
        <v>25</v>
      </c>
      <c r="N94" s="77">
        <v>42005</v>
      </c>
      <c r="O94" s="77"/>
      <c r="Q94" t="s">
        <v>159</v>
      </c>
      <c r="R94">
        <v>1</v>
      </c>
    </row>
    <row r="95" spans="1:18" x14ac:dyDescent="0.25">
      <c r="A95" t="str">
        <f>TableSPUCINENT[[#This Row],[Study Package Code]]</f>
        <v>AC-INENT</v>
      </c>
      <c r="B95" s="2">
        <f>TableSPUCINENT[[#This Row],[Ver]]</f>
        <v>0</v>
      </c>
      <c r="D95" t="str">
        <f>TableSPUCINENT[[#This Row],[Structure Line]]</f>
        <v>Choose MGMT3004 if your are not taking the Management Major.  Choose GRDE2008 if your are taking the Management Major.</v>
      </c>
      <c r="E95" s="32">
        <f>TableSPUCINENT[[#This Row],[Credit Points]]</f>
        <v>25</v>
      </c>
      <c r="F95">
        <v>2</v>
      </c>
      <c r="G95" t="s">
        <v>377</v>
      </c>
      <c r="H95">
        <v>0</v>
      </c>
      <c r="I95" t="s">
        <v>373</v>
      </c>
      <c r="J95" t="s">
        <v>239</v>
      </c>
      <c r="K95" s="46">
        <v>0</v>
      </c>
      <c r="L95" s="46" t="s">
        <v>240</v>
      </c>
      <c r="M95" s="46">
        <v>25</v>
      </c>
      <c r="N95" s="77"/>
      <c r="O95" s="77"/>
      <c r="Q95" t="s">
        <v>151</v>
      </c>
      <c r="R95">
        <v>1</v>
      </c>
    </row>
    <row r="96" spans="1:18" x14ac:dyDescent="0.25">
      <c r="A96" t="str">
        <f>TableSPUCINENT[[#This Row],[Study Package Code]]</f>
        <v>Opt-INENT</v>
      </c>
      <c r="B96" s="2">
        <f>TableSPUCINENT[[#This Row],[Ver]]</f>
        <v>0</v>
      </c>
      <c r="D96" t="str">
        <f>TableSPUCINENT[[#This Row],[Structure Line]]</f>
        <v>Choose an Option</v>
      </c>
      <c r="E96" s="32">
        <f>TableSPUCINENT[[#This Row],[Credit Points]]</f>
        <v>50</v>
      </c>
      <c r="F96">
        <v>3</v>
      </c>
      <c r="G96" t="s">
        <v>374</v>
      </c>
      <c r="H96">
        <v>0</v>
      </c>
      <c r="I96" t="s">
        <v>373</v>
      </c>
      <c r="J96" s="92" t="s">
        <v>171</v>
      </c>
      <c r="K96" s="46">
        <v>0</v>
      </c>
      <c r="L96" s="46" t="s">
        <v>385</v>
      </c>
      <c r="M96" s="46">
        <v>50</v>
      </c>
      <c r="N96" s="77"/>
      <c r="O96" s="77"/>
      <c r="Q96" t="s">
        <v>399</v>
      </c>
      <c r="R96">
        <v>0</v>
      </c>
    </row>
    <row r="97" spans="1:18" x14ac:dyDescent="0.25">
      <c r="A97" t="str">
        <f>TableSPUCINENT[[#This Row],[Study Package Code]]</f>
        <v>GRDE2008</v>
      </c>
      <c r="B97" s="2">
        <f>TableSPUCINENT[[#This Row],[Ver]]</f>
        <v>3</v>
      </c>
      <c r="D97" t="str">
        <f>TableSPUCINENT[[#This Row],[Structure Line]]</f>
        <v>Design Thinking and Visual Narrative</v>
      </c>
      <c r="E97" s="32">
        <f>TableSPUCINENT[[#This Row],[Credit Points]]</f>
        <v>25</v>
      </c>
      <c r="F97">
        <v>2</v>
      </c>
      <c r="G97" t="s">
        <v>377</v>
      </c>
      <c r="H97">
        <v>0</v>
      </c>
      <c r="I97" t="s">
        <v>373</v>
      </c>
      <c r="J97" t="s">
        <v>179</v>
      </c>
      <c r="K97" s="46">
        <v>3</v>
      </c>
      <c r="L97" s="46" t="s">
        <v>292</v>
      </c>
      <c r="M97" s="46">
        <v>25</v>
      </c>
      <c r="N97" s="77">
        <v>43831</v>
      </c>
      <c r="O97" s="77"/>
    </row>
    <row r="98" spans="1:18" x14ac:dyDescent="0.25">
      <c r="A98" t="str">
        <f>TableSPUCINENT[[#This Row],[Study Package Code]]</f>
        <v>MGMT3004</v>
      </c>
      <c r="B98" s="2">
        <f>TableSPUCINENT[[#This Row],[Ver]]</f>
        <v>2</v>
      </c>
      <c r="D98" t="str">
        <f>TableSPUCINENT[[#This Row],[Structure Line]]</f>
        <v>Entrepreneurship</v>
      </c>
      <c r="E98" s="32">
        <f>TableSPUCINENT[[#This Row],[Credit Points]]</f>
        <v>25</v>
      </c>
      <c r="F98">
        <v>2</v>
      </c>
      <c r="G98" t="s">
        <v>377</v>
      </c>
      <c r="H98">
        <v>0</v>
      </c>
      <c r="I98" t="s">
        <v>373</v>
      </c>
      <c r="J98" t="s">
        <v>151</v>
      </c>
      <c r="K98" s="46">
        <v>2</v>
      </c>
      <c r="L98" s="46" t="s">
        <v>314</v>
      </c>
      <c r="M98" s="46">
        <v>25</v>
      </c>
      <c r="N98" s="77">
        <v>45292</v>
      </c>
      <c r="O98" s="77"/>
    </row>
    <row r="99" spans="1:18" x14ac:dyDescent="0.25">
      <c r="A99" t="str">
        <f>TableSPUCINENT[[#This Row],[Study Package Code]]</f>
        <v>GRDE2008</v>
      </c>
      <c r="B99" s="2">
        <f>TableSPUCINENT[[#This Row],[Ver]]</f>
        <v>3</v>
      </c>
      <c r="D99" t="str">
        <f>TableSPUCINENT[[#This Row],[Structure Line]]</f>
        <v>Design Thinking and Visual Narrative</v>
      </c>
      <c r="E99" s="32">
        <f>TableSPUCINENT[[#This Row],[Credit Points]]</f>
        <v>25</v>
      </c>
      <c r="F99">
        <v>3</v>
      </c>
      <c r="G99" t="s">
        <v>374</v>
      </c>
      <c r="H99">
        <v>0</v>
      </c>
      <c r="I99" t="s">
        <v>373</v>
      </c>
      <c r="J99" t="s">
        <v>179</v>
      </c>
      <c r="K99" s="46">
        <v>3</v>
      </c>
      <c r="L99" s="46" t="s">
        <v>292</v>
      </c>
      <c r="M99" s="46">
        <v>25</v>
      </c>
      <c r="N99" s="77">
        <v>43831</v>
      </c>
      <c r="O99" s="77"/>
      <c r="Q99" t="s">
        <v>179</v>
      </c>
      <c r="R99">
        <v>3</v>
      </c>
    </row>
    <row r="100" spans="1:18" x14ac:dyDescent="0.25">
      <c r="A100" t="str">
        <f>TableSPUCINENT[[#This Row],[Study Package Code]]</f>
        <v>MGMT2004</v>
      </c>
      <c r="B100" s="2">
        <f>TableSPUCINENT[[#This Row],[Ver]]</f>
        <v>2</v>
      </c>
      <c r="D100" t="str">
        <f>TableSPUCINENT[[#This Row],[Structure Line]]</f>
        <v>Business and Sustainable Development</v>
      </c>
      <c r="E100" s="32">
        <f>TableSPUCINENT[[#This Row],[Credit Points]]</f>
        <v>25</v>
      </c>
      <c r="F100">
        <v>3</v>
      </c>
      <c r="G100" t="s">
        <v>374</v>
      </c>
      <c r="H100">
        <v>0</v>
      </c>
      <c r="I100" t="s">
        <v>373</v>
      </c>
      <c r="J100" t="s">
        <v>184</v>
      </c>
      <c r="K100" s="46">
        <v>2</v>
      </c>
      <c r="L100" s="46" t="s">
        <v>307</v>
      </c>
      <c r="M100" s="46">
        <v>25</v>
      </c>
      <c r="N100" s="77">
        <v>42736</v>
      </c>
      <c r="O100" s="77"/>
      <c r="Q100" t="s">
        <v>184</v>
      </c>
      <c r="R100">
        <v>2</v>
      </c>
    </row>
    <row r="101" spans="1:18" x14ac:dyDescent="0.25">
      <c r="A101" t="str">
        <f>TableSPUCINENT[[#This Row],[Study Package Code]]</f>
        <v>MGMT3002</v>
      </c>
      <c r="B101" s="2">
        <f>TableSPUCINENT[[#This Row],[Ver]]</f>
        <v>2</v>
      </c>
      <c r="D101" t="str">
        <f>TableSPUCINENT[[#This Row],[Structure Line]]</f>
        <v>Managing Change</v>
      </c>
      <c r="E101" s="32">
        <f>TableSPUCINENT[[#This Row],[Credit Points]]</f>
        <v>25</v>
      </c>
      <c r="F101">
        <v>3</v>
      </c>
      <c r="G101" t="s">
        <v>374</v>
      </c>
      <c r="H101">
        <v>0</v>
      </c>
      <c r="I101" t="s">
        <v>373</v>
      </c>
      <c r="J101" t="s">
        <v>192</v>
      </c>
      <c r="K101" s="46">
        <v>2</v>
      </c>
      <c r="L101" s="46" t="s">
        <v>309</v>
      </c>
      <c r="M101" s="46">
        <v>25</v>
      </c>
      <c r="N101" s="77">
        <v>45566</v>
      </c>
      <c r="O101" s="77"/>
      <c r="Q101" t="s">
        <v>192</v>
      </c>
      <c r="R101">
        <v>1</v>
      </c>
    </row>
    <row r="102" spans="1:18" x14ac:dyDescent="0.25">
      <c r="A102" t="str">
        <f>TableSPUCINENT[[#This Row],[Study Package Code]]</f>
        <v>MGMT3011</v>
      </c>
      <c r="B102" s="2">
        <f>TableSPUCINENT[[#This Row],[Ver]]</f>
        <v>1</v>
      </c>
      <c r="D102" t="str">
        <f>TableSPUCINENT[[#This Row],[Structure Line]]</f>
        <v>Managing Operations</v>
      </c>
      <c r="E102" s="32">
        <f>TableSPUCINENT[[#This Row],[Credit Points]]</f>
        <v>25</v>
      </c>
      <c r="F102">
        <v>3</v>
      </c>
      <c r="G102" t="s">
        <v>374</v>
      </c>
      <c r="H102">
        <v>0</v>
      </c>
      <c r="I102" t="s">
        <v>373</v>
      </c>
      <c r="J102" t="s">
        <v>196</v>
      </c>
      <c r="K102" s="46">
        <v>1</v>
      </c>
      <c r="L102" s="46" t="s">
        <v>318</v>
      </c>
      <c r="M102" s="46">
        <v>25</v>
      </c>
      <c r="N102" s="77">
        <v>42005</v>
      </c>
      <c r="O102" s="77"/>
      <c r="Q102" t="s">
        <v>196</v>
      </c>
      <c r="R102">
        <v>1</v>
      </c>
    </row>
    <row r="103" spans="1:18" x14ac:dyDescent="0.25">
      <c r="A103" t="str">
        <f>TableSPUCINENT[[#This Row],[Study Package Code]]</f>
        <v>MKTG2008</v>
      </c>
      <c r="B103" s="2">
        <f>TableSPUCINENT[[#This Row],[Ver]]</f>
        <v>2</v>
      </c>
      <c r="D103" t="str">
        <f>TableSPUCINENT[[#This Row],[Structure Line]]</f>
        <v>UX Accessibility and Analytics</v>
      </c>
      <c r="E103" s="32">
        <f>TableSPUCINENT[[#This Row],[Credit Points]]</f>
        <v>25</v>
      </c>
      <c r="F103">
        <v>3</v>
      </c>
      <c r="G103" t="s">
        <v>374</v>
      </c>
      <c r="H103">
        <v>0</v>
      </c>
      <c r="I103" t="s">
        <v>373</v>
      </c>
      <c r="J103" t="s">
        <v>188</v>
      </c>
      <c r="K103" s="46">
        <v>2</v>
      </c>
      <c r="L103" s="46" t="s">
        <v>319</v>
      </c>
      <c r="M103" s="46">
        <v>25</v>
      </c>
      <c r="N103" s="77">
        <v>45292</v>
      </c>
      <c r="O103" s="77"/>
      <c r="Q103" t="s">
        <v>188</v>
      </c>
      <c r="R103">
        <v>2</v>
      </c>
    </row>
    <row r="104" spans="1:18" x14ac:dyDescent="0.25">
      <c r="B104"/>
      <c r="E104"/>
      <c r="F104" s="30"/>
      <c r="G104" s="31" t="s">
        <v>358</v>
      </c>
      <c r="H104" s="105">
        <v>45292</v>
      </c>
      <c r="I104" s="70"/>
      <c r="J104" s="104" t="s">
        <v>116</v>
      </c>
      <c r="K104" s="106" t="s">
        <v>117</v>
      </c>
      <c r="L104" s="70" t="s">
        <v>115</v>
      </c>
      <c r="M104" s="70"/>
      <c r="N104" s="75" t="s">
        <v>359</v>
      </c>
      <c r="O104" s="76">
        <v>45572</v>
      </c>
    </row>
    <row r="105" spans="1:18" x14ac:dyDescent="0.25">
      <c r="A105" t="s">
        <v>0</v>
      </c>
      <c r="B105" s="2" t="s">
        <v>360</v>
      </c>
      <c r="C105" t="s">
        <v>361</v>
      </c>
      <c r="D105" t="s">
        <v>3</v>
      </c>
      <c r="E105" s="32" t="s">
        <v>362</v>
      </c>
      <c r="F105" t="s">
        <v>363</v>
      </c>
      <c r="G105" t="s">
        <v>364</v>
      </c>
      <c r="H105" t="s">
        <v>365</v>
      </c>
      <c r="I105" t="s">
        <v>25</v>
      </c>
      <c r="J105" t="s">
        <v>366</v>
      </c>
      <c r="K105" t="s">
        <v>1</v>
      </c>
      <c r="L105" t="s">
        <v>367</v>
      </c>
      <c r="M105" t="s">
        <v>58</v>
      </c>
      <c r="N105" t="s">
        <v>368</v>
      </c>
      <c r="O105" t="s">
        <v>369</v>
      </c>
      <c r="Q105" t="s">
        <v>370</v>
      </c>
      <c r="R105" t="s">
        <v>371</v>
      </c>
    </row>
    <row r="106" spans="1:18" x14ac:dyDescent="0.25">
      <c r="A106" t="str">
        <f>TableSPUCPROPT[[#This Row],[Study Package Code]]</f>
        <v>PROP2001</v>
      </c>
      <c r="B106" s="2">
        <f>TableSPUCPROPT[[#This Row],[Ver]]</f>
        <v>2</v>
      </c>
      <c r="D106" t="str">
        <f>TableSPUCPROPT[[#This Row],[Structure Line]]</f>
        <v>Property Economics and Policy</v>
      </c>
      <c r="E106" s="32">
        <f>TableSPUCPROPT[[#This Row],[Credit Points]]</f>
        <v>25</v>
      </c>
      <c r="F106">
        <v>1</v>
      </c>
      <c r="G106" t="s">
        <v>372</v>
      </c>
      <c r="H106">
        <v>0</v>
      </c>
      <c r="I106" t="s">
        <v>373</v>
      </c>
      <c r="J106" t="s">
        <v>152</v>
      </c>
      <c r="K106" s="46">
        <v>2</v>
      </c>
      <c r="L106" s="46" t="s">
        <v>327</v>
      </c>
      <c r="M106" s="46">
        <v>25</v>
      </c>
      <c r="N106" s="77">
        <v>44562</v>
      </c>
      <c r="O106" s="77"/>
      <c r="Q106" t="s">
        <v>152</v>
      </c>
      <c r="R106">
        <v>2</v>
      </c>
    </row>
    <row r="107" spans="1:18" x14ac:dyDescent="0.25">
      <c r="A107" t="str">
        <f>TableSPUCPROPT[[#This Row],[Study Package Code]]</f>
        <v>PROP2002</v>
      </c>
      <c r="B107" s="2">
        <f>TableSPUCPROPT[[#This Row],[Ver]]</f>
        <v>2</v>
      </c>
      <c r="D107" t="str">
        <f>TableSPUCPROPT[[#This Row],[Structure Line]]</f>
        <v>Introduction to Property Markets</v>
      </c>
      <c r="E107" s="32">
        <f>TableSPUCPROPT[[#This Row],[Credit Points]]</f>
        <v>25</v>
      </c>
      <c r="F107">
        <v>2</v>
      </c>
      <c r="G107" t="s">
        <v>372</v>
      </c>
      <c r="H107">
        <v>0</v>
      </c>
      <c r="I107" t="s">
        <v>373</v>
      </c>
      <c r="J107" t="s">
        <v>160</v>
      </c>
      <c r="K107" s="46">
        <v>2</v>
      </c>
      <c r="L107" s="46" t="s">
        <v>328</v>
      </c>
      <c r="M107" s="46">
        <v>25</v>
      </c>
      <c r="N107" s="77">
        <v>44562</v>
      </c>
      <c r="O107" s="77"/>
      <c r="Q107" t="s">
        <v>160</v>
      </c>
      <c r="R107">
        <v>2</v>
      </c>
    </row>
    <row r="108" spans="1:18" x14ac:dyDescent="0.25">
      <c r="A108" t="str">
        <f>TableSPUCPROPT[[#This Row],[Study Package Code]]</f>
        <v>PROP3000</v>
      </c>
      <c r="B108" s="2">
        <f>TableSPUCPROPT[[#This Row],[Ver]]</f>
        <v>1</v>
      </c>
      <c r="D108" t="str">
        <f>TableSPUCPROPT[[#This Row],[Structure Line]]</f>
        <v>Property Investment Analysis</v>
      </c>
      <c r="E108" s="32">
        <f>TableSPUCPROPT[[#This Row],[Credit Points]]</f>
        <v>25</v>
      </c>
      <c r="F108">
        <v>3</v>
      </c>
      <c r="G108" t="s">
        <v>372</v>
      </c>
      <c r="H108">
        <v>0</v>
      </c>
      <c r="I108" t="s">
        <v>373</v>
      </c>
      <c r="J108" t="s">
        <v>166</v>
      </c>
      <c r="K108" s="46">
        <v>1</v>
      </c>
      <c r="L108" s="46" t="s">
        <v>329</v>
      </c>
      <c r="M108" s="46">
        <v>25</v>
      </c>
      <c r="N108" s="77">
        <v>42005</v>
      </c>
      <c r="O108" s="77"/>
      <c r="Q108" t="s">
        <v>166</v>
      </c>
      <c r="R108">
        <v>1</v>
      </c>
    </row>
    <row r="109" spans="1:18" x14ac:dyDescent="0.25">
      <c r="A109" t="str">
        <f>TableSPUCPROPT[[#This Row],[Study Package Code]]</f>
        <v>PROP3002</v>
      </c>
      <c r="B109" s="2">
        <f>TableSPUCPROPT[[#This Row],[Ver]]</f>
        <v>2</v>
      </c>
      <c r="D109" t="str">
        <f>TableSPUCPROPT[[#This Row],[Structure Line]]</f>
        <v>Property Finance and Capital Markets</v>
      </c>
      <c r="E109" s="32">
        <f>TableSPUCPROPT[[#This Row],[Credit Points]]</f>
        <v>25</v>
      </c>
      <c r="F109">
        <v>4</v>
      </c>
      <c r="G109" t="s">
        <v>372</v>
      </c>
      <c r="H109">
        <v>0</v>
      </c>
      <c r="I109" t="s">
        <v>373</v>
      </c>
      <c r="J109" t="s">
        <v>172</v>
      </c>
      <c r="K109" s="46">
        <v>2</v>
      </c>
      <c r="L109" s="46" t="s">
        <v>330</v>
      </c>
      <c r="M109" s="46">
        <v>25</v>
      </c>
      <c r="N109" s="77">
        <v>44562</v>
      </c>
      <c r="O109" s="77"/>
      <c r="Q109" t="s">
        <v>172</v>
      </c>
      <c r="R109">
        <v>2</v>
      </c>
    </row>
    <row r="110" spans="1:18" x14ac:dyDescent="0.25">
      <c r="B110"/>
      <c r="E110"/>
      <c r="F110" s="30"/>
      <c r="G110" s="31" t="s">
        <v>358</v>
      </c>
      <c r="H110" s="105">
        <v>44197</v>
      </c>
      <c r="I110" s="70"/>
      <c r="J110" s="104" t="s">
        <v>120</v>
      </c>
      <c r="K110" s="106" t="s">
        <v>104</v>
      </c>
      <c r="L110" s="70" t="s">
        <v>119</v>
      </c>
      <c r="M110" s="70"/>
      <c r="N110" s="75" t="s">
        <v>359</v>
      </c>
      <c r="O110" s="76">
        <v>45572</v>
      </c>
    </row>
    <row r="111" spans="1:18" x14ac:dyDescent="0.25">
      <c r="A111" t="s">
        <v>0</v>
      </c>
      <c r="B111" s="2" t="s">
        <v>360</v>
      </c>
      <c r="C111" t="s">
        <v>361</v>
      </c>
      <c r="D111" t="s">
        <v>3</v>
      </c>
      <c r="E111" s="32" t="s">
        <v>362</v>
      </c>
      <c r="F111" t="s">
        <v>363</v>
      </c>
      <c r="G111" t="s">
        <v>364</v>
      </c>
      <c r="H111" t="s">
        <v>365</v>
      </c>
      <c r="I111" t="s">
        <v>25</v>
      </c>
      <c r="J111" t="s">
        <v>366</v>
      </c>
      <c r="K111" t="s">
        <v>1</v>
      </c>
      <c r="L111" t="s">
        <v>367</v>
      </c>
      <c r="M111" t="s">
        <v>58</v>
      </c>
      <c r="N111" t="s">
        <v>368</v>
      </c>
      <c r="O111" t="s">
        <v>369</v>
      </c>
      <c r="Q111" t="s">
        <v>370</v>
      </c>
      <c r="R111" t="s">
        <v>371</v>
      </c>
    </row>
    <row r="112" spans="1:18" x14ac:dyDescent="0.25">
      <c r="A112" t="str">
        <f>TableSPUCURDES[[#This Row],[Study Package Code]]</f>
        <v>URDE1002</v>
      </c>
      <c r="B112" s="2">
        <f>TableSPUCURDES[[#This Row],[Ver]]</f>
        <v>1</v>
      </c>
      <c r="D112" t="str">
        <f>TableSPUCURDES[[#This Row],[Structure Line]]</f>
        <v>Planning Graphics and Design</v>
      </c>
      <c r="E112" s="32">
        <f>TableSPUCURDES[[#This Row],[Credit Points]]</f>
        <v>25</v>
      </c>
      <c r="F112">
        <v>1</v>
      </c>
      <c r="G112" t="s">
        <v>372</v>
      </c>
      <c r="H112">
        <v>0</v>
      </c>
      <c r="I112" t="s">
        <v>373</v>
      </c>
      <c r="J112" t="s">
        <v>153</v>
      </c>
      <c r="K112" s="46">
        <v>1</v>
      </c>
      <c r="L112" s="46" t="s">
        <v>340</v>
      </c>
      <c r="M112" s="46">
        <v>25</v>
      </c>
      <c r="N112" s="77">
        <v>42005</v>
      </c>
      <c r="O112" s="77"/>
      <c r="Q112" t="s">
        <v>153</v>
      </c>
      <c r="R112">
        <v>1</v>
      </c>
    </row>
    <row r="113" spans="1:18" x14ac:dyDescent="0.25">
      <c r="A113" t="str">
        <f>TableSPUCURDES[[#This Row],[Study Package Code]]</f>
        <v>URDE1010</v>
      </c>
      <c r="B113" s="2">
        <f>TableSPUCURDES[[#This Row],[Ver]]</f>
        <v>1</v>
      </c>
      <c r="D113" t="str">
        <f>TableSPUCURDES[[#This Row],[Structure Line]]</f>
        <v>Urban Transport Systems</v>
      </c>
      <c r="E113" s="32">
        <f>TableSPUCURDES[[#This Row],[Credit Points]]</f>
        <v>25</v>
      </c>
      <c r="F113">
        <v>2</v>
      </c>
      <c r="G113" t="s">
        <v>372</v>
      </c>
      <c r="H113">
        <v>0</v>
      </c>
      <c r="I113" t="s">
        <v>373</v>
      </c>
      <c r="J113" t="s">
        <v>161</v>
      </c>
      <c r="K113" s="46">
        <v>1</v>
      </c>
      <c r="L113" s="46" t="s">
        <v>341</v>
      </c>
      <c r="M113" s="46">
        <v>25</v>
      </c>
      <c r="N113" s="77">
        <v>44197</v>
      </c>
      <c r="O113" s="77"/>
      <c r="Q113" t="s">
        <v>161</v>
      </c>
      <c r="R113">
        <v>1</v>
      </c>
    </row>
    <row r="114" spans="1:18" x14ac:dyDescent="0.25">
      <c r="A114" t="str">
        <f>TableSPUCURDES[[#This Row],[Study Package Code]]</f>
        <v>URDE2007</v>
      </c>
      <c r="B114" s="2">
        <f>TableSPUCURDES[[#This Row],[Ver]]</f>
        <v>1</v>
      </c>
      <c r="D114" t="str">
        <f>TableSPUCURDES[[#This Row],[Structure Line]]</f>
        <v>Site Planning</v>
      </c>
      <c r="E114" s="32">
        <f>TableSPUCURDES[[#This Row],[Credit Points]]</f>
        <v>25</v>
      </c>
      <c r="F114">
        <v>3</v>
      </c>
      <c r="G114" t="s">
        <v>372</v>
      </c>
      <c r="H114">
        <v>0</v>
      </c>
      <c r="I114" t="s">
        <v>373</v>
      </c>
      <c r="J114" t="s">
        <v>173</v>
      </c>
      <c r="K114" s="46">
        <v>1</v>
      </c>
      <c r="L114" s="46" t="s">
        <v>342</v>
      </c>
      <c r="M114" s="46">
        <v>25</v>
      </c>
      <c r="N114" s="77">
        <v>42005</v>
      </c>
      <c r="O114" s="77"/>
      <c r="Q114" t="s">
        <v>173</v>
      </c>
      <c r="R114">
        <v>1</v>
      </c>
    </row>
    <row r="115" spans="1:18" x14ac:dyDescent="0.25">
      <c r="A115" t="str">
        <f>TableSPUCURDES[[#This Row],[Study Package Code]]</f>
        <v>URDE3002</v>
      </c>
      <c r="B115" s="2">
        <f>TableSPUCURDES[[#This Row],[Ver]]</f>
        <v>1</v>
      </c>
      <c r="D115" t="str">
        <f>TableSPUCURDES[[#This Row],[Structure Line]]</f>
        <v>Urban Regeneration</v>
      </c>
      <c r="E115" s="32">
        <f>TableSPUCURDES[[#This Row],[Credit Points]]</f>
        <v>25</v>
      </c>
      <c r="F115">
        <v>4</v>
      </c>
      <c r="G115" t="s">
        <v>372</v>
      </c>
      <c r="H115">
        <v>0</v>
      </c>
      <c r="I115" t="s">
        <v>373</v>
      </c>
      <c r="J115" t="s">
        <v>167</v>
      </c>
      <c r="K115" s="46">
        <v>1</v>
      </c>
      <c r="L115" s="46" t="s">
        <v>343</v>
      </c>
      <c r="M115" s="46">
        <v>25</v>
      </c>
      <c r="N115" s="77">
        <v>42005</v>
      </c>
      <c r="O115" s="77"/>
      <c r="Q115" t="s">
        <v>167</v>
      </c>
      <c r="R115">
        <v>1</v>
      </c>
    </row>
  </sheetData>
  <conditionalFormatting sqref="J3:J33">
    <cfRule type="duplicateValues" dxfId="28" priority="217"/>
  </conditionalFormatting>
  <conditionalFormatting sqref="J36:J42">
    <cfRule type="duplicateValues" dxfId="27" priority="23"/>
  </conditionalFormatting>
  <conditionalFormatting sqref="J45:J51">
    <cfRule type="duplicateValues" dxfId="26" priority="20"/>
  </conditionalFormatting>
  <conditionalFormatting sqref="J54:J59">
    <cfRule type="duplicateValues" dxfId="25" priority="17"/>
  </conditionalFormatting>
  <conditionalFormatting sqref="J62:J71">
    <cfRule type="duplicateValues" dxfId="24" priority="232"/>
  </conditionalFormatting>
  <conditionalFormatting sqref="J74:J91">
    <cfRule type="duplicateValues" dxfId="23" priority="11"/>
  </conditionalFormatting>
  <conditionalFormatting sqref="J94:J103">
    <cfRule type="duplicateValues" dxfId="22" priority="239"/>
  </conditionalFormatting>
  <conditionalFormatting sqref="J106:J109">
    <cfRule type="duplicateValues" dxfId="21" priority="223"/>
  </conditionalFormatting>
  <conditionalFormatting sqref="J112:J115">
    <cfRule type="duplicateValues" dxfId="20" priority="2"/>
  </conditionalFormatting>
  <conditionalFormatting sqref="N3:N33 N62:N71 N94:N103 N106:N109">
    <cfRule type="cellIs" dxfId="19" priority="59" operator="greaterThan">
      <formula>$P$1</formula>
    </cfRule>
  </conditionalFormatting>
  <conditionalFormatting sqref="N36:N42">
    <cfRule type="cellIs" dxfId="18" priority="24" operator="greaterThan">
      <formula>$P$1</formula>
    </cfRule>
  </conditionalFormatting>
  <conditionalFormatting sqref="N45:N51">
    <cfRule type="cellIs" dxfId="17" priority="21" operator="greaterThan">
      <formula>$P$1</formula>
    </cfRule>
  </conditionalFormatting>
  <conditionalFormatting sqref="N54:N59">
    <cfRule type="cellIs" dxfId="16" priority="18" operator="greaterThan">
      <formula>$P$1</formula>
    </cfRule>
  </conditionalFormatting>
  <conditionalFormatting sqref="N74:N91">
    <cfRule type="cellIs" dxfId="15" priority="12" operator="greaterThan">
      <formula>$P$1</formula>
    </cfRule>
  </conditionalFormatting>
  <conditionalFormatting sqref="N112:N115">
    <cfRule type="cellIs" dxfId="14" priority="3" operator="greaterThan">
      <formula>$P$1</formula>
    </cfRule>
  </conditionalFormatting>
  <conditionalFormatting sqref="O3:O33 O62:O71 O94:O103 O106:O109">
    <cfRule type="notContainsBlanks" dxfId="13" priority="96">
      <formula>LEN(TRIM(O3))&gt;0</formula>
    </cfRule>
  </conditionalFormatting>
  <conditionalFormatting sqref="O36:O42">
    <cfRule type="notContainsBlanks" dxfId="12" priority="25">
      <formula>LEN(TRIM(O36))&gt;0</formula>
    </cfRule>
  </conditionalFormatting>
  <conditionalFormatting sqref="O45:O51">
    <cfRule type="notContainsBlanks" dxfId="11" priority="22">
      <formula>LEN(TRIM(O45))&gt;0</formula>
    </cfRule>
  </conditionalFormatting>
  <conditionalFormatting sqref="O54:O59">
    <cfRule type="notContainsBlanks" dxfId="10" priority="19">
      <formula>LEN(TRIM(O54))&gt;0</formula>
    </cfRule>
  </conditionalFormatting>
  <conditionalFormatting sqref="O74:O91">
    <cfRule type="notContainsBlanks" dxfId="9" priority="13">
      <formula>LEN(TRIM(O74))&gt;0</formula>
    </cfRule>
  </conditionalFormatting>
  <conditionalFormatting sqref="O112:O115">
    <cfRule type="notContainsBlanks" dxfId="8" priority="4">
      <formula>LEN(TRIM(O112))&gt;0</formula>
    </cfRule>
  </conditionalFormatting>
  <conditionalFormatting sqref="Q3:R33">
    <cfRule type="expression" dxfId="7" priority="1">
      <formula>Q3&lt;&gt;J3</formula>
    </cfRule>
  </conditionalFormatting>
  <conditionalFormatting sqref="Q36:R42">
    <cfRule type="expression" dxfId="6" priority="70">
      <formula>Q36&lt;&gt;J36</formula>
    </cfRule>
  </conditionalFormatting>
  <conditionalFormatting sqref="Q45:R51">
    <cfRule type="expression" dxfId="5" priority="69">
      <formula>Q45&lt;&gt;J45</formula>
    </cfRule>
  </conditionalFormatting>
  <conditionalFormatting sqref="Q54:R59">
    <cfRule type="expression" dxfId="4" priority="68">
      <formula>Q54&lt;&gt;J54</formula>
    </cfRule>
  </conditionalFormatting>
  <conditionalFormatting sqref="Q62:R71 Q94:R103 Q106:R109">
    <cfRule type="expression" dxfId="3" priority="85">
      <formula>Q62&lt;&gt;J62</formula>
    </cfRule>
  </conditionalFormatting>
  <conditionalFormatting sqref="Q74:R91">
    <cfRule type="expression" dxfId="2" priority="64">
      <formula>Q74&lt;&gt;J74</formula>
    </cfRule>
  </conditionalFormatting>
  <conditionalFormatting sqref="Q112:R115">
    <cfRule type="expression" dxfId="1" priority="61">
      <formula>Q112&lt;&gt;J112</formula>
    </cfRule>
  </conditionalFormatting>
  <pageMargins left="0.7" right="0.7" top="0.75" bottom="0.75" header="0.3" footer="0.3"/>
  <pageSetup paperSize="9" orientation="portrait"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9"/>
  <sheetViews>
    <sheetView zoomScale="85" zoomScaleNormal="85" workbookViewId="0">
      <selection activeCell="A44" sqref="A44"/>
    </sheetView>
  </sheetViews>
  <sheetFormatPr defaultRowHeight="15.75" x14ac:dyDescent="0.25"/>
  <cols>
    <col min="1" max="1" width="13.125" bestFit="1" customWidth="1"/>
    <col min="2" max="3" width="6.25" bestFit="1" customWidth="1"/>
    <col min="4" max="4" width="6.25" customWidth="1"/>
    <col min="5" max="5" width="6.25" bestFit="1" customWidth="1"/>
    <col min="6" max="6" width="17" customWidth="1"/>
    <col min="7" max="7" width="10.375" bestFit="1" customWidth="1"/>
    <col min="8" max="8" width="11" bestFit="1" customWidth="1"/>
    <col min="9" max="12" width="2" bestFit="1" customWidth="1"/>
  </cols>
  <sheetData>
    <row r="1" spans="1:11" x14ac:dyDescent="0.25">
      <c r="F1" s="71" t="s">
        <v>400</v>
      </c>
      <c r="G1" s="72">
        <v>45573</v>
      </c>
    </row>
    <row r="3" spans="1:11" ht="77.25" x14ac:dyDescent="0.25">
      <c r="A3" t="s">
        <v>401</v>
      </c>
      <c r="B3" s="85" t="s">
        <v>402</v>
      </c>
      <c r="C3" s="85" t="s">
        <v>403</v>
      </c>
      <c r="D3" s="85" t="s">
        <v>404</v>
      </c>
      <c r="E3" s="85" t="s">
        <v>405</v>
      </c>
    </row>
    <row r="4" spans="1:11" x14ac:dyDescent="0.25">
      <c r="A4" t="s">
        <v>72</v>
      </c>
      <c r="B4" s="2"/>
      <c r="C4" s="2"/>
      <c r="D4" s="2">
        <v>1</v>
      </c>
      <c r="E4" s="2"/>
      <c r="H4" t="s">
        <v>72</v>
      </c>
      <c r="K4">
        <v>1</v>
      </c>
    </row>
    <row r="5" spans="1:11" x14ac:dyDescent="0.25">
      <c r="A5" t="s">
        <v>52</v>
      </c>
      <c r="B5" s="2">
        <v>1</v>
      </c>
      <c r="C5" s="2"/>
      <c r="D5" s="2"/>
      <c r="E5" s="2"/>
      <c r="H5" t="s">
        <v>52</v>
      </c>
      <c r="I5">
        <v>1</v>
      </c>
    </row>
    <row r="6" spans="1:11" x14ac:dyDescent="0.25">
      <c r="A6" t="s">
        <v>70</v>
      </c>
      <c r="B6" s="2"/>
      <c r="C6" s="2"/>
      <c r="D6" s="2">
        <v>1</v>
      </c>
      <c r="E6" s="2"/>
      <c r="H6" t="s">
        <v>70</v>
      </c>
      <c r="K6">
        <v>1</v>
      </c>
    </row>
    <row r="7" spans="1:11" x14ac:dyDescent="0.25">
      <c r="A7" t="s">
        <v>60</v>
      </c>
      <c r="B7" s="2">
        <v>1</v>
      </c>
      <c r="C7" s="2"/>
      <c r="D7" s="2"/>
      <c r="E7" s="2"/>
      <c r="H7" t="s">
        <v>60</v>
      </c>
      <c r="I7">
        <v>1</v>
      </c>
    </row>
    <row r="8" spans="1:11" x14ac:dyDescent="0.25">
      <c r="A8" t="s">
        <v>66</v>
      </c>
      <c r="B8" s="2">
        <v>1</v>
      </c>
      <c r="C8" s="2"/>
      <c r="D8" s="2"/>
      <c r="E8" s="2"/>
      <c r="H8" t="s">
        <v>66</v>
      </c>
      <c r="I8">
        <v>1</v>
      </c>
    </row>
    <row r="9" spans="1:11" x14ac:dyDescent="0.25">
      <c r="A9" t="s">
        <v>69</v>
      </c>
      <c r="B9" s="2"/>
      <c r="C9" s="2"/>
      <c r="D9" s="2">
        <v>1</v>
      </c>
      <c r="E9" s="2"/>
      <c r="H9" t="s">
        <v>69</v>
      </c>
      <c r="K9">
        <v>1</v>
      </c>
    </row>
    <row r="10" spans="1:11" x14ac:dyDescent="0.25">
      <c r="A10" t="s">
        <v>76</v>
      </c>
      <c r="B10" s="2"/>
      <c r="C10" s="2"/>
      <c r="D10" s="2">
        <v>1</v>
      </c>
      <c r="E10" s="2"/>
      <c r="H10" t="s">
        <v>76</v>
      </c>
      <c r="K10">
        <v>1</v>
      </c>
    </row>
    <row r="11" spans="1:11" x14ac:dyDescent="0.25">
      <c r="A11" t="s">
        <v>93</v>
      </c>
      <c r="B11" s="2"/>
      <c r="C11" s="2"/>
      <c r="D11" s="2">
        <v>1</v>
      </c>
      <c r="E11" s="2"/>
      <c r="H11" t="s">
        <v>93</v>
      </c>
      <c r="K11">
        <v>1</v>
      </c>
    </row>
    <row r="12" spans="1:11" x14ac:dyDescent="0.25">
      <c r="A12" t="s">
        <v>80</v>
      </c>
      <c r="B12" s="2">
        <v>1</v>
      </c>
      <c r="C12" s="2"/>
      <c r="D12" s="2"/>
      <c r="E12" s="2"/>
      <c r="H12" t="s">
        <v>80</v>
      </c>
      <c r="I12">
        <v>1</v>
      </c>
    </row>
    <row r="13" spans="1:11" x14ac:dyDescent="0.25">
      <c r="A13" t="s">
        <v>88</v>
      </c>
      <c r="B13" s="2"/>
      <c r="C13" s="2"/>
      <c r="D13" s="2">
        <v>1</v>
      </c>
      <c r="E13" s="2"/>
      <c r="H13" t="s">
        <v>88</v>
      </c>
      <c r="K13">
        <v>1</v>
      </c>
    </row>
    <row r="14" spans="1:11" x14ac:dyDescent="0.25">
      <c r="A14" t="s">
        <v>83</v>
      </c>
      <c r="B14" s="2">
        <v>1</v>
      </c>
      <c r="C14" s="2"/>
      <c r="D14" s="2"/>
      <c r="E14" s="2"/>
      <c r="H14" t="s">
        <v>83</v>
      </c>
      <c r="I14">
        <v>1</v>
      </c>
    </row>
    <row r="15" spans="1:11" x14ac:dyDescent="0.25">
      <c r="A15" t="s">
        <v>84</v>
      </c>
      <c r="B15" s="2">
        <v>1</v>
      </c>
      <c r="C15" s="2"/>
      <c r="D15" s="2"/>
      <c r="E15" s="2"/>
      <c r="H15" t="s">
        <v>84</v>
      </c>
      <c r="I15">
        <v>1</v>
      </c>
    </row>
    <row r="16" spans="1:11" x14ac:dyDescent="0.25">
      <c r="A16" t="s">
        <v>96</v>
      </c>
      <c r="B16" s="2"/>
      <c r="C16" s="2"/>
      <c r="D16" s="2">
        <v>1</v>
      </c>
      <c r="E16" s="2"/>
      <c r="H16" t="s">
        <v>96</v>
      </c>
      <c r="K16">
        <v>1</v>
      </c>
    </row>
    <row r="17" spans="1:12" x14ac:dyDescent="0.25">
      <c r="A17" t="s">
        <v>106</v>
      </c>
      <c r="B17" s="2">
        <v>1</v>
      </c>
      <c r="C17" s="2"/>
      <c r="D17" s="2"/>
      <c r="E17" s="2"/>
      <c r="H17" t="s">
        <v>106</v>
      </c>
      <c r="I17">
        <v>1</v>
      </c>
    </row>
    <row r="18" spans="1:12" x14ac:dyDescent="0.25">
      <c r="A18" t="s">
        <v>101</v>
      </c>
      <c r="B18" s="2">
        <v>1</v>
      </c>
      <c r="C18" s="2"/>
      <c r="D18" s="2"/>
      <c r="E18" s="2"/>
      <c r="H18" t="s">
        <v>101</v>
      </c>
      <c r="I18">
        <v>1</v>
      </c>
    </row>
    <row r="19" spans="1:12" x14ac:dyDescent="0.25">
      <c r="A19" t="s">
        <v>99</v>
      </c>
      <c r="B19" s="2">
        <v>1</v>
      </c>
      <c r="C19" s="2"/>
      <c r="D19" s="2"/>
      <c r="E19" s="2"/>
      <c r="H19" t="s">
        <v>114</v>
      </c>
      <c r="K19">
        <v>1</v>
      </c>
    </row>
    <row r="20" spans="1:12" x14ac:dyDescent="0.25">
      <c r="A20" t="s">
        <v>131</v>
      </c>
      <c r="B20" s="2"/>
      <c r="C20" s="2"/>
      <c r="D20" s="2">
        <v>1</v>
      </c>
      <c r="E20" s="2"/>
      <c r="H20" t="s">
        <v>111</v>
      </c>
      <c r="K20">
        <v>1</v>
      </c>
    </row>
    <row r="21" spans="1:12" x14ac:dyDescent="0.25">
      <c r="A21" t="s">
        <v>128</v>
      </c>
      <c r="B21" s="2"/>
      <c r="C21" s="2"/>
      <c r="D21" s="2">
        <v>1</v>
      </c>
      <c r="E21" s="2"/>
      <c r="H21" t="s">
        <v>99</v>
      </c>
      <c r="I21">
        <v>1</v>
      </c>
    </row>
    <row r="22" spans="1:12" x14ac:dyDescent="0.25">
      <c r="A22" t="s">
        <v>127</v>
      </c>
      <c r="B22" s="2">
        <v>1</v>
      </c>
      <c r="C22" s="2"/>
      <c r="D22" s="2"/>
      <c r="E22" s="2"/>
      <c r="H22" t="s">
        <v>131</v>
      </c>
      <c r="K22">
        <v>1</v>
      </c>
    </row>
    <row r="23" spans="1:12" x14ac:dyDescent="0.25">
      <c r="A23" t="s">
        <v>126</v>
      </c>
      <c r="B23" s="2">
        <v>1</v>
      </c>
      <c r="C23" s="2"/>
      <c r="D23" s="2"/>
      <c r="E23" s="2"/>
      <c r="H23" t="s">
        <v>128</v>
      </c>
      <c r="K23">
        <v>1</v>
      </c>
    </row>
    <row r="24" spans="1:12" x14ac:dyDescent="0.25">
      <c r="A24" t="s">
        <v>129</v>
      </c>
      <c r="B24" s="2"/>
      <c r="C24" s="2"/>
      <c r="D24" s="2">
        <v>1</v>
      </c>
      <c r="E24" s="2"/>
      <c r="H24" t="s">
        <v>127</v>
      </c>
      <c r="I24">
        <v>1</v>
      </c>
    </row>
    <row r="25" spans="1:12" x14ac:dyDescent="0.25">
      <c r="A25" t="s">
        <v>125</v>
      </c>
      <c r="B25" s="2">
        <v>1</v>
      </c>
      <c r="C25" s="2"/>
      <c r="D25" s="2"/>
      <c r="E25" s="2"/>
      <c r="H25" t="s">
        <v>126</v>
      </c>
      <c r="I25">
        <v>1</v>
      </c>
    </row>
    <row r="26" spans="1:12" x14ac:dyDescent="0.25">
      <c r="A26" t="s">
        <v>123</v>
      </c>
      <c r="B26" s="2">
        <v>1</v>
      </c>
      <c r="C26" s="2"/>
      <c r="D26" s="2"/>
      <c r="E26" s="2"/>
      <c r="H26" t="s">
        <v>129</v>
      </c>
      <c r="K26">
        <v>1</v>
      </c>
    </row>
    <row r="27" spans="1:12" x14ac:dyDescent="0.25">
      <c r="A27" t="s">
        <v>130</v>
      </c>
      <c r="B27" s="2"/>
      <c r="C27" s="2"/>
      <c r="D27" s="2">
        <v>1</v>
      </c>
      <c r="E27" s="2"/>
      <c r="H27" t="s">
        <v>125</v>
      </c>
      <c r="I27">
        <v>1</v>
      </c>
    </row>
    <row r="28" spans="1:12" x14ac:dyDescent="0.25">
      <c r="A28" t="s">
        <v>124</v>
      </c>
      <c r="B28" s="2">
        <v>1</v>
      </c>
      <c r="C28" s="2"/>
      <c r="D28" s="2"/>
      <c r="E28" s="2"/>
      <c r="H28" t="s">
        <v>123</v>
      </c>
      <c r="I28">
        <v>1</v>
      </c>
    </row>
    <row r="29" spans="1:12" x14ac:dyDescent="0.25">
      <c r="A29" t="s">
        <v>48</v>
      </c>
      <c r="B29" s="2">
        <v>2</v>
      </c>
      <c r="C29" s="2">
        <v>1</v>
      </c>
      <c r="D29" s="2">
        <v>2</v>
      </c>
      <c r="E29" s="2">
        <v>1</v>
      </c>
      <c r="H29" t="s">
        <v>130</v>
      </c>
      <c r="K29">
        <v>1</v>
      </c>
    </row>
    <row r="30" spans="1:12" x14ac:dyDescent="0.25">
      <c r="A30" t="s">
        <v>149</v>
      </c>
      <c r="B30" s="2">
        <v>1</v>
      </c>
      <c r="C30" s="2">
        <v>1</v>
      </c>
      <c r="D30" s="2">
        <v>1</v>
      </c>
      <c r="E30" s="2">
        <v>1</v>
      </c>
      <c r="H30" t="s">
        <v>124</v>
      </c>
      <c r="I30">
        <v>1</v>
      </c>
    </row>
    <row r="31" spans="1:12" x14ac:dyDescent="0.25">
      <c r="A31" t="s">
        <v>170</v>
      </c>
      <c r="B31" s="2">
        <v>1</v>
      </c>
      <c r="C31" s="2">
        <v>1</v>
      </c>
      <c r="D31" s="2">
        <v>1</v>
      </c>
      <c r="E31" s="2">
        <v>1</v>
      </c>
      <c r="H31" t="s">
        <v>48</v>
      </c>
      <c r="I31">
        <v>1</v>
      </c>
      <c r="J31">
        <v>1</v>
      </c>
      <c r="K31">
        <v>2</v>
      </c>
      <c r="L31">
        <v>1</v>
      </c>
    </row>
    <row r="32" spans="1:12" x14ac:dyDescent="0.25">
      <c r="A32" t="s">
        <v>177</v>
      </c>
      <c r="B32" s="2">
        <v>1</v>
      </c>
      <c r="C32" s="2">
        <v>1</v>
      </c>
      <c r="D32" s="2">
        <v>1</v>
      </c>
      <c r="E32" s="2">
        <v>1</v>
      </c>
      <c r="H32" t="s">
        <v>149</v>
      </c>
      <c r="I32">
        <v>1</v>
      </c>
      <c r="J32">
        <v>1</v>
      </c>
      <c r="K32">
        <v>1</v>
      </c>
      <c r="L32">
        <v>1</v>
      </c>
    </row>
    <row r="33" spans="1:12" x14ac:dyDescent="0.25">
      <c r="A33" t="s">
        <v>182</v>
      </c>
      <c r="B33" s="2">
        <v>1</v>
      </c>
      <c r="C33" s="2">
        <v>1</v>
      </c>
      <c r="D33" s="2">
        <v>1</v>
      </c>
      <c r="E33" s="2">
        <v>1</v>
      </c>
      <c r="H33" t="s">
        <v>170</v>
      </c>
      <c r="K33">
        <v>1</v>
      </c>
      <c r="L33">
        <v>1</v>
      </c>
    </row>
    <row r="34" spans="1:12" x14ac:dyDescent="0.25">
      <c r="A34" t="s">
        <v>187</v>
      </c>
      <c r="B34" s="2">
        <v>1</v>
      </c>
      <c r="C34" s="2">
        <v>1</v>
      </c>
      <c r="D34" s="2">
        <v>1</v>
      </c>
      <c r="E34" s="2">
        <v>1</v>
      </c>
      <c r="H34" t="s">
        <v>177</v>
      </c>
      <c r="I34">
        <v>1</v>
      </c>
      <c r="J34">
        <v>1</v>
      </c>
      <c r="K34">
        <v>1</v>
      </c>
      <c r="L34">
        <v>1</v>
      </c>
    </row>
    <row r="35" spans="1:12" x14ac:dyDescent="0.25">
      <c r="A35" t="s">
        <v>148</v>
      </c>
      <c r="B35" s="2">
        <v>1</v>
      </c>
      <c r="C35" s="2"/>
      <c r="D35" s="2">
        <v>1</v>
      </c>
      <c r="E35" s="2"/>
      <c r="H35" t="s">
        <v>182</v>
      </c>
      <c r="I35">
        <v>1</v>
      </c>
      <c r="J35">
        <v>1</v>
      </c>
      <c r="K35">
        <v>1</v>
      </c>
      <c r="L35">
        <v>1</v>
      </c>
    </row>
    <row r="36" spans="1:12" x14ac:dyDescent="0.25">
      <c r="A36" t="s">
        <v>156</v>
      </c>
      <c r="B36" s="2"/>
      <c r="C36" s="2"/>
      <c r="D36" s="2">
        <v>1</v>
      </c>
      <c r="E36" s="2"/>
      <c r="H36" t="s">
        <v>187</v>
      </c>
      <c r="I36">
        <v>1</v>
      </c>
      <c r="J36">
        <v>1</v>
      </c>
      <c r="K36">
        <v>1</v>
      </c>
      <c r="L36">
        <v>1</v>
      </c>
    </row>
    <row r="37" spans="1:12" x14ac:dyDescent="0.25">
      <c r="A37" t="s">
        <v>179</v>
      </c>
      <c r="B37" s="2"/>
      <c r="C37" s="2"/>
      <c r="D37" s="2">
        <v>1</v>
      </c>
      <c r="E37" s="2"/>
      <c r="H37" t="s">
        <v>148</v>
      </c>
      <c r="I37">
        <v>1</v>
      </c>
      <c r="K37">
        <v>1</v>
      </c>
    </row>
    <row r="38" spans="1:12" x14ac:dyDescent="0.25">
      <c r="A38" t="s">
        <v>164</v>
      </c>
      <c r="B38" s="2">
        <v>1</v>
      </c>
      <c r="C38" s="2"/>
      <c r="D38" s="2"/>
      <c r="E38" s="2"/>
      <c r="H38" t="s">
        <v>156</v>
      </c>
      <c r="K38">
        <v>1</v>
      </c>
    </row>
    <row r="39" spans="1:12" x14ac:dyDescent="0.25">
      <c r="A39" t="s">
        <v>181</v>
      </c>
      <c r="B39" s="2"/>
      <c r="C39" s="2"/>
      <c r="D39" s="2">
        <v>1</v>
      </c>
      <c r="E39" s="2"/>
      <c r="H39" t="s">
        <v>179</v>
      </c>
      <c r="K39">
        <v>1</v>
      </c>
    </row>
    <row r="40" spans="1:12" x14ac:dyDescent="0.25">
      <c r="A40" t="s">
        <v>150</v>
      </c>
      <c r="B40" s="2">
        <v>1</v>
      </c>
      <c r="C40" s="2"/>
      <c r="D40" s="2"/>
      <c r="E40" s="2"/>
      <c r="H40" t="s">
        <v>164</v>
      </c>
      <c r="I40">
        <v>1</v>
      </c>
    </row>
    <row r="41" spans="1:12" x14ac:dyDescent="0.25">
      <c r="A41" t="s">
        <v>158</v>
      </c>
      <c r="B41" s="2"/>
      <c r="C41" s="2"/>
      <c r="D41" s="2">
        <v>1</v>
      </c>
      <c r="E41" s="2"/>
      <c r="H41" t="s">
        <v>181</v>
      </c>
      <c r="K41">
        <v>1</v>
      </c>
    </row>
    <row r="42" spans="1:12" x14ac:dyDescent="0.25">
      <c r="A42" t="s">
        <v>195</v>
      </c>
      <c r="B42" s="2"/>
      <c r="C42" s="2"/>
      <c r="D42" s="2">
        <v>1</v>
      </c>
      <c r="E42" s="2"/>
      <c r="H42" t="s">
        <v>150</v>
      </c>
      <c r="I42">
        <v>1</v>
      </c>
    </row>
    <row r="43" spans="1:12" x14ac:dyDescent="0.25">
      <c r="A43" t="s">
        <v>178</v>
      </c>
      <c r="B43" s="2">
        <v>1</v>
      </c>
      <c r="C43" s="2"/>
      <c r="D43" s="2"/>
      <c r="E43" s="2"/>
      <c r="H43" t="s">
        <v>158</v>
      </c>
      <c r="K43">
        <v>1</v>
      </c>
    </row>
    <row r="44" spans="1:12" x14ac:dyDescent="0.25">
      <c r="A44" t="s">
        <v>198</v>
      </c>
      <c r="B44" s="2">
        <v>1</v>
      </c>
      <c r="C44" s="2"/>
      <c r="D44" s="2"/>
      <c r="E44" s="2"/>
      <c r="H44" t="s">
        <v>195</v>
      </c>
      <c r="K44">
        <v>1</v>
      </c>
    </row>
    <row r="45" spans="1:12" x14ac:dyDescent="0.25">
      <c r="A45" t="s">
        <v>183</v>
      </c>
      <c r="B45" s="2"/>
      <c r="C45" s="2"/>
      <c r="D45" s="2">
        <v>1</v>
      </c>
      <c r="E45" s="2"/>
      <c r="H45" t="s">
        <v>178</v>
      </c>
      <c r="I45">
        <v>1</v>
      </c>
    </row>
    <row r="46" spans="1:12" x14ac:dyDescent="0.25">
      <c r="A46" t="s">
        <v>190</v>
      </c>
      <c r="B46" s="2">
        <v>1</v>
      </c>
      <c r="C46" s="2">
        <v>1</v>
      </c>
      <c r="D46" s="2">
        <v>1</v>
      </c>
      <c r="E46" s="2">
        <v>1</v>
      </c>
      <c r="H46" t="s">
        <v>198</v>
      </c>
      <c r="I46">
        <v>1</v>
      </c>
    </row>
    <row r="47" spans="1:12" x14ac:dyDescent="0.25">
      <c r="A47" t="s">
        <v>194</v>
      </c>
      <c r="B47" s="2">
        <v>1</v>
      </c>
      <c r="C47" s="2">
        <v>1</v>
      </c>
      <c r="D47" s="2">
        <v>1</v>
      </c>
      <c r="E47" s="2">
        <v>1</v>
      </c>
      <c r="H47" t="s">
        <v>190</v>
      </c>
      <c r="I47">
        <v>1</v>
      </c>
      <c r="J47">
        <v>1</v>
      </c>
      <c r="K47">
        <v>1</v>
      </c>
      <c r="L47">
        <v>1</v>
      </c>
    </row>
    <row r="48" spans="1:12" x14ac:dyDescent="0.25">
      <c r="A48" t="s">
        <v>184</v>
      </c>
      <c r="B48" s="2">
        <v>1</v>
      </c>
      <c r="C48" s="2">
        <v>1</v>
      </c>
      <c r="D48" s="2"/>
      <c r="E48" s="2"/>
      <c r="H48" t="s">
        <v>194</v>
      </c>
      <c r="I48">
        <v>1</v>
      </c>
      <c r="J48">
        <v>1</v>
      </c>
      <c r="K48">
        <v>1</v>
      </c>
      <c r="L48">
        <v>1</v>
      </c>
    </row>
    <row r="49" spans="1:12" x14ac:dyDescent="0.25">
      <c r="A49" t="s">
        <v>192</v>
      </c>
      <c r="B49" s="2">
        <v>1</v>
      </c>
      <c r="C49" s="2">
        <v>1</v>
      </c>
      <c r="D49" s="2">
        <v>1</v>
      </c>
      <c r="E49" s="2">
        <v>1</v>
      </c>
      <c r="H49" t="s">
        <v>184</v>
      </c>
      <c r="I49">
        <v>1</v>
      </c>
      <c r="J49">
        <v>1</v>
      </c>
    </row>
    <row r="50" spans="1:12" x14ac:dyDescent="0.25">
      <c r="A50" t="s">
        <v>151</v>
      </c>
      <c r="B50" s="2">
        <v>1</v>
      </c>
      <c r="C50" s="2">
        <v>1</v>
      </c>
      <c r="D50" s="2">
        <v>1</v>
      </c>
      <c r="E50" s="2">
        <v>1</v>
      </c>
      <c r="H50" t="s">
        <v>192</v>
      </c>
      <c r="I50">
        <v>1</v>
      </c>
      <c r="J50">
        <v>1</v>
      </c>
      <c r="K50">
        <v>1</v>
      </c>
      <c r="L50">
        <v>1</v>
      </c>
    </row>
    <row r="51" spans="1:12" x14ac:dyDescent="0.25">
      <c r="A51" t="s">
        <v>159</v>
      </c>
      <c r="B51" s="2"/>
      <c r="C51" s="2"/>
      <c r="D51" s="2">
        <v>1</v>
      </c>
      <c r="E51" s="2"/>
      <c r="H51" t="s">
        <v>151</v>
      </c>
      <c r="I51">
        <v>1</v>
      </c>
      <c r="J51">
        <v>1</v>
      </c>
      <c r="K51">
        <v>1</v>
      </c>
      <c r="L51">
        <v>1</v>
      </c>
    </row>
    <row r="52" spans="1:12" x14ac:dyDescent="0.25">
      <c r="A52" t="s">
        <v>196</v>
      </c>
      <c r="B52" s="2"/>
      <c r="C52" s="2"/>
      <c r="D52" s="2">
        <v>1</v>
      </c>
      <c r="E52" s="2"/>
      <c r="H52" t="s">
        <v>159</v>
      </c>
      <c r="K52">
        <v>1</v>
      </c>
    </row>
    <row r="53" spans="1:12" x14ac:dyDescent="0.25">
      <c r="A53" t="s">
        <v>188</v>
      </c>
      <c r="B53" s="2">
        <v>1</v>
      </c>
      <c r="C53" s="2"/>
      <c r="D53" s="2">
        <v>1</v>
      </c>
      <c r="E53" s="2"/>
      <c r="H53" t="s">
        <v>196</v>
      </c>
      <c r="K53">
        <v>1</v>
      </c>
    </row>
    <row r="54" spans="1:12" x14ac:dyDescent="0.25">
      <c r="A54" t="s">
        <v>152</v>
      </c>
      <c r="B54" s="2">
        <v>1</v>
      </c>
      <c r="C54" s="2"/>
      <c r="D54" s="2"/>
      <c r="E54" s="2"/>
      <c r="H54" t="s">
        <v>188</v>
      </c>
      <c r="K54">
        <v>1</v>
      </c>
    </row>
    <row r="55" spans="1:12" x14ac:dyDescent="0.25">
      <c r="A55" t="s">
        <v>160</v>
      </c>
      <c r="B55" s="2">
        <v>1</v>
      </c>
      <c r="C55" s="2"/>
      <c r="D55" s="2">
        <v>1</v>
      </c>
      <c r="E55" s="2"/>
      <c r="H55" t="s">
        <v>152</v>
      </c>
      <c r="I55">
        <v>1</v>
      </c>
    </row>
    <row r="56" spans="1:12" x14ac:dyDescent="0.25">
      <c r="A56" t="s">
        <v>166</v>
      </c>
      <c r="B56" s="2"/>
      <c r="C56" s="2"/>
      <c r="D56" s="2">
        <v>1</v>
      </c>
      <c r="E56" s="2"/>
      <c r="H56" t="s">
        <v>160</v>
      </c>
      <c r="I56">
        <v>1</v>
      </c>
      <c r="K56">
        <v>1</v>
      </c>
    </row>
    <row r="57" spans="1:12" x14ac:dyDescent="0.25">
      <c r="A57" t="s">
        <v>172</v>
      </c>
      <c r="B57" s="2">
        <v>1</v>
      </c>
      <c r="C57" s="2"/>
      <c r="D57" s="2"/>
      <c r="E57" s="2"/>
      <c r="H57" t="s">
        <v>166</v>
      </c>
      <c r="K57">
        <v>1</v>
      </c>
    </row>
    <row r="58" spans="1:12" x14ac:dyDescent="0.25">
      <c r="A58" t="s">
        <v>153</v>
      </c>
      <c r="B58" s="2">
        <v>1</v>
      </c>
      <c r="C58" s="2"/>
      <c r="D58" s="2"/>
      <c r="E58" s="2"/>
      <c r="H58" t="s">
        <v>172</v>
      </c>
      <c r="I58">
        <v>1</v>
      </c>
    </row>
    <row r="59" spans="1:12" x14ac:dyDescent="0.25">
      <c r="A59" t="s">
        <v>161</v>
      </c>
      <c r="B59" s="2"/>
      <c r="C59" s="2"/>
      <c r="D59" s="2">
        <v>1</v>
      </c>
      <c r="E59" s="2"/>
      <c r="H59" t="s">
        <v>153</v>
      </c>
      <c r="I59">
        <v>1</v>
      </c>
    </row>
    <row r="60" spans="1:12" x14ac:dyDescent="0.25">
      <c r="A60" t="s">
        <v>173</v>
      </c>
      <c r="B60" s="2"/>
      <c r="C60" s="2"/>
      <c r="D60" s="2">
        <v>1</v>
      </c>
      <c r="E60" s="2"/>
      <c r="H60" t="s">
        <v>161</v>
      </c>
      <c r="K60">
        <v>1</v>
      </c>
    </row>
    <row r="61" spans="1:12" x14ac:dyDescent="0.25">
      <c r="A61" t="s">
        <v>167</v>
      </c>
      <c r="B61" s="2">
        <v>1</v>
      </c>
      <c r="C61" s="2"/>
      <c r="D61" s="2"/>
      <c r="E61" s="2"/>
      <c r="H61" t="s">
        <v>173</v>
      </c>
      <c r="K61">
        <v>1</v>
      </c>
    </row>
    <row r="62" spans="1:12" x14ac:dyDescent="0.25">
      <c r="A62" t="s">
        <v>118</v>
      </c>
      <c r="B62" s="2">
        <v>1</v>
      </c>
      <c r="C62" s="2"/>
      <c r="D62" s="2">
        <v>1</v>
      </c>
      <c r="E62" s="2"/>
      <c r="H62" t="s">
        <v>167</v>
      </c>
      <c r="I62">
        <v>1</v>
      </c>
    </row>
    <row r="63" spans="1:12" x14ac:dyDescent="0.25">
      <c r="A63" t="s">
        <v>206</v>
      </c>
      <c r="B63" s="2"/>
      <c r="C63" s="2"/>
      <c r="D63" s="2"/>
      <c r="E63" s="2"/>
      <c r="H63" t="s">
        <v>204</v>
      </c>
      <c r="I63">
        <v>1</v>
      </c>
    </row>
    <row r="64" spans="1:12" x14ac:dyDescent="0.25">
      <c r="A64" t="s">
        <v>208</v>
      </c>
      <c r="B64" s="2"/>
      <c r="C64" s="2"/>
      <c r="D64" s="2"/>
      <c r="E64" s="2"/>
      <c r="H64" t="s">
        <v>118</v>
      </c>
      <c r="I64">
        <v>1</v>
      </c>
      <c r="K64">
        <v>1</v>
      </c>
    </row>
    <row r="65" spans="1:12" x14ac:dyDescent="0.25">
      <c r="A65" t="s">
        <v>210</v>
      </c>
      <c r="B65" s="2"/>
      <c r="C65" s="2"/>
      <c r="D65" s="2"/>
      <c r="E65" s="2"/>
      <c r="H65" t="s">
        <v>206</v>
      </c>
      <c r="K65">
        <v>5</v>
      </c>
    </row>
    <row r="66" spans="1:12" x14ac:dyDescent="0.25">
      <c r="A66" t="s">
        <v>215</v>
      </c>
      <c r="B66" s="2"/>
      <c r="C66" s="2"/>
      <c r="D66" s="2"/>
      <c r="E66" s="2"/>
      <c r="H66" t="s">
        <v>208</v>
      </c>
      <c r="I66">
        <v>1</v>
      </c>
      <c r="J66">
        <v>1</v>
      </c>
      <c r="K66">
        <v>1</v>
      </c>
      <c r="L66">
        <v>1</v>
      </c>
    </row>
    <row r="67" spans="1:12" x14ac:dyDescent="0.25">
      <c r="A67" s="62" t="s">
        <v>114</v>
      </c>
      <c r="B67" s="86"/>
      <c r="C67" s="86"/>
      <c r="D67" s="86">
        <v>1</v>
      </c>
      <c r="E67" s="86"/>
      <c r="H67" t="s">
        <v>210</v>
      </c>
      <c r="I67">
        <v>5</v>
      </c>
      <c r="K67">
        <v>5</v>
      </c>
    </row>
    <row r="68" spans="1:12" x14ac:dyDescent="0.25">
      <c r="A68" s="62" t="s">
        <v>111</v>
      </c>
      <c r="B68" s="86"/>
      <c r="C68" s="86"/>
      <c r="D68" s="86">
        <v>1</v>
      </c>
      <c r="E68" s="86"/>
      <c r="H68" t="s">
        <v>186</v>
      </c>
      <c r="I68">
        <v>1</v>
      </c>
    </row>
    <row r="69" spans="1:12" x14ac:dyDescent="0.25">
      <c r="H69" t="s">
        <v>215</v>
      </c>
      <c r="I69">
        <v>5</v>
      </c>
      <c r="K69">
        <v>1</v>
      </c>
    </row>
  </sheetData>
  <conditionalFormatting sqref="A4:A68">
    <cfRule type="duplicateValues" dxfId="0" priority="280"/>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F1CF5-91D9-4A39-B491-DF945D0E2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http://schemas.microsoft.com/office/2006/documentManagement/types"/>
    <ds:schemaRef ds:uri="http://purl.org/dc/elements/1.1/"/>
    <ds:schemaRef ds:uri="http://purl.org/dc/dcmitype/"/>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ba69df13-0c3c-4942-8695-6ca01564010c"/>
    <ds:schemaRef ds:uri="2380bd5d-8f09-40a9-a9cb-2482ec2cd2ca"/>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Construction Management</vt:lpstr>
      <vt:lpstr>Unitsets</vt:lpstr>
      <vt:lpstr>Handbook</vt:lpstr>
      <vt:lpstr>Structures</vt:lpstr>
      <vt:lpstr>Availabilities</vt:lpstr>
      <vt:lpstr>'Construction Management'!Print_Area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2024-11-11T07:07:28Z</cp:lastPrinted>
  <dcterms:created xsi:type="dcterms:W3CDTF">2022-02-28T04:48:12Z</dcterms:created>
  <dcterms:modified xsi:type="dcterms:W3CDTF">2024-11-11T07:08:52Z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