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333F5A4C-CE1C-4B90-9641-9AEA1FE74FF2}" xr6:coauthVersionLast="47" xr6:coauthVersionMax="47" xr10:uidLastSave="{00000000-0000-0000-0000-000000000000}"/>
  <workbookProtection workbookAlgorithmName="SHA-512" workbookHashValue="FNcDZpfbXGDHFFGmicAuT/2Kq/1sYQj1vs7vezCedyo5v398AzprSyD4Zpz7i1IpSLgmq6AjLzbB2dFb7e2rRg==" workbookSaltValue="sEPag9CP2m2fxN6cQPL6yg==" workbookSpinCount="100000" lockStructure="1"/>
  <bookViews>
    <workbookView xWindow="28680" yWindow="10680" windowWidth="29040" windowHeight="17520" xr2:uid="{00000000-000D-0000-FFFF-FFFF00000000}"/>
  </bookViews>
  <sheets>
    <sheet name="PG Design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'PG Design Planner'!$A$3:$L$59</definedName>
    <definedName name="RangeOptions">Unitsets!$L$23:$N$50</definedName>
    <definedName name="RangeUnitsets">Unitsets!$L$3:$W$19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3" l="1"/>
  <c r="G31" i="3"/>
  <c r="G33" i="3"/>
  <c r="G35" i="3"/>
  <c r="G37" i="3"/>
  <c r="G39" i="3"/>
  <c r="G41" i="3"/>
  <c r="G43" i="3"/>
  <c r="G45" i="3"/>
  <c r="H29" i="3"/>
  <c r="H31" i="3"/>
  <c r="H33" i="3"/>
  <c r="H35" i="3"/>
  <c r="H37" i="3"/>
  <c r="H39" i="3"/>
  <c r="H41" i="3"/>
  <c r="H43" i="3"/>
  <c r="H45" i="3"/>
  <c r="I29" i="3"/>
  <c r="I31" i="3"/>
  <c r="I33" i="3"/>
  <c r="I35" i="3"/>
  <c r="I37" i="3"/>
  <c r="I39" i="3"/>
  <c r="I41" i="3"/>
  <c r="I43" i="3"/>
  <c r="I45" i="3"/>
  <c r="J29" i="3"/>
  <c r="J31" i="3"/>
  <c r="J33" i="3"/>
  <c r="J35" i="3"/>
  <c r="J37" i="3"/>
  <c r="J39" i="3"/>
  <c r="J41" i="3"/>
  <c r="J43" i="3"/>
  <c r="J45" i="3"/>
  <c r="G26" i="3"/>
  <c r="H26" i="3"/>
  <c r="I26" i="3"/>
  <c r="J26" i="3"/>
  <c r="N1" i="3" l="1"/>
  <c r="M1" i="3"/>
  <c r="L1" i="3"/>
  <c r="K1" i="3"/>
  <c r="J1" i="3"/>
  <c r="I1" i="3"/>
  <c r="H1" i="3"/>
  <c r="G1" i="3"/>
  <c r="F1" i="3"/>
  <c r="E1" i="3"/>
  <c r="D1" i="3"/>
  <c r="C1" i="3"/>
  <c r="B1" i="3"/>
  <c r="A1" i="3"/>
  <c r="G6" i="5"/>
  <c r="H29" i="5"/>
  <c r="L30" i="5"/>
  <c r="K30" i="5"/>
  <c r="J30" i="5"/>
  <c r="I30" i="5"/>
  <c r="H30" i="5"/>
  <c r="L18" i="5"/>
  <c r="K18" i="5"/>
  <c r="J18" i="5"/>
  <c r="I18" i="5"/>
  <c r="H18" i="5"/>
  <c r="G46" i="3" l="1"/>
  <c r="H46" i="3"/>
  <c r="I46" i="3"/>
  <c r="J46" i="3"/>
  <c r="G48" i="3" l="1"/>
  <c r="H48" i="3"/>
  <c r="I48" i="3"/>
  <c r="J48" i="3"/>
  <c r="J3" i="3"/>
  <c r="J4" i="3"/>
  <c r="J6" i="3"/>
  <c r="J7" i="3"/>
  <c r="J8" i="3"/>
  <c r="J9" i="3"/>
  <c r="J10" i="3"/>
  <c r="J11" i="3"/>
  <c r="J12" i="3"/>
  <c r="J13" i="3"/>
  <c r="J14" i="3"/>
  <c r="J15" i="3"/>
  <c r="J16" i="3"/>
  <c r="J17" i="3"/>
  <c r="J18" i="3"/>
  <c r="J19" i="3"/>
  <c r="J20" i="3"/>
  <c r="J21" i="3"/>
  <c r="J22" i="3"/>
  <c r="J23" i="3"/>
  <c r="J25" i="3"/>
  <c r="J27" i="3"/>
  <c r="J28" i="3"/>
  <c r="J30" i="3"/>
  <c r="J32" i="3"/>
  <c r="J34" i="3"/>
  <c r="J36" i="3"/>
  <c r="J38" i="3"/>
  <c r="J40" i="3"/>
  <c r="J42" i="3"/>
  <c r="J44" i="3"/>
  <c r="J47" i="3"/>
  <c r="J49" i="3"/>
  <c r="J50" i="3"/>
  <c r="J51" i="3"/>
  <c r="J52" i="3"/>
  <c r="J53" i="3"/>
  <c r="J54" i="3"/>
  <c r="J5" i="3"/>
  <c r="J24" i="3"/>
  <c r="I3" i="3"/>
  <c r="I4" i="3"/>
  <c r="I6" i="3"/>
  <c r="I7" i="3"/>
  <c r="I8" i="3"/>
  <c r="I9" i="3"/>
  <c r="I10" i="3"/>
  <c r="I11" i="3"/>
  <c r="I12" i="3"/>
  <c r="I13" i="3"/>
  <c r="I14" i="3"/>
  <c r="I15" i="3"/>
  <c r="I16" i="3"/>
  <c r="I17" i="3"/>
  <c r="I18" i="3"/>
  <c r="I19" i="3"/>
  <c r="I20" i="3"/>
  <c r="I21" i="3"/>
  <c r="I22" i="3"/>
  <c r="I23" i="3"/>
  <c r="I25" i="3"/>
  <c r="I27" i="3"/>
  <c r="I28" i="3"/>
  <c r="I30" i="3"/>
  <c r="I32" i="3"/>
  <c r="I34" i="3"/>
  <c r="I36" i="3"/>
  <c r="I38" i="3"/>
  <c r="I40" i="3"/>
  <c r="I42" i="3"/>
  <c r="I44" i="3"/>
  <c r="I47" i="3"/>
  <c r="I49" i="3"/>
  <c r="I50" i="3"/>
  <c r="I51" i="3"/>
  <c r="I52" i="3"/>
  <c r="I53" i="3"/>
  <c r="I54" i="3"/>
  <c r="I5" i="3"/>
  <c r="I24" i="3"/>
  <c r="H24" i="3"/>
  <c r="H5" i="3"/>
  <c r="H54" i="3"/>
  <c r="H53" i="3"/>
  <c r="H52" i="3"/>
  <c r="H51" i="3"/>
  <c r="H50" i="3"/>
  <c r="H49" i="3"/>
  <c r="H47" i="3"/>
  <c r="H44" i="3"/>
  <c r="H42" i="3"/>
  <c r="H40" i="3"/>
  <c r="H38" i="3"/>
  <c r="H36" i="3"/>
  <c r="H34" i="3"/>
  <c r="H32" i="3"/>
  <c r="H30" i="3"/>
  <c r="H28" i="3"/>
  <c r="H27" i="3"/>
  <c r="H25" i="3"/>
  <c r="H23" i="3"/>
  <c r="H22" i="3"/>
  <c r="H21" i="3"/>
  <c r="H20" i="3"/>
  <c r="H19" i="3"/>
  <c r="H18" i="3"/>
  <c r="H17" i="3"/>
  <c r="H16" i="3"/>
  <c r="H15" i="3"/>
  <c r="H14" i="3"/>
  <c r="H13" i="3"/>
  <c r="H12" i="3"/>
  <c r="H11" i="3"/>
  <c r="H10" i="3"/>
  <c r="H9" i="3"/>
  <c r="H8" i="3"/>
  <c r="H7" i="3"/>
  <c r="H6" i="3"/>
  <c r="H4" i="3"/>
  <c r="H3" i="3"/>
  <c r="G3" i="3"/>
  <c r="G4" i="3"/>
  <c r="G6" i="3"/>
  <c r="G7" i="3"/>
  <c r="G8" i="3"/>
  <c r="G9" i="3"/>
  <c r="G10" i="3"/>
  <c r="G11" i="3"/>
  <c r="G12" i="3"/>
  <c r="G13" i="3"/>
  <c r="G14" i="3"/>
  <c r="G15" i="3"/>
  <c r="G16" i="3"/>
  <c r="G17" i="3"/>
  <c r="G18" i="3"/>
  <c r="G19" i="3"/>
  <c r="G20" i="3"/>
  <c r="G21" i="3"/>
  <c r="G22" i="3"/>
  <c r="G23" i="3"/>
  <c r="G25" i="3"/>
  <c r="G27" i="3"/>
  <c r="G28" i="3"/>
  <c r="G30" i="3"/>
  <c r="G32" i="3"/>
  <c r="G34" i="3"/>
  <c r="G36" i="3"/>
  <c r="G38" i="3"/>
  <c r="G40" i="3"/>
  <c r="G42" i="3"/>
  <c r="G44" i="3"/>
  <c r="G47" i="3"/>
  <c r="G49" i="3"/>
  <c r="G50" i="3"/>
  <c r="G51" i="3"/>
  <c r="G52" i="3"/>
  <c r="G53" i="3"/>
  <c r="G54" i="3"/>
  <c r="G5" i="3"/>
  <c r="G24" i="3"/>
  <c r="A109" i="8"/>
  <c r="B109" i="8"/>
  <c r="D109" i="8"/>
  <c r="E109" i="8"/>
  <c r="A100" i="8"/>
  <c r="B100" i="8"/>
  <c r="D100" i="8"/>
  <c r="E100" i="8"/>
  <c r="A16" i="8" l="1"/>
  <c r="B16" i="8"/>
  <c r="D16" i="8"/>
  <c r="E16" i="8"/>
  <c r="A60" i="8"/>
  <c r="B60" i="8"/>
  <c r="D60" i="8"/>
  <c r="E60" i="8"/>
  <c r="A7" i="8"/>
  <c r="B7" i="8"/>
  <c r="D7" i="8"/>
  <c r="E7" i="8"/>
  <c r="A51" i="8"/>
  <c r="B51" i="8"/>
  <c r="D51" i="8"/>
  <c r="E51" i="8"/>
  <c r="G5" i="5" l="1"/>
  <c r="A115" i="8" l="1"/>
  <c r="A116" i="8"/>
  <c r="A117" i="8"/>
  <c r="A118" i="8"/>
  <c r="A119" i="8"/>
  <c r="A120" i="8"/>
  <c r="A121" i="8"/>
  <c r="A122" i="8"/>
  <c r="A123" i="8"/>
  <c r="A124" i="8"/>
  <c r="A125" i="8"/>
  <c r="A126" i="8"/>
  <c r="A127" i="8"/>
  <c r="A128" i="8"/>
  <c r="A129" i="8"/>
  <c r="A130" i="8"/>
  <c r="A131" i="8"/>
  <c r="B115" i="8"/>
  <c r="B116" i="8"/>
  <c r="B117" i="8"/>
  <c r="B118" i="8"/>
  <c r="B119" i="8"/>
  <c r="B120" i="8"/>
  <c r="B121" i="8"/>
  <c r="B122" i="8"/>
  <c r="B123" i="8"/>
  <c r="B124" i="8"/>
  <c r="B125" i="8"/>
  <c r="B126" i="8"/>
  <c r="B127" i="8"/>
  <c r="B128" i="8"/>
  <c r="B129" i="8"/>
  <c r="B130" i="8"/>
  <c r="B131" i="8"/>
  <c r="D115" i="8"/>
  <c r="D116" i="8"/>
  <c r="D117" i="8"/>
  <c r="D118" i="8"/>
  <c r="D119" i="8"/>
  <c r="D120" i="8"/>
  <c r="D121" i="8"/>
  <c r="D122" i="8"/>
  <c r="D123" i="8"/>
  <c r="D124" i="8"/>
  <c r="D125" i="8"/>
  <c r="D126" i="8"/>
  <c r="D127" i="8"/>
  <c r="D128" i="8"/>
  <c r="D129" i="8"/>
  <c r="D130" i="8"/>
  <c r="D131" i="8"/>
  <c r="E115" i="8"/>
  <c r="E116" i="8"/>
  <c r="E117" i="8"/>
  <c r="E118" i="8"/>
  <c r="E119" i="8"/>
  <c r="E120" i="8"/>
  <c r="E121" i="8"/>
  <c r="E122" i="8"/>
  <c r="E123" i="8"/>
  <c r="E124" i="8"/>
  <c r="E125" i="8"/>
  <c r="E126" i="8"/>
  <c r="E127" i="8"/>
  <c r="E128" i="8"/>
  <c r="E129" i="8"/>
  <c r="E130" i="8"/>
  <c r="E131" i="8"/>
  <c r="E68" i="8" l="1"/>
  <c r="E69" i="8"/>
  <c r="E70" i="8"/>
  <c r="E71" i="8"/>
  <c r="E72" i="8"/>
  <c r="E73" i="8"/>
  <c r="E74" i="8"/>
  <c r="E75" i="8"/>
  <c r="E76" i="8"/>
  <c r="E77" i="8"/>
  <c r="E78" i="8"/>
  <c r="E79" i="8"/>
  <c r="E80" i="8"/>
  <c r="E81" i="8"/>
  <c r="A68" i="8"/>
  <c r="A69" i="8"/>
  <c r="A70" i="8"/>
  <c r="A71" i="8"/>
  <c r="A72" i="8"/>
  <c r="A73" i="8"/>
  <c r="A74" i="8"/>
  <c r="A75" i="8"/>
  <c r="A76" i="8"/>
  <c r="A77" i="8"/>
  <c r="A78" i="8"/>
  <c r="A79" i="8"/>
  <c r="A80" i="8"/>
  <c r="A81" i="8"/>
  <c r="B68" i="8"/>
  <c r="B69" i="8"/>
  <c r="B70" i="8"/>
  <c r="B71" i="8"/>
  <c r="B72" i="8"/>
  <c r="B73" i="8"/>
  <c r="B74" i="8"/>
  <c r="B75" i="8"/>
  <c r="B76" i="8"/>
  <c r="B77" i="8"/>
  <c r="B78" i="8"/>
  <c r="B79" i="8"/>
  <c r="B80" i="8"/>
  <c r="B81" i="8"/>
  <c r="D68" i="8"/>
  <c r="D69" i="8"/>
  <c r="D70" i="8"/>
  <c r="D71" i="8"/>
  <c r="D72" i="8"/>
  <c r="D73" i="8"/>
  <c r="D74" i="8"/>
  <c r="D75" i="8"/>
  <c r="D76" i="8"/>
  <c r="D77" i="8"/>
  <c r="D78" i="8"/>
  <c r="D79" i="8"/>
  <c r="D80" i="8"/>
  <c r="D81" i="8"/>
  <c r="A26" i="8" l="1"/>
  <c r="A27" i="8"/>
  <c r="A28" i="8"/>
  <c r="A29" i="8"/>
  <c r="A30" i="8"/>
  <c r="A31" i="8"/>
  <c r="A32" i="8"/>
  <c r="A33" i="8"/>
  <c r="A34" i="8"/>
  <c r="A35" i="8"/>
  <c r="A36" i="8"/>
  <c r="A37" i="8"/>
  <c r="A38" i="8"/>
  <c r="B26" i="8"/>
  <c r="B27" i="8"/>
  <c r="B28" i="8"/>
  <c r="B29" i="8"/>
  <c r="B30" i="8"/>
  <c r="B31" i="8"/>
  <c r="B32" i="8"/>
  <c r="B33" i="8"/>
  <c r="B34" i="8"/>
  <c r="B35" i="8"/>
  <c r="B36" i="8"/>
  <c r="B37" i="8"/>
  <c r="B38" i="8"/>
  <c r="D26" i="8"/>
  <c r="D27" i="8"/>
  <c r="D28" i="8"/>
  <c r="D29" i="8"/>
  <c r="D30" i="8"/>
  <c r="D31" i="8"/>
  <c r="D32" i="8"/>
  <c r="D33" i="8"/>
  <c r="D34" i="8"/>
  <c r="D35" i="8"/>
  <c r="D36" i="8"/>
  <c r="D37" i="8"/>
  <c r="D38" i="8"/>
  <c r="E26" i="8"/>
  <c r="E27" i="8"/>
  <c r="E28" i="8"/>
  <c r="E29" i="8"/>
  <c r="E30" i="8"/>
  <c r="E31" i="8"/>
  <c r="E32" i="8"/>
  <c r="E33" i="8"/>
  <c r="E34" i="8"/>
  <c r="E35" i="8"/>
  <c r="E36" i="8"/>
  <c r="E37" i="8"/>
  <c r="E38" i="8"/>
  <c r="L29" i="5" l="1"/>
  <c r="A56" i="5" l="1"/>
  <c r="A40" i="5"/>
  <c r="A38" i="5"/>
  <c r="A37" i="5"/>
  <c r="A36" i="5"/>
  <c r="A39" i="5"/>
  <c r="A52" i="5"/>
  <c r="A44" i="5"/>
  <c r="A48" i="5"/>
  <c r="A46" i="5"/>
  <c r="A51" i="5"/>
  <c r="A43" i="5"/>
  <c r="A49" i="5"/>
  <c r="A47" i="5"/>
  <c r="A45" i="5"/>
  <c r="A50" i="5"/>
  <c r="A42" i="5"/>
  <c r="A41" i="5"/>
  <c r="A35" i="5"/>
  <c r="A53" i="5"/>
  <c r="A31" i="5"/>
  <c r="A55" i="5"/>
  <c r="A54" i="5"/>
  <c r="A32" i="5"/>
  <c r="A34" i="5"/>
  <c r="A33" i="5"/>
  <c r="K56" i="5" l="1"/>
  <c r="J56" i="5"/>
  <c r="I56" i="5"/>
  <c r="H56" i="5"/>
  <c r="G56" i="5"/>
  <c r="F56" i="5"/>
  <c r="D56" i="5"/>
  <c r="C56" i="5"/>
  <c r="B56" i="5"/>
  <c r="D54" i="5"/>
  <c r="J54" i="5"/>
  <c r="K54" i="5"/>
  <c r="I54" i="5"/>
  <c r="H54" i="5"/>
  <c r="J42" i="5"/>
  <c r="K42" i="5"/>
  <c r="I42" i="5"/>
  <c r="H42" i="5"/>
  <c r="J48" i="5"/>
  <c r="K48" i="5"/>
  <c r="I48" i="5"/>
  <c r="H48" i="5"/>
  <c r="K45" i="5"/>
  <c r="J45" i="5"/>
  <c r="I45" i="5"/>
  <c r="H45" i="5"/>
  <c r="K52" i="5"/>
  <c r="J52" i="5"/>
  <c r="I52" i="5"/>
  <c r="H52" i="5"/>
  <c r="J44" i="5"/>
  <c r="K44" i="5"/>
  <c r="I44" i="5"/>
  <c r="H44" i="5"/>
  <c r="G33" i="5"/>
  <c r="K33" i="5"/>
  <c r="J33" i="5"/>
  <c r="I33" i="5"/>
  <c r="H33" i="5"/>
  <c r="K47" i="5"/>
  <c r="J47" i="5"/>
  <c r="I47" i="5"/>
  <c r="H47" i="5"/>
  <c r="K39" i="5"/>
  <c r="J39" i="5"/>
  <c r="I39" i="5"/>
  <c r="H39" i="5"/>
  <c r="J50" i="5"/>
  <c r="K50" i="5"/>
  <c r="I50" i="5"/>
  <c r="H50" i="5"/>
  <c r="K31" i="5"/>
  <c r="J31" i="5"/>
  <c r="I31" i="5"/>
  <c r="H31" i="5"/>
  <c r="K49" i="5"/>
  <c r="J49" i="5"/>
  <c r="I49" i="5"/>
  <c r="H49" i="5"/>
  <c r="J36" i="5"/>
  <c r="K36" i="5"/>
  <c r="I36" i="5"/>
  <c r="H36" i="5"/>
  <c r="B55" i="5"/>
  <c r="K55" i="5"/>
  <c r="J55" i="5"/>
  <c r="I55" i="5"/>
  <c r="H55" i="5"/>
  <c r="F34" i="5"/>
  <c r="J34" i="5"/>
  <c r="K34" i="5"/>
  <c r="I34" i="5"/>
  <c r="H34" i="5"/>
  <c r="B53" i="5"/>
  <c r="K53" i="5"/>
  <c r="J53" i="5"/>
  <c r="I53" i="5"/>
  <c r="H53" i="5"/>
  <c r="K43" i="5"/>
  <c r="J43" i="5"/>
  <c r="I43" i="5"/>
  <c r="H43" i="5"/>
  <c r="K37" i="5"/>
  <c r="J37" i="5"/>
  <c r="I37" i="5"/>
  <c r="H37" i="5"/>
  <c r="B35" i="5"/>
  <c r="K35" i="5"/>
  <c r="J35" i="5"/>
  <c r="I35" i="5"/>
  <c r="H35" i="5"/>
  <c r="K51" i="5"/>
  <c r="J51" i="5"/>
  <c r="I51" i="5"/>
  <c r="H51" i="5"/>
  <c r="K38" i="5"/>
  <c r="J38" i="5"/>
  <c r="I38" i="5"/>
  <c r="H38" i="5"/>
  <c r="B32" i="5"/>
  <c r="J32" i="5"/>
  <c r="K32" i="5"/>
  <c r="I32" i="5"/>
  <c r="H32" i="5"/>
  <c r="K41" i="5"/>
  <c r="J41" i="5"/>
  <c r="I41" i="5"/>
  <c r="H41" i="5"/>
  <c r="K46" i="5"/>
  <c r="J46" i="5"/>
  <c r="I46" i="5"/>
  <c r="H46" i="5"/>
  <c r="J40" i="5"/>
  <c r="K40" i="5"/>
  <c r="I40" i="5"/>
  <c r="H40" i="5"/>
  <c r="D48" i="5"/>
  <c r="C48" i="5"/>
  <c r="B48" i="5"/>
  <c r="F48" i="5"/>
  <c r="G48" i="5"/>
  <c r="B50" i="5"/>
  <c r="C50" i="5"/>
  <c r="F50" i="5"/>
  <c r="D50" i="5"/>
  <c r="G50" i="5"/>
  <c r="G45" i="5"/>
  <c r="F45" i="5"/>
  <c r="D45" i="5"/>
  <c r="C45" i="5"/>
  <c r="B45" i="5"/>
  <c r="G52" i="5"/>
  <c r="F52" i="5"/>
  <c r="C52" i="5"/>
  <c r="B52" i="5"/>
  <c r="D52" i="5"/>
  <c r="F47" i="5"/>
  <c r="D47" i="5"/>
  <c r="C47" i="5"/>
  <c r="B47" i="5"/>
  <c r="G47" i="5"/>
  <c r="F39" i="5"/>
  <c r="D39" i="5"/>
  <c r="C39" i="5"/>
  <c r="B39" i="5"/>
  <c r="G39" i="5"/>
  <c r="G44" i="5"/>
  <c r="F44" i="5"/>
  <c r="C44" i="5"/>
  <c r="B44" i="5"/>
  <c r="D44" i="5"/>
  <c r="C49" i="5"/>
  <c r="B49" i="5"/>
  <c r="G49" i="5"/>
  <c r="F49" i="5"/>
  <c r="D49" i="5"/>
  <c r="G36" i="5"/>
  <c r="B36" i="5"/>
  <c r="F36" i="5"/>
  <c r="C36" i="5"/>
  <c r="D36" i="5"/>
  <c r="G43" i="5"/>
  <c r="F43" i="5"/>
  <c r="D43" i="5"/>
  <c r="C43" i="5"/>
  <c r="B43" i="5"/>
  <c r="G37" i="5"/>
  <c r="F37" i="5"/>
  <c r="D37" i="5"/>
  <c r="C37" i="5"/>
  <c r="B37" i="5"/>
  <c r="G51" i="5"/>
  <c r="D51" i="5"/>
  <c r="C51" i="5"/>
  <c r="B51" i="5"/>
  <c r="F51" i="5"/>
  <c r="G38" i="5"/>
  <c r="F38" i="5"/>
  <c r="D38" i="5"/>
  <c r="C38" i="5"/>
  <c r="B38" i="5"/>
  <c r="B42" i="5"/>
  <c r="G42" i="5"/>
  <c r="F42" i="5"/>
  <c r="D42" i="5"/>
  <c r="C42" i="5"/>
  <c r="C41" i="5"/>
  <c r="B41" i="5"/>
  <c r="D41" i="5"/>
  <c r="G41" i="5"/>
  <c r="F41" i="5"/>
  <c r="G46" i="5"/>
  <c r="F46" i="5"/>
  <c r="D46" i="5"/>
  <c r="C46" i="5"/>
  <c r="B46" i="5"/>
  <c r="D40" i="5"/>
  <c r="C40" i="5"/>
  <c r="B40" i="5"/>
  <c r="G40" i="5"/>
  <c r="F40" i="5"/>
  <c r="D53" i="5"/>
  <c r="D55" i="5"/>
  <c r="C33" i="5"/>
  <c r="G54" i="5"/>
  <c r="F54" i="5"/>
  <c r="D33" i="5"/>
  <c r="C35" i="5"/>
  <c r="F53" i="5"/>
  <c r="F33" i="5"/>
  <c r="B33" i="5"/>
  <c r="D35" i="5"/>
  <c r="G35" i="5"/>
  <c r="F35" i="5"/>
  <c r="F55" i="5"/>
  <c r="G55" i="5"/>
  <c r="C53" i="5"/>
  <c r="G53" i="5"/>
  <c r="B54" i="5"/>
  <c r="C54" i="5"/>
  <c r="C32" i="5"/>
  <c r="G32" i="5"/>
  <c r="F32" i="5"/>
  <c r="D32" i="5"/>
  <c r="C55" i="5"/>
  <c r="G34" i="5"/>
  <c r="C34" i="5"/>
  <c r="B34" i="5"/>
  <c r="D34" i="5"/>
  <c r="G31" i="5"/>
  <c r="F31" i="5"/>
  <c r="D31" i="5"/>
  <c r="C31" i="5"/>
  <c r="B31" i="5"/>
  <c r="A99" i="8" l="1"/>
  <c r="A101" i="8"/>
  <c r="A102" i="8"/>
  <c r="A103" i="8"/>
  <c r="A104" i="8"/>
  <c r="A105" i="8"/>
  <c r="A106" i="8"/>
  <c r="A107" i="8"/>
  <c r="A108" i="8"/>
  <c r="A110" i="8"/>
  <c r="A111" i="8"/>
  <c r="A112" i="8"/>
  <c r="A113" i="8"/>
  <c r="A114" i="8"/>
  <c r="B99" i="8"/>
  <c r="B101" i="8"/>
  <c r="B102" i="8"/>
  <c r="B103" i="8"/>
  <c r="B104" i="8"/>
  <c r="B105" i="8"/>
  <c r="B106" i="8"/>
  <c r="B107" i="8"/>
  <c r="B108" i="8"/>
  <c r="B110" i="8"/>
  <c r="B111" i="8"/>
  <c r="B112" i="8"/>
  <c r="B113" i="8"/>
  <c r="B114" i="8"/>
  <c r="D99" i="8"/>
  <c r="D101" i="8"/>
  <c r="D102" i="8"/>
  <c r="D103" i="8"/>
  <c r="D104" i="8"/>
  <c r="D105" i="8"/>
  <c r="D106" i="8"/>
  <c r="D107" i="8"/>
  <c r="D108" i="8"/>
  <c r="D110" i="8"/>
  <c r="D111" i="8"/>
  <c r="D112" i="8"/>
  <c r="D113" i="8"/>
  <c r="D114" i="8"/>
  <c r="E99" i="8"/>
  <c r="E101" i="8"/>
  <c r="E102" i="8"/>
  <c r="E103" i="8"/>
  <c r="E104" i="8"/>
  <c r="E105" i="8"/>
  <c r="E106" i="8"/>
  <c r="E107" i="8"/>
  <c r="E108" i="8"/>
  <c r="E110" i="8"/>
  <c r="E111" i="8"/>
  <c r="E112" i="8"/>
  <c r="E113" i="8"/>
  <c r="E114" i="8"/>
  <c r="A98" i="8" l="1"/>
  <c r="B98" i="8"/>
  <c r="D98" i="8"/>
  <c r="E98" i="8"/>
  <c r="A88" i="8"/>
  <c r="A89" i="8"/>
  <c r="A90" i="8"/>
  <c r="A91" i="8"/>
  <c r="A92" i="8"/>
  <c r="A93" i="8"/>
  <c r="A94" i="8"/>
  <c r="A95" i="8"/>
  <c r="A96" i="8"/>
  <c r="A97" i="8"/>
  <c r="B88" i="8"/>
  <c r="B89" i="8"/>
  <c r="B90" i="8"/>
  <c r="B91" i="8"/>
  <c r="B92" i="8"/>
  <c r="B93" i="8"/>
  <c r="B94" i="8"/>
  <c r="B95" i="8"/>
  <c r="B96" i="8"/>
  <c r="B97" i="8"/>
  <c r="D88" i="8"/>
  <c r="D89" i="8"/>
  <c r="D90" i="8"/>
  <c r="D91" i="8"/>
  <c r="D92" i="8"/>
  <c r="D93" i="8"/>
  <c r="D94" i="8"/>
  <c r="D95" i="8"/>
  <c r="D96" i="8"/>
  <c r="D97" i="8"/>
  <c r="E88" i="8"/>
  <c r="E89" i="8"/>
  <c r="E90" i="8"/>
  <c r="E91" i="8"/>
  <c r="E92" i="8"/>
  <c r="E93" i="8"/>
  <c r="E94" i="8"/>
  <c r="E95" i="8"/>
  <c r="E96" i="8"/>
  <c r="E97" i="8"/>
  <c r="A43" i="8" l="1"/>
  <c r="A44" i="8"/>
  <c r="A45" i="8"/>
  <c r="A46" i="8"/>
  <c r="A47" i="8"/>
  <c r="A48" i="8"/>
  <c r="A49" i="8"/>
  <c r="B43" i="8"/>
  <c r="B44" i="8"/>
  <c r="B45" i="8"/>
  <c r="B46" i="8"/>
  <c r="B47" i="8"/>
  <c r="B48" i="8"/>
  <c r="B49" i="8"/>
  <c r="D43" i="8"/>
  <c r="D44" i="8"/>
  <c r="D45" i="8"/>
  <c r="D46" i="8"/>
  <c r="D47" i="8"/>
  <c r="D48" i="8"/>
  <c r="D49" i="8"/>
  <c r="E43" i="8"/>
  <c r="E44" i="8"/>
  <c r="E45" i="8"/>
  <c r="E46" i="8"/>
  <c r="E47" i="8"/>
  <c r="E48" i="8"/>
  <c r="E49" i="8"/>
  <c r="A50" i="8"/>
  <c r="A52" i="8"/>
  <c r="A53" i="8"/>
  <c r="A54" i="8"/>
  <c r="A55" i="8"/>
  <c r="A56" i="8"/>
  <c r="A57" i="8"/>
  <c r="B50" i="8"/>
  <c r="B52" i="8"/>
  <c r="B53" i="8"/>
  <c r="B54" i="8"/>
  <c r="B55" i="8"/>
  <c r="B56" i="8"/>
  <c r="B57" i="8"/>
  <c r="D50" i="8"/>
  <c r="D52" i="8"/>
  <c r="D53" i="8"/>
  <c r="D54" i="8"/>
  <c r="D55" i="8"/>
  <c r="D56" i="8"/>
  <c r="D57" i="8"/>
  <c r="E50" i="8"/>
  <c r="E52" i="8"/>
  <c r="E53" i="8"/>
  <c r="E54" i="8"/>
  <c r="E55" i="8"/>
  <c r="E56" i="8"/>
  <c r="E57" i="8"/>
  <c r="A58" i="8"/>
  <c r="A59" i="8"/>
  <c r="A61" i="8"/>
  <c r="A62" i="8"/>
  <c r="A63" i="8"/>
  <c r="A64" i="8"/>
  <c r="B58" i="8"/>
  <c r="B59" i="8"/>
  <c r="B61" i="8"/>
  <c r="B62" i="8"/>
  <c r="B63" i="8"/>
  <c r="B64" i="8"/>
  <c r="D58" i="8"/>
  <c r="D59" i="8"/>
  <c r="D61" i="8"/>
  <c r="D62" i="8"/>
  <c r="D63" i="8"/>
  <c r="D64" i="8"/>
  <c r="E58" i="8"/>
  <c r="E59" i="8"/>
  <c r="E61" i="8"/>
  <c r="E62" i="8"/>
  <c r="E63" i="8"/>
  <c r="E64" i="8"/>
  <c r="A8" i="8"/>
  <c r="A9" i="8"/>
  <c r="A10" i="8"/>
  <c r="A11" i="8"/>
  <c r="B8" i="8"/>
  <c r="B9" i="8"/>
  <c r="B10" i="8"/>
  <c r="B11" i="8"/>
  <c r="D8" i="8"/>
  <c r="D9" i="8"/>
  <c r="D10" i="8"/>
  <c r="D11" i="8"/>
  <c r="E8" i="8"/>
  <c r="E9" i="8"/>
  <c r="E10" i="8"/>
  <c r="E11" i="8"/>
  <c r="A12" i="8" l="1"/>
  <c r="B12" i="8"/>
  <c r="D12" i="8"/>
  <c r="E12" i="8"/>
  <c r="A13" i="8"/>
  <c r="B13" i="8"/>
  <c r="D13" i="8"/>
  <c r="E13" i="8"/>
  <c r="A14" i="8"/>
  <c r="B14" i="8"/>
  <c r="D14" i="8"/>
  <c r="E14" i="8"/>
  <c r="A15" i="8"/>
  <c r="B15" i="8"/>
  <c r="D15" i="8"/>
  <c r="E15"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25" i="8"/>
  <c r="B25" i="8"/>
  <c r="D25" i="8"/>
  <c r="E25" i="8"/>
  <c r="L29" i="3" l="1"/>
  <c r="L41" i="3"/>
  <c r="L43" i="3"/>
  <c r="L45" i="3"/>
  <c r="L33" i="3"/>
  <c r="E85" i="8"/>
  <c r="E86" i="8"/>
  <c r="E87" i="8"/>
  <c r="D85" i="8"/>
  <c r="D86" i="8"/>
  <c r="D87" i="8"/>
  <c r="B85" i="8"/>
  <c r="B86" i="8"/>
  <c r="B87" i="8"/>
  <c r="B42" i="8"/>
  <c r="A85" i="8"/>
  <c r="A86" i="8"/>
  <c r="A87" i="8"/>
  <c r="E42" i="8"/>
  <c r="E65" i="8"/>
  <c r="E66" i="8"/>
  <c r="E67" i="8"/>
  <c r="D42" i="8"/>
  <c r="D65" i="8"/>
  <c r="D66" i="8"/>
  <c r="D67" i="8"/>
  <c r="B65" i="8"/>
  <c r="B66" i="8"/>
  <c r="B67" i="8"/>
  <c r="A42" i="8"/>
  <c r="A65" i="8"/>
  <c r="A66" i="8"/>
  <c r="A67" i="8"/>
  <c r="E3" i="8"/>
  <c r="E4" i="8"/>
  <c r="E5" i="8"/>
  <c r="E6" i="8"/>
  <c r="D3" i="8"/>
  <c r="D4" i="8"/>
  <c r="D5" i="8"/>
  <c r="D6" i="8"/>
  <c r="B3" i="8"/>
  <c r="B4" i="8"/>
  <c r="B5" i="8"/>
  <c r="B6" i="8"/>
  <c r="A3" i="8"/>
  <c r="L31" i="3" s="1"/>
  <c r="A4" i="8"/>
  <c r="L39" i="3" s="1"/>
  <c r="A5" i="8"/>
  <c r="A6" i="8"/>
  <c r="L35" i="3" l="1"/>
  <c r="L26" i="3"/>
  <c r="L37" i="3"/>
  <c r="N37" i="3"/>
  <c r="N35" i="3"/>
  <c r="N39" i="3"/>
  <c r="N41" i="3"/>
  <c r="N26" i="3"/>
  <c r="N43" i="3"/>
  <c r="N29" i="3"/>
  <c r="N45" i="3"/>
  <c r="N31" i="3"/>
  <c r="N33" i="3"/>
  <c r="M29" i="3"/>
  <c r="M45" i="3"/>
  <c r="M33" i="3"/>
  <c r="M39" i="3"/>
  <c r="M41" i="3"/>
  <c r="M26" i="3"/>
  <c r="M31" i="3"/>
  <c r="M35" i="3"/>
  <c r="M37" i="3"/>
  <c r="M43" i="3"/>
  <c r="N48" i="3"/>
  <c r="N46" i="3"/>
  <c r="L46" i="3"/>
  <c r="M46" i="3"/>
  <c r="L48" i="3"/>
  <c r="M48" i="3"/>
  <c r="L5" i="3"/>
  <c r="L24" i="3"/>
  <c r="M5" i="3"/>
  <c r="M24" i="3"/>
  <c r="N5" i="3"/>
  <c r="N24" i="3"/>
  <c r="L4" i="3"/>
  <c r="M4" i="3"/>
  <c r="N4" i="3"/>
  <c r="L11" i="3"/>
  <c r="L9" i="3"/>
  <c r="L47" i="3"/>
  <c r="L6" i="3"/>
  <c r="L7" i="3"/>
  <c r="L8" i="3"/>
  <c r="L20" i="3"/>
  <c r="L21" i="3"/>
  <c r="L22" i="3"/>
  <c r="L23" i="3"/>
  <c r="L25" i="3"/>
  <c r="L27" i="3"/>
  <c r="L28" i="3"/>
  <c r="L30" i="3"/>
  <c r="L32" i="3"/>
  <c r="L34" i="3"/>
  <c r="L36" i="3"/>
  <c r="L38" i="3"/>
  <c r="L40" i="3"/>
  <c r="L42" i="3"/>
  <c r="L44" i="3"/>
  <c r="L49" i="3"/>
  <c r="L50" i="3"/>
  <c r="L51" i="3"/>
  <c r="L52" i="3"/>
  <c r="L53" i="3"/>
  <c r="L13" i="3"/>
  <c r="L12" i="3"/>
  <c r="L14" i="3"/>
  <c r="L18" i="3"/>
  <c r="L15" i="3"/>
  <c r="L17" i="3"/>
  <c r="L16" i="3"/>
  <c r="L19" i="3"/>
  <c r="L54" i="3"/>
  <c r="L3" i="3"/>
  <c r="L10" i="3"/>
  <c r="M11" i="3"/>
  <c r="M9" i="3"/>
  <c r="M47" i="3"/>
  <c r="M6" i="3"/>
  <c r="M7" i="3"/>
  <c r="M8" i="3"/>
  <c r="M20" i="3"/>
  <c r="M21" i="3"/>
  <c r="M22" i="3"/>
  <c r="M23" i="3"/>
  <c r="M25" i="3"/>
  <c r="M27" i="3"/>
  <c r="M28" i="3"/>
  <c r="M30" i="3"/>
  <c r="M32" i="3"/>
  <c r="M34" i="3"/>
  <c r="M36" i="3"/>
  <c r="M38" i="3"/>
  <c r="M40" i="3"/>
  <c r="M42" i="3"/>
  <c r="M44" i="3"/>
  <c r="M49" i="3"/>
  <c r="M50" i="3"/>
  <c r="M51" i="3"/>
  <c r="M52" i="3"/>
  <c r="M53" i="3"/>
  <c r="M13" i="3"/>
  <c r="M12" i="3"/>
  <c r="M14" i="3"/>
  <c r="M18" i="3"/>
  <c r="M15" i="3"/>
  <c r="M17" i="3"/>
  <c r="M16" i="3"/>
  <c r="M19" i="3"/>
  <c r="M54" i="3"/>
  <c r="N11" i="3"/>
  <c r="N9" i="3"/>
  <c r="N47" i="3"/>
  <c r="N6" i="3"/>
  <c r="N7" i="3"/>
  <c r="N8" i="3"/>
  <c r="N20" i="3"/>
  <c r="N21" i="3"/>
  <c r="N22" i="3"/>
  <c r="N23" i="3"/>
  <c r="N25" i="3"/>
  <c r="N27" i="3"/>
  <c r="N28" i="3"/>
  <c r="N30" i="3"/>
  <c r="N32" i="3"/>
  <c r="N34" i="3"/>
  <c r="N36" i="3"/>
  <c r="N38" i="3"/>
  <c r="N40" i="3"/>
  <c r="N42" i="3"/>
  <c r="N44" i="3"/>
  <c r="N49" i="3"/>
  <c r="N50" i="3"/>
  <c r="N51" i="3"/>
  <c r="N52" i="3"/>
  <c r="N53" i="3"/>
  <c r="N13" i="3"/>
  <c r="N12" i="3"/>
  <c r="N14" i="3"/>
  <c r="N18" i="3"/>
  <c r="N15" i="3"/>
  <c r="N17" i="3"/>
  <c r="N16" i="3"/>
  <c r="N19" i="3"/>
  <c r="N54" i="3"/>
  <c r="M3" i="3"/>
  <c r="M10" i="3"/>
  <c r="N3" i="3"/>
  <c r="N10" i="3"/>
  <c r="L5" i="5"/>
  <c r="A9" i="5" s="1"/>
  <c r="E9" i="5" s="1"/>
  <c r="K9" i="5" l="1"/>
  <c r="I9" i="5"/>
  <c r="J9" i="5"/>
  <c r="H9" i="5"/>
  <c r="A27" i="5"/>
  <c r="A17" i="5"/>
  <c r="A26" i="5"/>
  <c r="A16" i="5"/>
  <c r="A25" i="5"/>
  <c r="A15" i="5"/>
  <c r="A11" i="5"/>
  <c r="E11" i="5" s="1"/>
  <c r="A12" i="5"/>
  <c r="E12" i="5" s="1"/>
  <c r="A19" i="5"/>
  <c r="E19" i="5" s="1"/>
  <c r="A24" i="5"/>
  <c r="E24" i="5" s="1"/>
  <c r="A14" i="5"/>
  <c r="E14" i="5" s="1"/>
  <c r="A22" i="5"/>
  <c r="A10" i="5"/>
  <c r="E10" i="5" s="1"/>
  <c r="A21" i="5"/>
  <c r="A20" i="5"/>
  <c r="E25" i="5" l="1"/>
  <c r="E20" i="5"/>
  <c r="E26" i="5"/>
  <c r="E21" i="5"/>
  <c r="E15" i="5"/>
  <c r="E16" i="5"/>
  <c r="E17" i="5"/>
  <c r="E22" i="5"/>
  <c r="E27" i="5"/>
  <c r="J12" i="5"/>
  <c r="K12" i="5"/>
  <c r="H12" i="5"/>
  <c r="I12" i="5"/>
  <c r="K11" i="5"/>
  <c r="I11" i="5"/>
  <c r="J11" i="5"/>
  <c r="H11" i="5"/>
  <c r="H20" i="5"/>
  <c r="K20" i="5"/>
  <c r="J20" i="5"/>
  <c r="I20" i="5"/>
  <c r="K21" i="5"/>
  <c r="J21" i="5"/>
  <c r="I21" i="5"/>
  <c r="H21" i="5"/>
  <c r="H15" i="5"/>
  <c r="J15" i="5"/>
  <c r="K15" i="5"/>
  <c r="I15" i="5"/>
  <c r="K27" i="5"/>
  <c r="J27" i="5"/>
  <c r="I27" i="5"/>
  <c r="H27" i="5"/>
  <c r="H10" i="5"/>
  <c r="K10" i="5"/>
  <c r="J10" i="5"/>
  <c r="I10" i="5"/>
  <c r="J25" i="5"/>
  <c r="K25" i="5"/>
  <c r="I25" i="5"/>
  <c r="H25" i="5"/>
  <c r="K19" i="5"/>
  <c r="J19" i="5"/>
  <c r="I19" i="5"/>
  <c r="H19" i="5"/>
  <c r="J22" i="5"/>
  <c r="K22" i="5"/>
  <c r="I22" i="5"/>
  <c r="H22" i="5"/>
  <c r="K16" i="5"/>
  <c r="J16" i="5"/>
  <c r="I16" i="5"/>
  <c r="H16" i="5"/>
  <c r="K14" i="5"/>
  <c r="J14" i="5"/>
  <c r="I14" i="5"/>
  <c r="H14" i="5"/>
  <c r="K26" i="5"/>
  <c r="J26" i="5"/>
  <c r="I26" i="5"/>
  <c r="H26" i="5"/>
  <c r="K24" i="5"/>
  <c r="J24" i="5"/>
  <c r="I24" i="5"/>
  <c r="H24" i="5"/>
  <c r="J17" i="5"/>
  <c r="K17" i="5"/>
  <c r="I17" i="5"/>
  <c r="H17" i="5"/>
  <c r="F21" i="5" l="1"/>
  <c r="C21" i="5"/>
  <c r="G21" i="5"/>
  <c r="D21" i="5"/>
  <c r="B21" i="5"/>
  <c r="G14" i="5"/>
  <c r="F14" i="5"/>
  <c r="D14" i="5"/>
  <c r="C14" i="5"/>
  <c r="B14" i="5"/>
  <c r="G19" i="5"/>
  <c r="F19" i="5"/>
  <c r="D19" i="5"/>
  <c r="C19" i="5"/>
  <c r="B19" i="5"/>
  <c r="G12" i="5"/>
  <c r="F12" i="5"/>
  <c r="D12" i="5"/>
  <c r="C12" i="5"/>
  <c r="B12" i="5"/>
  <c r="G27" i="5"/>
  <c r="F27" i="5"/>
  <c r="D27" i="5"/>
  <c r="C27" i="5"/>
  <c r="B27"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G24" i="5"/>
  <c r="F24" i="5"/>
  <c r="D24" i="5"/>
  <c r="C24" i="5"/>
  <c r="B24" i="5"/>
  <c r="B10" i="5"/>
  <c r="C10" i="5"/>
  <c r="G10" i="5"/>
  <c r="D10" i="5"/>
  <c r="F10" i="5"/>
  <c r="G25" i="5"/>
  <c r="F25" i="5"/>
  <c r="D25" i="5"/>
  <c r="C25" i="5"/>
  <c r="B25" i="5"/>
  <c r="G26" i="5"/>
  <c r="F26" i="5"/>
  <c r="D26" i="5"/>
  <c r="C26" i="5"/>
  <c r="B26" i="5"/>
  <c r="G17" i="5"/>
  <c r="F17" i="5"/>
  <c r="D17" i="5"/>
  <c r="C17" i="5"/>
  <c r="B17" i="5"/>
</calcChain>
</file>

<file path=xl/sharedStrings.xml><?xml version="1.0" encoding="utf-8"?>
<sst xmlns="http://schemas.openxmlformats.org/spreadsheetml/2006/main" count="1096" uniqueCount="232">
  <si>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</si>
  <si>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</si>
  <si>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</si>
  <si>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</si>
  <si>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</si>
  <si>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</si>
  <si>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</si>
  <si>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</si>
  <si>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</si>
  <si>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</si>
  <si>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</si>
  <si>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Choose your Design Course (drop-down list)</t>
  </si>
  <si>
    <t>Course version:</t>
  </si>
  <si>
    <t>Commencing:</t>
  </si>
  <si>
    <t>Choose your commencing study period (drop-down list)</t>
  </si>
  <si>
    <t>Credits to Complete:</t>
  </si>
  <si>
    <t>2025 Availabilities</t>
  </si>
  <si>
    <t>Year 1</t>
  </si>
  <si>
    <t>Study Period</t>
  </si>
  <si>
    <t>Pre-Requisite(s)</t>
  </si>
  <si>
    <t>CP</t>
  </si>
  <si>
    <t>Sem1 BEN</t>
  </si>
  <si>
    <t>Sem1 FO</t>
  </si>
  <si>
    <t>Sem2 BEN</t>
  </si>
  <si>
    <t>Sem2 FO</t>
  </si>
  <si>
    <t>Notes / Progress</t>
  </si>
  <si>
    <t>Year 2</t>
  </si>
  <si>
    <t>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</si>
  <si>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</si>
  <si>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</si>
  <si>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</si>
  <si>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</si>
  <si>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Post-graduate Design</t>
  </si>
  <si>
    <t>TableCourses</t>
  </si>
  <si>
    <t>RangeUnitsets</t>
  </si>
  <si>
    <t>GC-DESIGNSem1</t>
  </si>
  <si>
    <t>GC-DESIGNSem2</t>
  </si>
  <si>
    <t>GD-DESIGNSem1</t>
  </si>
  <si>
    <t>GD-DESIGNSem2</t>
  </si>
  <si>
    <t>MC-DESIGNSem1</t>
  </si>
  <si>
    <t>MC-DESIGNSem2</t>
  </si>
  <si>
    <t>SM Version</t>
  </si>
  <si>
    <t>SM Effective Date</t>
  </si>
  <si>
    <t>Akari Iteration</t>
  </si>
  <si>
    <t>Akari Effective Date</t>
  </si>
  <si>
    <t>Credit Points</t>
  </si>
  <si>
    <t>SM Availabilities</t>
  </si>
  <si>
    <t>Y1Sem1</t>
  </si>
  <si>
    <t>GRDE5009</t>
  </si>
  <si>
    <t>Y1Sem2</t>
  </si>
  <si>
    <t>--</t>
  </si>
  <si>
    <t>GRDE5013</t>
  </si>
  <si>
    <t>Graduate Certificate in Design</t>
  </si>
  <si>
    <t>GC-DESIGN</t>
  </si>
  <si>
    <t>v.1</t>
  </si>
  <si>
    <t xml:space="preserve">100 credit points required </t>
  </si>
  <si>
    <t>Sem1</t>
  </si>
  <si>
    <t>GRDE5010</t>
  </si>
  <si>
    <t>GRDE5012</t>
  </si>
  <si>
    <t>Graduate Diploma in Design</t>
  </si>
  <si>
    <t>GD-DESIGN</t>
  </si>
  <si>
    <t xml:space="preserve">200 credit points required </t>
  </si>
  <si>
    <t>Sem1; Sem2</t>
  </si>
  <si>
    <t>GRDE5008</t>
  </si>
  <si>
    <t>GRDE5014</t>
  </si>
  <si>
    <t>Master of Design</t>
  </si>
  <si>
    <t>MC-DESIGN</t>
  </si>
  <si>
    <t>400 credit points required</t>
  </si>
  <si>
    <t>Option</t>
  </si>
  <si>
    <t>TableStudyPeriod</t>
  </si>
  <si>
    <t>START</t>
  </si>
  <si>
    <t>Next</t>
  </si>
  <si>
    <t>Semester 1 (February - June)</t>
  </si>
  <si>
    <t>Sem2</t>
  </si>
  <si>
    <t>OptRec</t>
  </si>
  <si>
    <t>Semester 2 (July -  November)</t>
  </si>
  <si>
    <t>Y2Sem1</t>
  </si>
  <si>
    <t>GRDE6005</t>
  </si>
  <si>
    <t>Y2Sem2</t>
  </si>
  <si>
    <t>GRDE6003</t>
  </si>
  <si>
    <t>GRDE6006</t>
  </si>
  <si>
    <t>GRDE6002</t>
  </si>
  <si>
    <t>-</t>
  </si>
  <si>
    <t>1)      Update high level course / component &amp; study period details (Unitsets Tab)</t>
  </si>
  <si>
    <t>GRDE6004</t>
  </si>
  <si>
    <t>2)      Update Planner page(s) to reference year of planner e.g. “2025” (Planner Tab)</t>
  </si>
  <si>
    <t>3)      Update structures (Structures Tab)</t>
  </si>
  <si>
    <t>50CP Unit</t>
  </si>
  <si>
    <t>4)      Update Handbook unit list from updated structures (Handbook Tab)</t>
  </si>
  <si>
    <t>5)      Update Availabilities using updated Handbook unit list (Availabilities Tab)</t>
  </si>
  <si>
    <t>6)      Update Pre Requisites (Handbook Tab)</t>
  </si>
  <si>
    <t>RangeOptions</t>
  </si>
  <si>
    <t>7)      Update sequences for courses / components (Unitsets Tab)</t>
  </si>
  <si>
    <t>ARCH5006</t>
  </si>
  <si>
    <t>URDE6006</t>
  </si>
  <si>
    <t>8)      Review Handbook Tab for obvious issues / errors and enter notes (Handbook Tab)</t>
  </si>
  <si>
    <t>ENGR6005</t>
  </si>
  <si>
    <t xml:space="preserve"> </t>
  </si>
  <si>
    <t>9)      Review Planner Tab(s) for obvious issues / errors (Planner Tab)</t>
  </si>
  <si>
    <t>GEOG5005</t>
  </si>
  <si>
    <t>Ready to Publish</t>
  </si>
  <si>
    <t>HLPR6001</t>
  </si>
  <si>
    <t>INCD5000</t>
  </si>
  <si>
    <t>INDS5001</t>
  </si>
  <si>
    <t>INDS5005</t>
  </si>
  <si>
    <t>MKTG5006</t>
  </si>
  <si>
    <t>MKTG5007</t>
  </si>
  <si>
    <t>MKTG6006</t>
  </si>
  <si>
    <t>NETS5001</t>
  </si>
  <si>
    <t>NETS5003</t>
  </si>
  <si>
    <t>NETS5004</t>
  </si>
  <si>
    <t>NETS5005</t>
  </si>
  <si>
    <t>NETS5006</t>
  </si>
  <si>
    <t>NETS5007</t>
  </si>
  <si>
    <t>NETS5009</t>
  </si>
  <si>
    <t>NETS5010</t>
  </si>
  <si>
    <t>NETS5011</t>
  </si>
  <si>
    <t>PRJM6000</t>
  </si>
  <si>
    <t>PRJM6001</t>
  </si>
  <si>
    <t>PRJM6010</t>
  </si>
  <si>
    <t>PUBH6003</t>
  </si>
  <si>
    <t>SUST5005</t>
  </si>
  <si>
    <t>ARCH5009</t>
  </si>
  <si>
    <t>HLPR6004</t>
  </si>
  <si>
    <t>Title</t>
  </si>
  <si>
    <t>S1INT</t>
  </si>
  <si>
    <t>S1FO</t>
  </si>
  <si>
    <t>S2INT</t>
  </si>
  <si>
    <t>S2FO</t>
  </si>
  <si>
    <t>Notes</t>
  </si>
  <si>
    <t>(please note this is a 50CP unit)</t>
  </si>
  <si>
    <t>Not available for Semester 2 commencement</t>
  </si>
  <si>
    <t>Contact Course Coordinator</t>
  </si>
  <si>
    <t>Architecture and Culture Research Topics and Methods</t>
  </si>
  <si>
    <t>None</t>
  </si>
  <si>
    <t>Architecture and Culture Research Applications</t>
  </si>
  <si>
    <t>No availabilities since 2022, removed from Option list presented to students.</t>
  </si>
  <si>
    <t>New Product Development</t>
  </si>
  <si>
    <t>Human Geography</t>
  </si>
  <si>
    <t>Innovation by Design</t>
  </si>
  <si>
    <t>Ethical Design</t>
  </si>
  <si>
    <t>Experience Making</t>
  </si>
  <si>
    <t>Design Paradigms</t>
  </si>
  <si>
    <t>Design Entrepreneurship</t>
  </si>
  <si>
    <t>Future Interfaces</t>
  </si>
  <si>
    <t>Design X</t>
  </si>
  <si>
    <t>150CP</t>
  </si>
  <si>
    <t>Meaningful Design</t>
  </si>
  <si>
    <t>Design Capstone Project and Exhibition</t>
  </si>
  <si>
    <t>Critical Design Theory</t>
  </si>
  <si>
    <t>Design Futures</t>
  </si>
  <si>
    <t>Health Promotion Strategies and Methods</t>
  </si>
  <si>
    <t>Diversity and Difference in Health Promotion</t>
  </si>
  <si>
    <t>Social, Cultural and Historical Contexts of Indigenous Australians</t>
  </si>
  <si>
    <t>Introduction to Indigenous Australians</t>
  </si>
  <si>
    <t>On-Country Learning, Exploring Indigenous Australian Knowledges (with approval)</t>
  </si>
  <si>
    <t>See Handbook</t>
  </si>
  <si>
    <t>Quarter 3 Availability only</t>
  </si>
  <si>
    <t>Marketing Intelligence and Analytics</t>
  </si>
  <si>
    <t>Consumer Behaviour and Innovation</t>
  </si>
  <si>
    <t>MKTG5007.PO</t>
  </si>
  <si>
    <t>Advanced Consumer Behaviour</t>
  </si>
  <si>
    <t>Digital and Interactive Marketing</t>
  </si>
  <si>
    <t>Graduate Digital Culture and Everyday Life</t>
  </si>
  <si>
    <t>NETS5001.PO</t>
  </si>
  <si>
    <t>Digital Culture and Everyday Life</t>
  </si>
  <si>
    <t>Graduate Online Power and Resistance</t>
  </si>
  <si>
    <t>NETS5003.PO</t>
  </si>
  <si>
    <t>Online Power and Resistance</t>
  </si>
  <si>
    <t>Graduate Social Media, Communities and Networks</t>
  </si>
  <si>
    <t>NETS5004.PO</t>
  </si>
  <si>
    <t>Social Media, Communities and Networks</t>
  </si>
  <si>
    <t>Graduate Writing on the Web</t>
  </si>
  <si>
    <t>NETS5005.PO</t>
  </si>
  <si>
    <t>Writing on the Web</t>
  </si>
  <si>
    <t>Graduate The Digital Economy</t>
  </si>
  <si>
    <t>NETS5006.PO</t>
  </si>
  <si>
    <t>The Digital Economy</t>
  </si>
  <si>
    <t>Graduate Technology, Innovation and Societies</t>
  </si>
  <si>
    <t>NETS5007.PO</t>
  </si>
  <si>
    <t>Internet Collaboration and Innovation</t>
  </si>
  <si>
    <t>Graduate Digital Creation Capstone</t>
  </si>
  <si>
    <t>NETS5009.PO</t>
  </si>
  <si>
    <t>Digital and Social Media Development Futures</t>
  </si>
  <si>
    <t>Graduate Web Media</t>
  </si>
  <si>
    <t>NETS5010.PO</t>
  </si>
  <si>
    <t>Web Media</t>
  </si>
  <si>
    <t>Graduate Online Games and Play</t>
  </si>
  <si>
    <t>NETS5011.PO</t>
  </si>
  <si>
    <t>Online Games and Play</t>
  </si>
  <si>
    <t>Study an Option Unit from the list below</t>
  </si>
  <si>
    <t>See below</t>
  </si>
  <si>
    <t>Option - You are recommended to study URDE6006</t>
  </si>
  <si>
    <t>Project Management Overview</t>
  </si>
  <si>
    <t>Project Cost Management</t>
  </si>
  <si>
    <t>Project and People</t>
  </si>
  <si>
    <t>Health Policy and Decision Making</t>
  </si>
  <si>
    <t>Future Cities</t>
  </si>
  <si>
    <t>Design and Built Environment Research Methods (*Recommended)</t>
  </si>
  <si>
    <t>Do not alter columns A-E, formulas are used to present data as required for transfer to Handbook Tab</t>
  </si>
  <si>
    <t>Effective:</t>
  </si>
  <si>
    <t>Downloaded:</t>
  </si>
  <si>
    <t>Version</t>
  </si>
  <si>
    <t>OUA Code</t>
  </si>
  <si>
    <t>CPs</t>
  </si>
  <si>
    <t>No.</t>
  </si>
  <si>
    <t>Component Type</t>
  </si>
  <si>
    <t>Year Level</t>
  </si>
  <si>
    <t>Study Package Code</t>
  </si>
  <si>
    <t>Structure Line</t>
  </si>
  <si>
    <t>Effective</t>
  </si>
  <si>
    <t>Discont.</t>
  </si>
  <si>
    <t>SPK</t>
  </si>
  <si>
    <t>Core</t>
  </si>
  <si>
    <t>Semester 1</t>
  </si>
  <si>
    <t>Choose an Option</t>
  </si>
  <si>
    <t>On-Country Learning, Exploring Indigenous Australian Knowledges</t>
  </si>
  <si>
    <t>MKTG5008</t>
  </si>
  <si>
    <t>MKTG5010</t>
  </si>
  <si>
    <t>MKTG5011</t>
  </si>
  <si>
    <t>MKTG5013</t>
  </si>
  <si>
    <t>MKTG6011</t>
  </si>
  <si>
    <t>SUST5001</t>
  </si>
  <si>
    <t>Semester 2</t>
  </si>
  <si>
    <t>Choose an optional unit</t>
  </si>
  <si>
    <t>NA</t>
  </si>
  <si>
    <t>Design and Built Environment Research Methods</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</si>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</sst>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rgb="FFFF0000"/>
      <name val="Segoe UI"/>
      <family val="2"/>
    </font>
    <font>
      <b/>
      <i/>
      <sz val="12"/>
      <color rgb="FFC00000"/>
      <name val="Calibri"/>
      <family val="2"/>
      <scheme val="minor"/>
    </font>
    <font>
      <b/>
      <sz val="10"/>
      <color theme="1"/>
      <name val="Segoe UI"/>
      <family val="2"/>
    </font>
    <font>
      <b/>
      <i/>
      <sz val="10"/>
      <color theme="1" tint="0.499984740745262"/>
      <name val="Arial"/>
      <family val="2"/>
    </font>
    <font>
      <b/>
      <sz val="12"/>
      <color theme="0"/>
      <name val="Segoe UI"/>
      <family val="2"/>
    </font>
    <font>
      <b/>
      <sz val="18"/>
      <name val="Segoe UI"/>
      <family val="2"/>
    </font>
    <font>
      <b/>
      <sz val="10"/>
      <color rgb="FF0D4B6D"/>
      <name val="Segoe UI"/>
      <family val="2"/>
    </font>
    <font>
      <sz val="12"/>
      <name val="Calibri"/>
      <family val="2"/>
      <scheme val="minor"/>
    </font>
    <font>
      <b/>
      <sz val="9"/>
      <color theme="0"/>
      <name val="Segoe UI"/>
      <family val="2"/>
    </font>
    <font>
      <b/>
      <i/>
      <u/>
      <sz val="14"/>
      <name val="Calibri"/>
      <family val="2"/>
      <scheme val="minor"/>
    </font>
    <font>
      <sz val="11"/>
      <color rgb="FF006100"/>
      <name val="Calibri"/>
      <family val="2"/>
      <scheme val="minor"/>
    </font>
    <font>
      <sz val="10"/>
      <color theme="1"/>
      <name val="Calibri"/>
      <family val="2"/>
      <scheme val="minor"/>
    </font>
    <font>
      <sz val="10"/>
      <color rgb="FF00B050"/>
      <name val="Arial"/>
      <family val="2"/>
    </font>
    <font>
      <b/>
      <i/>
      <sz val="12"/>
      <color rgb="FF00B05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0D4B6D"/>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rgb="FFC6EFCE"/>
      </patternFill>
    </fill>
    <fill>
      <patternFill patternType="solid">
        <fgColor rgb="FF00B05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25" fillId="0" borderId="0" applyNumberFormat="0" applyFill="0" applyBorder="0" applyAlignment="0" applyProtection="0"/>
    <xf numFmtId="0" fontId="48" fillId="14" borderId="0" applyNumberFormat="0" applyBorder="0" applyAlignment="0" applyProtection="0"/>
  </cellStyleXfs>
  <cellXfs count="179">
    <xf numFmtId="0" fontId="0" fillId="0" borderId="0" xfId="0"/>
    <xf numFmtId="0" fontId="2" fillId="3" borderId="1" xfId="0" applyFont="1" applyFill="1" applyBorder="1"/>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4" borderId="2" xfId="0" applyFont="1" applyFill="1" applyBorder="1" applyAlignment="1">
      <alignment horizontal="right" vertical="center"/>
    </xf>
    <xf numFmtId="0" fontId="2" fillId="3" borderId="2" xfId="0" applyFont="1" applyFill="1" applyBorder="1" applyAlignment="1">
      <alignment horizontal="right" vertical="center"/>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2" fillId="3" borderId="1" xfId="0" applyFont="1" applyFill="1" applyBorder="1" applyAlignment="1">
      <alignment horizontal="center" vertical="center"/>
    </xf>
    <xf numFmtId="0" fontId="16" fillId="0" borderId="0" xfId="0" applyFont="1" applyAlignment="1">
      <alignment horizontal="center"/>
    </xf>
    <xf numFmtId="0" fontId="15" fillId="0" borderId="0" xfId="0" applyFont="1"/>
    <xf numFmtId="0" fontId="2" fillId="0" borderId="0" xfId="0" applyFont="1"/>
    <xf numFmtId="0" fontId="35" fillId="0" borderId="0" xfId="0" applyFont="1" applyAlignment="1">
      <alignment horizontal="left"/>
    </xf>
    <xf numFmtId="0" fontId="2" fillId="3" borderId="1" xfId="0" applyFont="1" applyFill="1" applyBorder="1" applyAlignment="1">
      <alignment horizontal="right" vertical="center"/>
    </xf>
    <xf numFmtId="0" fontId="19" fillId="2" borderId="18" xfId="1" applyFont="1" applyFill="1" applyBorder="1" applyAlignment="1" applyProtection="1">
      <alignment horizontal="center" vertical="center" wrapText="1"/>
      <protection locked="0"/>
    </xf>
    <xf numFmtId="0" fontId="19" fillId="0" borderId="18" xfId="1" applyFont="1" applyBorder="1" applyAlignment="1" applyProtection="1">
      <alignment horizontal="center" vertical="center" wrapText="1"/>
      <protection locked="0"/>
    </xf>
    <xf numFmtId="0" fontId="9" fillId="6" borderId="0" xfId="0" applyFont="1" applyFill="1" applyAlignment="1">
      <alignment horizontal="center"/>
    </xf>
    <xf numFmtId="0" fontId="39" fillId="0" borderId="0" xfId="0" applyFont="1"/>
    <xf numFmtId="0" fontId="39" fillId="0" borderId="0" xfId="0" applyFont="1" applyAlignment="1">
      <alignment horizontal="right"/>
    </xf>
    <xf numFmtId="0" fontId="0" fillId="0" borderId="22" xfId="0" applyBorder="1" applyAlignment="1">
      <alignment horizontal="center"/>
    </xf>
    <xf numFmtId="0" fontId="9" fillId="7" borderId="0" xfId="0" applyFont="1" applyFill="1"/>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8" xfId="0" applyBorder="1"/>
    <xf numFmtId="0" fontId="10" fillId="0" borderId="0" xfId="0" applyFont="1" applyAlignment="1">
      <alignment horizontal="center"/>
    </xf>
    <xf numFmtId="0" fontId="8" fillId="0" borderId="0" xfId="0" applyFont="1" applyAlignment="1">
      <alignment horizontal="center" vertical="center"/>
    </xf>
    <xf numFmtId="0" fontId="41" fillId="0" borderId="0" xfId="0" applyFont="1" applyAlignment="1">
      <alignment horizontal="right"/>
    </xf>
    <xf numFmtId="0" fontId="10" fillId="0" borderId="0" xfId="0" applyFont="1"/>
    <xf numFmtId="0" fontId="10" fillId="0" borderId="23" xfId="0" applyFont="1" applyBorder="1" applyAlignment="1">
      <alignment horizontal="center"/>
    </xf>
    <xf numFmtId="0" fontId="10" fillId="0" borderId="24" xfId="0" applyFont="1" applyBorder="1" applyAlignment="1">
      <alignment horizontal="center"/>
    </xf>
    <xf numFmtId="0" fontId="41" fillId="0" borderId="0" xfId="0" applyFont="1" applyAlignment="1">
      <alignment horizontal="left"/>
    </xf>
    <xf numFmtId="0" fontId="26" fillId="9" borderId="0" xfId="2" applyFont="1" applyFill="1" applyAlignment="1" applyProtection="1">
      <alignment vertical="center"/>
    </xf>
    <xf numFmtId="0" fontId="25" fillId="9" borderId="0" xfId="2" applyFill="1" applyAlignment="1" applyProtection="1">
      <alignment vertical="center"/>
    </xf>
    <xf numFmtId="0" fontId="9" fillId="0" borderId="0" xfId="0" quotePrefix="1" applyFont="1"/>
    <xf numFmtId="0" fontId="3" fillId="0" borderId="7" xfId="0" quotePrefix="1" applyFont="1" applyBorder="1" applyAlignment="1">
      <alignment horizontal="center" vertical="center"/>
    </xf>
    <xf numFmtId="0" fontId="3" fillId="0" borderId="5" xfId="0" quotePrefix="1" applyFont="1" applyBorder="1" applyAlignment="1">
      <alignment horizontal="center" vertical="center"/>
    </xf>
    <xf numFmtId="0" fontId="3" fillId="0" borderId="6" xfId="0" quotePrefix="1" applyFont="1" applyBorder="1" applyAlignment="1">
      <alignment horizontal="center" vertical="center"/>
    </xf>
    <xf numFmtId="0" fontId="3" fillId="10" borderId="8" xfId="0" applyFont="1" applyFill="1" applyBorder="1" applyAlignment="1">
      <alignment horizontal="center" vertical="center"/>
    </xf>
    <xf numFmtId="0" fontId="3" fillId="10" borderId="9" xfId="0" applyFont="1" applyFill="1" applyBorder="1" applyAlignment="1">
      <alignment horizontal="center" vertical="center"/>
    </xf>
    <xf numFmtId="0" fontId="10" fillId="10" borderId="0" xfId="0" applyFont="1" applyFill="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4" fillId="0" borderId="6" xfId="0" quotePrefix="1" applyFont="1" applyBorder="1" applyAlignment="1">
      <alignment horizontal="center" vertical="center"/>
    </xf>
    <xf numFmtId="0" fontId="40" fillId="0" borderId="0" xfId="1" applyFont="1" applyAlignment="1" applyProtection="1">
      <alignment vertical="center"/>
      <protection locked="0"/>
    </xf>
    <xf numFmtId="14" fontId="0" fillId="0" borderId="0" xfId="0" applyNumberFormat="1"/>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0" fillId="8" borderId="0" xfId="0" applyFill="1"/>
    <xf numFmtId="14" fontId="0" fillId="8" borderId="0" xfId="0" applyNumberFormat="1" applyFill="1"/>
    <xf numFmtId="0" fontId="27" fillId="0" borderId="0" xfId="1" applyFont="1" applyAlignment="1" applyProtection="1">
      <alignment vertical="center"/>
      <protection locked="0"/>
    </xf>
    <xf numFmtId="0" fontId="45" fillId="0" borderId="0" xfId="0" applyFont="1" applyAlignment="1">
      <alignment horizontal="right"/>
    </xf>
    <xf numFmtId="14" fontId="45" fillId="0" borderId="0" xfId="0" applyNumberFormat="1" applyFont="1"/>
    <xf numFmtId="0" fontId="19" fillId="11" borderId="15" xfId="1" applyFont="1" applyFill="1" applyBorder="1" applyAlignment="1" applyProtection="1">
      <alignment horizontal="center" vertical="center" wrapText="1"/>
      <protection locked="0"/>
    </xf>
    <xf numFmtId="0" fontId="9" fillId="0" borderId="0" xfId="0" applyFont="1" applyAlignment="1">
      <alignment horizontal="left" textRotation="90"/>
    </xf>
    <xf numFmtId="0" fontId="9" fillId="0" borderId="0" xfId="0" applyFont="1" applyAlignment="1">
      <alignment wrapText="1"/>
    </xf>
    <xf numFmtId="0" fontId="9" fillId="13" borderId="0" xfId="0" applyFont="1" applyFill="1" applyAlignment="1">
      <alignment horizontal="center"/>
    </xf>
    <xf numFmtId="0" fontId="0" fillId="0" borderId="0" xfId="0" applyAlignment="1">
      <alignment horizontal="left" textRotation="90"/>
    </xf>
    <xf numFmtId="0" fontId="47" fillId="0" borderId="0" xfId="0" applyFont="1"/>
    <xf numFmtId="0" fontId="9" fillId="15" borderId="0" xfId="0" applyFont="1" applyFill="1" applyAlignment="1">
      <alignment horizontal="center"/>
    </xf>
    <xf numFmtId="14" fontId="9" fillId="12" borderId="0" xfId="0" applyNumberFormat="1" applyFont="1" applyFill="1" applyAlignment="1">
      <alignment horizontal="center"/>
    </xf>
    <xf numFmtId="0" fontId="49" fillId="0" borderId="0" xfId="0" applyFont="1"/>
    <xf numFmtId="14" fontId="49" fillId="0" borderId="0" xfId="0" applyNumberFormat="1" applyFont="1"/>
    <xf numFmtId="0" fontId="50" fillId="0" borderId="0" xfId="0" applyFont="1" applyAlignment="1">
      <alignment horizontal="center"/>
    </xf>
    <xf numFmtId="14" fontId="50" fillId="0" borderId="0" xfId="0" applyNumberFormat="1" applyFont="1" applyAlignment="1">
      <alignment horizontal="center"/>
    </xf>
    <xf numFmtId="14" fontId="48" fillId="14" borderId="0" xfId="3" applyNumberFormat="1" applyAlignment="1">
      <alignment horizontal="center"/>
    </xf>
    <xf numFmtId="14" fontId="51" fillId="0" borderId="0" xfId="0" applyNumberFormat="1" applyFont="1"/>
    <xf numFmtId="0" fontId="51" fillId="0" borderId="0" xfId="0" applyFont="1"/>
    <xf numFmtId="0" fontId="51" fillId="0" borderId="0" xfId="0" applyFont="1" applyAlignment="1">
      <alignment horizontal="center"/>
    </xf>
    <xf numFmtId="0" fontId="50" fillId="7" borderId="0" xfId="0" applyFont="1" applyFill="1"/>
    <xf numFmtId="0" fontId="49" fillId="8" borderId="0" xfId="0" applyFont="1" applyFill="1"/>
    <xf numFmtId="0" fontId="16" fillId="0" borderId="12" xfId="1" applyFont="1" applyBorder="1" applyAlignment="1" applyProtection="1">
      <alignment horizontal="center"/>
    </xf>
    <xf numFmtId="0" fontId="16" fillId="0" borderId="13" xfId="1" applyFont="1" applyBorder="1" applyAlignment="1" applyProtection="1">
      <alignment horizontal="center"/>
    </xf>
    <xf numFmtId="0" fontId="16" fillId="0" borderId="13" xfId="1" applyFont="1" applyBorder="1" applyProtection="1"/>
    <xf numFmtId="0" fontId="16" fillId="0" borderId="14" xfId="1" applyFont="1" applyBorder="1" applyProtection="1"/>
    <xf numFmtId="0" fontId="1" fillId="0" borderId="0" xfId="1" applyProtection="1"/>
    <xf numFmtId="0" fontId="0" fillId="0" borderId="0" xfId="0" applyProtection="1"/>
    <xf numFmtId="0" fontId="23" fillId="0" borderId="0" xfId="1" applyFont="1" applyAlignment="1" applyProtection="1">
      <alignment horizontal="center" vertical="center" wrapText="1"/>
    </xf>
    <xf numFmtId="0" fontId="36" fillId="5" borderId="0" xfId="1" applyFont="1" applyFill="1" applyAlignment="1" applyProtection="1">
      <alignment horizontal="left" vertical="center" wrapText="1"/>
    </xf>
    <xf numFmtId="0" fontId="36" fillId="5" borderId="0" xfId="1" applyFont="1" applyFill="1" applyAlignment="1" applyProtection="1">
      <alignment vertical="center" wrapText="1"/>
    </xf>
    <xf numFmtId="0" fontId="38" fillId="11" borderId="28" xfId="1" applyFont="1" applyFill="1" applyBorder="1" applyAlignment="1" applyProtection="1">
      <alignment vertical="center"/>
    </xf>
    <xf numFmtId="0" fontId="17" fillId="11" borderId="0" xfId="1" applyFont="1" applyFill="1" applyAlignment="1" applyProtection="1">
      <alignment vertical="center"/>
    </xf>
    <xf numFmtId="0" fontId="17" fillId="11" borderId="0" xfId="1" applyFont="1" applyFill="1" applyAlignment="1" applyProtection="1">
      <alignment horizontal="right" vertical="center"/>
    </xf>
    <xf numFmtId="0" fontId="43" fillId="11" borderId="0" xfId="1" applyFont="1" applyFill="1" applyAlignment="1" applyProtection="1">
      <alignment horizontal="center" vertical="center"/>
    </xf>
    <xf numFmtId="0" fontId="38" fillId="11" borderId="0" xfId="1" applyFont="1" applyFill="1" applyAlignment="1" applyProtection="1">
      <alignment vertical="center"/>
    </xf>
    <xf numFmtId="0" fontId="1" fillId="0" borderId="0" xfId="1" applyAlignment="1" applyProtection="1">
      <alignment horizontal="center"/>
    </xf>
    <xf numFmtId="0" fontId="18" fillId="0" borderId="0" xfId="1" applyFont="1" applyAlignment="1" applyProtection="1">
      <alignment horizontal="right" vertical="center" indent="1"/>
    </xf>
    <xf numFmtId="0" fontId="18" fillId="0" borderId="0" xfId="1" applyFont="1" applyAlignment="1" applyProtection="1">
      <alignment vertical="center"/>
    </xf>
    <xf numFmtId="0" fontId="46" fillId="0" borderId="0" xfId="1" applyFont="1" applyAlignment="1" applyProtection="1">
      <alignment horizontal="right" vertical="center" wrapText="1"/>
    </xf>
    <xf numFmtId="0" fontId="18" fillId="2" borderId="0" xfId="1" applyFont="1" applyFill="1" applyAlignment="1" applyProtection="1">
      <alignment horizontal="left" vertical="center"/>
    </xf>
    <xf numFmtId="0" fontId="18" fillId="0" borderId="0" xfId="1" applyFont="1" applyAlignment="1" applyProtection="1">
      <alignment horizontal="left" vertical="center" indent="1"/>
    </xf>
    <xf numFmtId="0" fontId="19" fillId="0" borderId="0" xfId="1" applyFont="1" applyAlignment="1" applyProtection="1">
      <alignment horizontal="left" vertical="center" wrapText="1"/>
    </xf>
    <xf numFmtId="0" fontId="19" fillId="0" borderId="0" xfId="1" applyFont="1" applyAlignment="1" applyProtection="1">
      <alignment vertical="top" wrapText="1"/>
    </xf>
    <xf numFmtId="0" fontId="20" fillId="5" borderId="0" xfId="1" applyFont="1" applyFill="1" applyAlignment="1" applyProtection="1">
      <alignment horizontal="center" vertical="center"/>
    </xf>
    <xf numFmtId="0" fontId="20" fillId="5" borderId="0" xfId="1" applyFont="1" applyFill="1" applyAlignment="1" applyProtection="1">
      <alignment horizontal="left" vertical="center" indent="1"/>
    </xf>
    <xf numFmtId="0" fontId="20" fillId="5" borderId="0" xfId="1" applyFont="1" applyFill="1" applyAlignment="1" applyProtection="1">
      <alignment vertical="center"/>
    </xf>
    <xf numFmtId="0" fontId="20" fillId="5" borderId="19" xfId="1" applyFont="1" applyFill="1" applyBorder="1" applyAlignment="1" applyProtection="1">
      <alignment horizontal="left" vertical="center"/>
    </xf>
    <xf numFmtId="0" fontId="20" fillId="5" borderId="0" xfId="1" applyFont="1" applyFill="1" applyAlignment="1" applyProtection="1">
      <alignment horizontal="left" vertical="center"/>
    </xf>
    <xf numFmtId="0" fontId="20" fillId="5" borderId="15"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5" borderId="0" xfId="1" applyFont="1" applyFill="1" applyAlignment="1" applyProtection="1">
      <alignment horizontal="center" vertical="center" wrapText="1"/>
    </xf>
    <xf numFmtId="0" fontId="20" fillId="5" borderId="19" xfId="1" applyFont="1" applyFill="1" applyBorder="1" applyAlignment="1" applyProtection="1">
      <alignment horizontal="center" vertical="center" wrapText="1"/>
    </xf>
    <xf numFmtId="0" fontId="20" fillId="5" borderId="15" xfId="1" applyFont="1" applyFill="1" applyBorder="1" applyAlignment="1" applyProtection="1">
      <alignment horizontal="center" vertical="center" wrapText="1"/>
    </xf>
    <xf numFmtId="0" fontId="19" fillId="2" borderId="16" xfId="1" applyFont="1" applyFill="1" applyBorder="1" applyAlignment="1" applyProtection="1">
      <alignment horizontal="center" vertical="center" wrapText="1"/>
    </xf>
    <xf numFmtId="0" fontId="19" fillId="2" borderId="17" xfId="1" applyFont="1" applyFill="1" applyBorder="1" applyAlignment="1" applyProtection="1">
      <alignment horizontal="center" vertical="center" wrapText="1"/>
    </xf>
    <xf numFmtId="0" fontId="19" fillId="2" borderId="17" xfId="1" applyFont="1" applyFill="1" applyBorder="1" applyAlignment="1" applyProtection="1">
      <alignment vertical="center" wrapText="1"/>
    </xf>
    <xf numFmtId="0" fontId="22" fillId="2" borderId="17" xfId="1" applyFont="1" applyFill="1" applyBorder="1" applyAlignment="1" applyProtection="1">
      <alignment horizontal="center" vertical="center" wrapText="1"/>
    </xf>
    <xf numFmtId="0" fontId="19" fillId="2" borderId="20" xfId="1" applyFont="1" applyFill="1" applyBorder="1" applyAlignment="1" applyProtection="1">
      <alignment horizontal="center" vertical="center" wrapText="1"/>
    </xf>
    <xf numFmtId="0" fontId="19" fillId="2" borderId="21" xfId="1" applyFont="1" applyFill="1" applyBorder="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11" borderId="14" xfId="1" applyFont="1" applyFill="1" applyBorder="1" applyAlignment="1" applyProtection="1">
      <alignment horizontal="center" vertical="center" wrapText="1"/>
    </xf>
    <xf numFmtId="0" fontId="19" fillId="11" borderId="0" xfId="1" applyFont="1" applyFill="1" applyAlignment="1" applyProtection="1">
      <alignment horizontal="center" vertical="center" wrapText="1"/>
    </xf>
    <xf numFmtId="0" fontId="19" fillId="11" borderId="0" xfId="1" applyFont="1" applyFill="1" applyAlignment="1" applyProtection="1">
      <alignment vertical="center" wrapText="1"/>
    </xf>
    <xf numFmtId="0" fontId="22" fillId="11" borderId="0" xfId="1" applyFont="1" applyFill="1" applyAlignment="1" applyProtection="1">
      <alignment horizontal="left" vertical="center" wrapText="1"/>
    </xf>
    <xf numFmtId="0" fontId="19" fillId="11" borderId="19" xfId="1" applyFont="1" applyFill="1" applyBorder="1" applyAlignment="1" applyProtection="1">
      <alignment horizontal="center" vertical="center" wrapText="1"/>
    </xf>
    <xf numFmtId="0" fontId="19" fillId="11" borderId="15" xfId="1" applyFont="1" applyFill="1" applyBorder="1" applyAlignment="1" applyProtection="1">
      <alignment horizontal="center" vertical="center" wrapText="1"/>
    </xf>
    <xf numFmtId="0" fontId="19" fillId="0" borderId="17" xfId="1" applyFont="1" applyBorder="1" applyAlignment="1" applyProtection="1">
      <alignment horizontal="center" vertical="center" wrapText="1"/>
    </xf>
    <xf numFmtId="0" fontId="19" fillId="0" borderId="20" xfId="1" applyFont="1" applyBorder="1" applyAlignment="1" applyProtection="1">
      <alignment horizontal="center" vertical="center" wrapText="1"/>
    </xf>
    <xf numFmtId="0" fontId="19" fillId="0" borderId="21"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17" xfId="1" applyFont="1" applyBorder="1" applyAlignment="1" applyProtection="1">
      <alignment horizontal="left" vertical="center"/>
    </xf>
    <xf numFmtId="0" fontId="21" fillId="2" borderId="0" xfId="1" applyFont="1" applyFill="1" applyAlignment="1" applyProtection="1">
      <alignment horizontal="center" vertical="center"/>
    </xf>
    <xf numFmtId="0" fontId="19" fillId="0" borderId="17" xfId="1" applyFont="1" applyBorder="1" applyAlignment="1" applyProtection="1">
      <alignment vertical="center" wrapText="1"/>
    </xf>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vertical="center"/>
    </xf>
    <xf numFmtId="0" fontId="32" fillId="2" borderId="0" xfId="1" applyFont="1" applyFill="1" applyAlignment="1" applyProtection="1">
      <alignment horizontal="center" vertical="center"/>
    </xf>
    <xf numFmtId="0" fontId="33" fillId="2" borderId="0" xfId="1" applyFont="1" applyFill="1" applyAlignment="1" applyProtection="1">
      <alignment horizontal="center" vertical="center"/>
    </xf>
    <xf numFmtId="0" fontId="33" fillId="2" borderId="0" xfId="1" applyFont="1" applyFill="1" applyProtection="1"/>
    <xf numFmtId="0" fontId="11" fillId="2" borderId="0" xfId="1" applyFont="1" applyFill="1" applyProtection="1"/>
    <xf numFmtId="0" fontId="42" fillId="5" borderId="0" xfId="1" applyFont="1" applyFill="1" applyAlignment="1" applyProtection="1">
      <alignment horizontal="left" vertical="center"/>
    </xf>
    <xf numFmtId="0" fontId="44" fillId="5" borderId="0" xfId="1" applyFont="1" applyFill="1" applyAlignment="1" applyProtection="1">
      <alignment horizontal="center" vertical="center"/>
    </xf>
    <xf numFmtId="0" fontId="1" fillId="0" borderId="0" xfId="1" applyAlignment="1" applyProtection="1">
      <alignment horizontal="center" vertical="center"/>
    </xf>
    <xf numFmtId="0" fontId="20" fillId="5" borderId="0" xfId="1" applyFont="1" applyFill="1" applyAlignment="1" applyProtection="1">
      <alignment horizontal="left" vertical="center" shrinkToFit="1"/>
    </xf>
    <xf numFmtId="0" fontId="1" fillId="0" borderId="0" xfId="1" applyAlignment="1" applyProtection="1">
      <alignment horizontal="center" vertical="top"/>
    </xf>
    <xf numFmtId="0" fontId="34" fillId="0" borderId="16" xfId="1" applyFont="1" applyBorder="1" applyAlignment="1" applyProtection="1">
      <alignment horizontal="left" vertical="center"/>
    </xf>
    <xf numFmtId="0" fontId="34" fillId="0" borderId="17" xfId="1" applyFont="1" applyBorder="1" applyAlignment="1" applyProtection="1">
      <alignment horizontal="center" vertical="center"/>
    </xf>
    <xf numFmtId="0" fontId="34" fillId="0" borderId="17" xfId="1" applyFont="1" applyBorder="1" applyAlignment="1" applyProtection="1">
      <alignment vertical="center"/>
    </xf>
    <xf numFmtId="0" fontId="34" fillId="0" borderId="17" xfId="1" applyFont="1" applyBorder="1" applyAlignment="1" applyProtection="1">
      <alignment vertical="center" shrinkToFit="1"/>
    </xf>
    <xf numFmtId="0" fontId="34" fillId="0" borderId="17" xfId="1" applyFont="1" applyBorder="1" applyAlignment="1" applyProtection="1">
      <alignment vertical="center" wrapText="1"/>
    </xf>
    <xf numFmtId="0" fontId="34" fillId="0" borderId="17" xfId="1" applyFont="1" applyBorder="1" applyAlignment="1" applyProtection="1">
      <alignment horizontal="center" vertical="center" wrapText="1"/>
    </xf>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1" fillId="2" borderId="0" xfId="1" applyFont="1" applyFill="1" applyAlignment="1" applyProtection="1">
      <alignment vertical="center"/>
    </xf>
    <xf numFmtId="0" fontId="32" fillId="2" borderId="0" xfId="1" applyFont="1" applyFill="1" applyAlignment="1" applyProtection="1">
      <alignment horizontal="right" vertical="center"/>
    </xf>
    <xf numFmtId="0" fontId="20" fillId="5" borderId="0" xfId="1" applyFont="1" applyFill="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74">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285750</xdr:colOff>
      <xdr:row>3</xdr:row>
      <xdr:rowOff>133349</xdr:rowOff>
    </xdr:from>
    <xdr:ext cx="5629275" cy="5586145"/>
    <xdr:sp macro="" textlink="">
      <xdr:nvSpPr>
        <xdr:cNvPr id="4" name="Text Box 2">
          <a:extLst>
            <a:ext uri="{FF2B5EF4-FFF2-40B4-BE49-F238E27FC236}">
              <a16:creationId xmlns:a16="http://schemas.microsoft.com/office/drawing/2014/main" id="{00000000-0008-0000-0000-000004000000}"/>
            </a:ext>
          </a:extLst>
        </xdr:cNvPr>
        <xdr:cNvSpPr txBox="1"/>
      </xdr:nvSpPr>
      <xdr:spPr>
        <a:xfrm>
          <a:off x="10515600" y="638174"/>
          <a:ext cx="5629275" cy="55861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lnSpc>
              <a:spcPct val="100000"/>
            </a:lnSpc>
            <a:spcBef>
              <a:spcPts val="0"/>
            </a:spcBef>
          </a:pPr>
          <a:r>
            <a:rPr lang="en-AU" sz="1000" b="1" u="sng">
              <a:solidFill>
                <a:srgbClr val="000000"/>
              </a:solidFill>
              <a:effectLst/>
              <a:latin typeface="Segoe UI" panose="020B0502040204020203" pitchFamily="34" charset="0"/>
              <a:ea typeface="Segoe UI" panose="020B0502040204020203" pitchFamily="34" charset="0"/>
              <a:cs typeface="Times New Roman" panose="02020603050405020304" pitchFamily="18" charset="0"/>
            </a:rPr>
            <a:t>Full-Time Enrolment Guidelines</a:t>
          </a:r>
        </a:p>
        <a:p>
          <a:pPr>
            <a:lnSpc>
              <a:spcPct val="100000"/>
            </a:lnSpc>
            <a:spcBef>
              <a:spcPts val="0"/>
            </a:spcBef>
          </a:pPr>
          <a:endParaRPr lang="en-AU" sz="1100">
            <a:effectLst/>
            <a:ea typeface="Calibri" panose="020F0502020204030204" pitchFamily="34" charset="0"/>
            <a:cs typeface="Times New Roman" panose="02020603050405020304" pitchFamily="18" charset="0"/>
          </a:endParaRPr>
        </a:p>
        <a:p>
          <a:pPr>
            <a:lnSpc>
              <a:spcPct val="100000"/>
            </a:lnSpc>
            <a:spcBef>
              <a:spcPts val="0"/>
            </a:spcBef>
          </a:pPr>
          <a:r>
            <a:rPr lang="en-AU" sz="300" i="1">
              <a:solidFill>
                <a:srgbClr val="000000"/>
              </a:solidFill>
              <a:effectLst/>
              <a:ea typeface="Calibri" panose="020F0502020204030204" pitchFamily="34" charset="0"/>
              <a:cs typeface="Times New Roman" panose="02020603050405020304" pitchFamily="18" charset="0"/>
            </a:rPr>
            <a:t> </a:t>
          </a:r>
        </a:p>
        <a:p>
          <a:pPr algn="ctr">
            <a:lnSpc>
              <a:spcPct val="100000"/>
            </a:lnSpc>
            <a:spcBef>
              <a:spcPts val="0"/>
            </a:spcBef>
          </a:pPr>
          <a:r>
            <a:rPr lang="en-AU" sz="1100" b="1" i="0">
              <a:solidFill>
                <a:schemeClr val="accent5"/>
              </a:solidFill>
              <a:effectLst/>
              <a:ea typeface="Calibri" panose="020F0502020204030204" pitchFamily="34" charset="0"/>
              <a:cs typeface="Times New Roman" panose="02020603050405020304" pitchFamily="18" charset="0"/>
            </a:rPr>
            <a:t>Graduate Certificate in Design </a:t>
          </a:r>
        </a:p>
        <a:p>
          <a:pPr algn="ctr">
            <a:lnSpc>
              <a:spcPct val="100000"/>
            </a:lnSpc>
            <a:spcBef>
              <a:spcPts val="0"/>
            </a:spcBef>
          </a:pPr>
          <a:r>
            <a:rPr lang="en-AU" sz="1100" b="1" i="0">
              <a:solidFill>
                <a:schemeClr val="accent5"/>
              </a:solidFill>
              <a:effectLst/>
              <a:ea typeface="Calibri" panose="020F0502020204030204" pitchFamily="34" charset="0"/>
              <a:cs typeface="Times New Roman" panose="02020603050405020304" pitchFamily="18" charset="0"/>
            </a:rPr>
            <a:t>Graduate Diploma in Design</a:t>
          </a:r>
        </a:p>
        <a:p>
          <a:pPr algn="ctr">
            <a:lnSpc>
              <a:spcPct val="100000"/>
            </a:lnSpc>
            <a:spcBef>
              <a:spcPts val="0"/>
            </a:spcBef>
          </a:pPr>
          <a:r>
            <a:rPr lang="en-AU" sz="1100" b="1" i="0">
              <a:solidFill>
                <a:schemeClr val="accent5"/>
              </a:solidFill>
              <a:effectLst/>
              <a:ea typeface="Calibri" panose="020F0502020204030204" pitchFamily="34" charset="0"/>
              <a:cs typeface="Times New Roman" panose="02020603050405020304" pitchFamily="18" charset="0"/>
            </a:rPr>
            <a:t>Master of Design</a:t>
          </a:r>
        </a:p>
        <a:p>
          <a:pPr>
            <a:lnSpc>
              <a:spcPct val="100000"/>
            </a:lnSpc>
            <a:spcBef>
              <a:spcPts val="0"/>
            </a:spcBef>
          </a:pPr>
          <a:endParaRPr lang="en-AU" sz="1100">
            <a:effectLst/>
            <a:ea typeface="Calibri" panose="020F0502020204030204" pitchFamily="34" charset="0"/>
            <a:cs typeface="Times New Roman" panose="02020603050405020304"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nSpc>
              <a:spcPct val="100000"/>
            </a:lnSpc>
            <a:spcBef>
              <a:spcPts val="0"/>
            </a:spcBef>
          </a:pPr>
          <a:endParaRPr lang="en-AU" sz="1100">
            <a:effectLst/>
            <a:ea typeface="Calibri" panose="020F0502020204030204" pitchFamily="34" charset="0"/>
            <a:cs typeface="Times New Roman" panose="02020603050405020304" pitchFamily="18" charset="0"/>
          </a:endParaRP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This planner shows the </a:t>
          </a:r>
          <a:r>
            <a:rPr lang="en-AU" sz="1100" b="1" u="sng" baseline="0">
              <a:solidFill>
                <a:srgbClr val="000000"/>
              </a:solidFill>
              <a:effectLst/>
              <a:ea typeface="Calibri" panose="020F0502020204030204" pitchFamily="34" charset="0"/>
              <a:cs typeface="Times New Roman" panose="02020603050405020304" pitchFamily="18" charset="0"/>
            </a:rPr>
            <a:t>recommended</a:t>
          </a:r>
          <a:r>
            <a:rPr lang="en-AU" sz="1100" baseline="0">
              <a:solidFill>
                <a:srgbClr val="000000"/>
              </a:solidFill>
              <a:effectLst/>
              <a:ea typeface="Calibri" panose="020F0502020204030204" pitchFamily="34" charset="0"/>
              <a:cs typeface="Times New Roman" panose="02020603050405020304" pitchFamily="18" charset="0"/>
            </a:rPr>
            <a:t> sequence of </a:t>
          </a:r>
          <a:r>
            <a:rPr lang="en-AU" sz="1100" b="1" baseline="0">
              <a:solidFill>
                <a:srgbClr val="000000"/>
              </a:solidFill>
              <a:effectLst/>
              <a:ea typeface="Calibri" panose="020F0502020204030204" pitchFamily="34" charset="0"/>
              <a:cs typeface="Times New Roman" panose="02020603050405020304" pitchFamily="18" charset="0"/>
            </a:rPr>
            <a:t>full-time study </a:t>
          </a:r>
          <a:r>
            <a:rPr lang="en-AU" sz="1100" baseline="0">
              <a:solidFill>
                <a:srgbClr val="000000"/>
              </a:solidFill>
              <a:effectLst/>
              <a:ea typeface="Calibri" panose="020F0502020204030204" pitchFamily="34" charset="0"/>
              <a:cs typeface="Times New Roman" panose="02020603050405020304" pitchFamily="18" charset="0"/>
            </a:rPr>
            <a:t>based on your study period of commencement. The standard full-time study load is </a:t>
          </a:r>
          <a:r>
            <a:rPr lang="en-AU" sz="1100" b="1" i="0" u="none" baseline="0">
              <a:solidFill>
                <a:srgbClr val="000000"/>
              </a:solidFill>
              <a:effectLst/>
              <a:ea typeface="Calibri" panose="020F0502020204030204" pitchFamily="34" charset="0"/>
              <a:cs typeface="Times New Roman" panose="02020603050405020304" pitchFamily="18" charset="0"/>
            </a:rPr>
            <a:t>100 credit points </a:t>
          </a:r>
          <a:r>
            <a:rPr lang="en-AU" sz="1100" b="1" baseline="0">
              <a:solidFill>
                <a:srgbClr val="000000"/>
              </a:solidFill>
              <a:effectLst/>
              <a:ea typeface="Calibri" panose="020F0502020204030204" pitchFamily="34" charset="0"/>
              <a:cs typeface="Times New Roman" panose="02020603050405020304" pitchFamily="18" charset="0"/>
            </a:rPr>
            <a:t>per semester</a:t>
          </a:r>
          <a:r>
            <a:rPr lang="en-AU" sz="1100" baseline="0">
              <a:solidFill>
                <a:srgbClr val="000000"/>
              </a:solidFill>
              <a:effectLst/>
              <a:ea typeface="Calibri" panose="020F0502020204030204" pitchFamily="34" charset="0"/>
              <a:cs typeface="Times New Roman" panose="02020603050405020304" pitchFamily="18" charset="0"/>
            </a:rPr>
            <a:t>. Units may not be offered in every study period and may not be available at the time that you wish to study them. Your progression in the degree may be </a:t>
          </a:r>
          <a:r>
            <a:rPr lang="en-AU" sz="1100" b="0" i="0" u="none" baseline="0">
              <a:solidFill>
                <a:srgbClr val="000000"/>
              </a:solidFill>
              <a:effectLst/>
              <a:ea typeface="Calibri" panose="020F0502020204030204" pitchFamily="34" charset="0"/>
              <a:cs typeface="Times New Roman" panose="02020603050405020304" pitchFamily="18" charset="0"/>
            </a:rPr>
            <a:t>affected</a:t>
          </a:r>
          <a:r>
            <a:rPr lang="en-AU" sz="1100" baseline="0">
              <a:solidFill>
                <a:srgbClr val="000000"/>
              </a:solidFill>
              <a:effectLst/>
              <a:ea typeface="Calibri" panose="020F0502020204030204" pitchFamily="34" charset="0"/>
              <a:cs typeface="Times New Roman" panose="02020603050405020304" pitchFamily="18" charset="0"/>
            </a:rPr>
            <a:t> if you do not follow the recommended sequence of enrolment.</a:t>
          </a:r>
        </a:p>
        <a:p>
          <a:pPr>
            <a:lnSpc>
              <a:spcPct val="100000"/>
            </a:lnSpc>
            <a:spcBef>
              <a:spcPts val="0"/>
            </a:spcBef>
          </a:pPr>
          <a:endParaRPr lang="en-AU" sz="1100" baseline="0">
            <a:effectLst/>
            <a:ea typeface="Calibri" panose="020F0502020204030204" pitchFamily="34" charset="0"/>
            <a:cs typeface="Times New Roman" panose="02020603050405020304" pitchFamily="18" charset="0"/>
          </a:endParaRPr>
        </a:p>
        <a:p>
          <a:pPr>
            <a:lnSpc>
              <a:spcPct val="100000"/>
            </a:lnSpc>
            <a:spcBef>
              <a:spcPts val="0"/>
            </a:spcBef>
          </a:pPr>
          <a:r>
            <a:rPr lang="en-AU" sz="1100" baseline="0">
              <a:solidFill>
                <a:srgbClr val="000000"/>
              </a:solidFill>
              <a:effectLst/>
              <a:ea typeface="Calibri" panose="020F0502020204030204" pitchFamily="34" charset="0"/>
              <a:cs typeface="Times New Roman" panose="02020603050405020304" pitchFamily="18" charset="0"/>
            </a:rPr>
            <a:t>If you wish to enrol in a part-time load, please contact your Course Coordinator (Email - masterofdesign@curtin.edu.au) to develop an ad hoc study plan or please select one or two units from the four listed for each study period. (Please note: It is recommended that you choose either GRDE5008 Innovation by Design or GRDE5012 Design Paradigms as your first unit if you are studying part-time.)</a:t>
          </a:r>
        </a:p>
        <a:p>
          <a:pPr fontAlgn="base">
            <a:lnSpc>
              <a:spcPct val="100000"/>
            </a:lnSpc>
            <a:spcBef>
              <a:spcPts val="0"/>
            </a:spcBef>
          </a:pPr>
          <a:endParaRPr lang="en-AU" sz="1100" b="1">
            <a:effectLst/>
            <a:ea typeface="Calibri" panose="020F0502020204030204" pitchFamily="34" charset="0"/>
            <a:cs typeface="Times New Roman" panose="02020603050405020304" pitchFamily="18" charset="0"/>
          </a:endParaRPr>
        </a:p>
        <a:p>
          <a:pPr fontAlgn="base">
            <a:lnSpc>
              <a:spcPct val="100000"/>
            </a:lnSpc>
            <a:spcBef>
              <a:spcPts val="0"/>
            </a:spcBef>
          </a:pPr>
          <a:r>
            <a:rPr lang="en-AU" sz="1100" b="1">
              <a:effectLst/>
              <a:ea typeface="Calibri" panose="020F0502020204030204" pitchFamily="34" charset="0"/>
              <a:cs typeface="Times New Roman" panose="02020603050405020304" pitchFamily="18" charset="0"/>
            </a:rPr>
            <a:t>Notes for International Students </a:t>
          </a:r>
          <a:endParaRPr lang="en-AU" sz="1100">
            <a:effectLst/>
            <a:ea typeface="Calibri" panose="020F0502020204030204" pitchFamily="34" charset="0"/>
            <a:cs typeface="Times New Roman" panose="02020603050405020304" pitchFamily="18" charset="0"/>
          </a:endParaRPr>
        </a:p>
        <a:p>
          <a:pPr fontAlgn="base">
            <a:lnSpc>
              <a:spcPct val="100000"/>
            </a:lnSpc>
            <a:spcBef>
              <a:spcPts val="0"/>
            </a:spcBef>
          </a:pPr>
          <a:r>
            <a:rPr lang="en-AU" sz="1100">
              <a:effectLst/>
              <a:ea typeface="Calibri" panose="020F0502020204030204" pitchFamily="34" charset="0"/>
              <a:cs typeface="Times New Roman" panose="02020603050405020304" pitchFamily="18" charset="0"/>
            </a:rPr>
            <a:t>You are expected to study all of your units face-to-face for at least the first year of your course.</a:t>
          </a:r>
        </a:p>
        <a:p>
          <a:pPr fontAlgn="base">
            <a:lnSpc>
              <a:spcPct val="100000"/>
            </a:lnSpc>
            <a:spcBef>
              <a:spcPts val="0"/>
            </a:spcBef>
          </a:pPr>
          <a:r>
            <a:rPr lang="en-AU" sz="1100">
              <a:effectLst/>
              <a:ea typeface="Calibri" panose="020F0502020204030204" pitchFamily="34" charset="0"/>
              <a:cs typeface="Times New Roman" panose="02020603050405020304" pitchFamily="18" charset="0"/>
            </a:rPr>
            <a:t>It is your responsibility to ensure that you meet all conditions of your student visa. </a:t>
          </a:r>
        </a:p>
        <a:p>
          <a:pPr>
            <a:lnSpc>
              <a:spcPct val="100000"/>
            </a:lnSpc>
            <a:spcBef>
              <a:spcPts val="0"/>
            </a:spcBef>
          </a:pPr>
          <a:endParaRPr lang="en-AU" sz="1100" b="1">
            <a:solidFill>
              <a:srgbClr val="000000"/>
            </a:solidFill>
            <a:effectLst/>
            <a:ea typeface="Calibri" panose="020F0502020204030204" pitchFamily="34" charset="0"/>
            <a:cs typeface="Times New Roman" panose="02020603050405020304" pitchFamily="18" charset="0"/>
          </a:endParaRPr>
        </a:p>
        <a:p>
          <a:pPr>
            <a:lnSpc>
              <a:spcPct val="100000"/>
            </a:lnSpc>
            <a:spcBef>
              <a:spcPts val="0"/>
            </a:spcBef>
          </a:pPr>
          <a:r>
            <a:rPr lang="en-AU" sz="1100" b="1">
              <a:solidFill>
                <a:srgbClr val="000000"/>
              </a:solidFill>
              <a:effectLst/>
              <a:ea typeface="Calibri" panose="020F0502020204030204" pitchFamily="34" charset="0"/>
              <a:cs typeface="Times New Roman" panose="02020603050405020304" pitchFamily="18" charset="0"/>
            </a:rPr>
            <a:t>Need more support?</a:t>
          </a:r>
          <a:endParaRPr lang="en-AU" sz="1100">
            <a:effectLst/>
            <a:ea typeface="Calibri" panose="020F0502020204030204" pitchFamily="34" charset="0"/>
            <a:cs typeface="Times New Roman" panose="02020603050405020304" pitchFamily="18" charset="0"/>
          </a:endParaRPr>
        </a:p>
        <a:p>
          <a:pPr rtl="0" fontAlgn="base">
            <a:lnSpc>
              <a:spcPct val="100000"/>
            </a:lnSpc>
            <a:spcBef>
              <a:spcPts val="0"/>
            </a:spcBef>
          </a:pPr>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lnSpc>
              <a:spcPct val="100000"/>
            </a:lnSpc>
            <a:spcBef>
              <a:spcPts val="0"/>
            </a:spcBef>
          </a:pPr>
          <a:endParaRPr lang="en-AU" sz="1100" b="1" i="0">
            <a:solidFill>
              <a:schemeClr val="dk1"/>
            </a:solidFill>
            <a:effectLst/>
            <a:latin typeface="+mn-lt"/>
            <a:ea typeface="+mn-ea"/>
            <a:cs typeface="+mn-cs"/>
          </a:endParaRPr>
        </a:p>
        <a:p>
          <a:pPr algn="ctr" rtl="0" fontAlgn="base">
            <a:lnSpc>
              <a:spcPct val="100000"/>
            </a:lnSpc>
            <a:spcBef>
              <a:spcPts val="0"/>
            </a:spcBef>
          </a:pPr>
          <a:r>
            <a:rPr lang="en-AU" sz="1100" b="1" i="0">
              <a:solidFill>
                <a:schemeClr val="dk1"/>
              </a:solidFill>
              <a:effectLst/>
              <a:latin typeface="+mn-lt"/>
              <a:ea typeface="+mn-ea"/>
              <a:cs typeface="+mn-cs"/>
            </a:rPr>
            <a:t>Note:</a:t>
          </a:r>
          <a:endParaRPr lang="en-AU">
            <a:effectLst/>
          </a:endParaRPr>
        </a:p>
        <a:p>
          <a:pPr algn="ctr" rtl="0" fontAlgn="base">
            <a:lnSpc>
              <a:spcPct val="100000"/>
            </a:lnSpc>
            <a:spcBef>
              <a:spcPts val="0"/>
            </a:spcBef>
          </a:pPr>
          <a:r>
            <a:rPr lang="en-AU" sz="900" b="0" i="0" baseline="0">
              <a:solidFill>
                <a:schemeClr val="dk1"/>
              </a:solidFill>
              <a:effectLst/>
              <a:latin typeface="+mn-lt"/>
              <a:ea typeface="+mn-ea"/>
              <a:cs typeface="+mn-cs"/>
            </a:rPr>
            <a:t>CP = Credit Points; Sem1 = Semester 1; Sem2 = Semester 2;</a:t>
          </a:r>
        </a:p>
        <a:p>
          <a:pPr algn="ctr" rtl="0" fontAlgn="base">
            <a:lnSpc>
              <a:spcPct val="100000"/>
            </a:lnSpc>
            <a:spcBef>
              <a:spcPts val="0"/>
            </a:spcBef>
          </a:pPr>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18</xdr:col>
      <xdr:colOff>66675</xdr:colOff>
      <xdr:row>2</xdr:row>
      <xdr:rowOff>323850</xdr:rowOff>
    </xdr:from>
    <xdr:to>
      <xdr:col>21</xdr:col>
      <xdr:colOff>428625</xdr:colOff>
      <xdr:row>3</xdr:row>
      <xdr:rowOff>133350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3449300" y="32385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7" totalsRowShown="0" headerRowDxfId="73">
  <autoFilter ref="A4:H7" xr:uid="{00000000-0009-0000-0100-000003000000}"/>
  <sortState xmlns:xlrd2="http://schemas.microsoft.com/office/spreadsheetml/2017/richdata2" ref="A5:E7">
    <sortCondition ref="A6:A9"/>
  </sortState>
  <tableColumns count="8">
    <tableColumn id="3" xr3:uid="{00000000-0010-0000-0000-000003000000}" name="Choose your Design Course (drop-down list)" dataDxfId="72"/>
    <tableColumn id="1" xr3:uid="{00000000-0010-0000-0000-000001000000}" name="UDC" dataDxfId="71"/>
    <tableColumn id="2" xr3:uid="{00000000-0010-0000-0000-000002000000}" name="SM Version" dataDxfId="70"/>
    <tableColumn id="5" xr3:uid="{00000000-0010-0000-0000-000005000000}" name="SM Effective Date" dataDxfId="69"/>
    <tableColumn id="4" xr3:uid="{00000000-0010-0000-0000-000004000000}" name="Akari Iteration" dataDxfId="68"/>
    <tableColumn id="7" xr3:uid="{00000000-0010-0000-0000-000007000000}" name="Akari Effective Date" dataDxfId="67"/>
    <tableColumn id="6" xr3:uid="{00000000-0010-0000-0000-000006000000}" name="Credit Points" dataDxfId="66"/>
    <tableColumn id="8" xr3:uid="{00000000-0010-0000-0000-000008000000}" name="SM Availabilities" dataDxfId="65"/>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Availabilities" displayName="TableAvailabilities" ref="A2:E37" totalsRowShown="0">
  <autoFilter ref="A2:E37" xr:uid="{00000000-0009-0000-0100-00000D000000}"/>
  <sortState xmlns:xlrd2="http://schemas.microsoft.com/office/spreadsheetml/2017/richdata2" ref="A4:E43">
    <sortCondition ref="A3:A43"/>
  </sortState>
  <tableColumns count="5">
    <tableColumn id="1" xr3:uid="{00000000-0010-0000-0900-000001000000}" name="Row Labels"/>
    <tableColumn id="2" xr3:uid="{00000000-0010-0000-0900-000002000000}" name="Sem1 Internal" dataDxfId="18"/>
    <tableColumn id="3" xr3:uid="{00000000-0010-0000-0900-000003000000}" name="Sem1 Online" dataDxfId="17"/>
    <tableColumn id="4" xr3:uid="{00000000-0010-0000-0900-000004000000}" name="Sem2 Internal" dataDxfId="16"/>
    <tableColumn id="5" xr3:uid="{00000000-0010-0000-0900-000005000000}" name="Sem2 Online" dataDxfId="1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0:C12" totalsRowShown="0" dataDxfId="64">
  <autoFilter ref="A10:C12" xr:uid="{00000000-0009-0000-0100-000004000000}"/>
  <tableColumns count="3">
    <tableColumn id="1" xr3:uid="{00000000-0010-0000-0100-000001000000}" name="Choose your commencing study period (drop-down list)" dataDxfId="63"/>
    <tableColumn id="2" xr3:uid="{00000000-0010-0000-0100-000002000000}" name="START" dataDxfId="62"/>
    <tableColumn id="3" xr3:uid="{00000000-0010-0000-0100-000003000000}" name="Next" dataDxfId="6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54" totalsRowShown="0" headerRowDxfId="60" dataDxfId="59">
  <autoFilter ref="A2:N54" xr:uid="{00000000-0009-0000-0100-000002000000}"/>
  <sortState xmlns:xlrd2="http://schemas.microsoft.com/office/spreadsheetml/2017/richdata2" ref="A3:N54">
    <sortCondition ref="A2:A54"/>
  </sortState>
  <tableColumns count="14">
    <tableColumn id="1" xr3:uid="{00000000-0010-0000-0200-000001000000}" name="UDC" dataDxfId="58"/>
    <tableColumn id="2" xr3:uid="{00000000-0010-0000-0200-000002000000}" name="Ver" dataDxfId="57"/>
    <tableColumn id="3" xr3:uid="{00000000-0010-0000-0200-000003000000}" name="OUA Cd" dataDxfId="56"/>
    <tableColumn id="4" xr3:uid="{00000000-0010-0000-0200-000004000000}" name="Title" dataDxfId="55"/>
    <tableColumn id="5" xr3:uid="{00000000-0010-0000-0200-000005000000}" name="Credits" dataDxfId="54"/>
    <tableColumn id="6" xr3:uid="{00000000-0010-0000-0200-000006000000}" name="Pre-reqs" dataDxfId="53"/>
    <tableColumn id="12" xr3:uid="{00000000-0010-0000-0200-00000C000000}" name="S1INT" dataDxfId="52">
      <calculatedColumnFormula>IFERROR(IF(VLOOKUP(TableHandbook[[#This Row],[UDC]],TableAvailabilities[],2,FALSE)&gt;0,"Y",""),"")</calculatedColumnFormula>
    </tableColumn>
    <tableColumn id="13" xr3:uid="{00000000-0010-0000-0200-00000D000000}" name="S1FO" dataDxfId="51">
      <calculatedColumnFormula>IFERROR(IF(VLOOKUP(TableHandbook[[#This Row],[UDC]],TableAvailabilities[],3,FALSE)&gt;0,"Y",""),"")</calculatedColumnFormula>
    </tableColumn>
    <tableColumn id="14" xr3:uid="{00000000-0010-0000-0200-00000E000000}" name="S2INT" dataDxfId="50">
      <calculatedColumnFormula>IFERROR(IF(VLOOKUP(TableHandbook[[#This Row],[UDC]],TableAvailabilities[],4,FALSE)&gt;0,"Y",""),"")</calculatedColumnFormula>
    </tableColumn>
    <tableColumn id="15" xr3:uid="{00000000-0010-0000-0200-00000F000000}" name="S2FO" dataDxfId="49">
      <calculatedColumnFormula>IFERROR(IF(VLOOKUP(TableHandbook[[#This Row],[UDC]],TableAvailabilities[],5,FALSE)&gt;0,"Y",""),"")</calculatedColumnFormula>
    </tableColumn>
    <tableColumn id="16" xr3:uid="{00000000-0010-0000-0200-000010000000}" name="Notes" dataDxfId="48"/>
    <tableColumn id="8" xr3:uid="{00000000-0010-0000-0200-000008000000}" name="GC-DESIGN" dataDxfId="47">
      <calculatedColumnFormula>IFERROR(VLOOKUP(TableHandbook[[#This Row],[UDC]],TableGCDESIGN[],7,FALSE),"")</calculatedColumnFormula>
    </tableColumn>
    <tableColumn id="9" xr3:uid="{00000000-0010-0000-0200-000009000000}" name="GD-DESIGN" dataDxfId="46">
      <calculatedColumnFormula>IFERROR(VLOOKUP(TableHandbook[[#This Row],[UDC]],TableGDDESIGN[],7,FALSE),"")</calculatedColumnFormula>
    </tableColumn>
    <tableColumn id="10" xr3:uid="{00000000-0010-0000-0200-00000A000000}" name="MC-DESIGN" dataDxfId="45">
      <calculatedColumnFormula>IFERROR(VLOOKUP(TableHandbook[[#This Row],[UDC]],TableMCDESIGN[],7,FALSE),"")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GCDESIGN" displayName="TableGCDESIGN" ref="A2:O38" totalsRowShown="0">
  <autoFilter ref="A2:O38" xr:uid="{00000000-0009-0000-0100-000001000000}"/>
  <sortState xmlns:xlrd2="http://schemas.microsoft.com/office/spreadsheetml/2017/richdata2" ref="AE3:AV6">
    <sortCondition ref="AS2:AS6"/>
  </sortState>
  <tableColumns count="15">
    <tableColumn id="1" xr3:uid="{00000000-0010-0000-0300-000001000000}" name="UDC" dataDxfId="44">
      <calculatedColumnFormula>TableGCDESIGN[[#This Row],[Study Package Code]]</calculatedColumnFormula>
    </tableColumn>
    <tableColumn id="9" xr3:uid="{00000000-0010-0000-0300-000009000000}" name="Version" dataDxfId="43">
      <calculatedColumnFormula>TableGCDESIGN[[#This Row],[Ver]]</calculatedColumnFormula>
    </tableColumn>
    <tableColumn id="10" xr3:uid="{00000000-0010-0000-0300-00000A000000}" name="OUA Code"/>
    <tableColumn id="11" xr3:uid="{00000000-0010-0000-0300-00000B000000}" name="Unit Title" dataDxfId="42">
      <calculatedColumnFormula>TableGCDESIGN[[#This Row],[Structure Line]]</calculatedColumnFormula>
    </tableColumn>
    <tableColumn id="12" xr3:uid="{00000000-0010-0000-0300-00000C000000}" name="CPs" dataDxfId="41">
      <calculatedColumnFormula>TableGCDESIGN[[#This Row],[Credit Points]]</calculatedColumnFormula>
    </tableColumn>
    <tableColumn id="13" xr3:uid="{00000000-0010-0000-0300-00000D000000}" name="No."/>
    <tableColumn id="2" xr3:uid="{00000000-0010-0000-0300-000002000000}" name="Component Type"/>
    <tableColumn id="3" xr3:uid="{00000000-0010-0000-0300-000003000000}" name="Year Level"/>
    <tableColumn id="4" xr3:uid="{00000000-0010-0000-0300-000004000000}" name="Study Period"/>
    <tableColumn id="5" xr3:uid="{00000000-0010-0000-0300-000005000000}" name="Study Package Code"/>
    <tableColumn id="6" xr3:uid="{00000000-0010-0000-0300-000006000000}" name="Ver"/>
    <tableColumn id="7" xr3:uid="{00000000-0010-0000-0300-000007000000}" name="Structure Line"/>
    <tableColumn id="8" xr3:uid="{00000000-0010-0000-0300-000008000000}" name="Credit Points"/>
    <tableColumn id="14" xr3:uid="{00000000-0010-0000-0300-00000E000000}" name="Effective" dataDxfId="40"/>
    <tableColumn id="15" xr3:uid="{00000000-0010-0000-0300-00000F000000}" name="Discont." dataDxfId="3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GDDESIGN" displayName="TableGDDESIGN" ref="A41:O81" totalsRowShown="0">
  <autoFilter ref="A41:O81" xr:uid="{00000000-0009-0000-0100-000006000000}"/>
  <sortState xmlns:xlrd2="http://schemas.microsoft.com/office/spreadsheetml/2017/richdata2" ref="AE11:AV18">
    <sortCondition ref="AR10:AR18"/>
  </sortState>
  <tableColumns count="15">
    <tableColumn id="1" xr3:uid="{00000000-0010-0000-0400-000001000000}" name="UDC" dataDxfId="38">
      <calculatedColumnFormula>TableGDDESIGN[[#This Row],[Study Package Code]]</calculatedColumnFormula>
    </tableColumn>
    <tableColumn id="9" xr3:uid="{00000000-0010-0000-0400-000009000000}" name="Version" dataDxfId="37">
      <calculatedColumnFormula>TableGDDESIGN[[#This Row],[Ver]]</calculatedColumnFormula>
    </tableColumn>
    <tableColumn id="10" xr3:uid="{00000000-0010-0000-0400-00000A000000}" name="OUA Code"/>
    <tableColumn id="11" xr3:uid="{00000000-0010-0000-0400-00000B000000}" name="Unit Title" dataDxfId="36">
      <calculatedColumnFormula>TableGDDESIGN[[#This Row],[Structure Line]]</calculatedColumnFormula>
    </tableColumn>
    <tableColumn id="12" xr3:uid="{00000000-0010-0000-0400-00000C000000}" name="CPs" dataDxfId="35">
      <calculatedColumnFormula>TableGDDESIGN[[#This Row],[Credit Points]]</calculatedColumnFormula>
    </tableColumn>
    <tableColumn id="13" xr3:uid="{00000000-0010-0000-0400-00000D000000}" name="No." dataDxfId="34"/>
    <tableColumn id="2" xr3:uid="{00000000-0010-0000-0400-000002000000}" name="Component Type" dataDxfId="33"/>
    <tableColumn id="3" xr3:uid="{00000000-0010-0000-0400-000003000000}" name="Year Level" dataDxfId="32"/>
    <tableColumn id="4" xr3:uid="{00000000-0010-0000-0400-000004000000}" name="Study Period" dataDxfId="31"/>
    <tableColumn id="5" xr3:uid="{00000000-0010-0000-0400-000005000000}" name="Study Package Code" dataDxfId="30"/>
    <tableColumn id="6" xr3:uid="{00000000-0010-0000-0400-000006000000}" name="Ver" dataDxfId="29"/>
    <tableColumn id="7" xr3:uid="{00000000-0010-0000-0400-000007000000}" name="Structure Line" dataDxfId="28"/>
    <tableColumn id="8" xr3:uid="{00000000-0010-0000-0400-000008000000}" name="Credit Points" dataDxfId="27"/>
    <tableColumn id="14" xr3:uid="{00000000-0010-0000-0400-00000E000000}" name="Effective" dataDxfId="26"/>
    <tableColumn id="15" xr3:uid="{00000000-0010-0000-0400-00000F000000}" name="Discont." dataDxfId="2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MCDESIGN" displayName="TableMCDESIGN" ref="A84:O131" totalsRowShown="0">
  <autoFilter ref="A84:O131" xr:uid="{00000000-0009-0000-0100-000007000000}"/>
  <sortState xmlns:xlrd2="http://schemas.microsoft.com/office/spreadsheetml/2017/richdata2" ref="AE23:AV30">
    <sortCondition ref="AR10:AR18"/>
  </sortState>
  <tableColumns count="15">
    <tableColumn id="15" xr3:uid="{00000000-0010-0000-0500-00000F000000}" name="UDC" dataDxfId="24">
      <calculatedColumnFormula>TableMCDESIGN[[#This Row],[Study Package Code]]</calculatedColumnFormula>
    </tableColumn>
    <tableColumn id="16" xr3:uid="{00000000-0010-0000-0500-000010000000}" name="Version" dataDxfId="23">
      <calculatedColumnFormula>TableMCDESIGN[[#This Row],[Ver]]</calculatedColumnFormula>
    </tableColumn>
    <tableColumn id="17" xr3:uid="{00000000-0010-0000-0500-000011000000}" name="OUA Code"/>
    <tableColumn id="18" xr3:uid="{00000000-0010-0000-0500-000012000000}" name="Unit Title" dataDxfId="22">
      <calculatedColumnFormula>TableMCDESIGN[[#This Row],[Structure Line]]</calculatedColumnFormula>
    </tableColumn>
    <tableColumn id="19" xr3:uid="{00000000-0010-0000-0500-000013000000}" name="CPs" dataDxfId="21">
      <calculatedColumnFormula>TableMCDESIGN[[#This Row],[Credit Points]]</calculatedColumnFormula>
    </tableColumn>
    <tableColumn id="1" xr3:uid="{00000000-0010-0000-0500-000001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9" xr3:uid="{00000000-0010-0000-0500-000009000000}" name="Effective" dataDxfId="20"/>
    <tableColumn id="10" xr3:uid="{00000000-0010-0000-0500-00000A000000}" name="Discont." dataDxfId="1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15" displayName="Table15" ref="Q2:R38" totalsRowShown="0">
  <autoFilter ref="Q2:R38" xr:uid="{00000000-0009-0000-0100-000005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41:R81" totalsRowShown="0">
  <autoFilter ref="Q41:R81"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10" displayName="Table1510" ref="Q84:R131" totalsRowShown="0">
  <autoFilter ref="Q84:R131"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showGridLines="0" tabSelected="1" topLeftCell="A3" workbookViewId="0">
      <selection activeCell="D5" sqref="D5"/>
    </sheetView>
  </sheetViews>
  <sheetFormatPr defaultRowHeight="15" x14ac:dyDescent="0.25"/>
  <cols>
    <col min="1" max="1" width="10.875" style="113" customWidth="1"/>
    <col min="2" max="2" width="3.25" style="113" customWidth="1"/>
    <col min="3" max="3" width="5.875" style="113" customWidth="1"/>
    <col min="4" max="4" width="48.25" style="103" customWidth="1"/>
    <col min="5" max="5" width="7" style="103" customWidth="1"/>
    <col min="6" max="6" width="19.25" style="103" customWidth="1"/>
    <col min="7" max="7" width="5.625" style="103" customWidth="1"/>
    <col min="8" max="11" width="4.625" style="103" customWidth="1"/>
    <col min="12" max="12" width="18.625" style="103" customWidth="1"/>
    <col min="13" max="13" width="2.5" style="103" hidden="1" customWidth="1"/>
    <col min="14" max="16384" width="9" style="103"/>
  </cols>
  <sheetData>
    <row r="1" spans="1:16" hidden="1" x14ac:dyDescent="0.25">
      <c r="A1" s="99" t="s">
        <v>0</v>
      </c>
      <c r="B1" s="100" t="s">
        <v>1</v>
      </c>
      <c r="C1" s="100" t="s">
        <v>2</v>
      </c>
      <c r="D1" s="101" t="s">
        <v>3</v>
      </c>
      <c r="E1" s="101"/>
      <c r="F1" s="101" t="s">
        <v>4</v>
      </c>
      <c r="G1" s="101" t="s">
        <v>5</v>
      </c>
      <c r="H1" s="102" t="s">
        <v>6</v>
      </c>
      <c r="I1" s="101"/>
      <c r="J1" s="101"/>
      <c r="K1" s="101"/>
      <c r="L1" s="101" t="s">
        <v>7</v>
      </c>
    </row>
    <row r="2" spans="1:16" ht="15.75" hidden="1" x14ac:dyDescent="0.25">
      <c r="A2" s="104"/>
      <c r="B2" s="105">
        <v>2</v>
      </c>
      <c r="C2" s="105">
        <v>3</v>
      </c>
      <c r="D2" s="105">
        <v>4</v>
      </c>
      <c r="E2" s="105"/>
      <c r="F2" s="105">
        <v>6</v>
      </c>
      <c r="G2" s="105">
        <v>5</v>
      </c>
      <c r="H2" s="105">
        <v>7</v>
      </c>
      <c r="I2" s="105">
        <v>8</v>
      </c>
      <c r="J2" s="105">
        <v>9</v>
      </c>
      <c r="K2" s="105">
        <v>10</v>
      </c>
      <c r="L2" s="104"/>
    </row>
    <row r="3" spans="1:16" ht="39.950000000000003" customHeight="1" x14ac:dyDescent="0.25">
      <c r="A3" s="106" t="s">
        <v>8</v>
      </c>
      <c r="B3" s="106"/>
      <c r="C3" s="106"/>
      <c r="D3" s="106"/>
      <c r="E3" s="107"/>
      <c r="F3" s="107"/>
      <c r="G3" s="107"/>
      <c r="H3" s="107"/>
      <c r="I3" s="107"/>
      <c r="J3" s="107"/>
      <c r="K3" s="107"/>
      <c r="L3" s="107"/>
    </row>
    <row r="4" spans="1:16" ht="26.25" x14ac:dyDescent="0.25">
      <c r="A4" s="108"/>
      <c r="B4" s="109"/>
      <c r="C4" s="109"/>
      <c r="D4" s="110"/>
      <c r="E4" s="111" t="s">
        <v>9</v>
      </c>
      <c r="F4" s="109"/>
      <c r="G4" s="112"/>
      <c r="H4" s="112"/>
      <c r="I4" s="112"/>
      <c r="J4" s="112"/>
      <c r="K4" s="112"/>
      <c r="L4" s="112"/>
    </row>
    <row r="5" spans="1:16" ht="20.100000000000001" customHeight="1" x14ac:dyDescent="0.25">
      <c r="B5" s="114"/>
      <c r="C5" s="114" t="s">
        <v>10</v>
      </c>
      <c r="D5" s="78" t="s">
        <v>11</v>
      </c>
      <c r="E5" s="115"/>
      <c r="F5" s="114" t="s">
        <v>12</v>
      </c>
      <c r="G5" s="115" t="str">
        <f>IFERROR(CONCATENATE(VLOOKUP(D5,TableCourses[],2,FALSE)," ",VLOOKUP(D5,TableCourses[],3,FALSE)),"")</f>
        <v/>
      </c>
      <c r="H5" s="115"/>
      <c r="I5" s="115"/>
      <c r="J5" s="115"/>
      <c r="K5" s="115"/>
      <c r="L5" s="116" t="e">
        <f>CONCATENATE(VLOOKUP(D5,TableCourses[],2,FALSE),VLOOKUP(D6,TableStudyPeriods[],2,FALSE))</f>
        <v>#N/A</v>
      </c>
    </row>
    <row r="6" spans="1:16" ht="20.100000000000001" customHeight="1" x14ac:dyDescent="0.25">
      <c r="A6" s="117"/>
      <c r="B6" s="118"/>
      <c r="C6" s="114" t="s">
        <v>13</v>
      </c>
      <c r="D6" s="71" t="s">
        <v>14</v>
      </c>
      <c r="E6" s="119"/>
      <c r="F6" s="114" t="s">
        <v>15</v>
      </c>
      <c r="G6" s="115" t="str">
        <f>IFERROR(VLOOKUP($D$5,TableCourses[],7,FALSE),"")</f>
        <v/>
      </c>
      <c r="H6" s="120"/>
      <c r="I6" s="120"/>
      <c r="J6" s="120"/>
      <c r="K6" s="120"/>
      <c r="L6" s="120"/>
    </row>
    <row r="7" spans="1:16" s="128" customFormat="1" ht="14.1" customHeight="1" x14ac:dyDescent="0.25">
      <c r="A7" s="121"/>
      <c r="B7" s="121"/>
      <c r="C7" s="121"/>
      <c r="D7" s="122"/>
      <c r="E7" s="123"/>
      <c r="F7" s="121"/>
      <c r="G7" s="121"/>
      <c r="H7" s="124" t="s">
        <v>16</v>
      </c>
      <c r="I7" s="125"/>
      <c r="J7" s="125"/>
      <c r="K7" s="126"/>
      <c r="L7" s="123"/>
      <c r="M7" s="127"/>
      <c r="N7" s="127"/>
      <c r="O7" s="127"/>
    </row>
    <row r="8" spans="1:16" s="128" customFormat="1" ht="21" x14ac:dyDescent="0.25">
      <c r="A8" s="121" t="s">
        <v>17</v>
      </c>
      <c r="B8" s="121"/>
      <c r="C8" s="121"/>
      <c r="D8" s="122" t="s">
        <v>3</v>
      </c>
      <c r="E8" s="129" t="s">
        <v>18</v>
      </c>
      <c r="F8" s="121" t="s">
        <v>19</v>
      </c>
      <c r="G8" s="121" t="s">
        <v>20</v>
      </c>
      <c r="H8" s="130" t="s">
        <v>21</v>
      </c>
      <c r="I8" s="131" t="s">
        <v>22</v>
      </c>
      <c r="J8" s="130" t="s">
        <v>23</v>
      </c>
      <c r="K8" s="131" t="s">
        <v>24</v>
      </c>
      <c r="L8" s="121" t="s">
        <v>25</v>
      </c>
      <c r="M8" s="127"/>
      <c r="N8" s="127"/>
      <c r="O8" s="127"/>
    </row>
    <row r="9" spans="1:16" s="139" customFormat="1" ht="20.100000000000001" customHeight="1" x14ac:dyDescent="0.15">
      <c r="A9" s="132" t="str">
        <f>IFERROR(IF(HLOOKUP($L$5,RangeUnitsets,M9,FALSE)=0,"",HLOOKUP($L$5,RangeUnitsets,M9,FALSE)),"")</f>
        <v/>
      </c>
      <c r="B9" s="133" t="str">
        <f>IFERROR(IF(VLOOKUP($A9,TableHandbook[],2,FALSE)=0,"",VLOOKUP($A9,TableHandbook[],2,FALSE)),"")</f>
        <v/>
      </c>
      <c r="C9" s="133" t="str">
        <f>IFERROR(IF(VLOOKUP($A9,TableHandbook[],3,FALSE)=0,"",VLOOKUP($A9,TableHandbook[],3,FALSE)),"")</f>
        <v/>
      </c>
      <c r="D9" s="134" t="str">
        <f>IFERROR(IF(VLOOKUP($A9,TableHandbook[],4,FALSE)=0,"",VLOOKUP($A9,TableHandbook[],4,FALSE)),"")</f>
        <v/>
      </c>
      <c r="E9" s="133" t="str">
        <f>IF(OR(A9="",A9="--"),"",VLOOKUP($D$6,TableStudyPeriods[],2,FALSE))</f>
        <v/>
      </c>
      <c r="F9" s="135" t="str">
        <f>IFERROR(IF(VLOOKUP($A9,TableHandbook[],6,FALSE)=0,"",VLOOKUP($A9,TableHandbook[],6,FALSE)),"")</f>
        <v/>
      </c>
      <c r="G9" s="133" t="str">
        <f>IFERROR(IF(VLOOKUP($A9,TableHandbook[],5,FALSE)=0,"",VLOOKUP($A9,TableHandbook[],5,FALSE)),"")</f>
        <v/>
      </c>
      <c r="H9" s="136" t="str">
        <f>IFERROR(VLOOKUP($A9,TableHandbook[],H$2,FALSE),"")</f>
        <v/>
      </c>
      <c r="I9" s="137" t="str">
        <f>IFERROR(VLOOKUP($A9,TableHandbook[],I$2,FALSE),"")</f>
        <v/>
      </c>
      <c r="J9" s="136" t="str">
        <f>IFERROR(VLOOKUP($A9,TableHandbook[],J$2,FALSE),"")</f>
        <v/>
      </c>
      <c r="K9" s="137" t="str">
        <f>IFERROR(VLOOKUP($A9,TableHandbook[],K$2,FALSE),"")</f>
        <v/>
      </c>
      <c r="L9" s="28"/>
      <c r="M9" s="105">
        <v>2</v>
      </c>
      <c r="N9" s="138"/>
      <c r="O9" s="138"/>
    </row>
    <row r="10" spans="1:16" s="139" customFormat="1" ht="20.100000000000001" customHeight="1" x14ac:dyDescent="0.15">
      <c r="A10" s="132" t="str">
        <f>IFERROR(IF(HLOOKUP($L$5,RangeUnitsets,M10,FALSE)=0,"",HLOOKUP($L$5,RangeUnitsets,M10,FALSE)),"")</f>
        <v/>
      </c>
      <c r="B10" s="133" t="str">
        <f>IFERROR(IF(VLOOKUP($A10,TableHandbook[],2,FALSE)=0,"",VLOOKUP($A10,TableHandbook[],2,FALSE)),"")</f>
        <v/>
      </c>
      <c r="C10" s="133" t="str">
        <f>IFERROR(IF(VLOOKUP($A10,TableHandbook[],3,FALSE)=0,"",VLOOKUP($A10,TableHandbook[],3,FALSE)),"")</f>
        <v/>
      </c>
      <c r="D10" s="134" t="str">
        <f>IFERROR(IF(VLOOKUP($A10,TableHandbook[],4,FALSE)=0,"",VLOOKUP($A10,TableHandbook[],4,FALSE)),"")</f>
        <v/>
      </c>
      <c r="E10" s="133" t="str">
        <f>IF(OR(A10="",A10="-"),"",E9)</f>
        <v/>
      </c>
      <c r="F10" s="135" t="str">
        <f>IFERROR(IF(VLOOKUP($A10,TableHandbook[],6,FALSE)=0,"",VLOOKUP($A10,TableHandbook[],6,FALSE)),"")</f>
        <v/>
      </c>
      <c r="G10" s="133" t="str">
        <f>IFERROR(IF(VLOOKUP($A10,TableHandbook[],5,FALSE)=0,"",VLOOKUP($A10,TableHandbook[],5,FALSE)),"")</f>
        <v/>
      </c>
      <c r="H10" s="136" t="str">
        <f>IFERROR(VLOOKUP($A10,TableHandbook[],H$2,FALSE),"")</f>
        <v/>
      </c>
      <c r="I10" s="137" t="str">
        <f>IFERROR(VLOOKUP($A10,TableHandbook[],I$2,FALSE),"")</f>
        <v/>
      </c>
      <c r="J10" s="136" t="str">
        <f>IFERROR(VLOOKUP($A10,TableHandbook[],J$2,FALSE),"")</f>
        <v/>
      </c>
      <c r="K10" s="137" t="str">
        <f>IFERROR(VLOOKUP($A10,TableHandbook[],K$2,FALSE),"")</f>
        <v/>
      </c>
      <c r="L10" s="28"/>
      <c r="M10" s="105">
        <v>3</v>
      </c>
      <c r="N10" s="138"/>
      <c r="O10" s="138"/>
    </row>
    <row r="11" spans="1:16" s="139" customFormat="1" ht="20.100000000000001" customHeight="1" x14ac:dyDescent="0.15">
      <c r="A11" s="132" t="str">
        <f>IFERROR(IF(HLOOKUP($L$5,RangeUnitsets,M11,FALSE)=0,"",HLOOKUP($L$5,RangeUnitsets,M11,FALSE)),"")</f>
        <v/>
      </c>
      <c r="B11" s="133" t="str">
        <f>IFERROR(IF(VLOOKUP($A11,TableHandbook[],2,FALSE)=0,"",VLOOKUP($A11,TableHandbook[],2,FALSE)),"")</f>
        <v/>
      </c>
      <c r="C11" s="133" t="str">
        <f>IFERROR(IF(VLOOKUP($A11,TableHandbook[],3,FALSE)=0,"",VLOOKUP($A11,TableHandbook[],3,FALSE)),"")</f>
        <v/>
      </c>
      <c r="D11" s="134" t="str">
        <f>IFERROR(IF(VLOOKUP($A11,TableHandbook[],4,FALSE)=0,"",VLOOKUP($A11,TableHandbook[],4,FALSE)),"")</f>
        <v/>
      </c>
      <c r="E11" s="133" t="str">
        <f>IF(OR(A11="",A11="-"),"",E9)</f>
        <v/>
      </c>
      <c r="F11" s="135" t="str">
        <f>IFERROR(IF(VLOOKUP($A11,TableHandbook[],6,FALSE)=0,"",VLOOKUP($A11,TableHandbook[],6,FALSE)),"")</f>
        <v/>
      </c>
      <c r="G11" s="133" t="str">
        <f>IFERROR(IF(VLOOKUP($A11,TableHandbook[],5,FALSE)=0,"",VLOOKUP($A11,TableHandbook[],5,FALSE)),"")</f>
        <v/>
      </c>
      <c r="H11" s="136" t="str">
        <f>IFERROR(VLOOKUP($A11,TableHandbook[],H$2,FALSE),"")</f>
        <v/>
      </c>
      <c r="I11" s="137" t="str">
        <f>IFERROR(VLOOKUP($A11,TableHandbook[],I$2,FALSE),"")</f>
        <v/>
      </c>
      <c r="J11" s="136" t="str">
        <f>IFERROR(VLOOKUP($A11,TableHandbook[],J$2,FALSE),"")</f>
        <v/>
      </c>
      <c r="K11" s="137" t="str">
        <f>IFERROR(VLOOKUP($A11,TableHandbook[],K$2,FALSE),"")</f>
        <v/>
      </c>
      <c r="L11" s="29"/>
      <c r="M11" s="105">
        <v>4</v>
      </c>
      <c r="N11" s="138"/>
      <c r="O11" s="138"/>
    </row>
    <row r="12" spans="1:16" s="139" customFormat="1" ht="20.100000000000001" customHeight="1" x14ac:dyDescent="0.15">
      <c r="A12" s="132" t="str">
        <f>IFERROR(IF(HLOOKUP($L$5,RangeUnitsets,M12,FALSE)=0,"",HLOOKUP($L$5,RangeUnitsets,M12,FALSE)),"")</f>
        <v/>
      </c>
      <c r="B12" s="133" t="str">
        <f>IFERROR(IF(VLOOKUP($A12,TableHandbook[],2,FALSE)=0,"",VLOOKUP($A12,TableHandbook[],2,FALSE)),"")</f>
        <v/>
      </c>
      <c r="C12" s="133" t="str">
        <f>IFERROR(IF(VLOOKUP($A12,TableHandbook[],3,FALSE)=0,"",VLOOKUP($A12,TableHandbook[],3,FALSE)),"")</f>
        <v/>
      </c>
      <c r="D12" s="134" t="str">
        <f>IFERROR(IF(VLOOKUP($A12,TableHandbook[],4,FALSE)=0,"",VLOOKUP($A12,TableHandbook[],4,FALSE)),"")</f>
        <v/>
      </c>
      <c r="E12" s="133" t="str">
        <f>IF(OR(A12="",A12="-"),"",E9)</f>
        <v/>
      </c>
      <c r="F12" s="135" t="str">
        <f>IFERROR(IF(VLOOKUP($A12,TableHandbook[],6,FALSE)=0,"",VLOOKUP($A12,TableHandbook[],6,FALSE)),"")</f>
        <v/>
      </c>
      <c r="G12" s="133" t="str">
        <f>IFERROR(IF(VLOOKUP($A12,TableHandbook[],5,FALSE)=0,"",VLOOKUP($A12,TableHandbook[],5,FALSE)),"")</f>
        <v/>
      </c>
      <c r="H12" s="136" t="str">
        <f>IFERROR(VLOOKUP($A12,TableHandbook[],H$2,FALSE),"")</f>
        <v/>
      </c>
      <c r="I12" s="137" t="str">
        <f>IFERROR(VLOOKUP($A12,TableHandbook[],I$2,FALSE),"")</f>
        <v/>
      </c>
      <c r="J12" s="136" t="str">
        <f>IFERROR(VLOOKUP($A12,TableHandbook[],J$2,FALSE),"")</f>
        <v/>
      </c>
      <c r="K12" s="137" t="str">
        <f>IFERROR(VLOOKUP($A12,TableHandbook[],K$2,FALSE),"")</f>
        <v/>
      </c>
      <c r="L12" s="28"/>
      <c r="M12" s="105">
        <v>5</v>
      </c>
      <c r="N12" s="138"/>
      <c r="O12" s="138"/>
    </row>
    <row r="13" spans="1:16" s="139" customFormat="1" ht="5.0999999999999996" customHeight="1" x14ac:dyDescent="0.15">
      <c r="A13" s="140"/>
      <c r="B13" s="141"/>
      <c r="C13" s="141"/>
      <c r="D13" s="142"/>
      <c r="E13" s="141"/>
      <c r="F13" s="143"/>
      <c r="G13" s="141"/>
      <c r="H13" s="144"/>
      <c r="I13" s="145"/>
      <c r="J13" s="144"/>
      <c r="K13" s="145"/>
      <c r="L13" s="81"/>
      <c r="M13" s="105"/>
      <c r="N13" s="138"/>
      <c r="O13" s="138"/>
      <c r="P13" s="138"/>
    </row>
    <row r="14" spans="1:16" s="139" customFormat="1" ht="20.100000000000001" customHeight="1" x14ac:dyDescent="0.15">
      <c r="A14" s="132" t="str">
        <f>IFERROR(IF(HLOOKUP($L$5,RangeUnitsets,M14,FALSE)=0,"",HLOOKUP($L$5,RangeUnitsets,M14,FALSE)),"")</f>
        <v/>
      </c>
      <c r="B14" s="146" t="str">
        <f>IFERROR(IF(VLOOKUP($A14,TableHandbook[],2,FALSE)=0,"",VLOOKUP($A14,TableHandbook[],2,FALSE)),"")</f>
        <v/>
      </c>
      <c r="C14" s="146" t="str">
        <f>IFERROR(IF(VLOOKUP($A14,TableHandbook[],3,FALSE)=0,"",VLOOKUP($A14,TableHandbook[],3,FALSE)),"")</f>
        <v/>
      </c>
      <c r="D14" s="134" t="str">
        <f>IFERROR(IF(VLOOKUP($A14,TableHandbook[],4,FALSE)=0,"",VLOOKUP($A14,TableHandbook[],4,FALSE)),"")</f>
        <v/>
      </c>
      <c r="E14" s="133" t="str">
        <f>IF(OR(A14="",A14="-"),"",VLOOKUP($D$6,TableStudyPeriods[],3,FALSE))</f>
        <v/>
      </c>
      <c r="F14" s="135" t="str">
        <f>IFERROR(IF(VLOOKUP($A14,TableHandbook[],6,FALSE)=0,"",VLOOKUP($A14,TableHandbook[],6,FALSE)),"")</f>
        <v/>
      </c>
      <c r="G14" s="146"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29"/>
      <c r="M14" s="105">
        <v>6</v>
      </c>
      <c r="N14" s="138"/>
      <c r="O14" s="138"/>
    </row>
    <row r="15" spans="1:16" s="150" customFormat="1" ht="20.100000000000001" customHeight="1" x14ac:dyDescent="0.15">
      <c r="A15" s="132" t="str">
        <f>IFERROR(IF(HLOOKUP($L$5,RangeUnitsets,M15,FALSE)=0,"",HLOOKUP($L$5,RangeUnitsets,M15,FALSE)),"")</f>
        <v/>
      </c>
      <c r="B15" s="146" t="str">
        <f>IFERROR(IF(VLOOKUP($A15,TableHandbook[],2,FALSE)=0,"",VLOOKUP($A15,TableHandbook[],2,FALSE)),"")</f>
        <v/>
      </c>
      <c r="C15" s="146" t="str">
        <f>IFERROR(IF(VLOOKUP($A15,TableHandbook[],3,FALSE)=0,"",VLOOKUP($A15,TableHandbook[],3,FALSE)),"")</f>
        <v/>
      </c>
      <c r="D15" s="134" t="str">
        <f>IFERROR(IF(VLOOKUP($A15,TableHandbook[],4,FALSE)=0,"",VLOOKUP($A15,TableHandbook[],4,FALSE)),"")</f>
        <v/>
      </c>
      <c r="E15" s="133" t="str">
        <f>IF(OR(A15="",A15="-"),"",E14)</f>
        <v/>
      </c>
      <c r="F15" s="135" t="str">
        <f>IFERROR(IF(VLOOKUP($A15,TableHandbook[],6,FALSE)=0,"",VLOOKUP($A15,TableHandbook[],6,FALSE)),"")</f>
        <v/>
      </c>
      <c r="G15" s="146" t="str">
        <f>IFERROR(IF(VLOOKUP($A15,TableHandbook[],5,FALSE)=0,"",VLOOKUP($A15,TableHandbook[],5,FALSE)),"")</f>
        <v/>
      </c>
      <c r="H15" s="147" t="str">
        <f>IFERROR(VLOOKUP($A15,TableHandbook[],H$2,FALSE),"")</f>
        <v/>
      </c>
      <c r="I15" s="148" t="str">
        <f>IFERROR(VLOOKUP($A15,TableHandbook[],I$2,FALSE),"")</f>
        <v/>
      </c>
      <c r="J15" s="147" t="str">
        <f>IFERROR(VLOOKUP($A15,TableHandbook[],J$2,FALSE),"")</f>
        <v/>
      </c>
      <c r="K15" s="148" t="str">
        <f>IFERROR(VLOOKUP($A15,TableHandbook[],K$2,FALSE),"")</f>
        <v/>
      </c>
      <c r="L15" s="29"/>
      <c r="M15" s="105">
        <v>7</v>
      </c>
      <c r="N15" s="149"/>
      <c r="O15" s="149"/>
    </row>
    <row r="16" spans="1:16" s="150" customFormat="1" ht="20.100000000000001" customHeight="1" x14ac:dyDescent="0.15">
      <c r="A16" s="132" t="str">
        <f>IFERROR(IF(HLOOKUP($L$5,RangeUnitsets,M16,FALSE)=0,"",HLOOKUP($L$5,RangeUnitsets,M16,FALSE)),"")</f>
        <v/>
      </c>
      <c r="B16" s="146" t="str">
        <f>IFERROR(IF(VLOOKUP($A16,TableHandbook[],2,FALSE)=0,"",VLOOKUP($A16,TableHandbook[],2,FALSE)),"")</f>
        <v/>
      </c>
      <c r="C16" s="146" t="str">
        <f>IFERROR(IF(VLOOKUP($A16,TableHandbook[],3,FALSE)=0,"",VLOOKUP($A16,TableHandbook[],3,FALSE)),"")</f>
        <v/>
      </c>
      <c r="D16" s="134" t="str">
        <f>IFERROR(IF(VLOOKUP($A16,TableHandbook[],4,FALSE)=0,"",VLOOKUP($A16,TableHandbook[],4,FALSE)),"")</f>
        <v/>
      </c>
      <c r="E16" s="133" t="str">
        <f>IF(OR(A16="",A16="-"),"",E14)</f>
        <v/>
      </c>
      <c r="F16" s="135" t="str">
        <f>IFERROR(IF(VLOOKUP($A16,TableHandbook[],6,FALSE)=0,"",VLOOKUP($A16,TableHandbook[],6,FALSE)),"")</f>
        <v/>
      </c>
      <c r="G16" s="146" t="str">
        <f>IFERROR(IF(VLOOKUP($A16,TableHandbook[],5,FALSE)=0,"",VLOOKUP($A16,TableHandbook[],5,FALSE)),"")</f>
        <v/>
      </c>
      <c r="H16" s="147" t="str">
        <f>IFERROR(VLOOKUP($A16,TableHandbook[],H$2,FALSE),"")</f>
        <v/>
      </c>
      <c r="I16" s="148" t="str">
        <f>IFERROR(VLOOKUP($A16,TableHandbook[],I$2,FALSE),"")</f>
        <v/>
      </c>
      <c r="J16" s="147" t="str">
        <f>IFERROR(VLOOKUP($A16,TableHandbook[],J$2,FALSE),"")</f>
        <v/>
      </c>
      <c r="K16" s="148" t="str">
        <f>IFERROR(VLOOKUP($A16,TableHandbook[],K$2,FALSE),"")</f>
        <v/>
      </c>
      <c r="L16" s="29"/>
      <c r="M16" s="105">
        <v>8</v>
      </c>
      <c r="N16" s="149"/>
      <c r="O16" s="149"/>
    </row>
    <row r="17" spans="1:16" s="150" customFormat="1" ht="20.100000000000001" customHeight="1" x14ac:dyDescent="0.15">
      <c r="A17" s="132" t="str">
        <f>IFERROR(IF(HLOOKUP($L$5,RangeUnitsets,M17,FALSE)=0,"",HLOOKUP($L$5,RangeUnitsets,M17,FALSE)),"")</f>
        <v/>
      </c>
      <c r="B17" s="146" t="str">
        <f>IFERROR(IF(VLOOKUP($A17,TableHandbook[],2,FALSE)=0,"",VLOOKUP($A17,TableHandbook[],2,FALSE)),"")</f>
        <v/>
      </c>
      <c r="C17" s="146" t="str">
        <f>IFERROR(IF(VLOOKUP($A17,TableHandbook[],3,FALSE)=0,"",VLOOKUP($A17,TableHandbook[],3,FALSE)),"")</f>
        <v/>
      </c>
      <c r="D17" s="151" t="str">
        <f>IFERROR(IF(VLOOKUP($A17,TableHandbook[],4,FALSE)=0,"",VLOOKUP($A17,TableHandbook[],4,FALSE)),"")</f>
        <v/>
      </c>
      <c r="E17" s="146" t="str">
        <f>IF(OR(A17="",A17="-"),"",E14)</f>
        <v/>
      </c>
      <c r="F17" s="135" t="str">
        <f>IFERROR(IF(VLOOKUP($A17,TableHandbook[],6,FALSE)=0,"",VLOOKUP($A17,TableHandbook[],6,FALSE)),"")</f>
        <v/>
      </c>
      <c r="G17" s="146" t="str">
        <f>IFERROR(IF(VLOOKUP($A17,TableHandbook[],5,FALSE)=0,"",VLOOKUP($A17,TableHandbook[],5,FALSE)),"")</f>
        <v/>
      </c>
      <c r="H17" s="147" t="str">
        <f>IFERROR(VLOOKUP($A17,TableHandbook[],H$2,FALSE),"")</f>
        <v/>
      </c>
      <c r="I17" s="148" t="str">
        <f>IFERROR(VLOOKUP($A17,TableHandbook[],I$2,FALSE),"")</f>
        <v/>
      </c>
      <c r="J17" s="147" t="str">
        <f>IFERROR(VLOOKUP($A17,TableHandbook[],J$2,FALSE),"")</f>
        <v/>
      </c>
      <c r="K17" s="148" t="str">
        <f>IFERROR(VLOOKUP($A17,TableHandbook[],K$2,FALSE),"")</f>
        <v/>
      </c>
      <c r="L17" s="29"/>
      <c r="M17" s="105">
        <v>9</v>
      </c>
      <c r="N17" s="149"/>
      <c r="O17" s="149"/>
    </row>
    <row r="18" spans="1:16" s="128" customFormat="1" ht="21" x14ac:dyDescent="0.25">
      <c r="A18" s="121" t="s">
        <v>26</v>
      </c>
      <c r="B18" s="121"/>
      <c r="C18" s="121"/>
      <c r="D18" s="122" t="s">
        <v>3</v>
      </c>
      <c r="E18" s="129" t="s">
        <v>18</v>
      </c>
      <c r="F18" s="121" t="s">
        <v>19</v>
      </c>
      <c r="G18" s="121" t="s">
        <v>20</v>
      </c>
      <c r="H18" s="130" t="str">
        <f>H$8</f>
        <v>Sem1 BEN</v>
      </c>
      <c r="I18" s="131" t="str">
        <f t="shared" ref="I18:L18" si="0">I$8</f>
        <v>Sem1 FO</v>
      </c>
      <c r="J18" s="130" t="str">
        <f t="shared" si="0"/>
        <v>Sem2 BEN</v>
      </c>
      <c r="K18" s="131" t="str">
        <f t="shared" si="0"/>
        <v>Sem2 FO</v>
      </c>
      <c r="L18" s="178" t="str">
        <f t="shared" si="0"/>
        <v>Notes / Progress</v>
      </c>
      <c r="M18" s="152"/>
      <c r="N18" s="127"/>
      <c r="O18" s="127"/>
    </row>
    <row r="19" spans="1:16" s="139" customFormat="1" ht="20.100000000000001" customHeight="1" x14ac:dyDescent="0.15">
      <c r="A19" s="132" t="str">
        <f>IFERROR(IF(HLOOKUP($L$5,RangeUnitsets,M19,FALSE)=0,"",HLOOKUP($L$5,RangeUnitsets,M19,FALSE)),"")</f>
        <v/>
      </c>
      <c r="B19" s="146" t="str">
        <f>IFERROR(IF(VLOOKUP($A19,TableHandbook[],2,FALSE)=0,"",VLOOKUP($A19,TableHandbook[],2,FALSE)),"")</f>
        <v/>
      </c>
      <c r="C19" s="146" t="str">
        <f>IFERROR(IF(VLOOKUP($A19,TableHandbook[],3,FALSE)=0,"",VLOOKUP($A19,TableHandbook[],3,FALSE)),"")</f>
        <v/>
      </c>
      <c r="D19" s="153" t="str">
        <f>IFERROR(IF(VLOOKUP($A19,TableHandbook[],4,FALSE)=0,"",VLOOKUP($A19,TableHandbook[],4,FALSE)),"")</f>
        <v/>
      </c>
      <c r="E19" s="146" t="str">
        <f>IF(OR(A19="",A19="-"),"",VLOOKUP($D$6,TableStudyPeriods[],2,FALSE))</f>
        <v/>
      </c>
      <c r="F19" s="135" t="str">
        <f>IFERROR(IF(VLOOKUP($A19,TableHandbook[],6,FALSE)=0,"",VLOOKUP($A19,TableHandbook[],6,FALSE)),"")</f>
        <v/>
      </c>
      <c r="G19" s="133" t="str">
        <f>IFERROR(IF(VLOOKUP($A19,TableHandbook[],5,FALSE)=0,"",VLOOKUP($A19,TableHandbook[],5,FALSE)),"")</f>
        <v/>
      </c>
      <c r="H19" s="136" t="str">
        <f>IFERROR(VLOOKUP($A19,TableHandbook[],H$2,FALSE),"")</f>
        <v/>
      </c>
      <c r="I19" s="137" t="str">
        <f>IFERROR(VLOOKUP($A19,TableHandbook[],I$2,FALSE),"")</f>
        <v/>
      </c>
      <c r="J19" s="136" t="str">
        <f>IFERROR(VLOOKUP($A19,TableHandbook[],J$2,FALSE),"")</f>
        <v/>
      </c>
      <c r="K19" s="137" t="str">
        <f>IFERROR(VLOOKUP($A19,TableHandbook[],K$2,FALSE),"")</f>
        <v/>
      </c>
      <c r="L19" s="28"/>
      <c r="M19" s="105">
        <v>10</v>
      </c>
      <c r="N19" s="138"/>
      <c r="O19" s="138"/>
    </row>
    <row r="20" spans="1:16" s="139" customFormat="1" ht="20.100000000000001" customHeight="1" x14ac:dyDescent="0.15">
      <c r="A20" s="132" t="str">
        <f>IFERROR(IF(HLOOKUP($L$5,RangeUnitsets,M20,FALSE)=0,"",HLOOKUP($L$5,RangeUnitsets,M20,FALSE)),"")</f>
        <v/>
      </c>
      <c r="B20" s="146" t="str">
        <f>IFERROR(IF(VLOOKUP($A20,TableHandbook[],2,FALSE)=0,"",VLOOKUP($A20,TableHandbook[],2,FALSE)),"")</f>
        <v/>
      </c>
      <c r="C20" s="146" t="str">
        <f>IFERROR(IF(VLOOKUP($A20,TableHandbook[],3,FALSE)=0,"",VLOOKUP($A20,TableHandbook[],3,FALSE)),"")</f>
        <v/>
      </c>
      <c r="D20" s="151" t="str">
        <f>IFERROR(IF(VLOOKUP($A20,TableHandbook[],4,FALSE)=0,"",VLOOKUP($A20,TableHandbook[],4,FALSE)),"")</f>
        <v/>
      </c>
      <c r="E20" s="146" t="str">
        <f>IF(OR(A20="",A20="-"),"",E19)</f>
        <v/>
      </c>
      <c r="F20" s="135" t="str">
        <f>IFERROR(IF(VLOOKUP($A20,TableHandbook[],6,FALSE)=0,"",VLOOKUP($A20,TableHandbook[],6,FALSE)),"")</f>
        <v/>
      </c>
      <c r="G20" s="133" t="str">
        <f>IFERROR(IF(VLOOKUP($A20,TableHandbook[],5,FALSE)=0,"",VLOOKUP($A20,TableHandbook[],5,FALSE)),"")</f>
        <v/>
      </c>
      <c r="H20" s="136" t="str">
        <f>IFERROR(VLOOKUP($A20,TableHandbook[],H$2,FALSE),"")</f>
        <v/>
      </c>
      <c r="I20" s="137" t="str">
        <f>IFERROR(VLOOKUP($A20,TableHandbook[],I$2,FALSE),"")</f>
        <v/>
      </c>
      <c r="J20" s="136" t="str">
        <f>IFERROR(VLOOKUP($A20,TableHandbook[],J$2,FALSE),"")</f>
        <v/>
      </c>
      <c r="K20" s="137" t="str">
        <f>IFERROR(VLOOKUP($A20,TableHandbook[],K$2,FALSE),"")</f>
        <v/>
      </c>
      <c r="L20" s="28"/>
      <c r="M20" s="105">
        <v>11</v>
      </c>
      <c r="N20" s="138"/>
      <c r="O20" s="138"/>
    </row>
    <row r="21" spans="1:16" s="139" customFormat="1" ht="20.100000000000001" customHeight="1" x14ac:dyDescent="0.15">
      <c r="A21" s="132" t="str">
        <f>IFERROR(IF(HLOOKUP($L$5,RangeUnitsets,M21,FALSE)=0,"",HLOOKUP($L$5,RangeUnitsets,M21,FALSE)),"")</f>
        <v/>
      </c>
      <c r="B21" s="146" t="str">
        <f>IFERROR(IF(VLOOKUP($A21,TableHandbook[],2,FALSE)=0,"",VLOOKUP($A21,TableHandbook[],2,FALSE)),"")</f>
        <v/>
      </c>
      <c r="C21" s="146" t="str">
        <f>IFERROR(IF(VLOOKUP($A21,TableHandbook[],3,FALSE)=0,"",VLOOKUP($A21,TableHandbook[],3,FALSE)),"")</f>
        <v/>
      </c>
      <c r="D21" s="151" t="str">
        <f>IFERROR(IF(VLOOKUP($A21,TableHandbook[],4,FALSE)=0,"",VLOOKUP($A21,TableHandbook[],4,FALSE)),"")</f>
        <v/>
      </c>
      <c r="E21" s="146" t="str">
        <f>IF(OR(A21="",A21="-"),"",E19)</f>
        <v/>
      </c>
      <c r="F21" s="135" t="str">
        <f>IFERROR(IF(VLOOKUP($A21,TableHandbook[],6,FALSE)=0,"",VLOOKUP($A21,TableHandbook[],6,FALSE)),"")</f>
        <v/>
      </c>
      <c r="G21" s="133" t="str">
        <f>IFERROR(IF(VLOOKUP($A21,TableHandbook[],5,FALSE)=0,"",VLOOKUP($A21,TableHandbook[],5,FALSE)),"")</f>
        <v/>
      </c>
      <c r="H21" s="136" t="str">
        <f>IFERROR(VLOOKUP($A21,TableHandbook[],H$2,FALSE),"")</f>
        <v/>
      </c>
      <c r="I21" s="137" t="str">
        <f>IFERROR(VLOOKUP($A21,TableHandbook[],I$2,FALSE),"")</f>
        <v/>
      </c>
      <c r="J21" s="136" t="str">
        <f>IFERROR(VLOOKUP($A21,TableHandbook[],J$2,FALSE),"")</f>
        <v/>
      </c>
      <c r="K21" s="137" t="str">
        <f>IFERROR(VLOOKUP($A21,TableHandbook[],K$2,FALSE),"")</f>
        <v/>
      </c>
      <c r="L21" s="28"/>
      <c r="M21" s="105">
        <v>12</v>
      </c>
      <c r="N21" s="138"/>
      <c r="O21" s="138"/>
    </row>
    <row r="22" spans="1:16" s="139" customFormat="1" ht="20.100000000000001" customHeight="1" x14ac:dyDescent="0.15">
      <c r="A22" s="132" t="str">
        <f>IFERROR(IF(HLOOKUP($L$5,RangeUnitsets,M22,FALSE)=0,"",HLOOKUP($L$5,RangeUnitsets,M22,FALSE)),"")</f>
        <v/>
      </c>
      <c r="B22" s="146" t="str">
        <f>IFERROR(IF(VLOOKUP($A22,TableHandbook[],2,FALSE)=0,"",VLOOKUP($A22,TableHandbook[],2,FALSE)),"")</f>
        <v/>
      </c>
      <c r="C22" s="146" t="str">
        <f>IFERROR(IF(VLOOKUP($A22,TableHandbook[],3,FALSE)=0,"",VLOOKUP($A22,TableHandbook[],3,FALSE)),"")</f>
        <v/>
      </c>
      <c r="D22" s="151" t="str">
        <f>IFERROR(IF(VLOOKUP($A22,TableHandbook[],4,FALSE)=0,"",VLOOKUP($A22,TableHandbook[],4,FALSE)),"")</f>
        <v/>
      </c>
      <c r="E22" s="146" t="str">
        <f>IF(OR(A22="",A22="-"),"",E19)</f>
        <v/>
      </c>
      <c r="F22" s="135" t="str">
        <f>IFERROR(IF(VLOOKUP($A22,TableHandbook[],6,FALSE)=0,"",VLOOKUP($A22,TableHandbook[],6,FALSE)),"")</f>
        <v/>
      </c>
      <c r="G22" s="133" t="str">
        <f>IFERROR(IF(VLOOKUP($A22,TableHandbook[],5,FALSE)=0,"",VLOOKUP($A22,TableHandbook[],5,FALSE)),"")</f>
        <v/>
      </c>
      <c r="H22" s="136" t="str">
        <f>IFERROR(VLOOKUP($A22,TableHandbook[],H$2,FALSE),"")</f>
        <v/>
      </c>
      <c r="I22" s="137" t="str">
        <f>IFERROR(VLOOKUP($A22,TableHandbook[],I$2,FALSE),"")</f>
        <v/>
      </c>
      <c r="J22" s="136" t="str">
        <f>IFERROR(VLOOKUP($A22,TableHandbook[],J$2,FALSE),"")</f>
        <v/>
      </c>
      <c r="K22" s="137" t="str">
        <f>IFERROR(VLOOKUP($A22,TableHandbook[],K$2,FALSE),"")</f>
        <v/>
      </c>
      <c r="L22" s="28"/>
      <c r="M22" s="105">
        <v>13</v>
      </c>
      <c r="N22" s="138"/>
      <c r="O22" s="138"/>
    </row>
    <row r="23" spans="1:16" s="139" customFormat="1" ht="5.0999999999999996" customHeight="1" x14ac:dyDescent="0.15">
      <c r="A23" s="140"/>
      <c r="B23" s="141"/>
      <c r="C23" s="141"/>
      <c r="D23" s="142"/>
      <c r="E23" s="141"/>
      <c r="F23" s="143"/>
      <c r="G23" s="141"/>
      <c r="H23" s="144"/>
      <c r="I23" s="145"/>
      <c r="J23" s="144"/>
      <c r="K23" s="145"/>
      <c r="L23" s="81"/>
      <c r="M23" s="105"/>
      <c r="N23" s="138"/>
      <c r="O23" s="138"/>
      <c r="P23" s="138"/>
    </row>
    <row r="24" spans="1:16" s="139" customFormat="1" ht="20.100000000000001" customHeight="1" x14ac:dyDescent="0.15">
      <c r="A24" s="132" t="str">
        <f>IFERROR(IF(HLOOKUP($L$5,RangeUnitsets,M24,FALSE)=0,"",HLOOKUP($L$5,RangeUnitsets,M24,FALSE)),"")</f>
        <v/>
      </c>
      <c r="B24" s="146" t="str">
        <f>IFERROR(IF(VLOOKUP($A24,TableHandbook[],2,FALSE)=0,"",VLOOKUP($A24,TableHandbook[],2,FALSE)),"")</f>
        <v/>
      </c>
      <c r="C24" s="146" t="str">
        <f>IFERROR(IF(VLOOKUP($A24,TableHandbook[],3,FALSE)=0,"",VLOOKUP($A24,TableHandbook[],3,FALSE)),"")</f>
        <v/>
      </c>
      <c r="D24" s="151" t="str">
        <f>IFERROR(IF(VLOOKUP($A24,TableHandbook[],4,FALSE)=0,"",VLOOKUP($A24,TableHandbook[],4,FALSE)),"")</f>
        <v/>
      </c>
      <c r="E24" s="146" t="str">
        <f>IF(OR(A24="",A24="-"),"",VLOOKUP($D$6,TableStudyPeriods[],3,FALSE))</f>
        <v/>
      </c>
      <c r="F24" s="135" t="str">
        <f>IFERROR(IF(VLOOKUP($A24,TableHandbook[],6,FALSE)=0,"",VLOOKUP($A24,TableHandbook[],6,FALSE)),"")</f>
        <v/>
      </c>
      <c r="G24" s="133" t="str">
        <f>IFERROR(IF(VLOOKUP($A24,TableHandbook[],5,FALSE)=0,"",VLOOKUP($A24,TableHandbook[],5,FALSE)),"")</f>
        <v/>
      </c>
      <c r="H24" s="136" t="str">
        <f>IFERROR(VLOOKUP($A24,TableHandbook[],H$2,FALSE),"")</f>
        <v/>
      </c>
      <c r="I24" s="137" t="str">
        <f>IFERROR(VLOOKUP($A24,TableHandbook[],I$2,FALSE),"")</f>
        <v/>
      </c>
      <c r="J24" s="136" t="str">
        <f>IFERROR(VLOOKUP($A24,TableHandbook[],J$2,FALSE),"")</f>
        <v/>
      </c>
      <c r="K24" s="137" t="str">
        <f>IFERROR(VLOOKUP($A24,TableHandbook[],K$2,FALSE),"")</f>
        <v/>
      </c>
      <c r="L24" s="28"/>
      <c r="M24" s="105">
        <v>14</v>
      </c>
      <c r="N24" s="138"/>
      <c r="O24" s="138"/>
    </row>
    <row r="25" spans="1:16" s="139" customFormat="1" ht="20.100000000000001" customHeight="1" x14ac:dyDescent="0.15">
      <c r="A25" s="132" t="str">
        <f>IFERROR(IF(HLOOKUP($L$5,RangeUnitsets,M25,FALSE)=0,"",HLOOKUP($L$5,RangeUnitsets,M25,FALSE)),"")</f>
        <v/>
      </c>
      <c r="B25" s="146" t="str">
        <f>IFERROR(IF(VLOOKUP($A25,TableHandbook[],2,FALSE)=0,"",VLOOKUP($A25,TableHandbook[],2,FALSE)),"")</f>
        <v/>
      </c>
      <c r="C25" s="146" t="str">
        <f>IFERROR(IF(VLOOKUP($A25,TableHandbook[],3,FALSE)=0,"",VLOOKUP($A25,TableHandbook[],3,FALSE)),"")</f>
        <v/>
      </c>
      <c r="D25" s="151" t="str">
        <f>IFERROR(IF(VLOOKUP($A25,TableHandbook[],4,FALSE)=0,"",VLOOKUP($A25,TableHandbook[],4,FALSE)),"")</f>
        <v/>
      </c>
      <c r="E25" s="146" t="str">
        <f>IF(OR(A25="",A25="-"),"",E24)</f>
        <v/>
      </c>
      <c r="F25" s="135" t="str">
        <f>IFERROR(IF(VLOOKUP($A25,TableHandbook[],6,FALSE)=0,"",VLOOKUP($A25,TableHandbook[],6,FALSE)),"")</f>
        <v/>
      </c>
      <c r="G25" s="133" t="str">
        <f>IFERROR(IF(VLOOKUP($A25,TableHandbook[],5,FALSE)=0,"",VLOOKUP($A25,TableHandbook[],5,FALSE)),"")</f>
        <v/>
      </c>
      <c r="H25" s="136" t="str">
        <f>IFERROR(VLOOKUP($A25,TableHandbook[],H$2,FALSE),"")</f>
        <v/>
      </c>
      <c r="I25" s="137" t="str">
        <f>IFERROR(VLOOKUP($A25,TableHandbook[],I$2,FALSE),"")</f>
        <v/>
      </c>
      <c r="J25" s="136" t="str">
        <f>IFERROR(VLOOKUP($A25,TableHandbook[],J$2,FALSE),"")</f>
        <v/>
      </c>
      <c r="K25" s="137" t="str">
        <f>IFERROR(VLOOKUP($A25,TableHandbook[],K$2,FALSE),"")</f>
        <v/>
      </c>
      <c r="L25" s="28"/>
      <c r="M25" s="105">
        <v>15</v>
      </c>
      <c r="N25" s="138"/>
      <c r="O25" s="138"/>
    </row>
    <row r="26" spans="1:16" s="150" customFormat="1" ht="20.100000000000001" customHeight="1" x14ac:dyDescent="0.15">
      <c r="A26" s="132" t="str">
        <f>IFERROR(IF(HLOOKUP($L$5,RangeUnitsets,M26,FALSE)=0,"",HLOOKUP($L$5,RangeUnitsets,M26,FALSE)),"")</f>
        <v/>
      </c>
      <c r="B26" s="146" t="str">
        <f>IFERROR(IF(VLOOKUP($A26,TableHandbook[],2,FALSE)=0,"",VLOOKUP($A26,TableHandbook[],2,FALSE)),"")</f>
        <v/>
      </c>
      <c r="C26" s="146" t="str">
        <f>IFERROR(IF(VLOOKUP($A26,TableHandbook[],3,FALSE)=0,"",VLOOKUP($A26,TableHandbook[],3,FALSE)),"")</f>
        <v/>
      </c>
      <c r="D26" s="151" t="str">
        <f>IFERROR(IF(VLOOKUP($A26,TableHandbook[],4,FALSE)=0,"",VLOOKUP($A26,TableHandbook[],4,FALSE)),"")</f>
        <v/>
      </c>
      <c r="E26" s="146" t="str">
        <f>IF(OR(A26="",A26="-"),"",E24)</f>
        <v/>
      </c>
      <c r="F26" s="135" t="str">
        <f>IFERROR(IF(VLOOKUP($A26,TableHandbook[],6,FALSE)=0,"",VLOOKUP($A26,TableHandbook[],6,FALSE)),"")</f>
        <v/>
      </c>
      <c r="G26" s="133" t="str">
        <f>IFERROR(IF(VLOOKUP($A26,TableHandbook[],5,FALSE)=0,"",VLOOKUP($A26,TableHandbook[],5,FALSE)),"")</f>
        <v/>
      </c>
      <c r="H26" s="136" t="str">
        <f>IFERROR(VLOOKUP($A26,TableHandbook[],H$2,FALSE),"")</f>
        <v/>
      </c>
      <c r="I26" s="137" t="str">
        <f>IFERROR(VLOOKUP($A26,TableHandbook[],I$2,FALSE),"")</f>
        <v/>
      </c>
      <c r="J26" s="136" t="str">
        <f>IFERROR(VLOOKUP($A26,TableHandbook[],J$2,FALSE),"")</f>
        <v/>
      </c>
      <c r="K26" s="137" t="str">
        <f>IFERROR(VLOOKUP($A26,TableHandbook[],K$2,FALSE),"")</f>
        <v/>
      </c>
      <c r="L26" s="28"/>
      <c r="M26" s="105">
        <v>16</v>
      </c>
      <c r="N26" s="149"/>
      <c r="O26" s="149"/>
    </row>
    <row r="27" spans="1:16" s="150" customFormat="1" ht="20.100000000000001" customHeight="1" x14ac:dyDescent="0.15">
      <c r="A27" s="132" t="str">
        <f>IFERROR(IF(HLOOKUP($L$5,RangeUnitsets,M27,FALSE)=0,"",HLOOKUP($L$5,RangeUnitsets,M27,FALSE)),"")</f>
        <v/>
      </c>
      <c r="B27" s="146" t="str">
        <f>IFERROR(IF(VLOOKUP($A27,TableHandbook[],2,FALSE)=0,"",VLOOKUP($A27,TableHandbook[],2,FALSE)),"")</f>
        <v/>
      </c>
      <c r="C27" s="146" t="str">
        <f>IFERROR(IF(VLOOKUP($A27,TableHandbook[],3,FALSE)=0,"",VLOOKUP($A27,TableHandbook[],3,FALSE)),"")</f>
        <v/>
      </c>
      <c r="D27" s="151" t="str">
        <f>IFERROR(IF(VLOOKUP($A27,TableHandbook[],4,FALSE)=0,"",VLOOKUP($A27,TableHandbook[],4,FALSE)),"")</f>
        <v/>
      </c>
      <c r="E27" s="133" t="str">
        <f>IF(OR(A27="",A27="-"),"",E24)</f>
        <v/>
      </c>
      <c r="F27" s="135" t="str">
        <f>IFERROR(IF(VLOOKUP($A27,TableHandbook[],6,FALSE)=0,"",VLOOKUP($A27,TableHandbook[],6,FALSE)),"")</f>
        <v/>
      </c>
      <c r="G27" s="133" t="str">
        <f>IFERROR(IF(VLOOKUP($A27,TableHandbook[],5,FALSE)=0,"",VLOOKUP($A27,TableHandbook[],5,FALSE)),"")</f>
        <v/>
      </c>
      <c r="H27" s="136" t="str">
        <f>IFERROR(VLOOKUP($A27,TableHandbook[],H$2,FALSE),"")</f>
        <v/>
      </c>
      <c r="I27" s="137" t="str">
        <f>IFERROR(VLOOKUP($A27,TableHandbook[],I$2,FALSE),"")</f>
        <v/>
      </c>
      <c r="J27" s="136" t="str">
        <f>IFERROR(VLOOKUP($A27,TableHandbook[],J$2,FALSE),"")</f>
        <v/>
      </c>
      <c r="K27" s="137" t="str">
        <f>IFERROR(VLOOKUP($A27,TableHandbook[],K$2,FALSE),"")</f>
        <v/>
      </c>
      <c r="L27" s="28"/>
      <c r="M27" s="105">
        <v>17</v>
      </c>
      <c r="N27" s="149"/>
      <c r="O27" s="149"/>
    </row>
    <row r="28" spans="1:16" s="160" customFormat="1" ht="13.9" customHeight="1" x14ac:dyDescent="0.2">
      <c r="A28" s="154"/>
      <c r="B28" s="154"/>
      <c r="C28" s="154"/>
      <c r="D28" s="155"/>
      <c r="E28" s="155"/>
      <c r="F28" s="156"/>
      <c r="G28" s="156"/>
      <c r="H28" s="156"/>
      <c r="I28" s="156"/>
      <c r="J28" s="156"/>
      <c r="K28" s="156"/>
      <c r="L28" s="157"/>
      <c r="M28" s="158"/>
      <c r="N28" s="159"/>
      <c r="O28" s="159"/>
    </row>
    <row r="29" spans="1:16" ht="17.25" x14ac:dyDescent="0.25">
      <c r="A29" s="161" t="s">
        <v>27</v>
      </c>
      <c r="B29" s="121"/>
      <c r="C29" s="121"/>
      <c r="D29" s="122"/>
      <c r="E29" s="129"/>
      <c r="F29" s="121"/>
      <c r="G29" s="121"/>
      <c r="H29" s="124" t="str">
        <f>H7</f>
        <v>2025 Availabilities</v>
      </c>
      <c r="I29" s="129"/>
      <c r="J29" s="129"/>
      <c r="K29" s="131"/>
      <c r="L29" s="162" t="e">
        <f>VLOOKUP(D5,TableCourses[],2,FALSE)</f>
        <v>#N/A</v>
      </c>
      <c r="M29" s="163"/>
    </row>
    <row r="30" spans="1:16" s="165" customFormat="1" ht="21" x14ac:dyDescent="0.25">
      <c r="A30" s="121"/>
      <c r="B30" s="121"/>
      <c r="C30" s="121"/>
      <c r="D30" s="164" t="s">
        <v>3</v>
      </c>
      <c r="E30" s="129"/>
      <c r="F30" s="121" t="s">
        <v>19</v>
      </c>
      <c r="G30" s="121" t="s">
        <v>20</v>
      </c>
      <c r="H30" s="130" t="str">
        <f>H$8</f>
        <v>Sem1 BEN</v>
      </c>
      <c r="I30" s="131" t="str">
        <f t="shared" ref="I30:L30" si="1">I$8</f>
        <v>Sem1 FO</v>
      </c>
      <c r="J30" s="130" t="str">
        <f t="shared" si="1"/>
        <v>Sem2 BEN</v>
      </c>
      <c r="K30" s="131" t="str">
        <f t="shared" si="1"/>
        <v>Sem2 FO</v>
      </c>
      <c r="L30" s="121" t="str">
        <f t="shared" si="1"/>
        <v>Notes / Progress</v>
      </c>
      <c r="M30" s="163"/>
    </row>
    <row r="31" spans="1:16" x14ac:dyDescent="0.25">
      <c r="A31" s="166" t="str">
        <f t="shared" ref="A31:A53" si="2">IFERROR(IF(HLOOKUP($L$29,RangeOptions,$M31,FALSE)=0,"",HLOOKUP($L$29,RangeOptions,$M31,FALSE)),"")</f>
        <v/>
      </c>
      <c r="B31" s="167" t="str">
        <f>IFERROR(IF(VLOOKUP($A31,TableHandbook[],2,FALSE)=0,"",VLOOKUP($A31,TableHandbook[],2,FALSE)),"")</f>
        <v/>
      </c>
      <c r="C31" s="168" t="str">
        <f>IFERROR(IF(VLOOKUP($A31,TableHandbook[],3,FALSE)=0,"",VLOOKUP($A31,TableHandbook[],3,FALSE)),"")</f>
        <v/>
      </c>
      <c r="D31" s="169" t="str">
        <f>IFERROR(IF(VLOOKUP($A31,TableHandbook[],4,FALSE)=0,"",VLOOKUP($A31,TableHandbook[],4,FALSE)),"")</f>
        <v/>
      </c>
      <c r="E31" s="170"/>
      <c r="F31" s="171" t="str">
        <f>IFERROR(IF(VLOOKUP($A31,TableHandbook[],6,FALSE)=0,"",VLOOKUP($A31,TableHandbook[],6,FALSE)),"")</f>
        <v/>
      </c>
      <c r="G31" s="171" t="str">
        <f>IFERROR(IF(VLOOKUP($A31,TableHandbook[],5,FALSE)=0,"",VLOOKUP($A31,TableHandbook[],5,FALSE)),"")</f>
        <v/>
      </c>
      <c r="H31" s="136" t="str">
        <f>IFERROR(VLOOKUP($A31,TableHandbook[],H$2,FALSE),"")</f>
        <v/>
      </c>
      <c r="I31" s="137" t="str">
        <f>IFERROR(VLOOKUP($A31,TableHandbook[],I$2,FALSE),"")</f>
        <v/>
      </c>
      <c r="J31" s="136" t="str">
        <f>IFERROR(VLOOKUP($A31,TableHandbook[],J$2,FALSE),"")</f>
        <v/>
      </c>
      <c r="K31" s="137" t="str">
        <f>IFERROR(VLOOKUP($A31,TableHandbook[],K$2,FALSE),"")</f>
        <v/>
      </c>
      <c r="L31" s="29"/>
      <c r="M31" s="105">
        <v>2</v>
      </c>
    </row>
    <row r="32" spans="1:16" x14ac:dyDescent="0.25">
      <c r="A32" s="166" t="str">
        <f t="shared" si="2"/>
        <v/>
      </c>
      <c r="B32" s="167" t="str">
        <f>IFERROR(IF(VLOOKUP($A32,TableHandbook[],2,FALSE)=0,"",VLOOKUP($A32,TableHandbook[],2,FALSE)),"")</f>
        <v/>
      </c>
      <c r="C32" s="168" t="str">
        <f>IFERROR(IF(VLOOKUP($A32,TableHandbook[],3,FALSE)=0,"",VLOOKUP($A32,TableHandbook[],3,FALSE)),"")</f>
        <v/>
      </c>
      <c r="D32" s="169" t="str">
        <f>IFERROR(IF(VLOOKUP($A32,TableHandbook[],4,FALSE)=0,"",VLOOKUP($A32,TableHandbook[],4,FALSE)),"")</f>
        <v/>
      </c>
      <c r="E32" s="170"/>
      <c r="F32" s="171" t="str">
        <f>IFERROR(IF(VLOOKUP($A32,TableHandbook[],6,FALSE)=0,"",VLOOKUP($A32,TableHandbook[],6,FALSE)),"")</f>
        <v/>
      </c>
      <c r="G32" s="171" t="str">
        <f>IFERROR(IF(VLOOKUP($A32,TableHandbook[],5,FALSE)=0,"",VLOOKUP($A32,TableHandbook[],5,FALSE)),"")</f>
        <v/>
      </c>
      <c r="H32" s="136" t="str">
        <f>IFERROR(VLOOKUP($A32,TableHandbook[],H$2,FALSE),"")</f>
        <v/>
      </c>
      <c r="I32" s="137" t="str">
        <f>IFERROR(VLOOKUP($A32,TableHandbook[],I$2,FALSE),"")</f>
        <v/>
      </c>
      <c r="J32" s="136" t="str">
        <f>IFERROR(VLOOKUP($A32,TableHandbook[],J$2,FALSE),"")</f>
        <v/>
      </c>
      <c r="K32" s="137" t="str">
        <f>IFERROR(VLOOKUP($A32,TableHandbook[],K$2,FALSE),"")</f>
        <v/>
      </c>
      <c r="L32" s="29"/>
      <c r="M32" s="105">
        <v>3</v>
      </c>
    </row>
    <row r="33" spans="1:13" x14ac:dyDescent="0.25">
      <c r="A33" s="166" t="str">
        <f t="shared" si="2"/>
        <v/>
      </c>
      <c r="B33" s="167" t="str">
        <f>IFERROR(IF(VLOOKUP($A33,TableHandbook[],2,FALSE)=0,"",VLOOKUP($A33,TableHandbook[],2,FALSE)),"")</f>
        <v/>
      </c>
      <c r="C33" s="168" t="str">
        <f>IFERROR(IF(VLOOKUP($A33,TableHandbook[],3,FALSE)=0,"",VLOOKUP($A33,TableHandbook[],3,FALSE)),"")</f>
        <v/>
      </c>
      <c r="D33" s="169" t="str">
        <f>IFERROR(IF(VLOOKUP($A33,TableHandbook[],4,FALSE)=0,"",VLOOKUP($A33,TableHandbook[],4,FALSE)),"")</f>
        <v/>
      </c>
      <c r="E33" s="170"/>
      <c r="F33" s="171" t="str">
        <f>IFERROR(IF(VLOOKUP($A33,TableHandbook[],6,FALSE)=0,"",VLOOKUP($A33,TableHandbook[],6,FALSE)),"")</f>
        <v/>
      </c>
      <c r="G33" s="171" t="str">
        <f>IFERROR(IF(VLOOKUP($A33,TableHandbook[],5,FALSE)=0,"",VLOOKUP($A33,TableHandbook[],5,FALSE)),"")</f>
        <v/>
      </c>
      <c r="H33" s="136" t="str">
        <f>IFERROR(VLOOKUP($A33,TableHandbook[],H$2,FALSE),"")</f>
        <v/>
      </c>
      <c r="I33" s="137" t="str">
        <f>IFERROR(VLOOKUP($A33,TableHandbook[],I$2,FALSE),"")</f>
        <v/>
      </c>
      <c r="J33" s="136" t="str">
        <f>IFERROR(VLOOKUP($A33,TableHandbook[],J$2,FALSE),"")</f>
        <v/>
      </c>
      <c r="K33" s="137" t="str">
        <f>IFERROR(VLOOKUP($A33,TableHandbook[],K$2,FALSE),"")</f>
        <v/>
      </c>
      <c r="L33" s="29"/>
      <c r="M33" s="105">
        <v>4</v>
      </c>
    </row>
    <row r="34" spans="1:13" x14ac:dyDescent="0.25">
      <c r="A34" s="166" t="str">
        <f t="shared" si="2"/>
        <v/>
      </c>
      <c r="B34" s="167" t="str">
        <f>IFERROR(IF(VLOOKUP($A34,TableHandbook[],2,FALSE)=0,"",VLOOKUP($A34,TableHandbook[],2,FALSE)),"")</f>
        <v/>
      </c>
      <c r="C34" s="168" t="str">
        <f>IFERROR(IF(VLOOKUP($A34,TableHandbook[],3,FALSE)=0,"",VLOOKUP($A34,TableHandbook[],3,FALSE)),"")</f>
        <v/>
      </c>
      <c r="D34" s="169" t="str">
        <f>IFERROR(IF(VLOOKUP($A34,TableHandbook[],4,FALSE)=0,"",VLOOKUP($A34,TableHandbook[],4,FALSE)),"")</f>
        <v/>
      </c>
      <c r="E34" s="170"/>
      <c r="F34" s="171" t="str">
        <f>IFERROR(IF(VLOOKUP($A34,TableHandbook[],6,FALSE)=0,"",VLOOKUP($A34,TableHandbook[],6,FALSE)),"")</f>
        <v/>
      </c>
      <c r="G34" s="171" t="str">
        <f>IFERROR(IF(VLOOKUP($A34,TableHandbook[],5,FALSE)=0,"",VLOOKUP($A34,TableHandbook[],5,FALSE)),"")</f>
        <v/>
      </c>
      <c r="H34" s="136" t="str">
        <f>IFERROR(VLOOKUP($A34,TableHandbook[],H$2,FALSE),"")</f>
        <v/>
      </c>
      <c r="I34" s="137" t="str">
        <f>IFERROR(VLOOKUP($A34,TableHandbook[],I$2,FALSE),"")</f>
        <v/>
      </c>
      <c r="J34" s="136" t="str">
        <f>IFERROR(VLOOKUP($A34,TableHandbook[],J$2,FALSE),"")</f>
        <v/>
      </c>
      <c r="K34" s="137" t="str">
        <f>IFERROR(VLOOKUP($A34,TableHandbook[],K$2,FALSE),"")</f>
        <v/>
      </c>
      <c r="L34" s="29"/>
      <c r="M34" s="105">
        <v>5</v>
      </c>
    </row>
    <row r="35" spans="1:13" x14ac:dyDescent="0.25">
      <c r="A35" s="166" t="str">
        <f t="shared" si="2"/>
        <v/>
      </c>
      <c r="B35" s="167" t="str">
        <f>IFERROR(IF(VLOOKUP($A35,TableHandbook[],2,FALSE)=0,"",VLOOKUP($A35,TableHandbook[],2,FALSE)),"")</f>
        <v/>
      </c>
      <c r="C35" s="168" t="str">
        <f>IFERROR(IF(VLOOKUP($A35,TableHandbook[],3,FALSE)=0,"",VLOOKUP($A35,TableHandbook[],3,FALSE)),"")</f>
        <v/>
      </c>
      <c r="D35" s="169" t="str">
        <f>IFERROR(IF(VLOOKUP($A35,TableHandbook[],4,FALSE)=0,"",VLOOKUP($A35,TableHandbook[],4,FALSE)),"")</f>
        <v/>
      </c>
      <c r="E35" s="170"/>
      <c r="F35" s="171" t="str">
        <f>IFERROR(IF(VLOOKUP($A35,TableHandbook[],6,FALSE)=0,"",VLOOKUP($A35,TableHandbook[],6,FALSE)),"")</f>
        <v/>
      </c>
      <c r="G35" s="171" t="str">
        <f>IFERROR(IF(VLOOKUP($A35,TableHandbook[],5,FALSE)=0,"",VLOOKUP($A35,TableHandbook[],5,FALSE)),"")</f>
        <v/>
      </c>
      <c r="H35" s="136" t="str">
        <f>IFERROR(VLOOKUP($A35,TableHandbook[],H$2,FALSE),"")</f>
        <v/>
      </c>
      <c r="I35" s="137" t="str">
        <f>IFERROR(VLOOKUP($A35,TableHandbook[],I$2,FALSE),"")</f>
        <v/>
      </c>
      <c r="J35" s="136" t="str">
        <f>IFERROR(VLOOKUP($A35,TableHandbook[],J$2,FALSE),"")</f>
        <v/>
      </c>
      <c r="K35" s="137" t="str">
        <f>IFERROR(VLOOKUP($A35,TableHandbook[],K$2,FALSE),"")</f>
        <v/>
      </c>
      <c r="L35" s="29"/>
      <c r="M35" s="105">
        <v>6</v>
      </c>
    </row>
    <row r="36" spans="1:13" x14ac:dyDescent="0.25">
      <c r="A36" s="166" t="str">
        <f t="shared" si="2"/>
        <v/>
      </c>
      <c r="B36" s="167" t="str">
        <f>IFERROR(IF(VLOOKUP($A36,TableHandbook[],2,FALSE)=0,"",VLOOKUP($A36,TableHandbook[],2,FALSE)),"")</f>
        <v/>
      </c>
      <c r="C36" s="168" t="str">
        <f>IFERROR(IF(VLOOKUP($A36,TableHandbook[],3,FALSE)=0,"",VLOOKUP($A36,TableHandbook[],3,FALSE)),"")</f>
        <v/>
      </c>
      <c r="D36" s="169" t="str">
        <f>IFERROR(IF(VLOOKUP($A36,TableHandbook[],4,FALSE)=0,"",VLOOKUP($A36,TableHandbook[],4,FALSE)),"")</f>
        <v/>
      </c>
      <c r="E36" s="170"/>
      <c r="F36" s="171" t="str">
        <f>IFERROR(IF(VLOOKUP($A36,TableHandbook[],6,FALSE)=0,"",VLOOKUP($A36,TableHandbook[],6,FALSE)),"")</f>
        <v/>
      </c>
      <c r="G36" s="171" t="str">
        <f>IFERROR(IF(VLOOKUP($A36,TableHandbook[],5,FALSE)=0,"",VLOOKUP($A36,TableHandbook[],5,FALSE)),"")</f>
        <v/>
      </c>
      <c r="H36" s="136" t="str">
        <f>IFERROR(VLOOKUP($A36,TableHandbook[],H$2,FALSE),"")</f>
        <v/>
      </c>
      <c r="I36" s="137" t="str">
        <f>IFERROR(VLOOKUP($A36,TableHandbook[],I$2,FALSE),"")</f>
        <v/>
      </c>
      <c r="J36" s="136" t="str">
        <f>IFERROR(VLOOKUP($A36,TableHandbook[],J$2,FALSE),"")</f>
        <v/>
      </c>
      <c r="K36" s="137" t="str">
        <f>IFERROR(VLOOKUP($A36,TableHandbook[],K$2,FALSE),"")</f>
        <v/>
      </c>
      <c r="L36" s="29"/>
      <c r="M36" s="105">
        <v>7</v>
      </c>
    </row>
    <row r="37" spans="1:13" x14ac:dyDescent="0.25">
      <c r="A37" s="166" t="str">
        <f t="shared" si="2"/>
        <v/>
      </c>
      <c r="B37" s="167" t="str">
        <f>IFERROR(IF(VLOOKUP($A37,TableHandbook[],2,FALSE)=0,"",VLOOKUP($A37,TableHandbook[],2,FALSE)),"")</f>
        <v/>
      </c>
      <c r="C37" s="168" t="str">
        <f>IFERROR(IF(VLOOKUP($A37,TableHandbook[],3,FALSE)=0,"",VLOOKUP($A37,TableHandbook[],3,FALSE)),"")</f>
        <v/>
      </c>
      <c r="D37" s="169" t="str">
        <f>IFERROR(IF(VLOOKUP($A37,TableHandbook[],4,FALSE)=0,"",VLOOKUP($A37,TableHandbook[],4,FALSE)),"")</f>
        <v/>
      </c>
      <c r="E37" s="170"/>
      <c r="F37" s="171" t="str">
        <f>IFERROR(IF(VLOOKUP($A37,TableHandbook[],6,FALSE)=0,"",VLOOKUP($A37,TableHandbook[],6,FALSE)),"")</f>
        <v/>
      </c>
      <c r="G37" s="171" t="str">
        <f>IFERROR(IF(VLOOKUP($A37,TableHandbook[],5,FALSE)=0,"",VLOOKUP($A37,TableHandbook[],5,FALSE)),"")</f>
        <v/>
      </c>
      <c r="H37" s="136" t="str">
        <f>IFERROR(VLOOKUP($A37,TableHandbook[],H$2,FALSE),"")</f>
        <v/>
      </c>
      <c r="I37" s="137" t="str">
        <f>IFERROR(VLOOKUP($A37,TableHandbook[],I$2,FALSE),"")</f>
        <v/>
      </c>
      <c r="J37" s="136" t="str">
        <f>IFERROR(VLOOKUP($A37,TableHandbook[],J$2,FALSE),"")</f>
        <v/>
      </c>
      <c r="K37" s="137" t="str">
        <f>IFERROR(VLOOKUP($A37,TableHandbook[],K$2,FALSE),"")</f>
        <v/>
      </c>
      <c r="L37" s="29"/>
      <c r="M37" s="105">
        <v>8</v>
      </c>
    </row>
    <row r="38" spans="1:13" x14ac:dyDescent="0.25">
      <c r="A38" s="166" t="str">
        <f t="shared" si="2"/>
        <v/>
      </c>
      <c r="B38" s="167" t="str">
        <f>IFERROR(IF(VLOOKUP($A38,TableHandbook[],2,FALSE)=0,"",VLOOKUP($A38,TableHandbook[],2,FALSE)),"")</f>
        <v/>
      </c>
      <c r="C38" s="168" t="str">
        <f>IFERROR(IF(VLOOKUP($A38,TableHandbook[],3,FALSE)=0,"",VLOOKUP($A38,TableHandbook[],3,FALSE)),"")</f>
        <v/>
      </c>
      <c r="D38" s="169" t="str">
        <f>IFERROR(IF(VLOOKUP($A38,TableHandbook[],4,FALSE)=0,"",VLOOKUP($A38,TableHandbook[],4,FALSE)),"")</f>
        <v/>
      </c>
      <c r="E38" s="170"/>
      <c r="F38" s="171" t="str">
        <f>IFERROR(IF(VLOOKUP($A38,TableHandbook[],6,FALSE)=0,"",VLOOKUP($A38,TableHandbook[],6,FALSE)),"")</f>
        <v/>
      </c>
      <c r="G38" s="171" t="str">
        <f>IFERROR(IF(VLOOKUP($A38,TableHandbook[],5,FALSE)=0,"",VLOOKUP($A38,TableHandbook[],5,FALSE)),"")</f>
        <v/>
      </c>
      <c r="H38" s="136" t="str">
        <f>IFERROR(VLOOKUP($A38,TableHandbook[],H$2,FALSE),"")</f>
        <v/>
      </c>
      <c r="I38" s="137" t="str">
        <f>IFERROR(VLOOKUP($A38,TableHandbook[],I$2,FALSE),"")</f>
        <v/>
      </c>
      <c r="J38" s="136" t="str">
        <f>IFERROR(VLOOKUP($A38,TableHandbook[],J$2,FALSE),"")</f>
        <v/>
      </c>
      <c r="K38" s="137" t="str">
        <f>IFERROR(VLOOKUP($A38,TableHandbook[],K$2,FALSE),"")</f>
        <v/>
      </c>
      <c r="L38" s="29"/>
      <c r="M38" s="105">
        <v>9</v>
      </c>
    </row>
    <row r="39" spans="1:13" x14ac:dyDescent="0.25">
      <c r="A39" s="166" t="str">
        <f t="shared" si="2"/>
        <v/>
      </c>
      <c r="B39" s="167" t="str">
        <f>IFERROR(IF(VLOOKUP($A39,TableHandbook[],2,FALSE)=0,"",VLOOKUP($A39,TableHandbook[],2,FALSE)),"")</f>
        <v/>
      </c>
      <c r="C39" s="168" t="str">
        <f>IFERROR(IF(VLOOKUP($A39,TableHandbook[],3,FALSE)=0,"",VLOOKUP($A39,TableHandbook[],3,FALSE)),"")</f>
        <v/>
      </c>
      <c r="D39" s="169" t="str">
        <f>IFERROR(IF(VLOOKUP($A39,TableHandbook[],4,FALSE)=0,"",VLOOKUP($A39,TableHandbook[],4,FALSE)),"")</f>
        <v/>
      </c>
      <c r="E39" s="170"/>
      <c r="F39" s="171" t="str">
        <f>IFERROR(IF(VLOOKUP($A39,TableHandbook[],6,FALSE)=0,"",VLOOKUP($A39,TableHandbook[],6,FALSE)),"")</f>
        <v/>
      </c>
      <c r="G39" s="171" t="str">
        <f>IFERROR(IF(VLOOKUP($A39,TableHandbook[],5,FALSE)=0,"",VLOOKUP($A39,TableHandbook[],5,FALSE)),"")</f>
        <v/>
      </c>
      <c r="H39" s="136" t="str">
        <f>IFERROR(VLOOKUP($A39,TableHandbook[],H$2,FALSE),"")</f>
        <v/>
      </c>
      <c r="I39" s="137" t="str">
        <f>IFERROR(VLOOKUP($A39,TableHandbook[],I$2,FALSE),"")</f>
        <v/>
      </c>
      <c r="J39" s="136" t="str">
        <f>IFERROR(VLOOKUP($A39,TableHandbook[],J$2,FALSE),"")</f>
        <v/>
      </c>
      <c r="K39" s="137" t="str">
        <f>IFERROR(VLOOKUP($A39,TableHandbook[],K$2,FALSE),"")</f>
        <v/>
      </c>
      <c r="L39" s="29"/>
      <c r="M39" s="105">
        <v>10</v>
      </c>
    </row>
    <row r="40" spans="1:13" x14ac:dyDescent="0.25">
      <c r="A40" s="166" t="str">
        <f t="shared" si="2"/>
        <v/>
      </c>
      <c r="B40" s="167" t="str">
        <f>IFERROR(IF(VLOOKUP($A40,TableHandbook[],2,FALSE)=0,"",VLOOKUP($A40,TableHandbook[],2,FALSE)),"")</f>
        <v/>
      </c>
      <c r="C40" s="168" t="str">
        <f>IFERROR(IF(VLOOKUP($A40,TableHandbook[],3,FALSE)=0,"",VLOOKUP($A40,TableHandbook[],3,FALSE)),"")</f>
        <v/>
      </c>
      <c r="D40" s="169" t="str">
        <f>IFERROR(IF(VLOOKUP($A40,TableHandbook[],4,FALSE)=0,"",VLOOKUP($A40,TableHandbook[],4,FALSE)),"")</f>
        <v/>
      </c>
      <c r="E40" s="170"/>
      <c r="F40" s="171" t="str">
        <f>IFERROR(IF(VLOOKUP($A40,TableHandbook[],6,FALSE)=0,"",VLOOKUP($A40,TableHandbook[],6,FALSE)),"")</f>
        <v/>
      </c>
      <c r="G40" s="171" t="str">
        <f>IFERROR(IF(VLOOKUP($A40,TableHandbook[],5,FALSE)=0,"",VLOOKUP($A40,TableHandbook[],5,FALSE)),"")</f>
        <v/>
      </c>
      <c r="H40" s="136" t="str">
        <f>IFERROR(VLOOKUP($A40,TableHandbook[],H$2,FALSE),"")</f>
        <v/>
      </c>
      <c r="I40" s="137" t="str">
        <f>IFERROR(VLOOKUP($A40,TableHandbook[],I$2,FALSE),"")</f>
        <v/>
      </c>
      <c r="J40" s="136" t="str">
        <f>IFERROR(VLOOKUP($A40,TableHandbook[],J$2,FALSE),"")</f>
        <v/>
      </c>
      <c r="K40" s="137" t="str">
        <f>IFERROR(VLOOKUP($A40,TableHandbook[],K$2,FALSE),"")</f>
        <v/>
      </c>
      <c r="L40" s="29"/>
      <c r="M40" s="105">
        <v>11</v>
      </c>
    </row>
    <row r="41" spans="1:13" x14ac:dyDescent="0.25">
      <c r="A41" s="166" t="str">
        <f t="shared" si="2"/>
        <v/>
      </c>
      <c r="B41" s="167" t="str">
        <f>IFERROR(IF(VLOOKUP($A41,TableHandbook[],2,FALSE)=0,"",VLOOKUP($A41,TableHandbook[],2,FALSE)),"")</f>
        <v/>
      </c>
      <c r="C41" s="168" t="str">
        <f>IFERROR(IF(VLOOKUP($A41,TableHandbook[],3,FALSE)=0,"",VLOOKUP($A41,TableHandbook[],3,FALSE)),"")</f>
        <v/>
      </c>
      <c r="D41" s="169" t="str">
        <f>IFERROR(IF(VLOOKUP($A41,TableHandbook[],4,FALSE)=0,"",VLOOKUP($A41,TableHandbook[],4,FALSE)),"")</f>
        <v/>
      </c>
      <c r="E41" s="170"/>
      <c r="F41" s="171" t="str">
        <f>IFERROR(IF(VLOOKUP($A41,TableHandbook[],6,FALSE)=0,"",VLOOKUP($A41,TableHandbook[],6,FALSE)),"")</f>
        <v/>
      </c>
      <c r="G41" s="171" t="str">
        <f>IFERROR(IF(VLOOKUP($A41,TableHandbook[],5,FALSE)=0,"",VLOOKUP($A41,TableHandbook[],5,FALSE)),"")</f>
        <v/>
      </c>
      <c r="H41" s="136" t="str">
        <f>IFERROR(VLOOKUP($A41,TableHandbook[],H$2,FALSE),"")</f>
        <v/>
      </c>
      <c r="I41" s="137" t="str">
        <f>IFERROR(VLOOKUP($A41,TableHandbook[],I$2,FALSE),"")</f>
        <v/>
      </c>
      <c r="J41" s="136" t="str">
        <f>IFERROR(VLOOKUP($A41,TableHandbook[],J$2,FALSE),"")</f>
        <v/>
      </c>
      <c r="K41" s="137" t="str">
        <f>IFERROR(VLOOKUP($A41,TableHandbook[],K$2,FALSE),"")</f>
        <v/>
      </c>
      <c r="L41" s="29"/>
      <c r="M41" s="105">
        <v>12</v>
      </c>
    </row>
    <row r="42" spans="1:13" x14ac:dyDescent="0.25">
      <c r="A42" s="166" t="str">
        <f t="shared" si="2"/>
        <v/>
      </c>
      <c r="B42" s="167" t="str">
        <f>IFERROR(IF(VLOOKUP($A42,TableHandbook[],2,FALSE)=0,"",VLOOKUP($A42,TableHandbook[],2,FALSE)),"")</f>
        <v/>
      </c>
      <c r="C42" s="168" t="str">
        <f>IFERROR(IF(VLOOKUP($A42,TableHandbook[],3,FALSE)=0,"",VLOOKUP($A42,TableHandbook[],3,FALSE)),"")</f>
        <v/>
      </c>
      <c r="D42" s="169" t="str">
        <f>IFERROR(IF(VLOOKUP($A42,TableHandbook[],4,FALSE)=0,"",VLOOKUP($A42,TableHandbook[],4,FALSE)),"")</f>
        <v/>
      </c>
      <c r="E42" s="170"/>
      <c r="F42" s="171" t="str">
        <f>IFERROR(IF(VLOOKUP($A42,TableHandbook[],6,FALSE)=0,"",VLOOKUP($A42,TableHandbook[],6,FALSE)),"")</f>
        <v/>
      </c>
      <c r="G42" s="171" t="str">
        <f>IFERROR(IF(VLOOKUP($A42,TableHandbook[],5,FALSE)=0,"",VLOOKUP($A42,TableHandbook[],5,FALSE)),"")</f>
        <v/>
      </c>
      <c r="H42" s="136" t="str">
        <f>IFERROR(VLOOKUP($A42,TableHandbook[],H$2,FALSE),"")</f>
        <v/>
      </c>
      <c r="I42" s="137" t="str">
        <f>IFERROR(VLOOKUP($A42,TableHandbook[],I$2,FALSE),"")</f>
        <v/>
      </c>
      <c r="J42" s="136" t="str">
        <f>IFERROR(VLOOKUP($A42,TableHandbook[],J$2,FALSE),"")</f>
        <v/>
      </c>
      <c r="K42" s="137" t="str">
        <f>IFERROR(VLOOKUP($A42,TableHandbook[],K$2,FALSE),"")</f>
        <v/>
      </c>
      <c r="L42" s="29"/>
      <c r="M42" s="105">
        <v>13</v>
      </c>
    </row>
    <row r="43" spans="1:13" x14ac:dyDescent="0.25">
      <c r="A43" s="166" t="str">
        <f t="shared" si="2"/>
        <v/>
      </c>
      <c r="B43" s="167" t="str">
        <f>IFERROR(IF(VLOOKUP($A43,TableHandbook[],2,FALSE)=0,"",VLOOKUP($A43,TableHandbook[],2,FALSE)),"")</f>
        <v/>
      </c>
      <c r="C43" s="168" t="str">
        <f>IFERROR(IF(VLOOKUP($A43,TableHandbook[],3,FALSE)=0,"",VLOOKUP($A43,TableHandbook[],3,FALSE)),"")</f>
        <v/>
      </c>
      <c r="D43" s="169" t="str">
        <f>IFERROR(IF(VLOOKUP($A43,TableHandbook[],4,FALSE)=0,"",VLOOKUP($A43,TableHandbook[],4,FALSE)),"")</f>
        <v/>
      </c>
      <c r="E43" s="170"/>
      <c r="F43" s="171" t="str">
        <f>IFERROR(IF(VLOOKUP($A43,TableHandbook[],6,FALSE)=0,"",VLOOKUP($A43,TableHandbook[],6,FALSE)),"")</f>
        <v/>
      </c>
      <c r="G43" s="171" t="str">
        <f>IFERROR(IF(VLOOKUP($A43,TableHandbook[],5,FALSE)=0,"",VLOOKUP($A43,TableHandbook[],5,FALSE)),"")</f>
        <v/>
      </c>
      <c r="H43" s="136" t="str">
        <f>IFERROR(VLOOKUP($A43,TableHandbook[],H$2,FALSE),"")</f>
        <v/>
      </c>
      <c r="I43" s="137" t="str">
        <f>IFERROR(VLOOKUP($A43,TableHandbook[],I$2,FALSE),"")</f>
        <v/>
      </c>
      <c r="J43" s="136" t="str">
        <f>IFERROR(VLOOKUP($A43,TableHandbook[],J$2,FALSE),"")</f>
        <v/>
      </c>
      <c r="K43" s="137" t="str">
        <f>IFERROR(VLOOKUP($A43,TableHandbook[],K$2,FALSE),"")</f>
        <v/>
      </c>
      <c r="L43" s="29"/>
      <c r="M43" s="105">
        <v>14</v>
      </c>
    </row>
    <row r="44" spans="1:13" x14ac:dyDescent="0.25">
      <c r="A44" s="166" t="str">
        <f t="shared" si="2"/>
        <v/>
      </c>
      <c r="B44" s="167" t="str">
        <f>IFERROR(IF(VLOOKUP($A44,TableHandbook[],2,FALSE)=0,"",VLOOKUP($A44,TableHandbook[],2,FALSE)),"")</f>
        <v/>
      </c>
      <c r="C44" s="168" t="str">
        <f>IFERROR(IF(VLOOKUP($A44,TableHandbook[],3,FALSE)=0,"",VLOOKUP($A44,TableHandbook[],3,FALSE)),"")</f>
        <v/>
      </c>
      <c r="D44" s="169" t="str">
        <f>IFERROR(IF(VLOOKUP($A44,TableHandbook[],4,FALSE)=0,"",VLOOKUP($A44,TableHandbook[],4,FALSE)),"")</f>
        <v/>
      </c>
      <c r="E44" s="170"/>
      <c r="F44" s="171" t="str">
        <f>IFERROR(IF(VLOOKUP($A44,TableHandbook[],6,FALSE)=0,"",VLOOKUP($A44,TableHandbook[],6,FALSE)),"")</f>
        <v/>
      </c>
      <c r="G44" s="171" t="str">
        <f>IFERROR(IF(VLOOKUP($A44,TableHandbook[],5,FALSE)=0,"",VLOOKUP($A44,TableHandbook[],5,FALSE)),"")</f>
        <v/>
      </c>
      <c r="H44" s="136" t="str">
        <f>IFERROR(VLOOKUP($A44,TableHandbook[],H$2,FALSE),"")</f>
        <v/>
      </c>
      <c r="I44" s="137" t="str">
        <f>IFERROR(VLOOKUP($A44,TableHandbook[],I$2,FALSE),"")</f>
        <v/>
      </c>
      <c r="J44" s="136" t="str">
        <f>IFERROR(VLOOKUP($A44,TableHandbook[],J$2,FALSE),"")</f>
        <v/>
      </c>
      <c r="K44" s="137" t="str">
        <f>IFERROR(VLOOKUP($A44,TableHandbook[],K$2,FALSE),"")</f>
        <v/>
      </c>
      <c r="L44" s="29"/>
      <c r="M44" s="105">
        <v>15</v>
      </c>
    </row>
    <row r="45" spans="1:13" x14ac:dyDescent="0.25">
      <c r="A45" s="166" t="str">
        <f t="shared" si="2"/>
        <v/>
      </c>
      <c r="B45" s="167" t="str">
        <f>IFERROR(IF(VLOOKUP($A45,TableHandbook[],2,FALSE)=0,"",VLOOKUP($A45,TableHandbook[],2,FALSE)),"")</f>
        <v/>
      </c>
      <c r="C45" s="168" t="str">
        <f>IFERROR(IF(VLOOKUP($A45,TableHandbook[],3,FALSE)=0,"",VLOOKUP($A45,TableHandbook[],3,FALSE)),"")</f>
        <v/>
      </c>
      <c r="D45" s="169" t="str">
        <f>IFERROR(IF(VLOOKUP($A45,TableHandbook[],4,FALSE)=0,"",VLOOKUP($A45,TableHandbook[],4,FALSE)),"")</f>
        <v/>
      </c>
      <c r="E45" s="170"/>
      <c r="F45" s="171" t="str">
        <f>IFERROR(IF(VLOOKUP($A45,TableHandbook[],6,FALSE)=0,"",VLOOKUP($A45,TableHandbook[],6,FALSE)),"")</f>
        <v/>
      </c>
      <c r="G45" s="171" t="str">
        <f>IFERROR(IF(VLOOKUP($A45,TableHandbook[],5,FALSE)=0,"",VLOOKUP($A45,TableHandbook[],5,FALSE)),"")</f>
        <v/>
      </c>
      <c r="H45" s="136" t="str">
        <f>IFERROR(VLOOKUP($A45,TableHandbook[],H$2,FALSE),"")</f>
        <v/>
      </c>
      <c r="I45" s="137" t="str">
        <f>IFERROR(VLOOKUP($A45,TableHandbook[],I$2,FALSE),"")</f>
        <v/>
      </c>
      <c r="J45" s="136" t="str">
        <f>IFERROR(VLOOKUP($A45,TableHandbook[],J$2,FALSE),"")</f>
        <v/>
      </c>
      <c r="K45" s="137" t="str">
        <f>IFERROR(VLOOKUP($A45,TableHandbook[],K$2,FALSE),"")</f>
        <v/>
      </c>
      <c r="L45" s="29"/>
      <c r="M45" s="105">
        <v>16</v>
      </c>
    </row>
    <row r="46" spans="1:13" x14ac:dyDescent="0.25">
      <c r="A46" s="166" t="str">
        <f t="shared" si="2"/>
        <v/>
      </c>
      <c r="B46" s="167" t="str">
        <f>IFERROR(IF(VLOOKUP($A46,TableHandbook[],2,FALSE)=0,"",VLOOKUP($A46,TableHandbook[],2,FALSE)),"")</f>
        <v/>
      </c>
      <c r="C46" s="168" t="str">
        <f>IFERROR(IF(VLOOKUP($A46,TableHandbook[],3,FALSE)=0,"",VLOOKUP($A46,TableHandbook[],3,FALSE)),"")</f>
        <v/>
      </c>
      <c r="D46" s="169" t="str">
        <f>IFERROR(IF(VLOOKUP($A46,TableHandbook[],4,FALSE)=0,"",VLOOKUP($A46,TableHandbook[],4,FALSE)),"")</f>
        <v/>
      </c>
      <c r="E46" s="170"/>
      <c r="F46" s="171" t="str">
        <f>IFERROR(IF(VLOOKUP($A46,TableHandbook[],6,FALSE)=0,"",VLOOKUP($A46,TableHandbook[],6,FALSE)),"")</f>
        <v/>
      </c>
      <c r="G46" s="171" t="str">
        <f>IFERROR(IF(VLOOKUP($A46,TableHandbook[],5,FALSE)=0,"",VLOOKUP($A46,TableHandbook[],5,FALSE)),"")</f>
        <v/>
      </c>
      <c r="H46" s="136" t="str">
        <f>IFERROR(VLOOKUP($A46,TableHandbook[],H$2,FALSE),"")</f>
        <v/>
      </c>
      <c r="I46" s="137" t="str">
        <f>IFERROR(VLOOKUP($A46,TableHandbook[],I$2,FALSE),"")</f>
        <v/>
      </c>
      <c r="J46" s="136" t="str">
        <f>IFERROR(VLOOKUP($A46,TableHandbook[],J$2,FALSE),"")</f>
        <v/>
      </c>
      <c r="K46" s="137" t="str">
        <f>IFERROR(VLOOKUP($A46,TableHandbook[],K$2,FALSE),"")</f>
        <v/>
      </c>
      <c r="L46" s="29"/>
      <c r="M46" s="105">
        <v>17</v>
      </c>
    </row>
    <row r="47" spans="1:13" x14ac:dyDescent="0.25">
      <c r="A47" s="166" t="str">
        <f t="shared" si="2"/>
        <v/>
      </c>
      <c r="B47" s="167" t="str">
        <f>IFERROR(IF(VLOOKUP($A47,TableHandbook[],2,FALSE)=0,"",VLOOKUP($A47,TableHandbook[],2,FALSE)),"")</f>
        <v/>
      </c>
      <c r="C47" s="168" t="str">
        <f>IFERROR(IF(VLOOKUP($A47,TableHandbook[],3,FALSE)=0,"",VLOOKUP($A47,TableHandbook[],3,FALSE)),"")</f>
        <v/>
      </c>
      <c r="D47" s="169" t="str">
        <f>IFERROR(IF(VLOOKUP($A47,TableHandbook[],4,FALSE)=0,"",VLOOKUP($A47,TableHandbook[],4,FALSE)),"")</f>
        <v/>
      </c>
      <c r="E47" s="170"/>
      <c r="F47" s="171" t="str">
        <f>IFERROR(IF(VLOOKUP($A47,TableHandbook[],6,FALSE)=0,"",VLOOKUP($A47,TableHandbook[],6,FALSE)),"")</f>
        <v/>
      </c>
      <c r="G47" s="171" t="str">
        <f>IFERROR(IF(VLOOKUP($A47,TableHandbook[],5,FALSE)=0,"",VLOOKUP($A47,TableHandbook[],5,FALSE)),"")</f>
        <v/>
      </c>
      <c r="H47" s="136" t="str">
        <f>IFERROR(VLOOKUP($A47,TableHandbook[],H$2,FALSE),"")</f>
        <v/>
      </c>
      <c r="I47" s="137" t="str">
        <f>IFERROR(VLOOKUP($A47,TableHandbook[],I$2,FALSE),"")</f>
        <v/>
      </c>
      <c r="J47" s="136" t="str">
        <f>IFERROR(VLOOKUP($A47,TableHandbook[],J$2,FALSE),"")</f>
        <v/>
      </c>
      <c r="K47" s="137" t="str">
        <f>IFERROR(VLOOKUP($A47,TableHandbook[],K$2,FALSE),"")</f>
        <v/>
      </c>
      <c r="L47" s="29"/>
      <c r="M47" s="105">
        <v>18</v>
      </c>
    </row>
    <row r="48" spans="1:13" x14ac:dyDescent="0.25">
      <c r="A48" s="166" t="str">
        <f t="shared" si="2"/>
        <v/>
      </c>
      <c r="B48" s="167" t="str">
        <f>IFERROR(IF(VLOOKUP($A48,TableHandbook[],2,FALSE)=0,"",VLOOKUP($A48,TableHandbook[],2,FALSE)),"")</f>
        <v/>
      </c>
      <c r="C48" s="168" t="str">
        <f>IFERROR(IF(VLOOKUP($A48,TableHandbook[],3,FALSE)=0,"",VLOOKUP($A48,TableHandbook[],3,FALSE)),"")</f>
        <v/>
      </c>
      <c r="D48" s="169" t="str">
        <f>IFERROR(IF(VLOOKUP($A48,TableHandbook[],4,FALSE)=0,"",VLOOKUP($A48,TableHandbook[],4,FALSE)),"")</f>
        <v/>
      </c>
      <c r="E48" s="170"/>
      <c r="F48" s="171" t="str">
        <f>IFERROR(IF(VLOOKUP($A48,TableHandbook[],6,FALSE)=0,"",VLOOKUP($A48,TableHandbook[],6,FALSE)),"")</f>
        <v/>
      </c>
      <c r="G48" s="171" t="str">
        <f>IFERROR(IF(VLOOKUP($A48,TableHandbook[],5,FALSE)=0,"",VLOOKUP($A48,TableHandbook[],5,FALSE)),"")</f>
        <v/>
      </c>
      <c r="H48" s="136" t="str">
        <f>IFERROR(VLOOKUP($A48,TableHandbook[],H$2,FALSE),"")</f>
        <v/>
      </c>
      <c r="I48" s="137" t="str">
        <f>IFERROR(VLOOKUP($A48,TableHandbook[],I$2,FALSE),"")</f>
        <v/>
      </c>
      <c r="J48" s="136" t="str">
        <f>IFERROR(VLOOKUP($A48,TableHandbook[],J$2,FALSE),"")</f>
        <v/>
      </c>
      <c r="K48" s="137" t="str">
        <f>IFERROR(VLOOKUP($A48,TableHandbook[],K$2,FALSE),"")</f>
        <v/>
      </c>
      <c r="L48" s="29"/>
      <c r="M48" s="105">
        <v>19</v>
      </c>
    </row>
    <row r="49" spans="1:15" x14ac:dyDescent="0.25">
      <c r="A49" s="166" t="str">
        <f t="shared" si="2"/>
        <v/>
      </c>
      <c r="B49" s="167" t="str">
        <f>IFERROR(IF(VLOOKUP($A49,TableHandbook[],2,FALSE)=0,"",VLOOKUP($A49,TableHandbook[],2,FALSE)),"")</f>
        <v/>
      </c>
      <c r="C49" s="168" t="str">
        <f>IFERROR(IF(VLOOKUP($A49,TableHandbook[],3,FALSE)=0,"",VLOOKUP($A49,TableHandbook[],3,FALSE)),"")</f>
        <v/>
      </c>
      <c r="D49" s="169" t="str">
        <f>IFERROR(IF(VLOOKUP($A49,TableHandbook[],4,FALSE)=0,"",VLOOKUP($A49,TableHandbook[],4,FALSE)),"")</f>
        <v/>
      </c>
      <c r="E49" s="170"/>
      <c r="F49" s="171" t="str">
        <f>IFERROR(IF(VLOOKUP($A49,TableHandbook[],6,FALSE)=0,"",VLOOKUP($A49,TableHandbook[],6,FALSE)),"")</f>
        <v/>
      </c>
      <c r="G49" s="171" t="str">
        <f>IFERROR(IF(VLOOKUP($A49,TableHandbook[],5,FALSE)=0,"",VLOOKUP($A49,TableHandbook[],5,FALSE)),"")</f>
        <v/>
      </c>
      <c r="H49" s="136" t="str">
        <f>IFERROR(VLOOKUP($A49,TableHandbook[],H$2,FALSE),"")</f>
        <v/>
      </c>
      <c r="I49" s="137" t="str">
        <f>IFERROR(VLOOKUP($A49,TableHandbook[],I$2,FALSE),"")</f>
        <v/>
      </c>
      <c r="J49" s="136" t="str">
        <f>IFERROR(VLOOKUP($A49,TableHandbook[],J$2,FALSE),"")</f>
        <v/>
      </c>
      <c r="K49" s="137" t="str">
        <f>IFERROR(VLOOKUP($A49,TableHandbook[],K$2,FALSE),"")</f>
        <v/>
      </c>
      <c r="L49" s="29"/>
      <c r="M49" s="105">
        <v>20</v>
      </c>
    </row>
    <row r="50" spans="1:15" x14ac:dyDescent="0.25">
      <c r="A50" s="166" t="str">
        <f t="shared" si="2"/>
        <v/>
      </c>
      <c r="B50" s="167" t="str">
        <f>IFERROR(IF(VLOOKUP($A50,TableHandbook[],2,FALSE)=0,"",VLOOKUP($A50,TableHandbook[],2,FALSE)),"")</f>
        <v/>
      </c>
      <c r="C50" s="168" t="str">
        <f>IFERROR(IF(VLOOKUP($A50,TableHandbook[],3,FALSE)=0,"",VLOOKUP($A50,TableHandbook[],3,FALSE)),"")</f>
        <v/>
      </c>
      <c r="D50" s="169" t="str">
        <f>IFERROR(IF(VLOOKUP($A50,TableHandbook[],4,FALSE)=0,"",VLOOKUP($A50,TableHandbook[],4,FALSE)),"")</f>
        <v/>
      </c>
      <c r="E50" s="170"/>
      <c r="F50" s="171" t="str">
        <f>IFERROR(IF(VLOOKUP($A50,TableHandbook[],6,FALSE)=0,"",VLOOKUP($A50,TableHandbook[],6,FALSE)),"")</f>
        <v/>
      </c>
      <c r="G50" s="171" t="str">
        <f>IFERROR(IF(VLOOKUP($A50,TableHandbook[],5,FALSE)=0,"",VLOOKUP($A50,TableHandbook[],5,FALSE)),"")</f>
        <v/>
      </c>
      <c r="H50" s="136" t="str">
        <f>IFERROR(VLOOKUP($A50,TableHandbook[],H$2,FALSE),"")</f>
        <v/>
      </c>
      <c r="I50" s="137" t="str">
        <f>IFERROR(VLOOKUP($A50,TableHandbook[],I$2,FALSE),"")</f>
        <v/>
      </c>
      <c r="J50" s="136" t="str">
        <f>IFERROR(VLOOKUP($A50,TableHandbook[],J$2,FALSE),"")</f>
        <v/>
      </c>
      <c r="K50" s="137" t="str">
        <f>IFERROR(VLOOKUP($A50,TableHandbook[],K$2,FALSE),"")</f>
        <v/>
      </c>
      <c r="L50" s="29"/>
      <c r="M50" s="105">
        <v>21</v>
      </c>
    </row>
    <row r="51" spans="1:15" x14ac:dyDescent="0.25">
      <c r="A51" s="166" t="str">
        <f t="shared" si="2"/>
        <v/>
      </c>
      <c r="B51" s="167" t="str">
        <f>IFERROR(IF(VLOOKUP($A51,TableHandbook[],2,FALSE)=0,"",VLOOKUP($A51,TableHandbook[],2,FALSE)),"")</f>
        <v/>
      </c>
      <c r="C51" s="168" t="str">
        <f>IFERROR(IF(VLOOKUP($A51,TableHandbook[],3,FALSE)=0,"",VLOOKUP($A51,TableHandbook[],3,FALSE)),"")</f>
        <v/>
      </c>
      <c r="D51" s="169" t="str">
        <f>IFERROR(IF(VLOOKUP($A51,TableHandbook[],4,FALSE)=0,"",VLOOKUP($A51,TableHandbook[],4,FALSE)),"")</f>
        <v/>
      </c>
      <c r="E51" s="170"/>
      <c r="F51" s="171" t="str">
        <f>IFERROR(IF(VLOOKUP($A51,TableHandbook[],6,FALSE)=0,"",VLOOKUP($A51,TableHandbook[],6,FALSE)),"")</f>
        <v/>
      </c>
      <c r="G51" s="171" t="str">
        <f>IFERROR(IF(VLOOKUP($A51,TableHandbook[],5,FALSE)=0,"",VLOOKUP($A51,TableHandbook[],5,FALSE)),"")</f>
        <v/>
      </c>
      <c r="H51" s="136" t="str">
        <f>IFERROR(VLOOKUP($A51,TableHandbook[],H$2,FALSE),"")</f>
        <v/>
      </c>
      <c r="I51" s="137" t="str">
        <f>IFERROR(VLOOKUP($A51,TableHandbook[],I$2,FALSE),"")</f>
        <v/>
      </c>
      <c r="J51" s="136" t="str">
        <f>IFERROR(VLOOKUP($A51,TableHandbook[],J$2,FALSE),"")</f>
        <v/>
      </c>
      <c r="K51" s="137" t="str">
        <f>IFERROR(VLOOKUP($A51,TableHandbook[],K$2,FALSE),"")</f>
        <v/>
      </c>
      <c r="L51" s="29"/>
      <c r="M51" s="105">
        <v>22</v>
      </c>
    </row>
    <row r="52" spans="1:15" x14ac:dyDescent="0.25">
      <c r="A52" s="166" t="str">
        <f t="shared" si="2"/>
        <v/>
      </c>
      <c r="B52" s="167" t="str">
        <f>IFERROR(IF(VLOOKUP($A52,TableHandbook[],2,FALSE)=0,"",VLOOKUP($A52,TableHandbook[],2,FALSE)),"")</f>
        <v/>
      </c>
      <c r="C52" s="168" t="str">
        <f>IFERROR(IF(VLOOKUP($A52,TableHandbook[],3,FALSE)=0,"",VLOOKUP($A52,TableHandbook[],3,FALSE)),"")</f>
        <v/>
      </c>
      <c r="D52" s="169" t="str">
        <f>IFERROR(IF(VLOOKUP($A52,TableHandbook[],4,FALSE)=0,"",VLOOKUP($A52,TableHandbook[],4,FALSE)),"")</f>
        <v/>
      </c>
      <c r="E52" s="170"/>
      <c r="F52" s="171" t="str">
        <f>IFERROR(IF(VLOOKUP($A52,TableHandbook[],6,FALSE)=0,"",VLOOKUP($A52,TableHandbook[],6,FALSE)),"")</f>
        <v/>
      </c>
      <c r="G52" s="171" t="str">
        <f>IFERROR(IF(VLOOKUP($A52,TableHandbook[],5,FALSE)=0,"",VLOOKUP($A52,TableHandbook[],5,FALSE)),"")</f>
        <v/>
      </c>
      <c r="H52" s="136" t="str">
        <f>IFERROR(VLOOKUP($A52,TableHandbook[],H$2,FALSE),"")</f>
        <v/>
      </c>
      <c r="I52" s="137" t="str">
        <f>IFERROR(VLOOKUP($A52,TableHandbook[],I$2,FALSE),"")</f>
        <v/>
      </c>
      <c r="J52" s="136" t="str">
        <f>IFERROR(VLOOKUP($A52,TableHandbook[],J$2,FALSE),"")</f>
        <v/>
      </c>
      <c r="K52" s="137" t="str">
        <f>IFERROR(VLOOKUP($A52,TableHandbook[],K$2,FALSE),"")</f>
        <v/>
      </c>
      <c r="L52" s="29"/>
      <c r="M52" s="105">
        <v>23</v>
      </c>
    </row>
    <row r="53" spans="1:15" x14ac:dyDescent="0.25">
      <c r="A53" s="166" t="str">
        <f t="shared" si="2"/>
        <v/>
      </c>
      <c r="B53" s="167" t="str">
        <f>IFERROR(IF(VLOOKUP($A53,TableHandbook[],2,FALSE)=0,"",VLOOKUP($A53,TableHandbook[],2,FALSE)),"")</f>
        <v/>
      </c>
      <c r="C53" s="168" t="str">
        <f>IFERROR(IF(VLOOKUP($A53,TableHandbook[],3,FALSE)=0,"",VLOOKUP($A53,TableHandbook[],3,FALSE)),"")</f>
        <v/>
      </c>
      <c r="D53" s="169" t="str">
        <f>IFERROR(IF(VLOOKUP($A53,TableHandbook[],4,FALSE)=0,"",VLOOKUP($A53,TableHandbook[],4,FALSE)),"")</f>
        <v/>
      </c>
      <c r="E53" s="170"/>
      <c r="F53" s="171" t="str">
        <f>IFERROR(IF(VLOOKUP($A53,TableHandbook[],6,FALSE)=0,"",VLOOKUP($A53,TableHandbook[],6,FALSE)),"")</f>
        <v/>
      </c>
      <c r="G53" s="171" t="str">
        <f>IFERROR(IF(VLOOKUP($A53,TableHandbook[],5,FALSE)=0,"",VLOOKUP($A53,TableHandbook[],5,FALSE)),"")</f>
        <v/>
      </c>
      <c r="H53" s="136" t="str">
        <f>IFERROR(VLOOKUP($A53,TableHandbook[],H$2,FALSE),"")</f>
        <v/>
      </c>
      <c r="I53" s="137" t="str">
        <f>IFERROR(VLOOKUP($A53,TableHandbook[],I$2,FALSE),"")</f>
        <v/>
      </c>
      <c r="J53" s="136" t="str">
        <f>IFERROR(VLOOKUP($A53,TableHandbook[],J$2,FALSE),"")</f>
        <v/>
      </c>
      <c r="K53" s="137" t="str">
        <f>IFERROR(VLOOKUP($A53,TableHandbook[],K$2,FALSE),"")</f>
        <v/>
      </c>
      <c r="L53" s="29"/>
      <c r="M53" s="105">
        <v>24</v>
      </c>
    </row>
    <row r="54" spans="1:15" x14ac:dyDescent="0.25">
      <c r="A54" s="166" t="str">
        <f>IFERROR(IF(HLOOKUP($L$29,RangeOptions,$M54,FALSE)=0,"",HLOOKUP($L$29,RangeOptions,$M54,FALSE)),"")</f>
        <v/>
      </c>
      <c r="B54" s="167" t="str">
        <f>IFERROR(IF(VLOOKUP($A54,TableHandbook[],2,FALSE)=0,"",VLOOKUP($A54,TableHandbook[],2,FALSE)),"")</f>
        <v/>
      </c>
      <c r="C54" s="168" t="str">
        <f>IFERROR(IF(VLOOKUP($A54,TableHandbook[],3,FALSE)=0,"",VLOOKUP($A54,TableHandbook[],3,FALSE)),"")</f>
        <v/>
      </c>
      <c r="D54" s="169" t="str">
        <f>IFERROR(IF(VLOOKUP($A54,TableHandbook[],4,FALSE)=0,"",VLOOKUP($A54,TableHandbook[],4,FALSE)),"")</f>
        <v/>
      </c>
      <c r="E54" s="168"/>
      <c r="F54" s="167" t="str">
        <f>IFERROR(IF(VLOOKUP($A54,TableHandbook[],6,FALSE)=0,"",VLOOKUP($A54,TableHandbook[],6,FALSE)),"")</f>
        <v/>
      </c>
      <c r="G54" s="167" t="str">
        <f>IFERROR(IF(VLOOKUP($A54,TableHandbook[],5,FALSE)=0,"",VLOOKUP($A54,TableHandbook[],5,FALSE)),"")</f>
        <v/>
      </c>
      <c r="H54" s="136" t="str">
        <f>IFERROR(VLOOKUP($A54,TableHandbook[],H$2,FALSE),"")</f>
        <v/>
      </c>
      <c r="I54" s="137" t="str">
        <f>IFERROR(VLOOKUP($A54,TableHandbook[],I$2,FALSE),"")</f>
        <v/>
      </c>
      <c r="J54" s="136" t="str">
        <f>IFERROR(VLOOKUP($A54,TableHandbook[],J$2,FALSE),"")</f>
        <v/>
      </c>
      <c r="K54" s="137" t="str">
        <f>IFERROR(VLOOKUP($A54,TableHandbook[],K$2,FALSE),"")</f>
        <v/>
      </c>
      <c r="L54" s="28"/>
      <c r="M54" s="105">
        <v>25</v>
      </c>
    </row>
    <row r="55" spans="1:15" x14ac:dyDescent="0.25">
      <c r="A55" s="166" t="str">
        <f>IFERROR(IF(HLOOKUP($L$29,RangeOptions,$M55,FALSE)=0,"",HLOOKUP($L$29,RangeOptions,$M55,FALSE)),"")</f>
        <v/>
      </c>
      <c r="B55" s="167" t="str">
        <f>IFERROR(IF(VLOOKUP($A55,TableHandbook[],2,FALSE)=0,"",VLOOKUP($A55,TableHandbook[],2,FALSE)),"")</f>
        <v/>
      </c>
      <c r="C55" s="168" t="str">
        <f>IFERROR(IF(VLOOKUP($A55,TableHandbook[],3,FALSE)=0,"",VLOOKUP($A55,TableHandbook[],3,FALSE)),"")</f>
        <v/>
      </c>
      <c r="D55" s="169" t="str">
        <f>IFERROR(IF(VLOOKUP($A55,TableHandbook[],4,FALSE)=0,"",VLOOKUP($A55,TableHandbook[],4,FALSE)),"")</f>
        <v/>
      </c>
      <c r="E55" s="170"/>
      <c r="F55" s="171" t="str">
        <f>IFERROR(IF(VLOOKUP($A55,TableHandbook[],6,FALSE)=0,"",VLOOKUP($A55,TableHandbook[],6,FALSE)),"")</f>
        <v/>
      </c>
      <c r="G55" s="171" t="str">
        <f>IFERROR(IF(VLOOKUP($A55,TableHandbook[],5,FALSE)=0,"",VLOOKUP($A55,TableHandbook[],5,FALSE)),"")</f>
        <v/>
      </c>
      <c r="H55" s="136" t="str">
        <f>IFERROR(VLOOKUP($A55,TableHandbook[],H$2,FALSE),"")</f>
        <v/>
      </c>
      <c r="I55" s="137" t="str">
        <f>IFERROR(VLOOKUP($A55,TableHandbook[],I$2,FALSE),"")</f>
        <v/>
      </c>
      <c r="J55" s="136" t="str">
        <f>IFERROR(VLOOKUP($A55,TableHandbook[],J$2,FALSE),"")</f>
        <v/>
      </c>
      <c r="K55" s="137" t="str">
        <f>IFERROR(VLOOKUP($A55,TableHandbook[],K$2,FALSE),"")</f>
        <v/>
      </c>
      <c r="L55" s="28"/>
      <c r="M55" s="105">
        <v>26</v>
      </c>
    </row>
    <row r="56" spans="1:15" x14ac:dyDescent="0.25">
      <c r="A56" s="166" t="str">
        <f>IFERROR(IF(HLOOKUP($L$29,RangeOptions,$M56,FALSE)=0,"",HLOOKUP($L$29,RangeOptions,$M56,FALSE)),"")</f>
        <v/>
      </c>
      <c r="B56" s="167" t="str">
        <f>IFERROR(IF(VLOOKUP($A56,TableHandbook[],2,FALSE)=0,"",VLOOKUP($A56,TableHandbook[],2,FALSE)),"")</f>
        <v/>
      </c>
      <c r="C56" s="168" t="str">
        <f>IFERROR(IF(VLOOKUP($A56,TableHandbook[],3,FALSE)=0,"",VLOOKUP($A56,TableHandbook[],3,FALSE)),"")</f>
        <v/>
      </c>
      <c r="D56" s="169" t="str">
        <f>IFERROR(IF(VLOOKUP($A56,TableHandbook[],4,FALSE)=0,"",VLOOKUP($A56,TableHandbook[],4,FALSE)),"")</f>
        <v/>
      </c>
      <c r="E56" s="170"/>
      <c r="F56" s="171" t="str">
        <f>IFERROR(IF(VLOOKUP($A56,TableHandbook[],6,FALSE)=0,"",VLOOKUP($A56,TableHandbook[],6,FALSE)),"")</f>
        <v/>
      </c>
      <c r="G56" s="171" t="str">
        <f>IFERROR(IF(VLOOKUP($A56,TableHandbook[],5,FALSE)=0,"",VLOOKUP($A56,TableHandbook[],5,FALSE)),"")</f>
        <v/>
      </c>
      <c r="H56" s="136" t="str">
        <f>IFERROR(VLOOKUP($A56,TableHandbook[],H$2,FALSE),"")</f>
        <v/>
      </c>
      <c r="I56" s="137" t="str">
        <f>IFERROR(VLOOKUP($A56,TableHandbook[],I$2,FALSE),"")</f>
        <v/>
      </c>
      <c r="J56" s="136" t="str">
        <f>IFERROR(VLOOKUP($A56,TableHandbook[],J$2,FALSE),"")</f>
        <v/>
      </c>
      <c r="K56" s="137" t="str">
        <f>IFERROR(VLOOKUP($A56,TableHandbook[],K$2,FALSE),"")</f>
        <v/>
      </c>
      <c r="L56" s="28"/>
      <c r="M56" s="105">
        <v>27</v>
      </c>
    </row>
    <row r="57" spans="1:15" ht="32.25" customHeight="1" x14ac:dyDescent="0.25">
      <c r="A57" s="172" t="s">
        <v>28</v>
      </c>
      <c r="B57" s="172"/>
      <c r="C57" s="172"/>
      <c r="D57" s="172"/>
      <c r="E57" s="172"/>
      <c r="F57" s="172"/>
      <c r="G57" s="172"/>
      <c r="H57" s="172"/>
      <c r="I57" s="172"/>
      <c r="J57" s="172"/>
      <c r="K57" s="172"/>
      <c r="L57" s="172"/>
    </row>
    <row r="58" spans="1:15" s="174" customFormat="1" ht="24.95" customHeight="1" x14ac:dyDescent="0.3">
      <c r="A58" s="58" t="s">
        <v>29</v>
      </c>
      <c r="B58" s="58"/>
      <c r="C58" s="58"/>
      <c r="D58" s="59"/>
      <c r="E58" s="59"/>
      <c r="F58" s="59"/>
      <c r="G58" s="59"/>
      <c r="H58" s="59"/>
      <c r="I58" s="59"/>
      <c r="J58" s="59"/>
      <c r="K58" s="59"/>
      <c r="L58" s="59"/>
      <c r="M58" s="173"/>
      <c r="N58" s="173"/>
      <c r="O58" s="173"/>
    </row>
    <row r="59" spans="1:15" ht="15" customHeight="1" x14ac:dyDescent="0.25">
      <c r="A59" s="175" t="s">
        <v>30</v>
      </c>
      <c r="B59" s="175"/>
      <c r="C59" s="175"/>
      <c r="D59" s="175"/>
      <c r="E59" s="176"/>
      <c r="F59" s="156"/>
      <c r="G59" s="177"/>
      <c r="H59" s="177"/>
      <c r="I59" s="177"/>
      <c r="J59" s="177"/>
      <c r="K59" s="177"/>
      <c r="L59" s="177" t="s">
        <v>31</v>
      </c>
    </row>
  </sheetData>
  <sheetProtection algorithmName="SHA-512" hashValue="qM+oJm08f5UKu0Ufie/h39ksVUVQzFeXBo22pF58N1KUdH0EC17rHk0X2BFaB7Kt+vbqofCVwLvJk04V1fzQIw==" saltValue="GOWqAd00TFy5hD4wx1xvOA==" spinCount="100000" sheet="1" objects="1" scenarios="1" formatCells="0"/>
  <mergeCells count="2">
    <mergeCell ref="A3:D3"/>
    <mergeCell ref="A57:L57"/>
  </mergeCells>
  <conditionalFormatting sqref="A9:L27 A31:L56">
    <cfRule type="expression" dxfId="14" priority="2">
      <formula>$A9=""</formula>
    </cfRule>
  </conditionalFormatting>
  <conditionalFormatting sqref="D5:D6">
    <cfRule type="containsText" dxfId="13" priority="3" operator="containsText" text="Choose">
      <formula>NOT(ISERROR(SEARCH("Choose",D5)))</formula>
    </cfRule>
  </conditionalFormatting>
  <conditionalFormatting sqref="H9:K27">
    <cfRule type="expression" dxfId="12" priority="1">
      <formula>$E9=LEFT(H$8,4)</formula>
    </cfRule>
  </conditionalFormatting>
  <dataValidations count="1">
    <dataValidation type="list" allowBlank="1" showInputMessage="1" showErrorMessage="1" sqref="L23 L13" xr:uid="{00000000-0002-0000-0000-000000000000}"/>
  </dataValidations>
  <hyperlinks>
    <hyperlink ref="A58:L58"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2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Unitsets!$A$10:$A$12</xm:f>
          </x14:formula1>
          <xm:sqref>D6</xm:sqref>
        </x14:dataValidation>
        <x14:dataValidation type="list" showInputMessage="1" showErrorMessage="1" xr:uid="{00000000-0002-0000-0000-000002000000}">
          <x14:formula1>
            <xm:f>Unitsets!$A$4:$A$7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3"/>
  <sheetViews>
    <sheetView zoomScale="85" zoomScaleNormal="85" workbookViewId="0">
      <selection activeCell="A27" sqref="A27"/>
    </sheetView>
  </sheetViews>
  <sheetFormatPr defaultRowHeight="15.75" x14ac:dyDescent="0.25"/>
  <cols>
    <col min="1" max="1" width="61.875" style="15" bestFit="1" customWidth="1"/>
    <col min="2" max="2" width="10" style="7" bestFit="1" customWidth="1"/>
    <col min="3" max="3" width="12.75" style="7" bestFit="1" customWidth="1"/>
    <col min="4" max="4" width="17.375" style="7" bestFit="1" customWidth="1"/>
    <col min="5" max="5" width="14.875" style="7" bestFit="1" customWidth="1"/>
    <col min="6" max="6" width="19.125" style="7" bestFit="1" customWidth="1"/>
    <col min="7" max="7" width="19.875" style="7" bestFit="1" customWidth="1"/>
    <col min="8" max="8" width="16.625" style="7" bestFit="1" customWidth="1"/>
    <col min="9" max="9" width="13.125" style="7" customWidth="1"/>
    <col min="10" max="10" width="12.25" style="7" bestFit="1" customWidth="1"/>
    <col min="11" max="11" width="3.625" customWidth="1"/>
    <col min="12" max="12" width="7.875" bestFit="1" customWidth="1"/>
    <col min="13" max="13" width="12" bestFit="1" customWidth="1"/>
    <col min="14" max="14" width="9.75" bestFit="1" customWidth="1"/>
    <col min="15" max="15" width="7.625" customWidth="1"/>
    <col min="16" max="16" width="6" customWidth="1"/>
    <col min="17" max="17" width="7.625" customWidth="1"/>
    <col min="18" max="18" width="6" customWidth="1"/>
    <col min="19" max="19" width="7.625" customWidth="1"/>
    <col min="20" max="20" width="6" customWidth="1"/>
    <col min="21" max="21" width="7.625" customWidth="1"/>
    <col min="22" max="22" width="6" customWidth="1"/>
    <col min="23" max="23" width="7.625" customWidth="1"/>
    <col min="24" max="24" width="6.625" customWidth="1"/>
  </cols>
  <sheetData>
    <row r="1" spans="1:24" x14ac:dyDescent="0.25">
      <c r="A1" s="17" t="s">
        <v>32</v>
      </c>
      <c r="B1" s="18"/>
      <c r="C1" s="18"/>
      <c r="D1" s="18"/>
    </row>
    <row r="2" spans="1:24" x14ac:dyDescent="0.25">
      <c r="L2" s="24"/>
      <c r="M2" s="10"/>
      <c r="N2" s="11"/>
      <c r="O2" s="10"/>
      <c r="P2" s="9"/>
      <c r="Q2" s="10"/>
      <c r="R2" s="11"/>
      <c r="S2" s="10"/>
      <c r="T2" s="26"/>
      <c r="U2" s="10"/>
      <c r="V2" s="11"/>
      <c r="W2" s="11"/>
      <c r="X2" s="11"/>
    </row>
    <row r="3" spans="1:24" x14ac:dyDescent="0.25">
      <c r="A3" s="57" t="s">
        <v>33</v>
      </c>
      <c r="J3" s="53" t="s">
        <v>34</v>
      </c>
      <c r="K3" s="3">
        <v>1</v>
      </c>
      <c r="L3" s="1"/>
      <c r="M3" s="12" t="s">
        <v>35</v>
      </c>
      <c r="N3" s="22"/>
      <c r="O3" s="13" t="s">
        <v>36</v>
      </c>
      <c r="P3" s="1"/>
      <c r="Q3" s="14" t="s">
        <v>37</v>
      </c>
      <c r="R3" s="2"/>
      <c r="S3" s="14" t="s">
        <v>38</v>
      </c>
      <c r="T3" s="27"/>
      <c r="U3" s="12" t="s">
        <v>39</v>
      </c>
      <c r="V3" s="27"/>
      <c r="W3" s="14" t="s">
        <v>40</v>
      </c>
      <c r="X3" s="25"/>
    </row>
    <row r="4" spans="1:24" x14ac:dyDescent="0.25">
      <c r="A4" s="7" t="s">
        <v>11</v>
      </c>
      <c r="B4" s="15" t="s">
        <v>0</v>
      </c>
      <c r="C4" s="7" t="s">
        <v>41</v>
      </c>
      <c r="D4" s="7" t="s">
        <v>42</v>
      </c>
      <c r="E4" s="7" t="s">
        <v>43</v>
      </c>
      <c r="F4" s="7" t="s">
        <v>44</v>
      </c>
      <c r="G4" s="7" t="s">
        <v>45</v>
      </c>
      <c r="H4" s="7" t="s">
        <v>46</v>
      </c>
      <c r="K4" s="21">
        <v>2</v>
      </c>
      <c r="L4" s="35" t="s">
        <v>47</v>
      </c>
      <c r="M4" s="37" t="s">
        <v>48</v>
      </c>
      <c r="N4" s="35" t="s">
        <v>49</v>
      </c>
      <c r="O4" s="70" t="s">
        <v>50</v>
      </c>
      <c r="P4" s="35" t="s">
        <v>47</v>
      </c>
      <c r="Q4" s="39" t="s">
        <v>48</v>
      </c>
      <c r="R4" s="35" t="s">
        <v>49</v>
      </c>
      <c r="S4" s="39" t="s">
        <v>51</v>
      </c>
      <c r="T4" s="35" t="s">
        <v>47</v>
      </c>
      <c r="U4" s="39" t="s">
        <v>48</v>
      </c>
      <c r="V4" s="35" t="s">
        <v>49</v>
      </c>
      <c r="W4" s="39" t="s">
        <v>51</v>
      </c>
      <c r="X4" s="3"/>
    </row>
    <row r="5" spans="1:24" x14ac:dyDescent="0.25">
      <c r="A5" s="7" t="s">
        <v>52</v>
      </c>
      <c r="B5" s="91" t="s">
        <v>53</v>
      </c>
      <c r="C5" s="91" t="s">
        <v>54</v>
      </c>
      <c r="D5" s="92">
        <v>44197</v>
      </c>
      <c r="E5" s="87">
        <v>5</v>
      </c>
      <c r="F5" s="88">
        <v>45658</v>
      </c>
      <c r="G5" s="8" t="s">
        <v>55</v>
      </c>
      <c r="H5" s="91" t="s">
        <v>56</v>
      </c>
      <c r="K5" s="21">
        <v>3</v>
      </c>
      <c r="L5" s="38" t="s">
        <v>47</v>
      </c>
      <c r="M5" s="40" t="s">
        <v>57</v>
      </c>
      <c r="N5" s="38" t="s">
        <v>49</v>
      </c>
      <c r="O5" s="40"/>
      <c r="P5" s="38" t="s">
        <v>47</v>
      </c>
      <c r="Q5" s="40" t="s">
        <v>57</v>
      </c>
      <c r="R5" s="38" t="s">
        <v>49</v>
      </c>
      <c r="S5" s="40" t="s">
        <v>58</v>
      </c>
      <c r="T5" s="38" t="s">
        <v>47</v>
      </c>
      <c r="U5" s="40" t="s">
        <v>57</v>
      </c>
      <c r="V5" s="38" t="s">
        <v>49</v>
      </c>
      <c r="W5" s="40" t="s">
        <v>58</v>
      </c>
      <c r="X5" s="3"/>
    </row>
    <row r="6" spans="1:24" x14ac:dyDescent="0.25">
      <c r="A6" s="7" t="s">
        <v>59</v>
      </c>
      <c r="B6" s="91" t="s">
        <v>60</v>
      </c>
      <c r="C6" s="91" t="s">
        <v>54</v>
      </c>
      <c r="D6" s="92">
        <v>44197</v>
      </c>
      <c r="E6" s="87">
        <v>5</v>
      </c>
      <c r="F6" s="88">
        <v>45658</v>
      </c>
      <c r="G6" s="8" t="s">
        <v>61</v>
      </c>
      <c r="H6" s="91" t="s">
        <v>62</v>
      </c>
      <c r="K6" s="21">
        <v>4</v>
      </c>
      <c r="L6" s="38" t="s">
        <v>47</v>
      </c>
      <c r="M6" s="40" t="s">
        <v>63</v>
      </c>
      <c r="N6" s="38" t="s">
        <v>49</v>
      </c>
      <c r="O6" s="40"/>
      <c r="P6" s="38" t="s">
        <v>47</v>
      </c>
      <c r="Q6" s="40" t="s">
        <v>63</v>
      </c>
      <c r="R6" s="38" t="s">
        <v>49</v>
      </c>
      <c r="S6" s="40" t="s">
        <v>64</v>
      </c>
      <c r="T6" s="38" t="s">
        <v>47</v>
      </c>
      <c r="U6" s="40" t="s">
        <v>63</v>
      </c>
      <c r="V6" s="38" t="s">
        <v>49</v>
      </c>
      <c r="W6" s="40" t="s">
        <v>64</v>
      </c>
      <c r="X6" s="3"/>
    </row>
    <row r="7" spans="1:24" x14ac:dyDescent="0.25">
      <c r="A7" s="7" t="s">
        <v>65</v>
      </c>
      <c r="B7" s="91" t="s">
        <v>66</v>
      </c>
      <c r="C7" s="91" t="s">
        <v>54</v>
      </c>
      <c r="D7" s="92">
        <v>44197</v>
      </c>
      <c r="E7" s="87">
        <v>6</v>
      </c>
      <c r="F7" s="88">
        <v>45658</v>
      </c>
      <c r="G7" s="8" t="s">
        <v>67</v>
      </c>
      <c r="H7" s="91" t="s">
        <v>62</v>
      </c>
      <c r="I7" s="8"/>
      <c r="K7" s="21">
        <v>5</v>
      </c>
      <c r="L7" s="49" t="s">
        <v>47</v>
      </c>
      <c r="M7" s="48" t="s">
        <v>68</v>
      </c>
      <c r="N7" s="49" t="s">
        <v>49</v>
      </c>
      <c r="O7" s="48"/>
      <c r="P7" s="49" t="s">
        <v>47</v>
      </c>
      <c r="Q7" s="48" t="s">
        <v>68</v>
      </c>
      <c r="R7" s="49" t="s">
        <v>49</v>
      </c>
      <c r="S7" s="48" t="s">
        <v>68</v>
      </c>
      <c r="T7" s="49" t="s">
        <v>47</v>
      </c>
      <c r="U7" s="48" t="s">
        <v>68</v>
      </c>
      <c r="V7" s="49" t="s">
        <v>49</v>
      </c>
      <c r="W7" s="48" t="s">
        <v>68</v>
      </c>
      <c r="X7" s="3"/>
    </row>
    <row r="8" spans="1:24" x14ac:dyDescent="0.25">
      <c r="I8" s="8"/>
      <c r="K8" s="21">
        <v>6</v>
      </c>
      <c r="L8" s="61"/>
      <c r="M8" s="3"/>
      <c r="N8" s="3"/>
      <c r="O8" s="40"/>
      <c r="P8" s="38" t="s">
        <v>49</v>
      </c>
      <c r="Q8" s="40" t="s">
        <v>51</v>
      </c>
      <c r="R8" s="38" t="s">
        <v>47</v>
      </c>
      <c r="S8" s="40" t="s">
        <v>48</v>
      </c>
      <c r="T8" s="38" t="s">
        <v>49</v>
      </c>
      <c r="U8" s="40" t="s">
        <v>51</v>
      </c>
      <c r="V8" s="38" t="s">
        <v>47</v>
      </c>
      <c r="W8" s="40" t="s">
        <v>48</v>
      </c>
      <c r="X8" s="3"/>
    </row>
    <row r="9" spans="1:24" x14ac:dyDescent="0.25">
      <c r="A9" s="57" t="s">
        <v>69</v>
      </c>
      <c r="I9" s="8"/>
      <c r="K9" s="21">
        <v>7</v>
      </c>
      <c r="L9" s="38"/>
      <c r="M9" s="3"/>
      <c r="N9" s="3"/>
      <c r="O9" s="40"/>
      <c r="P9" s="38" t="s">
        <v>49</v>
      </c>
      <c r="Q9" s="40" t="s">
        <v>58</v>
      </c>
      <c r="R9" s="38" t="s">
        <v>47</v>
      </c>
      <c r="S9" s="40" t="s">
        <v>57</v>
      </c>
      <c r="T9" s="38" t="s">
        <v>49</v>
      </c>
      <c r="U9" s="40" t="s">
        <v>58</v>
      </c>
      <c r="V9" s="38" t="s">
        <v>47</v>
      </c>
      <c r="W9" s="40" t="s">
        <v>57</v>
      </c>
      <c r="X9" s="3"/>
    </row>
    <row r="10" spans="1:24" x14ac:dyDescent="0.25">
      <c r="A10" s="16" t="s">
        <v>14</v>
      </c>
      <c r="B10" s="19" t="s">
        <v>70</v>
      </c>
      <c r="C10" s="19" t="s">
        <v>71</v>
      </c>
      <c r="K10" s="21">
        <v>8</v>
      </c>
      <c r="L10" s="38"/>
      <c r="M10" s="4"/>
      <c r="N10" s="3"/>
      <c r="O10" s="41"/>
      <c r="P10" s="38" t="s">
        <v>49</v>
      </c>
      <c r="Q10" s="40" t="s">
        <v>64</v>
      </c>
      <c r="R10" s="38" t="s">
        <v>47</v>
      </c>
      <c r="S10" s="40" t="s">
        <v>63</v>
      </c>
      <c r="T10" s="38" t="s">
        <v>49</v>
      </c>
      <c r="U10" s="40" t="s">
        <v>64</v>
      </c>
      <c r="V10" s="38" t="s">
        <v>47</v>
      </c>
      <c r="W10" s="40" t="s">
        <v>63</v>
      </c>
      <c r="X10" s="3"/>
    </row>
    <row r="11" spans="1:24" x14ac:dyDescent="0.25">
      <c r="A11" s="7" t="s">
        <v>72</v>
      </c>
      <c r="B11" s="8" t="s">
        <v>56</v>
      </c>
      <c r="C11" s="8" t="s">
        <v>73</v>
      </c>
      <c r="K11" s="21">
        <v>9</v>
      </c>
      <c r="L11" s="38"/>
      <c r="M11" s="3"/>
      <c r="N11" s="3"/>
      <c r="O11" s="42"/>
      <c r="P11" s="49" t="s">
        <v>49</v>
      </c>
      <c r="Q11" s="48" t="s">
        <v>68</v>
      </c>
      <c r="R11" s="49" t="s">
        <v>47</v>
      </c>
      <c r="S11" s="48" t="s">
        <v>68</v>
      </c>
      <c r="T11" s="49" t="s">
        <v>49</v>
      </c>
      <c r="U11" s="48" t="s">
        <v>74</v>
      </c>
      <c r="V11" s="49" t="s">
        <v>47</v>
      </c>
      <c r="W11" s="48" t="s">
        <v>74</v>
      </c>
      <c r="X11" s="3"/>
    </row>
    <row r="12" spans="1:24" x14ac:dyDescent="0.25">
      <c r="A12" s="7" t="s">
        <v>75</v>
      </c>
      <c r="B12" s="8" t="s">
        <v>73</v>
      </c>
      <c r="C12" s="8" t="s">
        <v>56</v>
      </c>
      <c r="K12" s="21">
        <v>10</v>
      </c>
      <c r="L12" s="43"/>
      <c r="M12" s="3"/>
      <c r="N12" s="4"/>
      <c r="O12" s="4"/>
      <c r="P12" s="36"/>
      <c r="Q12" s="62"/>
      <c r="R12" s="36"/>
      <c r="S12" s="63"/>
      <c r="T12" s="44" t="s">
        <v>76</v>
      </c>
      <c r="U12" s="39" t="s">
        <v>77</v>
      </c>
      <c r="V12" s="44" t="s">
        <v>78</v>
      </c>
      <c r="W12" s="39" t="s">
        <v>79</v>
      </c>
      <c r="X12" s="4"/>
    </row>
    <row r="13" spans="1:24" x14ac:dyDescent="0.25">
      <c r="K13" s="21">
        <v>11</v>
      </c>
      <c r="L13" s="43"/>
      <c r="M13" s="4"/>
      <c r="N13" s="4"/>
      <c r="O13" s="52"/>
      <c r="R13" s="4"/>
      <c r="S13" s="50"/>
      <c r="T13" s="43" t="s">
        <v>76</v>
      </c>
      <c r="U13" s="40" t="s">
        <v>68</v>
      </c>
      <c r="V13" s="43" t="s">
        <v>78</v>
      </c>
      <c r="W13" s="40" t="s">
        <v>80</v>
      </c>
      <c r="X13" s="4"/>
    </row>
    <row r="14" spans="1:24" x14ac:dyDescent="0.25">
      <c r="K14" s="21">
        <v>12</v>
      </c>
      <c r="L14" s="43"/>
      <c r="M14" s="52"/>
      <c r="N14" s="4"/>
      <c r="O14" s="4"/>
      <c r="R14" s="4"/>
      <c r="S14" s="40"/>
      <c r="T14" s="43" t="s">
        <v>76</v>
      </c>
      <c r="U14" s="64" t="s">
        <v>81</v>
      </c>
      <c r="V14" s="43" t="s">
        <v>78</v>
      </c>
      <c r="W14" s="64" t="s">
        <v>81</v>
      </c>
      <c r="X14" s="4"/>
    </row>
    <row r="15" spans="1:24" x14ac:dyDescent="0.25">
      <c r="A15"/>
      <c r="E15" s="20"/>
      <c r="F15" s="20"/>
      <c r="K15" s="21">
        <v>13</v>
      </c>
      <c r="L15" s="43"/>
      <c r="M15" s="3"/>
      <c r="N15" s="4"/>
      <c r="O15" s="3"/>
      <c r="R15" s="4"/>
      <c r="S15" s="40"/>
      <c r="T15" s="43" t="s">
        <v>76</v>
      </c>
      <c r="U15" s="64" t="s">
        <v>82</v>
      </c>
      <c r="V15" s="43" t="s">
        <v>78</v>
      </c>
      <c r="W15" s="64" t="s">
        <v>82</v>
      </c>
      <c r="X15" s="4"/>
    </row>
    <row r="16" spans="1:24" x14ac:dyDescent="0.25">
      <c r="A16"/>
      <c r="B16"/>
      <c r="C16"/>
      <c r="G16" s="20"/>
      <c r="H16" s="20"/>
      <c r="I16" s="20"/>
      <c r="K16" s="21">
        <v>14</v>
      </c>
      <c r="L16" s="43"/>
      <c r="M16" s="52"/>
      <c r="N16" s="4"/>
      <c r="O16" s="4"/>
      <c r="P16" s="4"/>
      <c r="Q16" s="52"/>
      <c r="R16" s="4"/>
      <c r="T16" s="44" t="s">
        <v>78</v>
      </c>
      <c r="U16" s="39" t="s">
        <v>79</v>
      </c>
      <c r="V16" s="44" t="s">
        <v>76</v>
      </c>
      <c r="W16" s="39" t="s">
        <v>77</v>
      </c>
      <c r="X16" s="4"/>
    </row>
    <row r="17" spans="1:24" x14ac:dyDescent="0.25">
      <c r="A17"/>
      <c r="B17"/>
      <c r="C17"/>
      <c r="D17"/>
      <c r="E17"/>
      <c r="F17"/>
      <c r="K17" s="21">
        <v>15</v>
      </c>
      <c r="L17" s="43"/>
      <c r="M17" s="4"/>
      <c r="N17" s="4"/>
      <c r="O17" s="3"/>
      <c r="P17" s="4"/>
      <c r="Q17" s="4"/>
      <c r="R17" s="4"/>
      <c r="T17" s="43" t="s">
        <v>78</v>
      </c>
      <c r="U17" s="40" t="s">
        <v>80</v>
      </c>
      <c r="V17" s="43" t="s">
        <v>76</v>
      </c>
      <c r="W17" s="40" t="s">
        <v>68</v>
      </c>
      <c r="X17" s="4"/>
    </row>
    <row r="18" spans="1:24" x14ac:dyDescent="0.25">
      <c r="A18" s="89" t="s">
        <v>83</v>
      </c>
      <c r="B18" s="90">
        <v>45573</v>
      </c>
      <c r="C18"/>
      <c r="D18"/>
      <c r="E18"/>
      <c r="F18"/>
      <c r="K18" s="21">
        <v>16</v>
      </c>
      <c r="L18" s="43"/>
      <c r="M18" s="3"/>
      <c r="N18" s="4"/>
      <c r="O18" s="3"/>
      <c r="P18" s="4"/>
      <c r="Q18" s="3"/>
      <c r="R18" s="4"/>
      <c r="S18" s="3"/>
      <c r="T18" s="43" t="s">
        <v>78</v>
      </c>
      <c r="U18" s="64" t="s">
        <v>84</v>
      </c>
      <c r="V18" s="43" t="s">
        <v>76</v>
      </c>
      <c r="W18" s="64" t="s">
        <v>84</v>
      </c>
      <c r="X18" s="4"/>
    </row>
    <row r="19" spans="1:24" x14ac:dyDescent="0.25">
      <c r="A19" s="89" t="s">
        <v>85</v>
      </c>
      <c r="B19" s="90">
        <v>45573</v>
      </c>
      <c r="C19"/>
      <c r="D19"/>
      <c r="E19"/>
      <c r="F19"/>
      <c r="K19" s="21">
        <v>17</v>
      </c>
      <c r="L19" s="45"/>
      <c r="M19" s="46"/>
      <c r="N19" s="47"/>
      <c r="O19" s="46"/>
      <c r="P19" s="47"/>
      <c r="Q19" s="46"/>
      <c r="R19" s="47"/>
      <c r="S19" s="46"/>
      <c r="T19" s="45" t="s">
        <v>78</v>
      </c>
      <c r="U19" s="65" t="s">
        <v>82</v>
      </c>
      <c r="V19" s="45" t="s">
        <v>76</v>
      </c>
      <c r="W19" s="65" t="s">
        <v>82</v>
      </c>
      <c r="X19" s="4"/>
    </row>
    <row r="20" spans="1:24" x14ac:dyDescent="0.25">
      <c r="A20" s="89" t="s">
        <v>86</v>
      </c>
      <c r="B20" s="90">
        <v>45573</v>
      </c>
      <c r="C20"/>
      <c r="D20"/>
      <c r="E20"/>
      <c r="F20"/>
      <c r="T20" s="51"/>
      <c r="U20" s="66" t="s">
        <v>87</v>
      </c>
      <c r="V20" s="51"/>
      <c r="W20" s="66" t="s">
        <v>87</v>
      </c>
      <c r="X20" s="4"/>
    </row>
    <row r="21" spans="1:24" x14ac:dyDescent="0.25">
      <c r="A21" s="89" t="s">
        <v>88</v>
      </c>
      <c r="B21" s="90">
        <v>45573</v>
      </c>
      <c r="C21"/>
      <c r="M21" s="21"/>
      <c r="N21" s="4"/>
      <c r="O21" s="3"/>
      <c r="X21" s="4"/>
    </row>
    <row r="22" spans="1:24" ht="16.5" thickBot="1" x14ac:dyDescent="0.3">
      <c r="A22" s="89" t="s">
        <v>89</v>
      </c>
      <c r="B22" s="90">
        <v>45573</v>
      </c>
      <c r="C22"/>
      <c r="M22" s="21"/>
      <c r="N22" s="4"/>
      <c r="O22" s="3"/>
      <c r="X22" s="4"/>
    </row>
    <row r="23" spans="1:24" ht="16.5" thickBot="1" x14ac:dyDescent="0.3">
      <c r="A23" s="89" t="s">
        <v>90</v>
      </c>
      <c r="B23" s="90">
        <v>45573</v>
      </c>
      <c r="C23"/>
      <c r="D23"/>
      <c r="E23"/>
      <c r="F23"/>
      <c r="G23"/>
      <c r="H23"/>
      <c r="I23"/>
      <c r="J23" s="53" t="s">
        <v>91</v>
      </c>
      <c r="K23" s="3">
        <v>1</v>
      </c>
      <c r="L23" s="67" t="s">
        <v>53</v>
      </c>
      <c r="M23" s="68" t="s">
        <v>60</v>
      </c>
      <c r="N23" s="69" t="s">
        <v>66</v>
      </c>
      <c r="O23" s="3"/>
      <c r="X23" s="4"/>
    </row>
    <row r="24" spans="1:24" x14ac:dyDescent="0.25">
      <c r="A24" s="89" t="s">
        <v>92</v>
      </c>
      <c r="B24" s="90">
        <v>45573</v>
      </c>
      <c r="C24"/>
      <c r="D24"/>
      <c r="E24"/>
      <c r="F24"/>
      <c r="G24"/>
      <c r="H24"/>
      <c r="I24"/>
      <c r="J24" s="54"/>
      <c r="K24" s="21">
        <v>2</v>
      </c>
      <c r="L24" s="55" t="s">
        <v>93</v>
      </c>
      <c r="M24" s="51" t="s">
        <v>93</v>
      </c>
      <c r="N24" s="56" t="s">
        <v>94</v>
      </c>
      <c r="O24" s="3"/>
      <c r="X24" s="4"/>
    </row>
    <row r="25" spans="1:24" x14ac:dyDescent="0.25">
      <c r="A25" s="89" t="s">
        <v>95</v>
      </c>
      <c r="B25" s="90">
        <v>45573</v>
      </c>
      <c r="C25"/>
      <c r="D25"/>
      <c r="E25"/>
      <c r="F25"/>
      <c r="G25"/>
      <c r="H25"/>
      <c r="I25"/>
      <c r="J25" s="54"/>
      <c r="K25" s="3">
        <v>3</v>
      </c>
      <c r="L25" s="55" t="s">
        <v>96</v>
      </c>
      <c r="M25" s="51" t="s">
        <v>96</v>
      </c>
      <c r="N25" s="56" t="s">
        <v>97</v>
      </c>
      <c r="O25" s="3"/>
      <c r="X25" s="4"/>
    </row>
    <row r="26" spans="1:24" x14ac:dyDescent="0.25">
      <c r="A26" s="89" t="s">
        <v>98</v>
      </c>
      <c r="B26" s="90">
        <v>45573</v>
      </c>
      <c r="C26"/>
      <c r="D26"/>
      <c r="E26"/>
      <c r="F26"/>
      <c r="G26"/>
      <c r="H26"/>
      <c r="I26"/>
      <c r="J26" s="54"/>
      <c r="K26" s="21">
        <v>4</v>
      </c>
      <c r="L26" s="55" t="s">
        <v>99</v>
      </c>
      <c r="M26" s="51" t="s">
        <v>99</v>
      </c>
      <c r="N26" s="56" t="s">
        <v>93</v>
      </c>
      <c r="O26" s="3"/>
      <c r="X26" s="4"/>
    </row>
    <row r="27" spans="1:24" x14ac:dyDescent="0.25">
      <c r="A27" s="98" t="s">
        <v>100</v>
      </c>
      <c r="B27" s="72">
        <v>45597</v>
      </c>
      <c r="C27"/>
      <c r="D27"/>
      <c r="E27"/>
      <c r="F27"/>
      <c r="G27"/>
      <c r="H27"/>
      <c r="I27"/>
      <c r="J27" s="54"/>
      <c r="K27" s="3">
        <v>5</v>
      </c>
      <c r="L27" s="55" t="s">
        <v>101</v>
      </c>
      <c r="M27" s="51" t="s">
        <v>101</v>
      </c>
      <c r="N27" s="56" t="s">
        <v>96</v>
      </c>
      <c r="O27" s="3"/>
      <c r="R27" s="4"/>
      <c r="S27" s="3"/>
      <c r="X27" s="4"/>
    </row>
    <row r="28" spans="1:24" x14ac:dyDescent="0.25">
      <c r="A28"/>
      <c r="B28"/>
      <c r="C28"/>
      <c r="D28"/>
      <c r="E28"/>
      <c r="F28"/>
      <c r="G28"/>
      <c r="H28"/>
      <c r="I28"/>
      <c r="J28" s="54"/>
      <c r="K28" s="21">
        <v>6</v>
      </c>
      <c r="L28" s="55" t="s">
        <v>102</v>
      </c>
      <c r="M28" s="51" t="s">
        <v>102</v>
      </c>
      <c r="N28" s="56" t="s">
        <v>99</v>
      </c>
      <c r="O28" s="3"/>
      <c r="R28" s="4"/>
      <c r="S28" s="3"/>
      <c r="X28" s="4"/>
    </row>
    <row r="29" spans="1:24" x14ac:dyDescent="0.25">
      <c r="A29"/>
      <c r="B29"/>
      <c r="C29"/>
      <c r="D29"/>
      <c r="E29"/>
      <c r="F29"/>
      <c r="G29"/>
      <c r="H29"/>
      <c r="I29"/>
      <c r="J29" s="54"/>
      <c r="K29" s="3">
        <v>7</v>
      </c>
      <c r="L29" s="55" t="s">
        <v>103</v>
      </c>
      <c r="M29" s="51" t="s">
        <v>103</v>
      </c>
      <c r="N29" s="56" t="s">
        <v>101</v>
      </c>
      <c r="R29" s="4"/>
      <c r="X29" s="7"/>
    </row>
    <row r="30" spans="1:24" x14ac:dyDescent="0.25">
      <c r="A30"/>
      <c r="B30"/>
      <c r="C30"/>
      <c r="D30"/>
      <c r="E30"/>
      <c r="F30"/>
      <c r="G30"/>
      <c r="H30"/>
      <c r="I30"/>
      <c r="J30" s="54"/>
      <c r="K30" s="21">
        <v>8</v>
      </c>
      <c r="L30" s="55" t="s">
        <v>104</v>
      </c>
      <c r="M30" s="51" t="s">
        <v>104</v>
      </c>
      <c r="N30" s="56" t="s">
        <v>102</v>
      </c>
      <c r="X30" s="7"/>
    </row>
    <row r="31" spans="1:24" x14ac:dyDescent="0.25">
      <c r="A31"/>
      <c r="G31"/>
      <c r="H31"/>
      <c r="I31"/>
      <c r="J31" s="54"/>
      <c r="K31" s="3">
        <v>9</v>
      </c>
      <c r="L31" s="55" t="s">
        <v>105</v>
      </c>
      <c r="M31" s="51" t="s">
        <v>105</v>
      </c>
      <c r="N31" s="56" t="s">
        <v>103</v>
      </c>
      <c r="R31" s="4"/>
      <c r="S31" s="3"/>
      <c r="X31" s="7"/>
    </row>
    <row r="32" spans="1:24" x14ac:dyDescent="0.25">
      <c r="A32"/>
      <c r="G32"/>
      <c r="H32"/>
      <c r="I32"/>
      <c r="J32" s="54"/>
      <c r="K32" s="21">
        <v>10</v>
      </c>
      <c r="L32" s="55" t="s">
        <v>106</v>
      </c>
      <c r="M32" s="51" t="s">
        <v>106</v>
      </c>
      <c r="N32" s="56" t="s">
        <v>104</v>
      </c>
      <c r="R32" s="4"/>
      <c r="S32" s="3"/>
    </row>
    <row r="33" spans="1:24" x14ac:dyDescent="0.25">
      <c r="A33"/>
      <c r="G33"/>
      <c r="H33"/>
      <c r="I33"/>
      <c r="J33" s="54"/>
      <c r="K33" s="3">
        <v>11</v>
      </c>
      <c r="L33" s="55" t="s">
        <v>107</v>
      </c>
      <c r="M33" s="51" t="s">
        <v>107</v>
      </c>
      <c r="N33" s="56" t="s">
        <v>105</v>
      </c>
    </row>
    <row r="34" spans="1:24" x14ac:dyDescent="0.25">
      <c r="A34"/>
      <c r="G34"/>
      <c r="H34"/>
      <c r="I34"/>
      <c r="J34" s="54"/>
      <c r="K34" s="21">
        <v>12</v>
      </c>
      <c r="L34" s="55" t="s">
        <v>108</v>
      </c>
      <c r="M34" s="51" t="s">
        <v>108</v>
      </c>
      <c r="N34" s="56" t="s">
        <v>106</v>
      </c>
      <c r="X34" s="7"/>
    </row>
    <row r="35" spans="1:24" x14ac:dyDescent="0.25">
      <c r="A35"/>
      <c r="G35"/>
      <c r="H35"/>
      <c r="I35"/>
      <c r="J35" s="54"/>
      <c r="K35" s="3">
        <v>13</v>
      </c>
      <c r="L35" s="55" t="s">
        <v>109</v>
      </c>
      <c r="M35" s="51" t="s">
        <v>109</v>
      </c>
      <c r="N35" s="56" t="s">
        <v>107</v>
      </c>
    </row>
    <row r="36" spans="1:24" ht="15.75" customHeight="1" x14ac:dyDescent="0.25">
      <c r="A36"/>
      <c r="G36"/>
      <c r="H36"/>
      <c r="I36"/>
      <c r="J36" s="54"/>
      <c r="K36" s="21">
        <v>14</v>
      </c>
      <c r="L36" s="55" t="s">
        <v>110</v>
      </c>
      <c r="M36" s="51" t="s">
        <v>110</v>
      </c>
      <c r="N36" s="56" t="s">
        <v>108</v>
      </c>
    </row>
    <row r="37" spans="1:24" x14ac:dyDescent="0.25">
      <c r="A37"/>
      <c r="G37"/>
      <c r="H37"/>
      <c r="I37"/>
      <c r="J37" s="54"/>
      <c r="K37" s="3">
        <v>15</v>
      </c>
      <c r="L37" s="55" t="s">
        <v>111</v>
      </c>
      <c r="M37" s="51" t="s">
        <v>111</v>
      </c>
      <c r="N37" s="56" t="s">
        <v>109</v>
      </c>
    </row>
    <row r="38" spans="1:24" ht="15.75" customHeight="1" x14ac:dyDescent="0.25">
      <c r="A38"/>
      <c r="G38"/>
      <c r="H38"/>
      <c r="I38"/>
      <c r="J38" s="54"/>
      <c r="K38" s="21">
        <v>16</v>
      </c>
      <c r="L38" s="55" t="s">
        <v>112</v>
      </c>
      <c r="M38" s="51" t="s">
        <v>112</v>
      </c>
      <c r="N38" s="56" t="s">
        <v>110</v>
      </c>
    </row>
    <row r="39" spans="1:24" ht="15.75" customHeight="1" x14ac:dyDescent="0.25">
      <c r="A39"/>
      <c r="G39"/>
      <c r="H39"/>
      <c r="I39"/>
      <c r="J39" s="54"/>
      <c r="K39" s="3">
        <v>17</v>
      </c>
      <c r="L39" s="55" t="s">
        <v>113</v>
      </c>
      <c r="M39" s="51" t="s">
        <v>113</v>
      </c>
      <c r="N39" s="56" t="s">
        <v>111</v>
      </c>
    </row>
    <row r="40" spans="1:24" x14ac:dyDescent="0.25">
      <c r="G40"/>
      <c r="H40"/>
      <c r="I40"/>
      <c r="J40" s="54"/>
      <c r="K40" s="21">
        <v>18</v>
      </c>
      <c r="L40" s="55" t="s">
        <v>114</v>
      </c>
      <c r="M40" s="51" t="s">
        <v>114</v>
      </c>
      <c r="N40" s="56" t="s">
        <v>112</v>
      </c>
    </row>
    <row r="41" spans="1:24" x14ac:dyDescent="0.25">
      <c r="G41"/>
      <c r="H41"/>
      <c r="I41"/>
      <c r="J41" s="54"/>
      <c r="K41" s="3">
        <v>19</v>
      </c>
      <c r="L41" s="55" t="s">
        <v>115</v>
      </c>
      <c r="M41" s="51" t="s">
        <v>115</v>
      </c>
      <c r="N41" s="56" t="s">
        <v>113</v>
      </c>
    </row>
    <row r="42" spans="1:24" x14ac:dyDescent="0.25">
      <c r="G42"/>
      <c r="H42"/>
      <c r="I42"/>
      <c r="J42" s="54"/>
      <c r="K42" s="21">
        <v>20</v>
      </c>
      <c r="L42" s="55" t="s">
        <v>116</v>
      </c>
      <c r="M42" s="51" t="s">
        <v>116</v>
      </c>
      <c r="N42" s="56" t="s">
        <v>114</v>
      </c>
    </row>
    <row r="43" spans="1:24" x14ac:dyDescent="0.25">
      <c r="G43"/>
      <c r="H43"/>
      <c r="I43"/>
      <c r="J43" s="54"/>
      <c r="K43" s="3">
        <v>21</v>
      </c>
      <c r="L43" s="55" t="s">
        <v>117</v>
      </c>
      <c r="M43" s="51" t="s">
        <v>117</v>
      </c>
      <c r="N43" s="56" t="s">
        <v>115</v>
      </c>
    </row>
    <row r="44" spans="1:24" x14ac:dyDescent="0.25">
      <c r="G44"/>
      <c r="H44"/>
      <c r="I44"/>
      <c r="J44" s="54"/>
      <c r="K44" s="21">
        <v>22</v>
      </c>
      <c r="L44" s="55" t="s">
        <v>118</v>
      </c>
      <c r="M44" s="51" t="s">
        <v>118</v>
      </c>
      <c r="N44" s="56" t="s">
        <v>116</v>
      </c>
    </row>
    <row r="45" spans="1:24" x14ac:dyDescent="0.25">
      <c r="G45"/>
      <c r="H45"/>
      <c r="I45"/>
      <c r="J45" s="54"/>
      <c r="K45" s="3">
        <v>23</v>
      </c>
      <c r="L45" s="55" t="s">
        <v>119</v>
      </c>
      <c r="M45" s="51" t="s">
        <v>119</v>
      </c>
      <c r="N45" s="56" t="s">
        <v>117</v>
      </c>
    </row>
    <row r="46" spans="1:24" x14ac:dyDescent="0.25">
      <c r="G46"/>
      <c r="H46"/>
      <c r="I46"/>
      <c r="J46" s="54"/>
      <c r="K46" s="21">
        <v>24</v>
      </c>
      <c r="L46" s="55" t="s">
        <v>120</v>
      </c>
      <c r="M46" s="51" t="s">
        <v>120</v>
      </c>
      <c r="N46" s="56" t="s">
        <v>118</v>
      </c>
    </row>
    <row r="47" spans="1:24" x14ac:dyDescent="0.25">
      <c r="G47"/>
      <c r="H47"/>
      <c r="I47"/>
      <c r="J47" s="54"/>
      <c r="K47" s="3">
        <v>25</v>
      </c>
      <c r="L47" s="55" t="s">
        <v>121</v>
      </c>
      <c r="M47" s="51" t="s">
        <v>121</v>
      </c>
      <c r="N47" s="56" t="s">
        <v>119</v>
      </c>
    </row>
    <row r="48" spans="1:24" x14ac:dyDescent="0.25">
      <c r="G48"/>
      <c r="H48"/>
      <c r="I48"/>
      <c r="J48" s="54"/>
      <c r="K48" s="21">
        <v>26</v>
      </c>
      <c r="L48" s="55"/>
      <c r="M48" s="51"/>
      <c r="N48" s="56" t="s">
        <v>120</v>
      </c>
    </row>
    <row r="49" spans="7:16" x14ac:dyDescent="0.25">
      <c r="G49"/>
      <c r="H49"/>
      <c r="I49"/>
      <c r="J49" s="54"/>
      <c r="K49" s="3">
        <v>27</v>
      </c>
      <c r="L49" s="55"/>
      <c r="M49" s="51"/>
      <c r="N49" s="56" t="s">
        <v>121</v>
      </c>
    </row>
    <row r="50" spans="7:16" ht="16.5" thickBot="1" x14ac:dyDescent="0.3">
      <c r="G50"/>
      <c r="H50"/>
      <c r="I50"/>
      <c r="J50" s="54"/>
      <c r="K50" s="21">
        <v>28</v>
      </c>
      <c r="L50" s="73"/>
      <c r="M50" s="74"/>
      <c r="N50" s="75"/>
    </row>
    <row r="51" spans="7:16" x14ac:dyDescent="0.25">
      <c r="G51"/>
      <c r="H51"/>
      <c r="I51"/>
      <c r="J51" s="54"/>
      <c r="K51" s="21"/>
      <c r="L51" s="51" t="s">
        <v>122</v>
      </c>
      <c r="M51" s="51" t="s">
        <v>122</v>
      </c>
      <c r="N51" s="51" t="s">
        <v>122</v>
      </c>
    </row>
    <row r="52" spans="7:16" x14ac:dyDescent="0.25">
      <c r="G52"/>
      <c r="H52"/>
      <c r="I52"/>
      <c r="J52" s="54"/>
      <c r="L52" s="51" t="s">
        <v>123</v>
      </c>
      <c r="M52" s="51" t="s">
        <v>123</v>
      </c>
      <c r="N52" s="51" t="s">
        <v>123</v>
      </c>
    </row>
    <row r="53" spans="7:16" x14ac:dyDescent="0.25">
      <c r="G53"/>
      <c r="H53"/>
      <c r="I53"/>
      <c r="J53" s="54"/>
    </row>
    <row r="54" spans="7:16" x14ac:dyDescent="0.25">
      <c r="G54"/>
      <c r="H54"/>
      <c r="I54"/>
      <c r="J54" s="54"/>
      <c r="P54" s="51"/>
    </row>
    <row r="55" spans="7:16" x14ac:dyDescent="0.25">
      <c r="G55"/>
      <c r="H55"/>
      <c r="I55"/>
      <c r="P55" s="51"/>
    </row>
    <row r="56" spans="7:16" x14ac:dyDescent="0.25">
      <c r="G56"/>
      <c r="H56"/>
      <c r="I56"/>
      <c r="P56" s="51"/>
    </row>
    <row r="57" spans="7:16" x14ac:dyDescent="0.25">
      <c r="G57"/>
      <c r="H57"/>
      <c r="I57"/>
    </row>
    <row r="58" spans="7:16" x14ac:dyDescent="0.25">
      <c r="G58"/>
      <c r="H58"/>
      <c r="I58"/>
    </row>
    <row r="59" spans="7:16" x14ac:dyDescent="0.25">
      <c r="G59"/>
      <c r="H59"/>
      <c r="I59"/>
    </row>
    <row r="60" spans="7:16" x14ac:dyDescent="0.25">
      <c r="G60"/>
      <c r="H60"/>
      <c r="I60"/>
    </row>
    <row r="61" spans="7:16" x14ac:dyDescent="0.25">
      <c r="G61"/>
      <c r="H61"/>
      <c r="I61"/>
    </row>
    <row r="62" spans="7:16" x14ac:dyDescent="0.25">
      <c r="G62"/>
      <c r="H62"/>
      <c r="I62"/>
    </row>
    <row r="63" spans="7:16" x14ac:dyDescent="0.25">
      <c r="G63"/>
      <c r="H63"/>
      <c r="I63"/>
    </row>
  </sheetData>
  <sortState xmlns:xlrd2="http://schemas.microsoft.com/office/spreadsheetml/2017/richdata2" ref="N27:N58">
    <sortCondition ref="N27"/>
  </sortState>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4"/>
  <sheetViews>
    <sheetView zoomScale="85" zoomScaleNormal="85" workbookViewId="0">
      <selection activeCell="A27" sqref="A27"/>
    </sheetView>
  </sheetViews>
  <sheetFormatPr defaultRowHeight="15.75" x14ac:dyDescent="0.25"/>
  <cols>
    <col min="1" max="1" width="11.75" bestFit="1" customWidth="1"/>
    <col min="2" max="2" width="6.25" style="5" bestFit="1" customWidth="1"/>
    <col min="3" max="3" width="9.375" bestFit="1" customWidth="1"/>
    <col min="4" max="4" width="61.5" bestFit="1" customWidth="1"/>
    <col min="5" max="5" width="9.375" style="5" bestFit="1" customWidth="1"/>
    <col min="6" max="6" width="21.25" bestFit="1" customWidth="1"/>
    <col min="7" max="9" width="5.75" bestFit="1" customWidth="1"/>
    <col min="10" max="10" width="5.75" style="5" bestFit="1" customWidth="1"/>
    <col min="11" max="11" width="51.5" style="5" bestFit="1" customWidth="1"/>
    <col min="12" max="13" width="5.75" style="5" bestFit="1" customWidth="1"/>
    <col min="14" max="14" width="5.75" bestFit="1" customWidth="1"/>
    <col min="15" max="16" width="11.875" bestFit="1" customWidth="1"/>
    <col min="17" max="17" width="12.125" bestFit="1" customWidth="1"/>
  </cols>
  <sheetData>
    <row r="1" spans="1:15" x14ac:dyDescent="0.25">
      <c r="A1" s="23">
        <f>COLUMN()</f>
        <v>1</v>
      </c>
      <c r="B1" s="23">
        <f>COLUMN()</f>
        <v>2</v>
      </c>
      <c r="C1" s="23">
        <f>COLUMN()</f>
        <v>3</v>
      </c>
      <c r="D1" s="23">
        <f>COLUMN()</f>
        <v>4</v>
      </c>
      <c r="E1" s="23">
        <f>COLUMN()</f>
        <v>5</v>
      </c>
      <c r="F1" s="23">
        <f>COLUMN()</f>
        <v>6</v>
      </c>
      <c r="G1" s="23">
        <f>COLUMN()</f>
        <v>7</v>
      </c>
      <c r="H1" s="23">
        <f>COLUMN()</f>
        <v>8</v>
      </c>
      <c r="I1" s="23">
        <f>COLUMN()</f>
        <v>9</v>
      </c>
      <c r="J1" s="23">
        <f>COLUMN()</f>
        <v>10</v>
      </c>
      <c r="K1" s="23">
        <f>COLUMN()</f>
        <v>11</v>
      </c>
      <c r="L1" s="23">
        <f>COLUMN()</f>
        <v>12</v>
      </c>
      <c r="M1" s="23">
        <f>COLUMN()</f>
        <v>13</v>
      </c>
      <c r="N1" s="23">
        <f>COLUMN()</f>
        <v>14</v>
      </c>
    </row>
    <row r="2" spans="1:15" ht="60" x14ac:dyDescent="0.25">
      <c r="A2" s="15" t="s">
        <v>0</v>
      </c>
      <c r="B2" s="15" t="s">
        <v>1</v>
      </c>
      <c r="C2" s="15" t="s">
        <v>2</v>
      </c>
      <c r="D2" s="15" t="s">
        <v>124</v>
      </c>
      <c r="E2" s="15" t="s">
        <v>5</v>
      </c>
      <c r="F2" s="15" t="s">
        <v>4</v>
      </c>
      <c r="G2" s="82" t="s">
        <v>125</v>
      </c>
      <c r="H2" s="82" t="s">
        <v>126</v>
      </c>
      <c r="I2" s="82" t="s">
        <v>127</v>
      </c>
      <c r="J2" s="82" t="s">
        <v>128</v>
      </c>
      <c r="K2" s="15" t="s">
        <v>129</v>
      </c>
      <c r="L2" s="82" t="s">
        <v>53</v>
      </c>
      <c r="M2" s="82" t="s">
        <v>60</v>
      </c>
      <c r="N2" s="82" t="s">
        <v>66</v>
      </c>
      <c r="O2" s="6"/>
    </row>
    <row r="3" spans="1:15" x14ac:dyDescent="0.25">
      <c r="A3" s="7" t="s">
        <v>82</v>
      </c>
      <c r="B3" s="8"/>
      <c r="C3" s="8"/>
      <c r="D3" s="7" t="s">
        <v>130</v>
      </c>
      <c r="E3" s="8"/>
      <c r="F3" s="34"/>
      <c r="G3" s="30" t="str">
        <f>IFERROR(IF(VLOOKUP(TableHandbook[[#This Row],[UDC]],TableAvailabilities[],2,FALSE)&gt;0,"Y",""),"")</f>
        <v/>
      </c>
      <c r="H3" s="30" t="str">
        <f>IFERROR(IF(VLOOKUP(TableHandbook[[#This Row],[UDC]],TableAvailabilities[],3,FALSE)&gt;0,"Y",""),"")</f>
        <v/>
      </c>
      <c r="I3" s="30" t="str">
        <f>IFERROR(IF(VLOOKUP(TableHandbook[[#This Row],[UDC]],TableAvailabilities[],4,FALSE)&gt;0,"Y",""),"")</f>
        <v/>
      </c>
      <c r="J3" s="30" t="str">
        <f>IFERROR(IF(VLOOKUP(TableHandbook[[#This Row],[UDC]],TableAvailabilities[],5,FALSE)&gt;0,"Y",""),"")</f>
        <v/>
      </c>
      <c r="K3" s="83"/>
      <c r="L3" s="84" t="str">
        <f>IFERROR(VLOOKUP(TableHandbook[[#This Row],[UDC]],TableGCDESIGN[],7,FALSE),"")</f>
        <v/>
      </c>
      <c r="M3" s="84" t="str">
        <f>IFERROR(VLOOKUP(TableHandbook[[#This Row],[UDC]],TableGDDESIGN[],7,FALSE),"")</f>
        <v/>
      </c>
      <c r="N3" s="84" t="str">
        <f>IFERROR(VLOOKUP(TableHandbook[[#This Row],[UDC]],TableMCDESIGN[],7,FALSE),"")</f>
        <v/>
      </c>
      <c r="O3" s="6"/>
    </row>
    <row r="4" spans="1:15" x14ac:dyDescent="0.25">
      <c r="A4" s="60" t="s">
        <v>50</v>
      </c>
      <c r="B4" s="8"/>
      <c r="C4" s="8"/>
      <c r="D4" s="7" t="s">
        <v>131</v>
      </c>
      <c r="E4" s="8"/>
      <c r="F4" s="34" t="s">
        <v>132</v>
      </c>
      <c r="G4" s="30" t="str">
        <f>IFERROR(IF(VLOOKUP(TableHandbook[[#This Row],[UDC]],TableAvailabilities[],2,FALSE)&gt;0,"Y",""),"")</f>
        <v/>
      </c>
      <c r="H4" s="30" t="str">
        <f>IFERROR(IF(VLOOKUP(TableHandbook[[#This Row],[UDC]],TableAvailabilities[],3,FALSE)&gt;0,"Y",""),"")</f>
        <v/>
      </c>
      <c r="I4" s="30" t="str">
        <f>IFERROR(IF(VLOOKUP(TableHandbook[[#This Row],[UDC]],TableAvailabilities[],4,FALSE)&gt;0,"Y",""),"")</f>
        <v/>
      </c>
      <c r="J4" s="30" t="str">
        <f>IFERROR(IF(VLOOKUP(TableHandbook[[#This Row],[UDC]],TableAvailabilities[],5,FALSE)&gt;0,"Y",""),"")</f>
        <v/>
      </c>
      <c r="K4" s="83"/>
      <c r="L4" s="84" t="str">
        <f>IFERROR(VLOOKUP(TableHandbook[[#This Row],[UDC]],TableGCDESIGN[],7,FALSE),"")</f>
        <v/>
      </c>
      <c r="M4" s="84" t="str">
        <f>IFERROR(VLOOKUP(TableHandbook[[#This Row],[UDC]],TableGDDESIGN[],7,FALSE),"")</f>
        <v/>
      </c>
      <c r="N4" s="84" t="str">
        <f>IFERROR(VLOOKUP(TableHandbook[[#This Row],[UDC]],TableMCDESIGN[],7,FALSE),"")</f>
        <v/>
      </c>
    </row>
    <row r="5" spans="1:15" x14ac:dyDescent="0.25">
      <c r="A5" s="7" t="s">
        <v>93</v>
      </c>
      <c r="B5" s="8">
        <v>3</v>
      </c>
      <c r="C5" s="8"/>
      <c r="D5" s="7" t="s">
        <v>133</v>
      </c>
      <c r="E5" s="8">
        <v>25</v>
      </c>
      <c r="F5" s="34" t="s">
        <v>134</v>
      </c>
      <c r="G5" s="30" t="str">
        <f>IFERROR(IF(VLOOKUP(TableHandbook[[#This Row],[UDC]],TableAvailabilities[],2,FALSE)&gt;0,"Y",""),"")</f>
        <v>Y</v>
      </c>
      <c r="H5" s="30" t="str">
        <f>IFERROR(IF(VLOOKUP(TableHandbook[[#This Row],[UDC]],TableAvailabilities[],3,FALSE)&gt;0,"Y",""),"")</f>
        <v/>
      </c>
      <c r="I5" s="30" t="str">
        <f>IFERROR(IF(VLOOKUP(TableHandbook[[#This Row],[UDC]],TableAvailabilities[],4,FALSE)&gt;0,"Y",""),"")</f>
        <v/>
      </c>
      <c r="J5" s="30" t="str">
        <f>IFERROR(IF(VLOOKUP(TableHandbook[[#This Row],[UDC]],TableAvailabilities[],5,FALSE)&gt;0,"Y",""),"")</f>
        <v/>
      </c>
      <c r="K5" s="83"/>
      <c r="L5" s="84" t="str">
        <f>IFERROR(VLOOKUP(TableHandbook[[#This Row],[UDC]],TableGCDESIGN[],7,FALSE),"")</f>
        <v>Option</v>
      </c>
      <c r="M5" s="84" t="str">
        <f>IFERROR(VLOOKUP(TableHandbook[[#This Row],[UDC]],TableGDDESIGN[],7,FALSE),"")</f>
        <v>Option</v>
      </c>
      <c r="N5" s="84" t="str">
        <f>IFERROR(VLOOKUP(TableHandbook[[#This Row],[UDC]],TableMCDESIGN[],7,FALSE),"")</f>
        <v>Option</v>
      </c>
    </row>
    <row r="6" spans="1:15" ht="26.25" x14ac:dyDescent="0.25">
      <c r="A6" s="7" t="s">
        <v>122</v>
      </c>
      <c r="B6" s="8">
        <v>2</v>
      </c>
      <c r="C6" s="8"/>
      <c r="D6" s="7" t="s">
        <v>135</v>
      </c>
      <c r="E6" s="8">
        <v>25</v>
      </c>
      <c r="F6" s="34" t="s">
        <v>134</v>
      </c>
      <c r="G6" s="30" t="str">
        <f>IFERROR(IF(VLOOKUP(TableHandbook[[#This Row],[UDC]],TableAvailabilities[],2,FALSE)&gt;0,"Y",""),"")</f>
        <v/>
      </c>
      <c r="H6" s="30" t="str">
        <f>IFERROR(IF(VLOOKUP(TableHandbook[[#This Row],[UDC]],TableAvailabilities[],3,FALSE)&gt;0,"Y",""),"")</f>
        <v/>
      </c>
      <c r="I6" s="30" t="str">
        <f>IFERROR(IF(VLOOKUP(TableHandbook[[#This Row],[UDC]],TableAvailabilities[],4,FALSE)&gt;0,"Y",""),"")</f>
        <v/>
      </c>
      <c r="J6" s="30" t="str">
        <f>IFERROR(IF(VLOOKUP(TableHandbook[[#This Row],[UDC]],TableAvailabilities[],5,FALSE)&gt;0,"Y",""),"")</f>
        <v/>
      </c>
      <c r="K6" s="83" t="s">
        <v>136</v>
      </c>
      <c r="L6" s="84" t="str">
        <f>IFERROR(VLOOKUP(TableHandbook[[#This Row],[UDC]],TableGCDESIGN[],7,FALSE),"")</f>
        <v>Option</v>
      </c>
      <c r="M6" s="84" t="str">
        <f>IFERROR(VLOOKUP(TableHandbook[[#This Row],[UDC]],TableGDDESIGN[],7,FALSE),"")</f>
        <v>Option</v>
      </c>
      <c r="N6" s="84" t="str">
        <f>IFERROR(VLOOKUP(TableHandbook[[#This Row],[UDC]],TableMCDESIGN[],7,FALSE),"")</f>
        <v>Option</v>
      </c>
    </row>
    <row r="7" spans="1:15" x14ac:dyDescent="0.25">
      <c r="A7" s="7" t="s">
        <v>96</v>
      </c>
      <c r="B7" s="8">
        <v>2</v>
      </c>
      <c r="C7" s="8"/>
      <c r="D7" s="7" t="s">
        <v>137</v>
      </c>
      <c r="E7" s="8">
        <v>25</v>
      </c>
      <c r="F7" s="34" t="s">
        <v>134</v>
      </c>
      <c r="G7" s="30" t="str">
        <f>IFERROR(IF(VLOOKUP(TableHandbook[[#This Row],[UDC]],TableAvailabilities[],2,FALSE)&gt;0,"Y",""),"")</f>
        <v>Y</v>
      </c>
      <c r="H7" s="30" t="str">
        <f>IFERROR(IF(VLOOKUP(TableHandbook[[#This Row],[UDC]],TableAvailabilities[],3,FALSE)&gt;0,"Y",""),"")</f>
        <v/>
      </c>
      <c r="I7" s="30" t="str">
        <f>IFERROR(IF(VLOOKUP(TableHandbook[[#This Row],[UDC]],TableAvailabilities[],4,FALSE)&gt;0,"Y",""),"")</f>
        <v>Y</v>
      </c>
      <c r="J7" s="30" t="str">
        <f>IFERROR(IF(VLOOKUP(TableHandbook[[#This Row],[UDC]],TableAvailabilities[],5,FALSE)&gt;0,"Y",""),"")</f>
        <v/>
      </c>
      <c r="K7" s="83"/>
      <c r="L7" s="84" t="str">
        <f>IFERROR(VLOOKUP(TableHandbook[[#This Row],[UDC]],TableGCDESIGN[],7,FALSE),"")</f>
        <v>Option</v>
      </c>
      <c r="M7" s="84" t="str">
        <f>IFERROR(VLOOKUP(TableHandbook[[#This Row],[UDC]],TableGDDESIGN[],7,FALSE),"")</f>
        <v>Option</v>
      </c>
      <c r="N7" s="84" t="str">
        <f>IFERROR(VLOOKUP(TableHandbook[[#This Row],[UDC]],TableMCDESIGN[],7,FALSE),"")</f>
        <v>Option</v>
      </c>
    </row>
    <row r="8" spans="1:15" x14ac:dyDescent="0.25">
      <c r="A8" s="7" t="s">
        <v>99</v>
      </c>
      <c r="B8" s="8">
        <v>1</v>
      </c>
      <c r="C8" s="8"/>
      <c r="D8" s="7" t="s">
        <v>138</v>
      </c>
      <c r="E8" s="8">
        <v>25</v>
      </c>
      <c r="F8" s="34" t="s">
        <v>134</v>
      </c>
      <c r="G8" s="30" t="str">
        <f>IFERROR(IF(VLOOKUP(TableHandbook[[#This Row],[UDC]],TableAvailabilities[],2,FALSE)&gt;0,"Y",""),"")</f>
        <v>Y</v>
      </c>
      <c r="H8" s="30" t="str">
        <f>IFERROR(IF(VLOOKUP(TableHandbook[[#This Row],[UDC]],TableAvailabilities[],3,FALSE)&gt;0,"Y",""),"")</f>
        <v/>
      </c>
      <c r="I8" s="30" t="str">
        <f>IFERROR(IF(VLOOKUP(TableHandbook[[#This Row],[UDC]],TableAvailabilities[],4,FALSE)&gt;0,"Y",""),"")</f>
        <v/>
      </c>
      <c r="J8" s="30" t="str">
        <f>IFERROR(IF(VLOOKUP(TableHandbook[[#This Row],[UDC]],TableAvailabilities[],5,FALSE)&gt;0,"Y",""),"")</f>
        <v/>
      </c>
      <c r="K8" s="83"/>
      <c r="L8" s="84" t="str">
        <f>IFERROR(VLOOKUP(TableHandbook[[#This Row],[UDC]],TableGCDESIGN[],7,FALSE),"")</f>
        <v>Option</v>
      </c>
      <c r="M8" s="84" t="str">
        <f>IFERROR(VLOOKUP(TableHandbook[[#This Row],[UDC]],TableGDDESIGN[],7,FALSE),"")</f>
        <v>Option</v>
      </c>
      <c r="N8" s="84" t="str">
        <f>IFERROR(VLOOKUP(TableHandbook[[#This Row],[UDC]],TableMCDESIGN[],7,FALSE),"")</f>
        <v>Option</v>
      </c>
    </row>
    <row r="9" spans="1:15" x14ac:dyDescent="0.25">
      <c r="A9" s="7" t="s">
        <v>63</v>
      </c>
      <c r="B9" s="8">
        <v>1</v>
      </c>
      <c r="C9" s="8"/>
      <c r="D9" s="7" t="s">
        <v>139</v>
      </c>
      <c r="E9" s="8">
        <v>25</v>
      </c>
      <c r="F9" s="34" t="s">
        <v>134</v>
      </c>
      <c r="G9" s="30" t="str">
        <f>IFERROR(IF(VLOOKUP(TableHandbook[[#This Row],[UDC]],TableAvailabilities[],2,FALSE)&gt;0,"Y",""),"")</f>
        <v>Y</v>
      </c>
      <c r="H9" s="30" t="str">
        <f>IFERROR(IF(VLOOKUP(TableHandbook[[#This Row],[UDC]],TableAvailabilities[],3,FALSE)&gt;0,"Y",""),"")</f>
        <v/>
      </c>
      <c r="I9" s="30" t="str">
        <f>IFERROR(IF(VLOOKUP(TableHandbook[[#This Row],[UDC]],TableAvailabilities[],4,FALSE)&gt;0,"Y",""),"")</f>
        <v/>
      </c>
      <c r="J9" s="30" t="str">
        <f>IFERROR(IF(VLOOKUP(TableHandbook[[#This Row],[UDC]],TableAvailabilities[],5,FALSE)&gt;0,"Y",""),"")</f>
        <v/>
      </c>
      <c r="K9" s="83"/>
      <c r="L9" s="84" t="str">
        <f>IFERROR(VLOOKUP(TableHandbook[[#This Row],[UDC]],TableGCDESIGN[],7,FALSE),"")</f>
        <v>Core</v>
      </c>
      <c r="M9" s="84" t="str">
        <f>IFERROR(VLOOKUP(TableHandbook[[#This Row],[UDC]],TableGDDESIGN[],7,FALSE),"")</f>
        <v>Core</v>
      </c>
      <c r="N9" s="84" t="str">
        <f>IFERROR(VLOOKUP(TableHandbook[[#This Row],[UDC]],TableMCDESIGN[],7,FALSE),"")</f>
        <v>Core</v>
      </c>
    </row>
    <row r="10" spans="1:15" x14ac:dyDescent="0.25">
      <c r="A10" s="7" t="s">
        <v>48</v>
      </c>
      <c r="B10" s="8">
        <v>1</v>
      </c>
      <c r="C10" s="8"/>
      <c r="D10" s="7" t="s">
        <v>140</v>
      </c>
      <c r="E10" s="8">
        <v>25</v>
      </c>
      <c r="F10" s="34" t="s">
        <v>134</v>
      </c>
      <c r="G10" s="30" t="str">
        <f>IFERROR(IF(VLOOKUP(TableHandbook[[#This Row],[UDC]],TableAvailabilities[],2,FALSE)&gt;0,"Y",""),"")</f>
        <v>Y</v>
      </c>
      <c r="H10" s="30" t="str">
        <f>IFERROR(IF(VLOOKUP(TableHandbook[[#This Row],[UDC]],TableAvailabilities[],3,FALSE)&gt;0,"Y",""),"")</f>
        <v/>
      </c>
      <c r="I10" s="30" t="str">
        <f>IFERROR(IF(VLOOKUP(TableHandbook[[#This Row],[UDC]],TableAvailabilities[],4,FALSE)&gt;0,"Y",""),"")</f>
        <v/>
      </c>
      <c r="J10" s="30" t="str">
        <f>IFERROR(IF(VLOOKUP(TableHandbook[[#This Row],[UDC]],TableAvailabilities[],5,FALSE)&gt;0,"Y",""),"")</f>
        <v/>
      </c>
      <c r="K10" s="83"/>
      <c r="L10" s="84" t="str">
        <f>IFERROR(VLOOKUP(TableHandbook[[#This Row],[UDC]],TableGCDESIGN[],7,FALSE),"")</f>
        <v>Core</v>
      </c>
      <c r="M10" s="84" t="str">
        <f>IFERROR(VLOOKUP(TableHandbook[[#This Row],[UDC]],TableGDDESIGN[],7,FALSE),"")</f>
        <v>Core</v>
      </c>
      <c r="N10" s="84" t="str">
        <f>IFERROR(VLOOKUP(TableHandbook[[#This Row],[UDC]],TableMCDESIGN[],7,FALSE),"")</f>
        <v>Core</v>
      </c>
    </row>
    <row r="11" spans="1:15" x14ac:dyDescent="0.25">
      <c r="A11" s="7" t="s">
        <v>57</v>
      </c>
      <c r="B11" s="8">
        <v>1</v>
      </c>
      <c r="C11" s="8"/>
      <c r="D11" s="7" t="s">
        <v>141</v>
      </c>
      <c r="E11" s="8">
        <v>25</v>
      </c>
      <c r="F11" s="34" t="s">
        <v>134</v>
      </c>
      <c r="G11" s="30" t="str">
        <f>IFERROR(IF(VLOOKUP(TableHandbook[[#This Row],[UDC]],TableAvailabilities[],2,FALSE)&gt;0,"Y",""),"")</f>
        <v>Y</v>
      </c>
      <c r="H11" s="30" t="str">
        <f>IFERROR(IF(VLOOKUP(TableHandbook[[#This Row],[UDC]],TableAvailabilities[],3,FALSE)&gt;0,"Y",""),"")</f>
        <v/>
      </c>
      <c r="I11" s="30" t="str">
        <f>IFERROR(IF(VLOOKUP(TableHandbook[[#This Row],[UDC]],TableAvailabilities[],4,FALSE)&gt;0,"Y",""),"")</f>
        <v/>
      </c>
      <c r="J11" s="30" t="str">
        <f>IFERROR(IF(VLOOKUP(TableHandbook[[#This Row],[UDC]],TableAvailabilities[],5,FALSE)&gt;0,"Y",""),"")</f>
        <v/>
      </c>
      <c r="K11" s="83"/>
      <c r="L11" s="84" t="str">
        <f>IFERROR(VLOOKUP(TableHandbook[[#This Row],[UDC]],TableGCDESIGN[],7,FALSE),"")</f>
        <v>Core</v>
      </c>
      <c r="M11" s="84" t="str">
        <f>IFERROR(VLOOKUP(TableHandbook[[#This Row],[UDC]],TableGDDESIGN[],7,FALSE),"")</f>
        <v>Core</v>
      </c>
      <c r="N11" s="84" t="str">
        <f>IFERROR(VLOOKUP(TableHandbook[[#This Row],[UDC]],TableMCDESIGN[],7,FALSE),"")</f>
        <v>Core</v>
      </c>
    </row>
    <row r="12" spans="1:15" x14ac:dyDescent="0.25">
      <c r="A12" s="7" t="s">
        <v>58</v>
      </c>
      <c r="B12" s="8">
        <v>1</v>
      </c>
      <c r="C12" s="8"/>
      <c r="D12" s="7" t="s">
        <v>142</v>
      </c>
      <c r="E12" s="8">
        <v>25</v>
      </c>
      <c r="F12" s="34" t="s">
        <v>134</v>
      </c>
      <c r="G12" s="30" t="str">
        <f>IFERROR(IF(VLOOKUP(TableHandbook[[#This Row],[UDC]],TableAvailabilities[],2,FALSE)&gt;0,"Y",""),"")</f>
        <v/>
      </c>
      <c r="H12" s="30" t="str">
        <f>IFERROR(IF(VLOOKUP(TableHandbook[[#This Row],[UDC]],TableAvailabilities[],3,FALSE)&gt;0,"Y",""),"")</f>
        <v/>
      </c>
      <c r="I12" s="30" t="str">
        <f>IFERROR(IF(VLOOKUP(TableHandbook[[#This Row],[UDC]],TableAvailabilities[],4,FALSE)&gt;0,"Y",""),"")</f>
        <v>Y</v>
      </c>
      <c r="J12" s="30" t="str">
        <f>IFERROR(IF(VLOOKUP(TableHandbook[[#This Row],[UDC]],TableAvailabilities[],5,FALSE)&gt;0,"Y",""),"")</f>
        <v/>
      </c>
      <c r="K12" s="83"/>
      <c r="L12" s="84" t="str">
        <f>IFERROR(VLOOKUP(TableHandbook[[#This Row],[UDC]],TableGCDESIGN[],7,FALSE),"")</f>
        <v/>
      </c>
      <c r="M12" s="84" t="str">
        <f>IFERROR(VLOOKUP(TableHandbook[[#This Row],[UDC]],TableGDDESIGN[],7,FALSE),"")</f>
        <v>Core</v>
      </c>
      <c r="N12" s="84" t="str">
        <f>IFERROR(VLOOKUP(TableHandbook[[#This Row],[UDC]],TableMCDESIGN[],7,FALSE),"")</f>
        <v>Core</v>
      </c>
    </row>
    <row r="13" spans="1:15" x14ac:dyDescent="0.25">
      <c r="A13" s="7" t="s">
        <v>51</v>
      </c>
      <c r="B13" s="8">
        <v>1</v>
      </c>
      <c r="C13" s="8"/>
      <c r="D13" s="7" t="s">
        <v>143</v>
      </c>
      <c r="E13" s="8">
        <v>25</v>
      </c>
      <c r="F13" s="34" t="s">
        <v>134</v>
      </c>
      <c r="G13" s="30" t="str">
        <f>IFERROR(IF(VLOOKUP(TableHandbook[[#This Row],[UDC]],TableAvailabilities[],2,FALSE)&gt;0,"Y",""),"")</f>
        <v/>
      </c>
      <c r="H13" s="30" t="str">
        <f>IFERROR(IF(VLOOKUP(TableHandbook[[#This Row],[UDC]],TableAvailabilities[],3,FALSE)&gt;0,"Y",""),"")</f>
        <v/>
      </c>
      <c r="I13" s="30" t="str">
        <f>IFERROR(IF(VLOOKUP(TableHandbook[[#This Row],[UDC]],TableAvailabilities[],4,FALSE)&gt;0,"Y",""),"")</f>
        <v>Y</v>
      </c>
      <c r="J13" s="30" t="str">
        <f>IFERROR(IF(VLOOKUP(TableHandbook[[#This Row],[UDC]],TableAvailabilities[],5,FALSE)&gt;0,"Y",""),"")</f>
        <v/>
      </c>
      <c r="K13" s="83"/>
      <c r="L13" s="84" t="str">
        <f>IFERROR(VLOOKUP(TableHandbook[[#This Row],[UDC]],TableGCDESIGN[],7,FALSE),"")</f>
        <v/>
      </c>
      <c r="M13" s="84" t="str">
        <f>IFERROR(VLOOKUP(TableHandbook[[#This Row],[UDC]],TableGDDESIGN[],7,FALSE),"")</f>
        <v>Core</v>
      </c>
      <c r="N13" s="84" t="str">
        <f>IFERROR(VLOOKUP(TableHandbook[[#This Row],[UDC]],TableMCDESIGN[],7,FALSE),"")</f>
        <v>Core</v>
      </c>
    </row>
    <row r="14" spans="1:15" x14ac:dyDescent="0.25">
      <c r="A14" s="7" t="s">
        <v>64</v>
      </c>
      <c r="B14" s="8">
        <v>1</v>
      </c>
      <c r="C14" s="8"/>
      <c r="D14" s="7" t="s">
        <v>144</v>
      </c>
      <c r="E14" s="8">
        <v>25</v>
      </c>
      <c r="F14" s="34" t="s">
        <v>134</v>
      </c>
      <c r="G14" s="30" t="str">
        <f>IFERROR(IF(VLOOKUP(TableHandbook[[#This Row],[UDC]],TableAvailabilities[],2,FALSE)&gt;0,"Y",""),"")</f>
        <v/>
      </c>
      <c r="H14" s="30" t="str">
        <f>IFERROR(IF(VLOOKUP(TableHandbook[[#This Row],[UDC]],TableAvailabilities[],3,FALSE)&gt;0,"Y",""),"")</f>
        <v/>
      </c>
      <c r="I14" s="30" t="str">
        <f>IFERROR(IF(VLOOKUP(TableHandbook[[#This Row],[UDC]],TableAvailabilities[],4,FALSE)&gt;0,"Y",""),"")</f>
        <v>Y</v>
      </c>
      <c r="J14" s="30" t="str">
        <f>IFERROR(IF(VLOOKUP(TableHandbook[[#This Row],[UDC]],TableAvailabilities[],5,FALSE)&gt;0,"Y",""),"")</f>
        <v/>
      </c>
      <c r="K14" s="83"/>
      <c r="L14" s="84" t="str">
        <f>IFERROR(VLOOKUP(TableHandbook[[#This Row],[UDC]],TableGCDESIGN[],7,FALSE),"")</f>
        <v/>
      </c>
      <c r="M14" s="84" t="str">
        <f>IFERROR(VLOOKUP(TableHandbook[[#This Row],[UDC]],TableGDDESIGN[],7,FALSE),"")</f>
        <v>Core</v>
      </c>
      <c r="N14" s="84" t="str">
        <f>IFERROR(VLOOKUP(TableHandbook[[#This Row],[UDC]],TableMCDESIGN[],7,FALSE),"")</f>
        <v>Core</v>
      </c>
    </row>
    <row r="15" spans="1:15" x14ac:dyDescent="0.25">
      <c r="A15" s="7" t="s">
        <v>81</v>
      </c>
      <c r="B15" s="8">
        <v>1</v>
      </c>
      <c r="C15" s="8"/>
      <c r="D15" s="7" t="s">
        <v>145</v>
      </c>
      <c r="E15" s="8">
        <v>50</v>
      </c>
      <c r="F15" s="97" t="s">
        <v>146</v>
      </c>
      <c r="G15" s="30" t="str">
        <f>IFERROR(IF(VLOOKUP(TableHandbook[[#This Row],[UDC]],TableAvailabilities[],2,FALSE)&gt;0,"Y",""),"")</f>
        <v>Y</v>
      </c>
      <c r="H15" s="30" t="str">
        <f>IFERROR(IF(VLOOKUP(TableHandbook[[#This Row],[UDC]],TableAvailabilities[],3,FALSE)&gt;0,"Y",""),"")</f>
        <v/>
      </c>
      <c r="I15" s="30" t="str">
        <f>IFERROR(IF(VLOOKUP(TableHandbook[[#This Row],[UDC]],TableAvailabilities[],4,FALSE)&gt;0,"Y",""),"")</f>
        <v>Y</v>
      </c>
      <c r="J15" s="30" t="str">
        <f>IFERROR(IF(VLOOKUP(TableHandbook[[#This Row],[UDC]],TableAvailabilities[],5,FALSE)&gt;0,"Y",""),"")</f>
        <v/>
      </c>
      <c r="K15" s="83"/>
      <c r="L15" s="84" t="str">
        <f>IFERROR(VLOOKUP(TableHandbook[[#This Row],[UDC]],TableGCDESIGN[],7,FALSE),"")</f>
        <v/>
      </c>
      <c r="M15" s="84" t="str">
        <f>IFERROR(VLOOKUP(TableHandbook[[#This Row],[UDC]],TableGDDESIGN[],7,FALSE),"")</f>
        <v/>
      </c>
      <c r="N15" s="84" t="str">
        <f>IFERROR(VLOOKUP(TableHandbook[[#This Row],[UDC]],TableMCDESIGN[],7,FALSE),"")</f>
        <v>Core</v>
      </c>
    </row>
    <row r="16" spans="1:15" x14ac:dyDescent="0.25">
      <c r="A16" s="7" t="s">
        <v>79</v>
      </c>
      <c r="B16" s="8">
        <v>1</v>
      </c>
      <c r="C16" s="8"/>
      <c r="D16" s="7" t="s">
        <v>147</v>
      </c>
      <c r="E16" s="8">
        <v>25</v>
      </c>
      <c r="F16" s="97" t="s">
        <v>146</v>
      </c>
      <c r="G16" s="30" t="str">
        <f>IFERROR(IF(VLOOKUP(TableHandbook[[#This Row],[UDC]],TableAvailabilities[],2,FALSE)&gt;0,"Y",""),"")</f>
        <v/>
      </c>
      <c r="H16" s="30" t="str">
        <f>IFERROR(IF(VLOOKUP(TableHandbook[[#This Row],[UDC]],TableAvailabilities[],3,FALSE)&gt;0,"Y",""),"")</f>
        <v/>
      </c>
      <c r="I16" s="30" t="str">
        <f>IFERROR(IF(VLOOKUP(TableHandbook[[#This Row],[UDC]],TableAvailabilities[],4,FALSE)&gt;0,"Y",""),"")</f>
        <v>Y</v>
      </c>
      <c r="J16" s="30" t="str">
        <f>IFERROR(IF(VLOOKUP(TableHandbook[[#This Row],[UDC]],TableAvailabilities[],5,FALSE)&gt;0,"Y",""),"")</f>
        <v/>
      </c>
      <c r="K16" s="83"/>
      <c r="L16" s="84" t="str">
        <f>IFERROR(VLOOKUP(TableHandbook[[#This Row],[UDC]],TableGCDESIGN[],7,FALSE),"")</f>
        <v/>
      </c>
      <c r="M16" s="84" t="str">
        <f>IFERROR(VLOOKUP(TableHandbook[[#This Row],[UDC]],TableGDDESIGN[],7,FALSE),"")</f>
        <v/>
      </c>
      <c r="N16" s="84" t="str">
        <f>IFERROR(VLOOKUP(TableHandbook[[#This Row],[UDC]],TableMCDESIGN[],7,FALSE),"")</f>
        <v>Core</v>
      </c>
    </row>
    <row r="17" spans="1:17" x14ac:dyDescent="0.25">
      <c r="A17" s="7" t="s">
        <v>84</v>
      </c>
      <c r="B17" s="8">
        <v>1</v>
      </c>
      <c r="C17" s="8"/>
      <c r="D17" s="7" t="s">
        <v>148</v>
      </c>
      <c r="E17" s="8">
        <v>50</v>
      </c>
      <c r="F17" s="97" t="s">
        <v>81</v>
      </c>
      <c r="G17" s="30" t="str">
        <f>IFERROR(IF(VLOOKUP(TableHandbook[[#This Row],[UDC]],TableAvailabilities[],2,FALSE)&gt;0,"Y",""),"")</f>
        <v>Y</v>
      </c>
      <c r="H17" s="30" t="str">
        <f>IFERROR(IF(VLOOKUP(TableHandbook[[#This Row],[UDC]],TableAvailabilities[],3,FALSE)&gt;0,"Y",""),"")</f>
        <v/>
      </c>
      <c r="I17" s="30" t="str">
        <f>IFERROR(IF(VLOOKUP(TableHandbook[[#This Row],[UDC]],TableAvailabilities[],4,FALSE)&gt;0,"Y",""),"")</f>
        <v>Y</v>
      </c>
      <c r="J17" s="30" t="str">
        <f>IFERROR(IF(VLOOKUP(TableHandbook[[#This Row],[UDC]],TableAvailabilities[],5,FALSE)&gt;0,"Y",""),"")</f>
        <v/>
      </c>
      <c r="K17" s="83"/>
      <c r="L17" s="84" t="str">
        <f>IFERROR(VLOOKUP(TableHandbook[[#This Row],[UDC]],TableGCDESIGN[],7,FALSE),"")</f>
        <v/>
      </c>
      <c r="M17" s="84" t="str">
        <f>IFERROR(VLOOKUP(TableHandbook[[#This Row],[UDC]],TableGDDESIGN[],7,FALSE),"")</f>
        <v/>
      </c>
      <c r="N17" s="84" t="str">
        <f>IFERROR(VLOOKUP(TableHandbook[[#This Row],[UDC]],TableMCDESIGN[],7,FALSE),"")</f>
        <v>Core</v>
      </c>
    </row>
    <row r="18" spans="1:17" x14ac:dyDescent="0.25">
      <c r="A18" s="7" t="s">
        <v>77</v>
      </c>
      <c r="B18" s="8">
        <v>1</v>
      </c>
      <c r="C18" s="8"/>
      <c r="D18" s="7" t="s">
        <v>149</v>
      </c>
      <c r="E18" s="8">
        <v>25</v>
      </c>
      <c r="F18" s="97" t="s">
        <v>146</v>
      </c>
      <c r="G18" s="30" t="str">
        <f>IFERROR(IF(VLOOKUP(TableHandbook[[#This Row],[UDC]],TableAvailabilities[],2,FALSE)&gt;0,"Y",""),"")</f>
        <v>Y</v>
      </c>
      <c r="H18" s="30" t="str">
        <f>IFERROR(IF(VLOOKUP(TableHandbook[[#This Row],[UDC]],TableAvailabilities[],3,FALSE)&gt;0,"Y",""),"")</f>
        <v/>
      </c>
      <c r="I18" s="30" t="str">
        <f>IFERROR(IF(VLOOKUP(TableHandbook[[#This Row],[UDC]],TableAvailabilities[],4,FALSE)&gt;0,"Y",""),"")</f>
        <v/>
      </c>
      <c r="J18" s="30" t="str">
        <f>IFERROR(IF(VLOOKUP(TableHandbook[[#This Row],[UDC]],TableAvailabilities[],5,FALSE)&gt;0,"Y",""),"")</f>
        <v/>
      </c>
      <c r="K18" s="83"/>
      <c r="L18" s="84" t="str">
        <f>IFERROR(VLOOKUP(TableHandbook[[#This Row],[UDC]],TableGCDESIGN[],7,FALSE),"")</f>
        <v/>
      </c>
      <c r="M18" s="84" t="str">
        <f>IFERROR(VLOOKUP(TableHandbook[[#This Row],[UDC]],TableGDDESIGN[],7,FALSE),"")</f>
        <v/>
      </c>
      <c r="N18" s="84" t="str">
        <f>IFERROR(VLOOKUP(TableHandbook[[#This Row],[UDC]],TableMCDESIGN[],7,FALSE),"")</f>
        <v>Core</v>
      </c>
    </row>
    <row r="19" spans="1:17" x14ac:dyDescent="0.25">
      <c r="A19" s="7" t="s">
        <v>80</v>
      </c>
      <c r="B19" s="8">
        <v>1</v>
      </c>
      <c r="C19" s="8"/>
      <c r="D19" s="7" t="s">
        <v>150</v>
      </c>
      <c r="E19" s="8">
        <v>25</v>
      </c>
      <c r="F19" s="97" t="s">
        <v>146</v>
      </c>
      <c r="G19" s="30" t="str">
        <f>IFERROR(IF(VLOOKUP(TableHandbook[[#This Row],[UDC]],TableAvailabilities[],2,FALSE)&gt;0,"Y",""),"")</f>
        <v/>
      </c>
      <c r="H19" s="30" t="str">
        <f>IFERROR(IF(VLOOKUP(TableHandbook[[#This Row],[UDC]],TableAvailabilities[],3,FALSE)&gt;0,"Y",""),"")</f>
        <v/>
      </c>
      <c r="I19" s="30" t="str">
        <f>IFERROR(IF(VLOOKUP(TableHandbook[[#This Row],[UDC]],TableAvailabilities[],4,FALSE)&gt;0,"Y",""),"")</f>
        <v>Y</v>
      </c>
      <c r="J19" s="30" t="str">
        <f>IFERROR(IF(VLOOKUP(TableHandbook[[#This Row],[UDC]],TableAvailabilities[],5,FALSE)&gt;0,"Y",""),"")</f>
        <v/>
      </c>
      <c r="K19" s="83"/>
      <c r="L19" s="84" t="str">
        <f>IFERROR(VLOOKUP(TableHandbook[[#This Row],[UDC]],TableGCDESIGN[],7,FALSE),"")</f>
        <v/>
      </c>
      <c r="M19" s="84" t="str">
        <f>IFERROR(VLOOKUP(TableHandbook[[#This Row],[UDC]],TableGDDESIGN[],7,FALSE),"")</f>
        <v/>
      </c>
      <c r="N19" s="84" t="str">
        <f>IFERROR(VLOOKUP(TableHandbook[[#This Row],[UDC]],TableMCDESIGN[],7,FALSE),"")</f>
        <v>Core</v>
      </c>
    </row>
    <row r="20" spans="1:17" x14ac:dyDescent="0.25">
      <c r="A20" s="7" t="s">
        <v>101</v>
      </c>
      <c r="B20" s="8">
        <v>1</v>
      </c>
      <c r="C20" s="8"/>
      <c r="D20" s="7" t="s">
        <v>151</v>
      </c>
      <c r="E20" s="8">
        <v>25</v>
      </c>
      <c r="F20" s="34" t="s">
        <v>134</v>
      </c>
      <c r="G20" s="30" t="str">
        <f>IFERROR(IF(VLOOKUP(TableHandbook[[#This Row],[UDC]],TableAvailabilities[],2,FALSE)&gt;0,"Y",""),"")</f>
        <v>Y</v>
      </c>
      <c r="H20" s="30" t="str">
        <f>IFERROR(IF(VLOOKUP(TableHandbook[[#This Row],[UDC]],TableAvailabilities[],3,FALSE)&gt;0,"Y",""),"")</f>
        <v>Y</v>
      </c>
      <c r="I20" s="30" t="str">
        <f>IFERROR(IF(VLOOKUP(TableHandbook[[#This Row],[UDC]],TableAvailabilities[],4,FALSE)&gt;0,"Y",""),"")</f>
        <v/>
      </c>
      <c r="J20" s="30" t="str">
        <f>IFERROR(IF(VLOOKUP(TableHandbook[[#This Row],[UDC]],TableAvailabilities[],5,FALSE)&gt;0,"Y",""),"")</f>
        <v/>
      </c>
      <c r="K20" s="83"/>
      <c r="L20" s="84" t="str">
        <f>IFERROR(VLOOKUP(TableHandbook[[#This Row],[UDC]],TableGCDESIGN[],7,FALSE),"")</f>
        <v>Option</v>
      </c>
      <c r="M20" s="84" t="str">
        <f>IFERROR(VLOOKUP(TableHandbook[[#This Row],[UDC]],TableGDDESIGN[],7,FALSE),"")</f>
        <v>Option</v>
      </c>
      <c r="N20" s="84" t="str">
        <f>IFERROR(VLOOKUP(TableHandbook[[#This Row],[UDC]],TableMCDESIGN[],7,FALSE),"")</f>
        <v>Option</v>
      </c>
    </row>
    <row r="21" spans="1:17" ht="26.25" x14ac:dyDescent="0.25">
      <c r="A21" s="7" t="s">
        <v>123</v>
      </c>
      <c r="B21" s="8">
        <v>1</v>
      </c>
      <c r="C21" s="8"/>
      <c r="D21" s="7" t="s">
        <v>152</v>
      </c>
      <c r="E21" s="8">
        <v>25</v>
      </c>
      <c r="F21" s="34" t="s">
        <v>134</v>
      </c>
      <c r="G21" s="30" t="str">
        <f>IFERROR(IF(VLOOKUP(TableHandbook[[#This Row],[UDC]],TableAvailabilities[],2,FALSE)&gt;0,"Y",""),"")</f>
        <v/>
      </c>
      <c r="H21" s="30" t="str">
        <f>IFERROR(IF(VLOOKUP(TableHandbook[[#This Row],[UDC]],TableAvailabilities[],3,FALSE)&gt;0,"Y",""),"")</f>
        <v/>
      </c>
      <c r="I21" s="30" t="str">
        <f>IFERROR(IF(VLOOKUP(TableHandbook[[#This Row],[UDC]],TableAvailabilities[],4,FALSE)&gt;0,"Y",""),"")</f>
        <v/>
      </c>
      <c r="J21" s="30" t="str">
        <f>IFERROR(IF(VLOOKUP(TableHandbook[[#This Row],[UDC]],TableAvailabilities[],5,FALSE)&gt;0,"Y",""),"")</f>
        <v/>
      </c>
      <c r="K21" s="83" t="s">
        <v>136</v>
      </c>
      <c r="L21" s="84" t="str">
        <f>IFERROR(VLOOKUP(TableHandbook[[#This Row],[UDC]],TableGCDESIGN[],7,FALSE),"")</f>
        <v>Option</v>
      </c>
      <c r="M21" s="84" t="str">
        <f>IFERROR(VLOOKUP(TableHandbook[[#This Row],[UDC]],TableGDDESIGN[],7,FALSE),"")</f>
        <v>Option</v>
      </c>
      <c r="N21" s="84" t="str">
        <f>IFERROR(VLOOKUP(TableHandbook[[#This Row],[UDC]],TableMCDESIGN[],7,FALSE),"")</f>
        <v>Option</v>
      </c>
    </row>
    <row r="22" spans="1:17" x14ac:dyDescent="0.25">
      <c r="A22" s="7" t="s">
        <v>102</v>
      </c>
      <c r="B22" s="8">
        <v>1</v>
      </c>
      <c r="C22" s="8"/>
      <c r="D22" s="7" t="s">
        <v>153</v>
      </c>
      <c r="E22" s="8">
        <v>25</v>
      </c>
      <c r="F22" s="34" t="s">
        <v>134</v>
      </c>
      <c r="G22" s="30" t="str">
        <f>IFERROR(IF(VLOOKUP(TableHandbook[[#This Row],[UDC]],TableAvailabilities[],2,FALSE)&gt;0,"Y",""),"")</f>
        <v>Y</v>
      </c>
      <c r="H22" s="30" t="str">
        <f>IFERROR(IF(VLOOKUP(TableHandbook[[#This Row],[UDC]],TableAvailabilities[],3,FALSE)&gt;0,"Y",""),"")</f>
        <v>Y</v>
      </c>
      <c r="I22" s="30" t="str">
        <f>IFERROR(IF(VLOOKUP(TableHandbook[[#This Row],[UDC]],TableAvailabilities[],4,FALSE)&gt;0,"Y",""),"")</f>
        <v>Y</v>
      </c>
      <c r="J22" s="30" t="str">
        <f>IFERROR(IF(VLOOKUP(TableHandbook[[#This Row],[UDC]],TableAvailabilities[],5,FALSE)&gt;0,"Y",""),"")</f>
        <v>Y</v>
      </c>
      <c r="K22" s="83"/>
      <c r="L22" s="84" t="str">
        <f>IFERROR(VLOOKUP(TableHandbook[[#This Row],[UDC]],TableGCDESIGN[],7,FALSE),"")</f>
        <v>Option</v>
      </c>
      <c r="M22" s="84" t="str">
        <f>IFERROR(VLOOKUP(TableHandbook[[#This Row],[UDC]],TableGDDESIGN[],7,FALSE),"")</f>
        <v>Option</v>
      </c>
      <c r="N22" s="84" t="str">
        <f>IFERROR(VLOOKUP(TableHandbook[[#This Row],[UDC]],TableMCDESIGN[],7,FALSE),"")</f>
        <v>Option</v>
      </c>
    </row>
    <row r="23" spans="1:17" x14ac:dyDescent="0.25">
      <c r="A23" s="7" t="s">
        <v>103</v>
      </c>
      <c r="B23" s="8">
        <v>1</v>
      </c>
      <c r="C23" s="8"/>
      <c r="D23" s="7" t="s">
        <v>154</v>
      </c>
      <c r="E23" s="8">
        <v>25</v>
      </c>
      <c r="F23" s="34" t="s">
        <v>134</v>
      </c>
      <c r="G23" s="30" t="str">
        <f>IFERROR(IF(VLOOKUP(TableHandbook[[#This Row],[UDC]],TableAvailabilities[],2,FALSE)&gt;0,"Y",""),"")</f>
        <v>Y</v>
      </c>
      <c r="H23" s="30" t="str">
        <f>IFERROR(IF(VLOOKUP(TableHandbook[[#This Row],[UDC]],TableAvailabilities[],3,FALSE)&gt;0,"Y",""),"")</f>
        <v>Y</v>
      </c>
      <c r="I23" s="30" t="str">
        <f>IFERROR(IF(VLOOKUP(TableHandbook[[#This Row],[UDC]],TableAvailabilities[],4,FALSE)&gt;0,"Y",""),"")</f>
        <v>Y</v>
      </c>
      <c r="J23" s="30" t="str">
        <f>IFERROR(IF(VLOOKUP(TableHandbook[[#This Row],[UDC]],TableAvailabilities[],5,FALSE)&gt;0,"Y",""),"")</f>
        <v>Y</v>
      </c>
      <c r="K23" s="83"/>
      <c r="L23" s="84" t="str">
        <f>IFERROR(VLOOKUP(TableHandbook[[#This Row],[UDC]],TableGCDESIGN[],7,FALSE),"")</f>
        <v>Option</v>
      </c>
      <c r="M23" s="84" t="str">
        <f>IFERROR(VLOOKUP(TableHandbook[[#This Row],[UDC]],TableGDDESIGN[],7,FALSE),"")</f>
        <v>Option</v>
      </c>
      <c r="N23" s="84" t="str">
        <f>IFERROR(VLOOKUP(TableHandbook[[#This Row],[UDC]],TableMCDESIGN[],7,FALSE),"")</f>
        <v>Option</v>
      </c>
    </row>
    <row r="24" spans="1:17" x14ac:dyDescent="0.25">
      <c r="A24" s="7" t="s">
        <v>104</v>
      </c>
      <c r="B24" s="8">
        <v>3</v>
      </c>
      <c r="C24" s="8"/>
      <c r="D24" s="7" t="s">
        <v>155</v>
      </c>
      <c r="E24" s="8">
        <v>25</v>
      </c>
      <c r="F24" s="34" t="s">
        <v>156</v>
      </c>
      <c r="G24" s="30" t="str">
        <f>IFERROR(IF(VLOOKUP(TableHandbook[[#This Row],[UDC]],TableAvailabilities[],2,FALSE)&gt;0,"Y",""),"")</f>
        <v/>
      </c>
      <c r="H24" s="30" t="str">
        <f>IFERROR(IF(VLOOKUP(TableHandbook[[#This Row],[UDC]],TableAvailabilities[],3,FALSE)&gt;0,"Y",""),"")</f>
        <v/>
      </c>
      <c r="I24" s="30" t="str">
        <f>IFERROR(IF(VLOOKUP(TableHandbook[[#This Row],[UDC]],TableAvailabilities[],4,FALSE)&gt;0,"Y",""),"")</f>
        <v/>
      </c>
      <c r="J24" s="30" t="str">
        <f>IFERROR(IF(VLOOKUP(TableHandbook[[#This Row],[UDC]],TableAvailabilities[],5,FALSE)&gt;0,"Y",""),"")</f>
        <v/>
      </c>
      <c r="K24" s="83" t="s">
        <v>157</v>
      </c>
      <c r="L24" s="84" t="str">
        <f>IFERROR(VLOOKUP(TableHandbook[[#This Row],[UDC]],TableGCDESIGN[],7,FALSE),"")</f>
        <v>Option</v>
      </c>
      <c r="M24" s="84" t="str">
        <f>IFERROR(VLOOKUP(TableHandbook[[#This Row],[UDC]],TableGDDESIGN[],7,FALSE),"")</f>
        <v>Option</v>
      </c>
      <c r="N24" s="84" t="str">
        <f>IFERROR(VLOOKUP(TableHandbook[[#This Row],[UDC]],TableMCDESIGN[],7,FALSE),"")</f>
        <v>Option</v>
      </c>
    </row>
    <row r="25" spans="1:17" x14ac:dyDescent="0.25">
      <c r="A25" s="7" t="s">
        <v>105</v>
      </c>
      <c r="B25" s="8">
        <v>2</v>
      </c>
      <c r="C25" s="8"/>
      <c r="D25" s="7" t="s">
        <v>158</v>
      </c>
      <c r="E25" s="8">
        <v>25</v>
      </c>
      <c r="F25" s="34" t="s">
        <v>134</v>
      </c>
      <c r="G25" s="30" t="str">
        <f>IFERROR(IF(VLOOKUP(TableHandbook[[#This Row],[UDC]],TableAvailabilities[],2,FALSE)&gt;0,"Y",""),"")</f>
        <v/>
      </c>
      <c r="H25" s="30" t="str">
        <f>IFERROR(IF(VLOOKUP(TableHandbook[[#This Row],[UDC]],TableAvailabilities[],3,FALSE)&gt;0,"Y",""),"")</f>
        <v/>
      </c>
      <c r="I25" s="30" t="str">
        <f>IFERROR(IF(VLOOKUP(TableHandbook[[#This Row],[UDC]],TableAvailabilities[],4,FALSE)&gt;0,"Y",""),"")</f>
        <v>Y</v>
      </c>
      <c r="J25" s="30" t="str">
        <f>IFERROR(IF(VLOOKUP(TableHandbook[[#This Row],[UDC]],TableAvailabilities[],5,FALSE)&gt;0,"Y",""),"")</f>
        <v>Y</v>
      </c>
      <c r="K25" s="83"/>
      <c r="L25" s="84" t="str">
        <f>IFERROR(VLOOKUP(TableHandbook[[#This Row],[UDC]],TableGCDESIGN[],7,FALSE),"")</f>
        <v>Option</v>
      </c>
      <c r="M25" s="84" t="str">
        <f>IFERROR(VLOOKUP(TableHandbook[[#This Row],[UDC]],TableGDDESIGN[],7,FALSE),"")</f>
        <v>Option</v>
      </c>
      <c r="N25" s="84" t="str">
        <f>IFERROR(VLOOKUP(TableHandbook[[#This Row],[UDC]],TableMCDESIGN[],7,FALSE),"")</f>
        <v>Option</v>
      </c>
    </row>
    <row r="26" spans="1:17" x14ac:dyDescent="0.25">
      <c r="A26" s="7" t="s">
        <v>106</v>
      </c>
      <c r="B26" s="8">
        <v>3</v>
      </c>
      <c r="C26" s="8"/>
      <c r="D26" s="7" t="s">
        <v>159</v>
      </c>
      <c r="E26" s="8">
        <v>25</v>
      </c>
      <c r="F26" s="34" t="s">
        <v>134</v>
      </c>
      <c r="G26" s="30" t="str">
        <f>IFERROR(IF(VLOOKUP(TableHandbook[[#This Row],[UDC]],TableAvailabilities[],2,FALSE)&gt;0,"Y",""),"")</f>
        <v>Y</v>
      </c>
      <c r="H26" s="30" t="str">
        <f>IFERROR(IF(VLOOKUP(TableHandbook[[#This Row],[UDC]],TableAvailabilities[],3,FALSE)&gt;0,"Y",""),"")</f>
        <v/>
      </c>
      <c r="I26" s="30" t="str">
        <f>IFERROR(IF(VLOOKUP(TableHandbook[[#This Row],[UDC]],TableAvailabilities[],4,FALSE)&gt;0,"Y",""),"")</f>
        <v>Y</v>
      </c>
      <c r="J26" s="30" t="str">
        <f>IFERROR(IF(VLOOKUP(TableHandbook[[#This Row],[UDC]],TableAvailabilities[],5,FALSE)&gt;0,"Y",""),"")</f>
        <v/>
      </c>
      <c r="K26" s="83"/>
      <c r="L26" s="84" t="str">
        <f>IFERROR(VLOOKUP(TableHandbook[[#This Row],[UDC]],TableGCDESIGN[],7,FALSE),"")</f>
        <v>Option</v>
      </c>
      <c r="M26" s="84" t="str">
        <f>IFERROR(VLOOKUP(TableHandbook[[#This Row],[UDC]],TableGDDESIGN[],7,FALSE),"")</f>
        <v>Option</v>
      </c>
      <c r="N26" s="84" t="str">
        <f>IFERROR(VLOOKUP(TableHandbook[[#This Row],[UDC]],TableMCDESIGN[],7,FALSE),"")</f>
        <v>Option</v>
      </c>
    </row>
    <row r="27" spans="1:17" x14ac:dyDescent="0.25">
      <c r="A27" s="7" t="s">
        <v>160</v>
      </c>
      <c r="B27" s="8">
        <v>2</v>
      </c>
      <c r="C27" s="8"/>
      <c r="D27" s="7" t="s">
        <v>161</v>
      </c>
      <c r="E27" s="8">
        <v>25</v>
      </c>
      <c r="F27" s="34" t="s">
        <v>134</v>
      </c>
      <c r="G27" s="30" t="str">
        <f>IFERROR(IF(VLOOKUP(TableHandbook[[#This Row],[UDC]],TableAvailabilities[],2,FALSE)&gt;0,"Y",""),"")</f>
        <v/>
      </c>
      <c r="H27" s="30" t="str">
        <f>IFERROR(IF(VLOOKUP(TableHandbook[[#This Row],[UDC]],TableAvailabilities[],3,FALSE)&gt;0,"Y",""),"")</f>
        <v/>
      </c>
      <c r="I27" s="30" t="str">
        <f>IFERROR(IF(VLOOKUP(TableHandbook[[#This Row],[UDC]],TableAvailabilities[],4,FALSE)&gt;0,"Y",""),"")</f>
        <v/>
      </c>
      <c r="J27" s="30" t="str">
        <f>IFERROR(IF(VLOOKUP(TableHandbook[[#This Row],[UDC]],TableAvailabilities[],5,FALSE)&gt;0,"Y",""),"")</f>
        <v/>
      </c>
      <c r="K27" s="83"/>
      <c r="L27" s="84" t="str">
        <f>IFERROR(VLOOKUP(TableHandbook[[#This Row],[UDC]],TableGCDESIGN[],7,FALSE),"")</f>
        <v/>
      </c>
      <c r="M27" s="84" t="str">
        <f>IFERROR(VLOOKUP(TableHandbook[[#This Row],[UDC]],TableGDDESIGN[],7,FALSE),"")</f>
        <v/>
      </c>
      <c r="N27" s="84" t="str">
        <f>IFERROR(VLOOKUP(TableHandbook[[#This Row],[UDC]],TableMCDESIGN[],7,FALSE),"")</f>
        <v/>
      </c>
    </row>
    <row r="28" spans="1:17" x14ac:dyDescent="0.25">
      <c r="A28" s="7" t="s">
        <v>107</v>
      </c>
      <c r="B28" s="8">
        <v>1</v>
      </c>
      <c r="C28" s="8"/>
      <c r="D28" s="7" t="s">
        <v>162</v>
      </c>
      <c r="E28" s="8">
        <v>25</v>
      </c>
      <c r="F28" s="34" t="s">
        <v>134</v>
      </c>
      <c r="G28" s="30" t="str">
        <f>IFERROR(IF(VLOOKUP(TableHandbook[[#This Row],[UDC]],TableAvailabilities[],2,FALSE)&gt;0,"Y",""),"")</f>
        <v>Y</v>
      </c>
      <c r="H28" s="30" t="str">
        <f>IFERROR(IF(VLOOKUP(TableHandbook[[#This Row],[UDC]],TableAvailabilities[],3,FALSE)&gt;0,"Y",""),"")</f>
        <v/>
      </c>
      <c r="I28" s="30" t="str">
        <f>IFERROR(IF(VLOOKUP(TableHandbook[[#This Row],[UDC]],TableAvailabilities[],4,FALSE)&gt;0,"Y",""),"")</f>
        <v>Y</v>
      </c>
      <c r="J28" s="30" t="str">
        <f>IFERROR(IF(VLOOKUP(TableHandbook[[#This Row],[UDC]],TableAvailabilities[],5,FALSE)&gt;0,"Y",""),"")</f>
        <v/>
      </c>
      <c r="K28" s="83"/>
      <c r="L28" s="84" t="str">
        <f>IFERROR(VLOOKUP(TableHandbook[[#This Row],[UDC]],TableGCDESIGN[],7,FALSE),"")</f>
        <v>Option</v>
      </c>
      <c r="M28" s="84" t="str">
        <f>IFERROR(VLOOKUP(TableHandbook[[#This Row],[UDC]],TableGDDESIGN[],7,FALSE),"")</f>
        <v>Option</v>
      </c>
      <c r="N28" s="84" t="str">
        <f>IFERROR(VLOOKUP(TableHandbook[[#This Row],[UDC]],TableMCDESIGN[],7,FALSE),"")</f>
        <v>Option</v>
      </c>
    </row>
    <row r="29" spans="1:17" x14ac:dyDescent="0.25">
      <c r="A29" s="7" t="s">
        <v>108</v>
      </c>
      <c r="B29" s="8">
        <v>3</v>
      </c>
      <c r="C29" s="8"/>
      <c r="D29" s="7" t="s">
        <v>163</v>
      </c>
      <c r="E29" s="8">
        <v>25</v>
      </c>
      <c r="F29" s="34" t="s">
        <v>134</v>
      </c>
      <c r="G29" s="30" t="str">
        <f>IFERROR(IF(VLOOKUP(TableHandbook[[#This Row],[UDC]],TableAvailabilities[],2,FALSE)&gt;0,"Y",""),"")</f>
        <v/>
      </c>
      <c r="H29" s="30" t="str">
        <f>IFERROR(IF(VLOOKUP(TableHandbook[[#This Row],[UDC]],TableAvailabilities[],3,FALSE)&gt;0,"Y",""),"")</f>
        <v/>
      </c>
      <c r="I29" s="30" t="str">
        <f>IFERROR(IF(VLOOKUP(TableHandbook[[#This Row],[UDC]],TableAvailabilities[],4,FALSE)&gt;0,"Y",""),"")</f>
        <v>Y</v>
      </c>
      <c r="J29" s="30" t="str">
        <f>IFERROR(IF(VLOOKUP(TableHandbook[[#This Row],[UDC]],TableAvailabilities[],5,FALSE)&gt;0,"Y",""),"")</f>
        <v>Y</v>
      </c>
      <c r="K29" s="83"/>
      <c r="L29" s="84" t="str">
        <f>IFERROR(VLOOKUP(TableHandbook[[#This Row],[UDC]],TableGCDESIGN[],7,FALSE),"")</f>
        <v>Option</v>
      </c>
      <c r="M29" s="84" t="str">
        <f>IFERROR(VLOOKUP(TableHandbook[[#This Row],[UDC]],TableGDDESIGN[],7,FALSE),"")</f>
        <v>Option</v>
      </c>
      <c r="N29" s="84" t="str">
        <f>IFERROR(VLOOKUP(TableHandbook[[#This Row],[UDC]],TableMCDESIGN[],7,FALSE),"")</f>
        <v>Option</v>
      </c>
    </row>
    <row r="30" spans="1:17" x14ac:dyDescent="0.25">
      <c r="A30" s="7" t="s">
        <v>164</v>
      </c>
      <c r="B30" s="8">
        <v>2</v>
      </c>
      <c r="C30" s="8"/>
      <c r="D30" s="7" t="s">
        <v>165</v>
      </c>
      <c r="E30" s="8">
        <v>25</v>
      </c>
      <c r="F30" s="34" t="s">
        <v>134</v>
      </c>
      <c r="G30" s="30" t="str">
        <f>IFERROR(IF(VLOOKUP(TableHandbook[[#This Row],[UDC]],TableAvailabilities[],2,FALSE)&gt;0,"Y",""),"")</f>
        <v/>
      </c>
      <c r="H30" s="30" t="str">
        <f>IFERROR(IF(VLOOKUP(TableHandbook[[#This Row],[UDC]],TableAvailabilities[],3,FALSE)&gt;0,"Y",""),"")</f>
        <v/>
      </c>
      <c r="I30" s="30" t="str">
        <f>IFERROR(IF(VLOOKUP(TableHandbook[[#This Row],[UDC]],TableAvailabilities[],4,FALSE)&gt;0,"Y",""),"")</f>
        <v/>
      </c>
      <c r="J30" s="30" t="str">
        <f>IFERROR(IF(VLOOKUP(TableHandbook[[#This Row],[UDC]],TableAvailabilities[],5,FALSE)&gt;0,"Y",""),"")</f>
        <v/>
      </c>
      <c r="K30" s="83"/>
      <c r="L30" s="84" t="str">
        <f>IFERROR(VLOOKUP(TableHandbook[[#This Row],[UDC]],TableGCDESIGN[],7,FALSE),"")</f>
        <v/>
      </c>
      <c r="M30" s="84" t="str">
        <f>IFERROR(VLOOKUP(TableHandbook[[#This Row],[UDC]],TableGDDESIGN[],7,FALSE),"")</f>
        <v/>
      </c>
      <c r="N30" s="84" t="str">
        <f>IFERROR(VLOOKUP(TableHandbook[[#This Row],[UDC]],TableMCDESIGN[],7,FALSE),"")</f>
        <v/>
      </c>
      <c r="O30" s="5"/>
      <c r="P30" s="5"/>
      <c r="Q30" s="5"/>
    </row>
    <row r="31" spans="1:17" x14ac:dyDescent="0.25">
      <c r="A31" s="7" t="s">
        <v>109</v>
      </c>
      <c r="B31" s="8">
        <v>4</v>
      </c>
      <c r="C31" s="8"/>
      <c r="D31" s="7" t="s">
        <v>166</v>
      </c>
      <c r="E31" s="8">
        <v>25</v>
      </c>
      <c r="F31" s="34" t="s">
        <v>134</v>
      </c>
      <c r="G31" s="30" t="str">
        <f>IFERROR(IF(VLOOKUP(TableHandbook[[#This Row],[UDC]],TableAvailabilities[],2,FALSE)&gt;0,"Y",""),"")</f>
        <v/>
      </c>
      <c r="H31" s="30" t="str">
        <f>IFERROR(IF(VLOOKUP(TableHandbook[[#This Row],[UDC]],TableAvailabilities[],3,FALSE)&gt;0,"Y",""),"")</f>
        <v/>
      </c>
      <c r="I31" s="30" t="str">
        <f>IFERROR(IF(VLOOKUP(TableHandbook[[#This Row],[UDC]],TableAvailabilities[],4,FALSE)&gt;0,"Y",""),"")</f>
        <v/>
      </c>
      <c r="J31" s="30" t="str">
        <f>IFERROR(IF(VLOOKUP(TableHandbook[[#This Row],[UDC]],TableAvailabilities[],5,FALSE)&gt;0,"Y",""),"")</f>
        <v>Y</v>
      </c>
      <c r="K31" s="83"/>
      <c r="L31" s="84" t="str">
        <f>IFERROR(VLOOKUP(TableHandbook[[#This Row],[UDC]],TableGCDESIGN[],7,FALSE),"")</f>
        <v>Option</v>
      </c>
      <c r="M31" s="84" t="str">
        <f>IFERROR(VLOOKUP(TableHandbook[[#This Row],[UDC]],TableGDDESIGN[],7,FALSE),"")</f>
        <v>Option</v>
      </c>
      <c r="N31" s="84" t="str">
        <f>IFERROR(VLOOKUP(TableHandbook[[#This Row],[UDC]],TableMCDESIGN[],7,FALSE),"")</f>
        <v>Option</v>
      </c>
    </row>
    <row r="32" spans="1:17" x14ac:dyDescent="0.25">
      <c r="A32" s="7" t="s">
        <v>167</v>
      </c>
      <c r="B32" s="8">
        <v>3</v>
      </c>
      <c r="C32" s="8"/>
      <c r="D32" s="7" t="s">
        <v>168</v>
      </c>
      <c r="E32" s="8">
        <v>25</v>
      </c>
      <c r="F32" s="34" t="s">
        <v>134</v>
      </c>
      <c r="G32" s="30" t="str">
        <f>IFERROR(IF(VLOOKUP(TableHandbook[[#This Row],[UDC]],TableAvailabilities[],2,FALSE)&gt;0,"Y",""),"")</f>
        <v/>
      </c>
      <c r="H32" s="30" t="str">
        <f>IFERROR(IF(VLOOKUP(TableHandbook[[#This Row],[UDC]],TableAvailabilities[],3,FALSE)&gt;0,"Y",""),"")</f>
        <v/>
      </c>
      <c r="I32" s="30" t="str">
        <f>IFERROR(IF(VLOOKUP(TableHandbook[[#This Row],[UDC]],TableAvailabilities[],4,FALSE)&gt;0,"Y",""),"")</f>
        <v/>
      </c>
      <c r="J32" s="30" t="str">
        <f>IFERROR(IF(VLOOKUP(TableHandbook[[#This Row],[UDC]],TableAvailabilities[],5,FALSE)&gt;0,"Y",""),"")</f>
        <v/>
      </c>
      <c r="K32" s="83"/>
      <c r="L32" s="84" t="str">
        <f>IFERROR(VLOOKUP(TableHandbook[[#This Row],[UDC]],TableGCDESIGN[],7,FALSE),"")</f>
        <v/>
      </c>
      <c r="M32" s="84" t="str">
        <f>IFERROR(VLOOKUP(TableHandbook[[#This Row],[UDC]],TableGDDESIGN[],7,FALSE),"")</f>
        <v/>
      </c>
      <c r="N32" s="84" t="str">
        <f>IFERROR(VLOOKUP(TableHandbook[[#This Row],[UDC]],TableMCDESIGN[],7,FALSE),"")</f>
        <v/>
      </c>
    </row>
    <row r="33" spans="1:14" x14ac:dyDescent="0.25">
      <c r="A33" s="7" t="s">
        <v>110</v>
      </c>
      <c r="B33" s="8">
        <v>3</v>
      </c>
      <c r="C33" s="8"/>
      <c r="D33" s="7" t="s">
        <v>169</v>
      </c>
      <c r="E33" s="8">
        <v>25</v>
      </c>
      <c r="F33" s="34" t="s">
        <v>134</v>
      </c>
      <c r="G33" s="30" t="str">
        <f>IFERROR(IF(VLOOKUP(TableHandbook[[#This Row],[UDC]],TableAvailabilities[],2,FALSE)&gt;0,"Y",""),"")</f>
        <v>Y</v>
      </c>
      <c r="H33" s="30" t="str">
        <f>IFERROR(IF(VLOOKUP(TableHandbook[[#This Row],[UDC]],TableAvailabilities[],3,FALSE)&gt;0,"Y",""),"")</f>
        <v>Y</v>
      </c>
      <c r="I33" s="30" t="str">
        <f>IFERROR(IF(VLOOKUP(TableHandbook[[#This Row],[UDC]],TableAvailabilities[],4,FALSE)&gt;0,"Y",""),"")</f>
        <v/>
      </c>
      <c r="J33" s="30" t="str">
        <f>IFERROR(IF(VLOOKUP(TableHandbook[[#This Row],[UDC]],TableAvailabilities[],5,FALSE)&gt;0,"Y",""),"")</f>
        <v/>
      </c>
      <c r="K33" s="83"/>
      <c r="L33" s="84" t="str">
        <f>IFERROR(VLOOKUP(TableHandbook[[#This Row],[UDC]],TableGCDESIGN[],7,FALSE),"")</f>
        <v>Option</v>
      </c>
      <c r="M33" s="84" t="str">
        <f>IFERROR(VLOOKUP(TableHandbook[[#This Row],[UDC]],TableGDDESIGN[],7,FALSE),"")</f>
        <v>Option</v>
      </c>
      <c r="N33" s="84" t="str">
        <f>IFERROR(VLOOKUP(TableHandbook[[#This Row],[UDC]],TableMCDESIGN[],7,FALSE),"")</f>
        <v>Option</v>
      </c>
    </row>
    <row r="34" spans="1:14" x14ac:dyDescent="0.25">
      <c r="A34" s="7" t="s">
        <v>170</v>
      </c>
      <c r="B34" s="8">
        <v>2</v>
      </c>
      <c r="C34" s="8"/>
      <c r="D34" s="7" t="s">
        <v>171</v>
      </c>
      <c r="E34" s="8">
        <v>25</v>
      </c>
      <c r="F34" s="34" t="s">
        <v>134</v>
      </c>
      <c r="G34" s="30" t="str">
        <f>IFERROR(IF(VLOOKUP(TableHandbook[[#This Row],[UDC]],TableAvailabilities[],2,FALSE)&gt;0,"Y",""),"")</f>
        <v/>
      </c>
      <c r="H34" s="30" t="str">
        <f>IFERROR(IF(VLOOKUP(TableHandbook[[#This Row],[UDC]],TableAvailabilities[],3,FALSE)&gt;0,"Y",""),"")</f>
        <v/>
      </c>
      <c r="I34" s="30" t="str">
        <f>IFERROR(IF(VLOOKUP(TableHandbook[[#This Row],[UDC]],TableAvailabilities[],4,FALSE)&gt;0,"Y",""),"")</f>
        <v/>
      </c>
      <c r="J34" s="30" t="str">
        <f>IFERROR(IF(VLOOKUP(TableHandbook[[#This Row],[UDC]],TableAvailabilities[],5,FALSE)&gt;0,"Y",""),"")</f>
        <v/>
      </c>
      <c r="K34" s="83"/>
      <c r="L34" s="84" t="str">
        <f>IFERROR(VLOOKUP(TableHandbook[[#This Row],[UDC]],TableGCDESIGN[],7,FALSE),"")</f>
        <v/>
      </c>
      <c r="M34" s="84" t="str">
        <f>IFERROR(VLOOKUP(TableHandbook[[#This Row],[UDC]],TableGDDESIGN[],7,FALSE),"")</f>
        <v/>
      </c>
      <c r="N34" s="84" t="str">
        <f>IFERROR(VLOOKUP(TableHandbook[[#This Row],[UDC]],TableMCDESIGN[],7,FALSE),"")</f>
        <v/>
      </c>
    </row>
    <row r="35" spans="1:14" x14ac:dyDescent="0.25">
      <c r="A35" s="7" t="s">
        <v>111</v>
      </c>
      <c r="B35" s="8">
        <v>3</v>
      </c>
      <c r="C35" s="8"/>
      <c r="D35" s="7" t="s">
        <v>172</v>
      </c>
      <c r="E35" s="8">
        <v>25</v>
      </c>
      <c r="F35" s="34" t="s">
        <v>134</v>
      </c>
      <c r="G35" s="30" t="str">
        <f>IFERROR(IF(VLOOKUP(TableHandbook[[#This Row],[UDC]],TableAvailabilities[],2,FALSE)&gt;0,"Y",""),"")</f>
        <v/>
      </c>
      <c r="H35" s="30" t="str">
        <f>IFERROR(IF(VLOOKUP(TableHandbook[[#This Row],[UDC]],TableAvailabilities[],3,FALSE)&gt;0,"Y",""),"")</f>
        <v/>
      </c>
      <c r="I35" s="30" t="str">
        <f>IFERROR(IF(VLOOKUP(TableHandbook[[#This Row],[UDC]],TableAvailabilities[],4,FALSE)&gt;0,"Y",""),"")</f>
        <v>Y</v>
      </c>
      <c r="J35" s="30" t="str">
        <f>IFERROR(IF(VLOOKUP(TableHandbook[[#This Row],[UDC]],TableAvailabilities[],5,FALSE)&gt;0,"Y",""),"")</f>
        <v>Y</v>
      </c>
      <c r="K35" s="83"/>
      <c r="L35" s="84" t="str">
        <f>IFERROR(VLOOKUP(TableHandbook[[#This Row],[UDC]],TableGCDESIGN[],7,FALSE),"")</f>
        <v>Option</v>
      </c>
      <c r="M35" s="84" t="str">
        <f>IFERROR(VLOOKUP(TableHandbook[[#This Row],[UDC]],TableGDDESIGN[],7,FALSE),"")</f>
        <v>Option</v>
      </c>
      <c r="N35" s="84" t="str">
        <f>IFERROR(VLOOKUP(TableHandbook[[#This Row],[UDC]],TableMCDESIGN[],7,FALSE),"")</f>
        <v>Option</v>
      </c>
    </row>
    <row r="36" spans="1:14" x14ac:dyDescent="0.25">
      <c r="A36" s="7" t="s">
        <v>173</v>
      </c>
      <c r="B36" s="8">
        <v>2</v>
      </c>
      <c r="C36" s="8"/>
      <c r="D36" s="7" t="s">
        <v>174</v>
      </c>
      <c r="E36" s="8">
        <v>25</v>
      </c>
      <c r="F36" s="34" t="s">
        <v>134</v>
      </c>
      <c r="G36" s="30" t="str">
        <f>IFERROR(IF(VLOOKUP(TableHandbook[[#This Row],[UDC]],TableAvailabilities[],2,FALSE)&gt;0,"Y",""),"")</f>
        <v/>
      </c>
      <c r="H36" s="30" t="str">
        <f>IFERROR(IF(VLOOKUP(TableHandbook[[#This Row],[UDC]],TableAvailabilities[],3,FALSE)&gt;0,"Y",""),"")</f>
        <v/>
      </c>
      <c r="I36" s="30" t="str">
        <f>IFERROR(IF(VLOOKUP(TableHandbook[[#This Row],[UDC]],TableAvailabilities[],4,FALSE)&gt;0,"Y",""),"")</f>
        <v/>
      </c>
      <c r="J36" s="30" t="str">
        <f>IFERROR(IF(VLOOKUP(TableHandbook[[#This Row],[UDC]],TableAvailabilities[],5,FALSE)&gt;0,"Y",""),"")</f>
        <v/>
      </c>
      <c r="K36" s="83"/>
      <c r="L36" s="84" t="str">
        <f>IFERROR(VLOOKUP(TableHandbook[[#This Row],[UDC]],TableGCDESIGN[],7,FALSE),"")</f>
        <v/>
      </c>
      <c r="M36" s="84" t="str">
        <f>IFERROR(VLOOKUP(TableHandbook[[#This Row],[UDC]],TableGDDESIGN[],7,FALSE),"")</f>
        <v/>
      </c>
      <c r="N36" s="84" t="str">
        <f>IFERROR(VLOOKUP(TableHandbook[[#This Row],[UDC]],TableMCDESIGN[],7,FALSE),"")</f>
        <v/>
      </c>
    </row>
    <row r="37" spans="1:14" x14ac:dyDescent="0.25">
      <c r="A37" s="7" t="s">
        <v>112</v>
      </c>
      <c r="B37" s="8">
        <v>3</v>
      </c>
      <c r="C37" s="8"/>
      <c r="D37" s="7" t="s">
        <v>175</v>
      </c>
      <c r="E37" s="8">
        <v>25</v>
      </c>
      <c r="F37" s="34" t="s">
        <v>134</v>
      </c>
      <c r="G37" s="30" t="str">
        <f>IFERROR(IF(VLOOKUP(TableHandbook[[#This Row],[UDC]],TableAvailabilities[],2,FALSE)&gt;0,"Y",""),"")</f>
        <v/>
      </c>
      <c r="H37" s="30" t="str">
        <f>IFERROR(IF(VLOOKUP(TableHandbook[[#This Row],[UDC]],TableAvailabilities[],3,FALSE)&gt;0,"Y",""),"")</f>
        <v/>
      </c>
      <c r="I37" s="30" t="str">
        <f>IFERROR(IF(VLOOKUP(TableHandbook[[#This Row],[UDC]],TableAvailabilities[],4,FALSE)&gt;0,"Y",""),"")</f>
        <v>Y</v>
      </c>
      <c r="J37" s="30" t="str">
        <f>IFERROR(IF(VLOOKUP(TableHandbook[[#This Row],[UDC]],TableAvailabilities[],5,FALSE)&gt;0,"Y",""),"")</f>
        <v>Y</v>
      </c>
      <c r="K37" s="83"/>
      <c r="L37" s="84" t="str">
        <f>IFERROR(VLOOKUP(TableHandbook[[#This Row],[UDC]],TableGCDESIGN[],7,FALSE),"")</f>
        <v>Option</v>
      </c>
      <c r="M37" s="84" t="str">
        <f>IFERROR(VLOOKUP(TableHandbook[[#This Row],[UDC]],TableGDDESIGN[],7,FALSE),"")</f>
        <v>Option</v>
      </c>
      <c r="N37" s="84" t="str">
        <f>IFERROR(VLOOKUP(TableHandbook[[#This Row],[UDC]],TableMCDESIGN[],7,FALSE),"")</f>
        <v>Option</v>
      </c>
    </row>
    <row r="38" spans="1:14" x14ac:dyDescent="0.25">
      <c r="A38" s="7" t="s">
        <v>176</v>
      </c>
      <c r="B38" s="8">
        <v>2</v>
      </c>
      <c r="C38" s="8"/>
      <c r="D38" s="7" t="s">
        <v>177</v>
      </c>
      <c r="E38" s="8">
        <v>25</v>
      </c>
      <c r="F38" s="34" t="s">
        <v>134</v>
      </c>
      <c r="G38" s="30" t="str">
        <f>IFERROR(IF(VLOOKUP(TableHandbook[[#This Row],[UDC]],TableAvailabilities[],2,FALSE)&gt;0,"Y",""),"")</f>
        <v/>
      </c>
      <c r="H38" s="30" t="str">
        <f>IFERROR(IF(VLOOKUP(TableHandbook[[#This Row],[UDC]],TableAvailabilities[],3,FALSE)&gt;0,"Y",""),"")</f>
        <v/>
      </c>
      <c r="I38" s="30" t="str">
        <f>IFERROR(IF(VLOOKUP(TableHandbook[[#This Row],[UDC]],TableAvailabilities[],4,FALSE)&gt;0,"Y",""),"")</f>
        <v/>
      </c>
      <c r="J38" s="30" t="str">
        <f>IFERROR(IF(VLOOKUP(TableHandbook[[#This Row],[UDC]],TableAvailabilities[],5,FALSE)&gt;0,"Y",""),"")</f>
        <v/>
      </c>
      <c r="K38" s="83"/>
      <c r="L38" s="84" t="str">
        <f>IFERROR(VLOOKUP(TableHandbook[[#This Row],[UDC]],TableGCDESIGN[],7,FALSE),"")</f>
        <v/>
      </c>
      <c r="M38" s="84" t="str">
        <f>IFERROR(VLOOKUP(TableHandbook[[#This Row],[UDC]],TableGDDESIGN[],7,FALSE),"")</f>
        <v/>
      </c>
      <c r="N38" s="84" t="str">
        <f>IFERROR(VLOOKUP(TableHandbook[[#This Row],[UDC]],TableMCDESIGN[],7,FALSE),"")</f>
        <v/>
      </c>
    </row>
    <row r="39" spans="1:14" x14ac:dyDescent="0.25">
      <c r="A39" s="7" t="s">
        <v>113</v>
      </c>
      <c r="B39" s="8">
        <v>3</v>
      </c>
      <c r="C39" s="8"/>
      <c r="D39" s="7" t="s">
        <v>178</v>
      </c>
      <c r="E39" s="8">
        <v>25</v>
      </c>
      <c r="F39" s="34" t="s">
        <v>134</v>
      </c>
      <c r="G39" s="30" t="str">
        <f>IFERROR(IF(VLOOKUP(TableHandbook[[#This Row],[UDC]],TableAvailabilities[],2,FALSE)&gt;0,"Y",""),"")</f>
        <v/>
      </c>
      <c r="H39" s="30" t="str">
        <f>IFERROR(IF(VLOOKUP(TableHandbook[[#This Row],[UDC]],TableAvailabilities[],3,FALSE)&gt;0,"Y",""),"")</f>
        <v>Y</v>
      </c>
      <c r="I39" s="30" t="str">
        <f>IFERROR(IF(VLOOKUP(TableHandbook[[#This Row],[UDC]],TableAvailabilities[],4,FALSE)&gt;0,"Y",""),"")</f>
        <v/>
      </c>
      <c r="J39" s="30" t="str">
        <f>IFERROR(IF(VLOOKUP(TableHandbook[[#This Row],[UDC]],TableAvailabilities[],5,FALSE)&gt;0,"Y",""),"")</f>
        <v/>
      </c>
      <c r="K39" s="83"/>
      <c r="L39" s="84" t="str">
        <f>IFERROR(VLOOKUP(TableHandbook[[#This Row],[UDC]],TableGCDESIGN[],7,FALSE),"")</f>
        <v>Option</v>
      </c>
      <c r="M39" s="84" t="str">
        <f>IFERROR(VLOOKUP(TableHandbook[[#This Row],[UDC]],TableGDDESIGN[],7,FALSE),"")</f>
        <v>Option</v>
      </c>
      <c r="N39" s="84" t="str">
        <f>IFERROR(VLOOKUP(TableHandbook[[#This Row],[UDC]],TableMCDESIGN[],7,FALSE),"")</f>
        <v>Option</v>
      </c>
    </row>
    <row r="40" spans="1:14" x14ac:dyDescent="0.25">
      <c r="A40" s="7" t="s">
        <v>179</v>
      </c>
      <c r="B40" s="8">
        <v>2</v>
      </c>
      <c r="C40" s="8"/>
      <c r="D40" s="7" t="s">
        <v>180</v>
      </c>
      <c r="E40" s="8">
        <v>25</v>
      </c>
      <c r="F40" s="34" t="s">
        <v>134</v>
      </c>
      <c r="G40" s="30" t="str">
        <f>IFERROR(IF(VLOOKUP(TableHandbook[[#This Row],[UDC]],TableAvailabilities[],2,FALSE)&gt;0,"Y",""),"")</f>
        <v/>
      </c>
      <c r="H40" s="30" t="str">
        <f>IFERROR(IF(VLOOKUP(TableHandbook[[#This Row],[UDC]],TableAvailabilities[],3,FALSE)&gt;0,"Y",""),"")</f>
        <v/>
      </c>
      <c r="I40" s="30" t="str">
        <f>IFERROR(IF(VLOOKUP(TableHandbook[[#This Row],[UDC]],TableAvailabilities[],4,FALSE)&gt;0,"Y",""),"")</f>
        <v/>
      </c>
      <c r="J40" s="30" t="str">
        <f>IFERROR(IF(VLOOKUP(TableHandbook[[#This Row],[UDC]],TableAvailabilities[],5,FALSE)&gt;0,"Y",""),"")</f>
        <v/>
      </c>
      <c r="K40" s="83"/>
      <c r="L40" s="84" t="str">
        <f>IFERROR(VLOOKUP(TableHandbook[[#This Row],[UDC]],TableGCDESIGN[],7,FALSE),"")</f>
        <v/>
      </c>
      <c r="M40" s="84" t="str">
        <f>IFERROR(VLOOKUP(TableHandbook[[#This Row],[UDC]],TableGDDESIGN[],7,FALSE),"")</f>
        <v/>
      </c>
      <c r="N40" s="84" t="str">
        <f>IFERROR(VLOOKUP(TableHandbook[[#This Row],[UDC]],TableMCDESIGN[],7,FALSE),"")</f>
        <v/>
      </c>
    </row>
    <row r="41" spans="1:14" x14ac:dyDescent="0.25">
      <c r="A41" s="7" t="s">
        <v>114</v>
      </c>
      <c r="B41" s="8">
        <v>4</v>
      </c>
      <c r="C41" s="8"/>
      <c r="D41" s="7" t="s">
        <v>181</v>
      </c>
      <c r="E41" s="8">
        <v>25</v>
      </c>
      <c r="F41" s="34" t="s">
        <v>134</v>
      </c>
      <c r="G41" s="30" t="str">
        <f>IFERROR(IF(VLOOKUP(TableHandbook[[#This Row],[UDC]],TableAvailabilities[],2,FALSE)&gt;0,"Y",""),"")</f>
        <v/>
      </c>
      <c r="H41" s="30" t="str">
        <f>IFERROR(IF(VLOOKUP(TableHandbook[[#This Row],[UDC]],TableAvailabilities[],3,FALSE)&gt;0,"Y",""),"")</f>
        <v/>
      </c>
      <c r="I41" s="30" t="str">
        <f>IFERROR(IF(VLOOKUP(TableHandbook[[#This Row],[UDC]],TableAvailabilities[],4,FALSE)&gt;0,"Y",""),"")</f>
        <v/>
      </c>
      <c r="J41" s="30" t="str">
        <f>IFERROR(IF(VLOOKUP(TableHandbook[[#This Row],[UDC]],TableAvailabilities[],5,FALSE)&gt;0,"Y",""),"")</f>
        <v>Y</v>
      </c>
      <c r="K41" s="83"/>
      <c r="L41" s="84" t="str">
        <f>IFERROR(VLOOKUP(TableHandbook[[#This Row],[UDC]],TableGCDESIGN[],7,FALSE),"")</f>
        <v>Option</v>
      </c>
      <c r="M41" s="84" t="str">
        <f>IFERROR(VLOOKUP(TableHandbook[[#This Row],[UDC]],TableGDDESIGN[],7,FALSE),"")</f>
        <v>Option</v>
      </c>
      <c r="N41" s="84" t="str">
        <f>IFERROR(VLOOKUP(TableHandbook[[#This Row],[UDC]],TableMCDESIGN[],7,FALSE),"")</f>
        <v>Option</v>
      </c>
    </row>
    <row r="42" spans="1:14" x14ac:dyDescent="0.25">
      <c r="A42" s="7" t="s">
        <v>182</v>
      </c>
      <c r="B42" s="8">
        <v>3</v>
      </c>
      <c r="C42" s="8"/>
      <c r="D42" s="7" t="s">
        <v>183</v>
      </c>
      <c r="E42" s="8">
        <v>25</v>
      </c>
      <c r="F42" s="34" t="s">
        <v>134</v>
      </c>
      <c r="G42" s="30" t="str">
        <f>IFERROR(IF(VLOOKUP(TableHandbook[[#This Row],[UDC]],TableAvailabilities[],2,FALSE)&gt;0,"Y",""),"")</f>
        <v/>
      </c>
      <c r="H42" s="30" t="str">
        <f>IFERROR(IF(VLOOKUP(TableHandbook[[#This Row],[UDC]],TableAvailabilities[],3,FALSE)&gt;0,"Y",""),"")</f>
        <v/>
      </c>
      <c r="I42" s="30" t="str">
        <f>IFERROR(IF(VLOOKUP(TableHandbook[[#This Row],[UDC]],TableAvailabilities[],4,FALSE)&gt;0,"Y",""),"")</f>
        <v/>
      </c>
      <c r="J42" s="30" t="str">
        <f>IFERROR(IF(VLOOKUP(TableHandbook[[#This Row],[UDC]],TableAvailabilities[],5,FALSE)&gt;0,"Y",""),"")</f>
        <v/>
      </c>
      <c r="K42" s="83"/>
      <c r="L42" s="84" t="str">
        <f>IFERROR(VLOOKUP(TableHandbook[[#This Row],[UDC]],TableGCDESIGN[],7,FALSE),"")</f>
        <v/>
      </c>
      <c r="M42" s="84" t="str">
        <f>IFERROR(VLOOKUP(TableHandbook[[#This Row],[UDC]],TableGDDESIGN[],7,FALSE),"")</f>
        <v/>
      </c>
      <c r="N42" s="84" t="str">
        <f>IFERROR(VLOOKUP(TableHandbook[[#This Row],[UDC]],TableMCDESIGN[],7,FALSE),"")</f>
        <v/>
      </c>
    </row>
    <row r="43" spans="1:14" x14ac:dyDescent="0.25">
      <c r="A43" s="7" t="s">
        <v>115</v>
      </c>
      <c r="B43" s="8">
        <v>2</v>
      </c>
      <c r="C43" s="8"/>
      <c r="D43" s="7" t="s">
        <v>184</v>
      </c>
      <c r="E43" s="8">
        <v>25</v>
      </c>
      <c r="F43" s="34" t="s">
        <v>134</v>
      </c>
      <c r="G43" s="30" t="str">
        <f>IFERROR(IF(VLOOKUP(TableHandbook[[#This Row],[UDC]],TableAvailabilities[],2,FALSE)&gt;0,"Y",""),"")</f>
        <v>Y</v>
      </c>
      <c r="H43" s="30" t="str">
        <f>IFERROR(IF(VLOOKUP(TableHandbook[[#This Row],[UDC]],TableAvailabilities[],3,FALSE)&gt;0,"Y",""),"")</f>
        <v>Y</v>
      </c>
      <c r="I43" s="30" t="str">
        <f>IFERROR(IF(VLOOKUP(TableHandbook[[#This Row],[UDC]],TableAvailabilities[],4,FALSE)&gt;0,"Y",""),"")</f>
        <v/>
      </c>
      <c r="J43" s="30" t="str">
        <f>IFERROR(IF(VLOOKUP(TableHandbook[[#This Row],[UDC]],TableAvailabilities[],5,FALSE)&gt;0,"Y",""),"")</f>
        <v/>
      </c>
      <c r="K43" s="83"/>
      <c r="L43" s="84" t="str">
        <f>IFERROR(VLOOKUP(TableHandbook[[#This Row],[UDC]],TableGCDESIGN[],7,FALSE),"")</f>
        <v>Option</v>
      </c>
      <c r="M43" s="84" t="str">
        <f>IFERROR(VLOOKUP(TableHandbook[[#This Row],[UDC]],TableGDDESIGN[],7,FALSE),"")</f>
        <v>Option</v>
      </c>
      <c r="N43" s="84" t="str">
        <f>IFERROR(VLOOKUP(TableHandbook[[#This Row],[UDC]],TableMCDESIGN[],7,FALSE),"")</f>
        <v>Option</v>
      </c>
    </row>
    <row r="44" spans="1:14" x14ac:dyDescent="0.25">
      <c r="A44" s="7" t="s">
        <v>185</v>
      </c>
      <c r="B44" s="8">
        <v>1</v>
      </c>
      <c r="C44" s="8"/>
      <c r="D44" s="7" t="s">
        <v>186</v>
      </c>
      <c r="E44" s="8">
        <v>25</v>
      </c>
      <c r="F44" s="34" t="s">
        <v>134</v>
      </c>
      <c r="G44" s="30" t="str">
        <f>IFERROR(IF(VLOOKUP(TableHandbook[[#This Row],[UDC]],TableAvailabilities[],2,FALSE)&gt;0,"Y",""),"")</f>
        <v/>
      </c>
      <c r="H44" s="30" t="str">
        <f>IFERROR(IF(VLOOKUP(TableHandbook[[#This Row],[UDC]],TableAvailabilities[],3,FALSE)&gt;0,"Y",""),"")</f>
        <v/>
      </c>
      <c r="I44" s="30" t="str">
        <f>IFERROR(IF(VLOOKUP(TableHandbook[[#This Row],[UDC]],TableAvailabilities[],4,FALSE)&gt;0,"Y",""),"")</f>
        <v/>
      </c>
      <c r="J44" s="30" t="str">
        <f>IFERROR(IF(VLOOKUP(TableHandbook[[#This Row],[UDC]],TableAvailabilities[],5,FALSE)&gt;0,"Y",""),"")</f>
        <v/>
      </c>
      <c r="K44" s="83"/>
      <c r="L44" s="84" t="str">
        <f>IFERROR(VLOOKUP(TableHandbook[[#This Row],[UDC]],TableGCDESIGN[],7,FALSE),"")</f>
        <v/>
      </c>
      <c r="M44" s="84" t="str">
        <f>IFERROR(VLOOKUP(TableHandbook[[#This Row],[UDC]],TableGDDESIGN[],7,FALSE),"")</f>
        <v/>
      </c>
      <c r="N44" s="84" t="str">
        <f>IFERROR(VLOOKUP(TableHandbook[[#This Row],[UDC]],TableMCDESIGN[],7,FALSE),"")</f>
        <v/>
      </c>
    </row>
    <row r="45" spans="1:14" x14ac:dyDescent="0.25">
      <c r="A45" s="7" t="s">
        <v>116</v>
      </c>
      <c r="B45" s="8">
        <v>4</v>
      </c>
      <c r="C45" s="8"/>
      <c r="D45" s="7" t="s">
        <v>187</v>
      </c>
      <c r="E45" s="8">
        <v>25</v>
      </c>
      <c r="F45" s="34" t="s">
        <v>134</v>
      </c>
      <c r="G45" s="30" t="str">
        <f>IFERROR(IF(VLOOKUP(TableHandbook[[#This Row],[UDC]],TableAvailabilities[],2,FALSE)&gt;0,"Y",""),"")</f>
        <v>Y</v>
      </c>
      <c r="H45" s="30" t="str">
        <f>IFERROR(IF(VLOOKUP(TableHandbook[[#This Row],[UDC]],TableAvailabilities[],3,FALSE)&gt;0,"Y",""),"")</f>
        <v>Y</v>
      </c>
      <c r="I45" s="30" t="str">
        <f>IFERROR(IF(VLOOKUP(TableHandbook[[#This Row],[UDC]],TableAvailabilities[],4,FALSE)&gt;0,"Y",""),"")</f>
        <v/>
      </c>
      <c r="J45" s="30" t="str">
        <f>IFERROR(IF(VLOOKUP(TableHandbook[[#This Row],[UDC]],TableAvailabilities[],5,FALSE)&gt;0,"Y",""),"")</f>
        <v/>
      </c>
      <c r="K45" s="83"/>
      <c r="L45" s="84" t="str">
        <f>IFERROR(VLOOKUP(TableHandbook[[#This Row],[UDC]],TableGCDESIGN[],7,FALSE),"")</f>
        <v>Option</v>
      </c>
      <c r="M45" s="84" t="str">
        <f>IFERROR(VLOOKUP(TableHandbook[[#This Row],[UDC]],TableGDDESIGN[],7,FALSE),"")</f>
        <v>Option</v>
      </c>
      <c r="N45" s="84" t="str">
        <f>IFERROR(VLOOKUP(TableHandbook[[#This Row],[UDC]],TableMCDESIGN[],7,FALSE),"")</f>
        <v>Option</v>
      </c>
    </row>
    <row r="46" spans="1:14" x14ac:dyDescent="0.25">
      <c r="A46" s="7" t="s">
        <v>188</v>
      </c>
      <c r="B46" s="8">
        <v>3</v>
      </c>
      <c r="C46" s="8"/>
      <c r="D46" s="7" t="s">
        <v>189</v>
      </c>
      <c r="E46" s="8">
        <v>25</v>
      </c>
      <c r="F46" s="34" t="s">
        <v>134</v>
      </c>
      <c r="G46" s="30" t="str">
        <f>IFERROR(IF(VLOOKUP(TableHandbook[[#This Row],[UDC]],TableAvailabilities[],2,FALSE)&gt;0,"Y",""),"")</f>
        <v/>
      </c>
      <c r="H46" s="30" t="str">
        <f>IFERROR(IF(VLOOKUP(TableHandbook[[#This Row],[UDC]],TableAvailabilities[],3,FALSE)&gt;0,"Y",""),"")</f>
        <v/>
      </c>
      <c r="I46" s="30" t="str">
        <f>IFERROR(IF(VLOOKUP(TableHandbook[[#This Row],[UDC]],TableAvailabilities[],4,FALSE)&gt;0,"Y",""),"")</f>
        <v/>
      </c>
      <c r="J46" s="30" t="str">
        <f>IFERROR(IF(VLOOKUP(TableHandbook[[#This Row],[UDC]],TableAvailabilities[],5,FALSE)&gt;0,"Y",""),"")</f>
        <v/>
      </c>
      <c r="K46" s="83"/>
      <c r="L46" s="84" t="str">
        <f>IFERROR(VLOOKUP(TableHandbook[[#This Row],[UDC]],TableGCDESIGN[],7,FALSE),"")</f>
        <v/>
      </c>
      <c r="M46" s="84" t="str">
        <f>IFERROR(VLOOKUP(TableHandbook[[#This Row],[UDC]],TableGDDESIGN[],7,FALSE),"")</f>
        <v/>
      </c>
      <c r="N46" s="84" t="str">
        <f>IFERROR(VLOOKUP(TableHandbook[[#This Row],[UDC]],TableMCDESIGN[],7,FALSE),"")</f>
        <v/>
      </c>
    </row>
    <row r="47" spans="1:14" x14ac:dyDescent="0.25">
      <c r="A47" s="7" t="s">
        <v>68</v>
      </c>
      <c r="B47" s="8">
        <v>0</v>
      </c>
      <c r="C47" s="8"/>
      <c r="D47" s="7" t="s">
        <v>190</v>
      </c>
      <c r="E47" s="8">
        <v>25</v>
      </c>
      <c r="F47" s="34" t="s">
        <v>191</v>
      </c>
      <c r="G47" s="30" t="str">
        <f>IFERROR(IF(VLOOKUP(TableHandbook[[#This Row],[UDC]],TableAvailabilities[],2,FALSE)&gt;0,"Y",""),"")</f>
        <v/>
      </c>
      <c r="H47" s="30" t="str">
        <f>IFERROR(IF(VLOOKUP(TableHandbook[[#This Row],[UDC]],TableAvailabilities[],3,FALSE)&gt;0,"Y",""),"")</f>
        <v/>
      </c>
      <c r="I47" s="30" t="str">
        <f>IFERROR(IF(VLOOKUP(TableHandbook[[#This Row],[UDC]],TableAvailabilities[],4,FALSE)&gt;0,"Y",""),"")</f>
        <v/>
      </c>
      <c r="J47" s="30" t="str">
        <f>IFERROR(IF(VLOOKUP(TableHandbook[[#This Row],[UDC]],TableAvailabilities[],5,FALSE)&gt;0,"Y",""),"")</f>
        <v/>
      </c>
      <c r="K47" s="83"/>
      <c r="L47" s="84" t="str">
        <f>IFERROR(VLOOKUP(TableHandbook[[#This Row],[UDC]],TableGCDESIGN[],7,FALSE),"")</f>
        <v>Option</v>
      </c>
      <c r="M47" s="84" t="str">
        <f>IFERROR(VLOOKUP(TableHandbook[[#This Row],[UDC]],TableGDDESIGN[],7,FALSE),"")</f>
        <v>Option</v>
      </c>
      <c r="N47" s="84" t="str">
        <f>IFERROR(VLOOKUP(TableHandbook[[#This Row],[UDC]],TableMCDESIGN[],7,FALSE),"")</f>
        <v>Option</v>
      </c>
    </row>
    <row r="48" spans="1:14" x14ac:dyDescent="0.25">
      <c r="A48" s="7" t="s">
        <v>74</v>
      </c>
      <c r="B48" s="8"/>
      <c r="C48" s="8"/>
      <c r="D48" s="7" t="s">
        <v>192</v>
      </c>
      <c r="E48" s="8">
        <v>25</v>
      </c>
      <c r="F48" s="34" t="s">
        <v>191</v>
      </c>
      <c r="G48" s="30" t="str">
        <f>IFERROR(IF(VLOOKUP(TableHandbook[[#This Row],[UDC]],TableAvailabilities[],2,FALSE)&gt;0,"Y",""),"")</f>
        <v/>
      </c>
      <c r="H48" s="30" t="str">
        <f>IFERROR(IF(VLOOKUP(TableHandbook[[#This Row],[UDC]],TableAvailabilities[],3,FALSE)&gt;0,"Y",""),"")</f>
        <v/>
      </c>
      <c r="I48" s="30" t="str">
        <f>IFERROR(IF(VLOOKUP(TableHandbook[[#This Row],[UDC]],TableAvailabilities[],4,FALSE)&gt;0,"Y",""),"")</f>
        <v/>
      </c>
      <c r="J48" s="30" t="str">
        <f>IFERROR(IF(VLOOKUP(TableHandbook[[#This Row],[UDC]],TableAvailabilities[],5,FALSE)&gt;0,"Y",""),"")</f>
        <v/>
      </c>
      <c r="K48" s="83"/>
      <c r="L48" s="84" t="str">
        <f>IFERROR(VLOOKUP(TableHandbook[[#This Row],[UDC]],TableGCDESIGN[],7,FALSE),"")</f>
        <v/>
      </c>
      <c r="M48" s="84" t="str">
        <f>IFERROR(VLOOKUP(TableHandbook[[#This Row],[UDC]],TableGDDESIGN[],7,FALSE),"")</f>
        <v/>
      </c>
      <c r="N48" s="84" t="str">
        <f>IFERROR(VLOOKUP(TableHandbook[[#This Row],[UDC]],TableMCDESIGN[],7,FALSE),"")</f>
        <v/>
      </c>
    </row>
    <row r="49" spans="1:14" x14ac:dyDescent="0.25">
      <c r="A49" s="7" t="s">
        <v>117</v>
      </c>
      <c r="B49" s="8">
        <v>1</v>
      </c>
      <c r="C49" s="8"/>
      <c r="D49" s="7" t="s">
        <v>193</v>
      </c>
      <c r="E49" s="8">
        <v>25</v>
      </c>
      <c r="F49" s="34" t="s">
        <v>134</v>
      </c>
      <c r="G49" s="30" t="str">
        <f>IFERROR(IF(VLOOKUP(TableHandbook[[#This Row],[UDC]],TableAvailabilities[],2,FALSE)&gt;0,"Y",""),"")</f>
        <v>Y</v>
      </c>
      <c r="H49" s="30" t="str">
        <f>IFERROR(IF(VLOOKUP(TableHandbook[[#This Row],[UDC]],TableAvailabilities[],3,FALSE)&gt;0,"Y",""),"")</f>
        <v>Y</v>
      </c>
      <c r="I49" s="30" t="str">
        <f>IFERROR(IF(VLOOKUP(TableHandbook[[#This Row],[UDC]],TableAvailabilities[],4,FALSE)&gt;0,"Y",""),"")</f>
        <v>Y</v>
      </c>
      <c r="J49" s="30" t="str">
        <f>IFERROR(IF(VLOOKUP(TableHandbook[[#This Row],[UDC]],TableAvailabilities[],5,FALSE)&gt;0,"Y",""),"")</f>
        <v>Y</v>
      </c>
      <c r="K49" s="83"/>
      <c r="L49" s="84" t="str">
        <f>IFERROR(VLOOKUP(TableHandbook[[#This Row],[UDC]],TableGCDESIGN[],7,FALSE),"")</f>
        <v>Option</v>
      </c>
      <c r="M49" s="84" t="str">
        <f>IFERROR(VLOOKUP(TableHandbook[[#This Row],[UDC]],TableGDDESIGN[],7,FALSE),"")</f>
        <v>Option</v>
      </c>
      <c r="N49" s="84" t="str">
        <f>IFERROR(VLOOKUP(TableHandbook[[#This Row],[UDC]],TableMCDESIGN[],7,FALSE),"")</f>
        <v>Option</v>
      </c>
    </row>
    <row r="50" spans="1:14" x14ac:dyDescent="0.25">
      <c r="A50" s="7" t="s">
        <v>118</v>
      </c>
      <c r="B50" s="8">
        <v>1</v>
      </c>
      <c r="C50" s="8"/>
      <c r="D50" s="7" t="s">
        <v>194</v>
      </c>
      <c r="E50" s="8">
        <v>25</v>
      </c>
      <c r="F50" s="34" t="s">
        <v>134</v>
      </c>
      <c r="G50" s="30" t="str">
        <f>IFERROR(IF(VLOOKUP(TableHandbook[[#This Row],[UDC]],TableAvailabilities[],2,FALSE)&gt;0,"Y",""),"")</f>
        <v>Y</v>
      </c>
      <c r="H50" s="30" t="str">
        <f>IFERROR(IF(VLOOKUP(TableHandbook[[#This Row],[UDC]],TableAvailabilities[],3,FALSE)&gt;0,"Y",""),"")</f>
        <v>Y</v>
      </c>
      <c r="I50" s="30" t="str">
        <f>IFERROR(IF(VLOOKUP(TableHandbook[[#This Row],[UDC]],TableAvailabilities[],4,FALSE)&gt;0,"Y",""),"")</f>
        <v>Y</v>
      </c>
      <c r="J50" s="30" t="str">
        <f>IFERROR(IF(VLOOKUP(TableHandbook[[#This Row],[UDC]],TableAvailabilities[],5,FALSE)&gt;0,"Y",""),"")</f>
        <v>Y</v>
      </c>
      <c r="K50" s="83"/>
      <c r="L50" s="84" t="str">
        <f>IFERROR(VLOOKUP(TableHandbook[[#This Row],[UDC]],TableGCDESIGN[],7,FALSE),"")</f>
        <v>Option</v>
      </c>
      <c r="M50" s="84" t="str">
        <f>IFERROR(VLOOKUP(TableHandbook[[#This Row],[UDC]],TableGDDESIGN[],7,FALSE),"")</f>
        <v>Option</v>
      </c>
      <c r="N50" s="84" t="str">
        <f>IFERROR(VLOOKUP(TableHandbook[[#This Row],[UDC]],TableMCDESIGN[],7,FALSE),"")</f>
        <v>Option</v>
      </c>
    </row>
    <row r="51" spans="1:14" x14ac:dyDescent="0.25">
      <c r="A51" s="7" t="s">
        <v>119</v>
      </c>
      <c r="B51" s="8">
        <v>1</v>
      </c>
      <c r="C51" s="8"/>
      <c r="D51" s="7" t="s">
        <v>195</v>
      </c>
      <c r="E51" s="8">
        <v>25</v>
      </c>
      <c r="F51" s="34" t="s">
        <v>134</v>
      </c>
      <c r="G51" s="30" t="str">
        <f>IFERROR(IF(VLOOKUP(TableHandbook[[#This Row],[UDC]],TableAvailabilities[],2,FALSE)&gt;0,"Y",""),"")</f>
        <v>Y</v>
      </c>
      <c r="H51" s="30" t="str">
        <f>IFERROR(IF(VLOOKUP(TableHandbook[[#This Row],[UDC]],TableAvailabilities[],3,FALSE)&gt;0,"Y",""),"")</f>
        <v>Y</v>
      </c>
      <c r="I51" s="30" t="str">
        <f>IFERROR(IF(VLOOKUP(TableHandbook[[#This Row],[UDC]],TableAvailabilities[],4,FALSE)&gt;0,"Y",""),"")</f>
        <v>Y</v>
      </c>
      <c r="J51" s="30" t="str">
        <f>IFERROR(IF(VLOOKUP(TableHandbook[[#This Row],[UDC]],TableAvailabilities[],5,FALSE)&gt;0,"Y",""),"")</f>
        <v>Y</v>
      </c>
      <c r="K51" s="83"/>
      <c r="L51" s="84" t="str">
        <f>IFERROR(VLOOKUP(TableHandbook[[#This Row],[UDC]],TableGCDESIGN[],7,FALSE),"")</f>
        <v>Option</v>
      </c>
      <c r="M51" s="84" t="str">
        <f>IFERROR(VLOOKUP(TableHandbook[[#This Row],[UDC]],TableGDDESIGN[],7,FALSE),"")</f>
        <v>Option</v>
      </c>
      <c r="N51" s="84" t="str">
        <f>IFERROR(VLOOKUP(TableHandbook[[#This Row],[UDC]],TableMCDESIGN[],7,FALSE),"")</f>
        <v>Option</v>
      </c>
    </row>
    <row r="52" spans="1:14" x14ac:dyDescent="0.25">
      <c r="A52" s="7" t="s">
        <v>120</v>
      </c>
      <c r="B52" s="8">
        <v>2</v>
      </c>
      <c r="C52" s="8"/>
      <c r="D52" s="7" t="s">
        <v>196</v>
      </c>
      <c r="E52" s="8">
        <v>25</v>
      </c>
      <c r="F52" s="34" t="s">
        <v>134</v>
      </c>
      <c r="G52" s="30" t="str">
        <f>IFERROR(IF(VLOOKUP(TableHandbook[[#This Row],[UDC]],TableAvailabilities[],2,FALSE)&gt;0,"Y",""),"")</f>
        <v>Y</v>
      </c>
      <c r="H52" s="30" t="str">
        <f>IFERROR(IF(VLOOKUP(TableHandbook[[#This Row],[UDC]],TableAvailabilities[],3,FALSE)&gt;0,"Y",""),"")</f>
        <v>Y</v>
      </c>
      <c r="I52" s="30" t="str">
        <f>IFERROR(IF(VLOOKUP(TableHandbook[[#This Row],[UDC]],TableAvailabilities[],4,FALSE)&gt;0,"Y",""),"")</f>
        <v/>
      </c>
      <c r="J52" s="30" t="str">
        <f>IFERROR(IF(VLOOKUP(TableHandbook[[#This Row],[UDC]],TableAvailabilities[],5,FALSE)&gt;0,"Y",""),"")</f>
        <v/>
      </c>
      <c r="K52" s="83"/>
      <c r="L52" s="84" t="str">
        <f>IFERROR(VLOOKUP(TableHandbook[[#This Row],[UDC]],TableGCDESIGN[],7,FALSE),"")</f>
        <v>Option</v>
      </c>
      <c r="M52" s="84" t="str">
        <f>IFERROR(VLOOKUP(TableHandbook[[#This Row],[UDC]],TableGDDESIGN[],7,FALSE),"")</f>
        <v>Option</v>
      </c>
      <c r="N52" s="84" t="str">
        <f>IFERROR(VLOOKUP(TableHandbook[[#This Row],[UDC]],TableMCDESIGN[],7,FALSE),"")</f>
        <v>Option</v>
      </c>
    </row>
    <row r="53" spans="1:14" x14ac:dyDescent="0.25">
      <c r="A53" s="7" t="s">
        <v>121</v>
      </c>
      <c r="B53" s="8">
        <v>2</v>
      </c>
      <c r="C53" s="8"/>
      <c r="D53" s="7" t="s">
        <v>197</v>
      </c>
      <c r="E53" s="8">
        <v>25</v>
      </c>
      <c r="F53" s="34" t="s">
        <v>134</v>
      </c>
      <c r="G53" s="30" t="str">
        <f>IFERROR(IF(VLOOKUP(TableHandbook[[#This Row],[UDC]],TableAvailabilities[],2,FALSE)&gt;0,"Y",""),"")</f>
        <v>Y</v>
      </c>
      <c r="H53" s="30" t="str">
        <f>IFERROR(IF(VLOOKUP(TableHandbook[[#This Row],[UDC]],TableAvailabilities[],3,FALSE)&gt;0,"Y",""),"")</f>
        <v>Y</v>
      </c>
      <c r="I53" s="30" t="str">
        <f>IFERROR(IF(VLOOKUP(TableHandbook[[#This Row],[UDC]],TableAvailabilities[],4,FALSE)&gt;0,"Y",""),"")</f>
        <v/>
      </c>
      <c r="J53" s="30" t="str">
        <f>IFERROR(IF(VLOOKUP(TableHandbook[[#This Row],[UDC]],TableAvailabilities[],5,FALSE)&gt;0,"Y",""),"")</f>
        <v/>
      </c>
      <c r="K53" s="83"/>
      <c r="L53" s="84" t="str">
        <f>IFERROR(VLOOKUP(TableHandbook[[#This Row],[UDC]],TableGCDESIGN[],7,FALSE),"")</f>
        <v>Option</v>
      </c>
      <c r="M53" s="84" t="str">
        <f>IFERROR(VLOOKUP(TableHandbook[[#This Row],[UDC]],TableGDDESIGN[],7,FALSE),"")</f>
        <v>Option</v>
      </c>
      <c r="N53" s="84" t="str">
        <f>IFERROR(VLOOKUP(TableHandbook[[#This Row],[UDC]],TableMCDESIGN[],7,FALSE),"")</f>
        <v>Option</v>
      </c>
    </row>
    <row r="54" spans="1:14" x14ac:dyDescent="0.25">
      <c r="A54" s="7" t="s">
        <v>94</v>
      </c>
      <c r="B54" s="8">
        <v>1</v>
      </c>
      <c r="C54" s="8"/>
      <c r="D54" s="7" t="s">
        <v>198</v>
      </c>
      <c r="E54" s="8">
        <v>25</v>
      </c>
      <c r="F54" s="34" t="s">
        <v>134</v>
      </c>
      <c r="G54" s="30" t="str">
        <f>IFERROR(IF(VLOOKUP(TableHandbook[[#This Row],[UDC]],TableAvailabilities[],2,FALSE)&gt;0,"Y",""),"")</f>
        <v>Y</v>
      </c>
      <c r="H54" s="30" t="str">
        <f>IFERROR(IF(VLOOKUP(TableHandbook[[#This Row],[UDC]],TableAvailabilities[],3,FALSE)&gt;0,"Y",""),"")</f>
        <v>Y</v>
      </c>
      <c r="I54" s="30" t="str">
        <f>IFERROR(IF(VLOOKUP(TableHandbook[[#This Row],[UDC]],TableAvailabilities[],4,FALSE)&gt;0,"Y",""),"")</f>
        <v>Y</v>
      </c>
      <c r="J54" s="30" t="str">
        <f>IFERROR(IF(VLOOKUP(TableHandbook[[#This Row],[UDC]],TableAvailabilities[],5,FALSE)&gt;0,"Y",""),"")</f>
        <v>Y</v>
      </c>
      <c r="K54" s="83"/>
      <c r="L54" s="84" t="str">
        <f>IFERROR(VLOOKUP(TableHandbook[[#This Row],[UDC]],TableGCDESIGN[],7,FALSE),"")</f>
        <v/>
      </c>
      <c r="M54" s="84" t="str">
        <f>IFERROR(VLOOKUP(TableHandbook[[#This Row],[UDC]],TableGDDESIGN[],7,FALSE),"")</f>
        <v/>
      </c>
      <c r="N54" s="84" t="str">
        <f>IFERROR(VLOOKUP(TableHandbook[[#This Row],[UDC]],TableMCDESIGN[],7,FALSE),"")</f>
        <v>Option</v>
      </c>
    </row>
  </sheetData>
  <sortState xmlns:xlrd2="http://schemas.microsoft.com/office/spreadsheetml/2017/richdata2" ref="A24:D37">
    <sortCondition ref="A24"/>
  </sortState>
  <conditionalFormatting sqref="A3:A54">
    <cfRule type="duplicateValues" dxfId="11" priority="103"/>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31"/>
  <sheetViews>
    <sheetView zoomScale="70" zoomScaleNormal="70" workbookViewId="0">
      <selection activeCell="A27" sqref="A27"/>
    </sheetView>
  </sheetViews>
  <sheetFormatPr defaultRowHeight="15.75" x14ac:dyDescent="0.25"/>
  <cols>
    <col min="1" max="1" width="10.25" bestFit="1" customWidth="1"/>
    <col min="2" max="2" width="13.375" style="5" bestFit="1" customWidth="1"/>
    <col min="3" max="3" width="12.5" bestFit="1" customWidth="1"/>
    <col min="4" max="4" width="58" bestFit="1" customWidth="1"/>
    <col min="5" max="5" width="9.75" style="5"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8" bestFit="1" customWidth="1"/>
    <col min="13" max="13" width="14.75" bestFit="1" customWidth="1"/>
    <col min="14" max="14" width="11.25" bestFit="1" customWidth="1"/>
    <col min="15" max="15" width="12.25" bestFit="1" customWidth="1"/>
    <col min="16" max="16" width="10.125" bestFit="1" customWidth="1"/>
    <col min="17" max="17" width="10.25" bestFit="1" customWidth="1"/>
    <col min="18" max="18" width="7.125" bestFit="1" customWidth="1"/>
  </cols>
  <sheetData>
    <row r="1" spans="1:18" ht="18.75" x14ac:dyDescent="0.3">
      <c r="A1" s="86" t="s">
        <v>199</v>
      </c>
      <c r="B1"/>
      <c r="E1"/>
      <c r="G1" s="32" t="s">
        <v>200</v>
      </c>
      <c r="H1" s="94">
        <v>44197</v>
      </c>
      <c r="I1" s="31"/>
      <c r="J1" s="95" t="s">
        <v>53</v>
      </c>
      <c r="K1" s="96" t="s">
        <v>54</v>
      </c>
      <c r="L1" s="31" t="s">
        <v>52</v>
      </c>
      <c r="M1" s="31"/>
      <c r="N1" s="79" t="s">
        <v>201</v>
      </c>
      <c r="O1" s="80">
        <v>45573</v>
      </c>
      <c r="P1" s="93">
        <v>45292</v>
      </c>
    </row>
    <row r="2" spans="1:18" x14ac:dyDescent="0.25">
      <c r="A2" t="s">
        <v>0</v>
      </c>
      <c r="B2" s="5" t="s">
        <v>202</v>
      </c>
      <c r="C2" t="s">
        <v>203</v>
      </c>
      <c r="D2" t="s">
        <v>3</v>
      </c>
      <c r="E2" s="33" t="s">
        <v>204</v>
      </c>
      <c r="F2" t="s">
        <v>205</v>
      </c>
      <c r="G2" t="s">
        <v>206</v>
      </c>
      <c r="H2" t="s">
        <v>207</v>
      </c>
      <c r="I2" t="s">
        <v>18</v>
      </c>
      <c r="J2" t="s">
        <v>208</v>
      </c>
      <c r="K2" t="s">
        <v>1</v>
      </c>
      <c r="L2" t="s">
        <v>209</v>
      </c>
      <c r="M2" t="s">
        <v>45</v>
      </c>
      <c r="N2" t="s">
        <v>210</v>
      </c>
      <c r="O2" t="s">
        <v>211</v>
      </c>
      <c r="Q2" t="s">
        <v>212</v>
      </c>
      <c r="R2" t="s">
        <v>1</v>
      </c>
    </row>
    <row r="3" spans="1:18" x14ac:dyDescent="0.25">
      <c r="A3" t="str">
        <f>TableGCDESIGN[[#This Row],[Study Package Code]]</f>
        <v>GRDE5009</v>
      </c>
      <c r="B3" s="5">
        <f>TableGCDESIGN[[#This Row],[Ver]]</f>
        <v>1</v>
      </c>
      <c r="D3" t="str">
        <f>TableGCDESIGN[[#This Row],[Structure Line]]</f>
        <v>Ethical Design</v>
      </c>
      <c r="E3" s="33">
        <f>TableGCDESIGN[[#This Row],[Credit Points]]</f>
        <v>25</v>
      </c>
      <c r="F3">
        <v>1</v>
      </c>
      <c r="G3" t="s">
        <v>213</v>
      </c>
      <c r="H3">
        <v>1</v>
      </c>
      <c r="I3" t="s">
        <v>214</v>
      </c>
      <c r="J3" t="s">
        <v>48</v>
      </c>
      <c r="K3">
        <v>1</v>
      </c>
      <c r="L3" t="s">
        <v>140</v>
      </c>
      <c r="M3">
        <v>25</v>
      </c>
      <c r="N3" s="72">
        <v>44197</v>
      </c>
      <c r="O3" s="72"/>
      <c r="Q3" t="s">
        <v>48</v>
      </c>
      <c r="R3">
        <v>1</v>
      </c>
    </row>
    <row r="4" spans="1:18" x14ac:dyDescent="0.25">
      <c r="A4" t="str">
        <f>TableGCDESIGN[[#This Row],[Study Package Code]]</f>
        <v>GRDE5010</v>
      </c>
      <c r="B4" s="5">
        <f>TableGCDESIGN[[#This Row],[Ver]]</f>
        <v>1</v>
      </c>
      <c r="D4" t="str">
        <f>TableGCDESIGN[[#This Row],[Structure Line]]</f>
        <v>Experience Making</v>
      </c>
      <c r="E4" s="33">
        <f>TableGCDESIGN[[#This Row],[Credit Points]]</f>
        <v>25</v>
      </c>
      <c r="F4">
        <v>2</v>
      </c>
      <c r="G4" t="s">
        <v>213</v>
      </c>
      <c r="H4">
        <v>1</v>
      </c>
      <c r="I4" t="s">
        <v>214</v>
      </c>
      <c r="J4" t="s">
        <v>57</v>
      </c>
      <c r="K4">
        <v>1</v>
      </c>
      <c r="L4" t="s">
        <v>141</v>
      </c>
      <c r="M4">
        <v>25</v>
      </c>
      <c r="N4" s="72">
        <v>44197</v>
      </c>
      <c r="O4" s="72"/>
      <c r="Q4" t="s">
        <v>57</v>
      </c>
      <c r="R4">
        <v>1</v>
      </c>
    </row>
    <row r="5" spans="1:18" x14ac:dyDescent="0.25">
      <c r="A5" t="str">
        <f>TableGCDESIGN[[#This Row],[Study Package Code]]</f>
        <v>GRDE5008</v>
      </c>
      <c r="B5" s="5">
        <f>TableGCDESIGN[[#This Row],[Ver]]</f>
        <v>1</v>
      </c>
      <c r="D5" t="str">
        <f>TableGCDESIGN[[#This Row],[Structure Line]]</f>
        <v>Innovation by Design</v>
      </c>
      <c r="E5" s="33">
        <f>TableGCDESIGN[[#This Row],[Credit Points]]</f>
        <v>25</v>
      </c>
      <c r="F5">
        <v>3</v>
      </c>
      <c r="G5" t="s">
        <v>213</v>
      </c>
      <c r="H5">
        <v>1</v>
      </c>
      <c r="I5" t="s">
        <v>214</v>
      </c>
      <c r="J5" t="s">
        <v>63</v>
      </c>
      <c r="K5">
        <v>1</v>
      </c>
      <c r="L5" t="s">
        <v>139</v>
      </c>
      <c r="M5">
        <v>25</v>
      </c>
      <c r="N5" s="72">
        <v>44197</v>
      </c>
      <c r="O5" s="72"/>
      <c r="Q5" t="s">
        <v>63</v>
      </c>
      <c r="R5">
        <v>1</v>
      </c>
    </row>
    <row r="6" spans="1:18" x14ac:dyDescent="0.25">
      <c r="A6" t="str">
        <f>TableGCDESIGN[[#This Row],[Study Package Code]]</f>
        <v>Option</v>
      </c>
      <c r="B6" s="5">
        <f>TableGCDESIGN[[#This Row],[Ver]]</f>
        <v>0</v>
      </c>
      <c r="D6" t="str">
        <f>TableGCDESIGN[[#This Row],[Structure Line]]</f>
        <v>Choose an Option</v>
      </c>
      <c r="E6" s="33">
        <f>TableGCDESIGN[[#This Row],[Credit Points]]</f>
        <v>25</v>
      </c>
      <c r="F6">
        <v>4</v>
      </c>
      <c r="G6" t="s">
        <v>68</v>
      </c>
      <c r="H6">
        <v>1</v>
      </c>
      <c r="I6" t="s">
        <v>214</v>
      </c>
      <c r="J6" t="s">
        <v>68</v>
      </c>
      <c r="K6">
        <v>0</v>
      </c>
      <c r="L6" t="s">
        <v>215</v>
      </c>
      <c r="M6">
        <v>25</v>
      </c>
      <c r="N6" s="72"/>
      <c r="O6" s="72"/>
      <c r="Q6" t="s">
        <v>68</v>
      </c>
      <c r="R6">
        <v>0</v>
      </c>
    </row>
    <row r="7" spans="1:18" x14ac:dyDescent="0.25">
      <c r="A7" t="str">
        <f>TableGCDESIGN[[#This Row],[Study Package Code]]</f>
        <v>ARCH5006</v>
      </c>
      <c r="B7" s="5">
        <f>TableGCDESIGN[[#This Row],[Ver]]</f>
        <v>3</v>
      </c>
      <c r="D7" t="str">
        <f>TableGCDESIGN[[#This Row],[Structure Line]]</f>
        <v>Architecture and Culture Research Topics and Methods</v>
      </c>
      <c r="E7" s="33">
        <f>TableGCDESIGN[[#This Row],[Credit Points]]</f>
        <v>25</v>
      </c>
      <c r="F7">
        <v>4</v>
      </c>
      <c r="G7" t="s">
        <v>68</v>
      </c>
      <c r="H7">
        <v>1</v>
      </c>
      <c r="I7" t="s">
        <v>214</v>
      </c>
      <c r="J7" t="s">
        <v>93</v>
      </c>
      <c r="K7">
        <v>3</v>
      </c>
      <c r="L7" t="s">
        <v>133</v>
      </c>
      <c r="M7">
        <v>25</v>
      </c>
      <c r="N7" s="72">
        <v>45108</v>
      </c>
      <c r="O7" s="72"/>
      <c r="Q7" t="s">
        <v>93</v>
      </c>
      <c r="R7">
        <v>3</v>
      </c>
    </row>
    <row r="8" spans="1:18" x14ac:dyDescent="0.25">
      <c r="A8" t="str">
        <f>TableGCDESIGN[[#This Row],[Study Package Code]]</f>
        <v>ARCH5009</v>
      </c>
      <c r="B8" s="5">
        <f>TableGCDESIGN[[#This Row],[Ver]]</f>
        <v>2</v>
      </c>
      <c r="D8" t="str">
        <f>TableGCDESIGN[[#This Row],[Structure Line]]</f>
        <v>Architecture and Culture Research Applications</v>
      </c>
      <c r="E8" s="33">
        <f>TableGCDESIGN[[#This Row],[Credit Points]]</f>
        <v>25</v>
      </c>
      <c r="F8">
        <v>4</v>
      </c>
      <c r="G8" t="s">
        <v>68</v>
      </c>
      <c r="H8">
        <v>1</v>
      </c>
      <c r="I8" t="s">
        <v>214</v>
      </c>
      <c r="J8" t="s">
        <v>122</v>
      </c>
      <c r="K8">
        <v>2</v>
      </c>
      <c r="L8" t="s">
        <v>135</v>
      </c>
      <c r="M8">
        <v>25</v>
      </c>
      <c r="N8" s="72">
        <v>43101</v>
      </c>
      <c r="O8" s="72"/>
      <c r="Q8" t="s">
        <v>122</v>
      </c>
      <c r="R8">
        <v>2</v>
      </c>
    </row>
    <row r="9" spans="1:18" x14ac:dyDescent="0.25">
      <c r="A9" t="str">
        <f>TableGCDESIGN[[#This Row],[Study Package Code]]</f>
        <v>ENGR6005</v>
      </c>
      <c r="B9" s="5">
        <f>TableGCDESIGN[[#This Row],[Ver]]</f>
        <v>2</v>
      </c>
      <c r="D9" t="str">
        <f>TableGCDESIGN[[#This Row],[Structure Line]]</f>
        <v>New Product Development</v>
      </c>
      <c r="E9" s="33">
        <f>TableGCDESIGN[[#This Row],[Credit Points]]</f>
        <v>25</v>
      </c>
      <c r="F9">
        <v>4</v>
      </c>
      <c r="G9" t="s">
        <v>68</v>
      </c>
      <c r="H9">
        <v>1</v>
      </c>
      <c r="I9" t="s">
        <v>214</v>
      </c>
      <c r="J9" t="s">
        <v>96</v>
      </c>
      <c r="K9">
        <v>2</v>
      </c>
      <c r="L9" t="s">
        <v>137</v>
      </c>
      <c r="M9">
        <v>25</v>
      </c>
      <c r="N9" s="72">
        <v>43831</v>
      </c>
      <c r="O9" s="72"/>
      <c r="Q9" t="s">
        <v>96</v>
      </c>
      <c r="R9">
        <v>2</v>
      </c>
    </row>
    <row r="10" spans="1:18" x14ac:dyDescent="0.25">
      <c r="A10" t="str">
        <f>TableGCDESIGN[[#This Row],[Study Package Code]]</f>
        <v>GEOG5005</v>
      </c>
      <c r="B10" s="5">
        <f>TableGCDESIGN[[#This Row],[Ver]]</f>
        <v>1</v>
      </c>
      <c r="D10" t="str">
        <f>TableGCDESIGN[[#This Row],[Structure Line]]</f>
        <v>Human Geography</v>
      </c>
      <c r="E10" s="33">
        <f>TableGCDESIGN[[#This Row],[Credit Points]]</f>
        <v>25</v>
      </c>
      <c r="F10">
        <v>4</v>
      </c>
      <c r="G10" t="s">
        <v>68</v>
      </c>
      <c r="H10">
        <v>1</v>
      </c>
      <c r="I10" t="s">
        <v>214</v>
      </c>
      <c r="J10" t="s">
        <v>99</v>
      </c>
      <c r="K10">
        <v>1</v>
      </c>
      <c r="L10" t="s">
        <v>138</v>
      </c>
      <c r="M10">
        <v>25</v>
      </c>
      <c r="N10" s="72">
        <v>42736</v>
      </c>
      <c r="O10" s="72"/>
      <c r="Q10" t="s">
        <v>99</v>
      </c>
      <c r="R10">
        <v>1</v>
      </c>
    </row>
    <row r="11" spans="1:18" x14ac:dyDescent="0.25">
      <c r="A11" t="str">
        <f>TableGCDESIGN[[#This Row],[Study Package Code]]</f>
        <v>HLPR6001</v>
      </c>
      <c r="B11" s="5">
        <f>TableGCDESIGN[[#This Row],[Ver]]</f>
        <v>1</v>
      </c>
      <c r="D11" t="str">
        <f>TableGCDESIGN[[#This Row],[Structure Line]]</f>
        <v>Health Promotion Strategies and Methods</v>
      </c>
      <c r="E11" s="33">
        <f>TableGCDESIGN[[#This Row],[Credit Points]]</f>
        <v>25</v>
      </c>
      <c r="F11">
        <v>4</v>
      </c>
      <c r="G11" t="s">
        <v>68</v>
      </c>
      <c r="H11">
        <v>1</v>
      </c>
      <c r="I11" t="s">
        <v>214</v>
      </c>
      <c r="J11" t="s">
        <v>101</v>
      </c>
      <c r="K11">
        <v>1</v>
      </c>
      <c r="L11" t="s">
        <v>151</v>
      </c>
      <c r="M11">
        <v>25</v>
      </c>
      <c r="N11" s="72">
        <v>42005</v>
      </c>
      <c r="O11" s="72"/>
      <c r="Q11" t="s">
        <v>101</v>
      </c>
      <c r="R11">
        <v>1</v>
      </c>
    </row>
    <row r="12" spans="1:18" x14ac:dyDescent="0.25">
      <c r="A12" t="str">
        <f>TableGCDESIGN[[#This Row],[Study Package Code]]</f>
        <v>HLPR6004</v>
      </c>
      <c r="B12" s="5">
        <f>TableGCDESIGN[[#This Row],[Ver]]</f>
        <v>1</v>
      </c>
      <c r="D12" t="str">
        <f>TableGCDESIGN[[#This Row],[Structure Line]]</f>
        <v>Diversity and Difference in Health Promotion</v>
      </c>
      <c r="E12" s="33">
        <f>TableGCDESIGN[[#This Row],[Credit Points]]</f>
        <v>25</v>
      </c>
      <c r="F12">
        <v>4</v>
      </c>
      <c r="G12" t="s">
        <v>68</v>
      </c>
      <c r="H12">
        <v>1</v>
      </c>
      <c r="I12" t="s">
        <v>214</v>
      </c>
      <c r="J12" t="s">
        <v>123</v>
      </c>
      <c r="K12">
        <v>1</v>
      </c>
      <c r="L12" t="s">
        <v>152</v>
      </c>
      <c r="M12">
        <v>25</v>
      </c>
      <c r="N12" s="72">
        <v>42005</v>
      </c>
      <c r="O12" s="72"/>
      <c r="Q12" t="s">
        <v>123</v>
      </c>
      <c r="R12">
        <v>1</v>
      </c>
    </row>
    <row r="13" spans="1:18" x14ac:dyDescent="0.25">
      <c r="A13" t="str">
        <f>TableGCDESIGN[[#This Row],[Study Package Code]]</f>
        <v>INCD5000</v>
      </c>
      <c r="B13" s="5">
        <f>TableGCDESIGN[[#This Row],[Ver]]</f>
        <v>1</v>
      </c>
      <c r="D13" t="str">
        <f>TableGCDESIGN[[#This Row],[Structure Line]]</f>
        <v>Social, Cultural and Historical Contexts of Indigenous Australians</v>
      </c>
      <c r="E13" s="33">
        <f>TableGCDESIGN[[#This Row],[Credit Points]]</f>
        <v>25</v>
      </c>
      <c r="F13">
        <v>4</v>
      </c>
      <c r="G13" t="s">
        <v>68</v>
      </c>
      <c r="H13">
        <v>1</v>
      </c>
      <c r="I13" t="s">
        <v>214</v>
      </c>
      <c r="J13" t="s">
        <v>102</v>
      </c>
      <c r="K13">
        <v>1</v>
      </c>
      <c r="L13" t="s">
        <v>153</v>
      </c>
      <c r="M13">
        <v>25</v>
      </c>
      <c r="N13" s="72">
        <v>42005</v>
      </c>
      <c r="O13" s="72"/>
      <c r="Q13" t="s">
        <v>102</v>
      </c>
      <c r="R13">
        <v>1</v>
      </c>
    </row>
    <row r="14" spans="1:18" x14ac:dyDescent="0.25">
      <c r="A14" t="str">
        <f>TableGCDESIGN[[#This Row],[Study Package Code]]</f>
        <v>INDS5001</v>
      </c>
      <c r="B14" s="5">
        <f>TableGCDESIGN[[#This Row],[Ver]]</f>
        <v>1</v>
      </c>
      <c r="D14" t="str">
        <f>TableGCDESIGN[[#This Row],[Structure Line]]</f>
        <v>Introduction to Indigenous Australians</v>
      </c>
      <c r="E14" s="33">
        <f>TableGCDESIGN[[#This Row],[Credit Points]]</f>
        <v>25</v>
      </c>
      <c r="F14">
        <v>4</v>
      </c>
      <c r="G14" t="s">
        <v>68</v>
      </c>
      <c r="H14">
        <v>1</v>
      </c>
      <c r="I14" t="s">
        <v>214</v>
      </c>
      <c r="J14" t="s">
        <v>103</v>
      </c>
      <c r="K14">
        <v>1</v>
      </c>
      <c r="L14" t="s">
        <v>154</v>
      </c>
      <c r="M14">
        <v>25</v>
      </c>
      <c r="N14" s="72">
        <v>42005</v>
      </c>
      <c r="O14" s="72"/>
      <c r="Q14" t="s">
        <v>103</v>
      </c>
      <c r="R14">
        <v>1</v>
      </c>
    </row>
    <row r="15" spans="1:18" x14ac:dyDescent="0.25">
      <c r="A15" t="str">
        <f>TableGCDESIGN[[#This Row],[Study Package Code]]</f>
        <v>INDS5005</v>
      </c>
      <c r="B15" s="5">
        <f>TableGCDESIGN[[#This Row],[Ver]]</f>
        <v>3</v>
      </c>
      <c r="D15" t="str">
        <f>TableGCDESIGN[[#This Row],[Structure Line]]</f>
        <v>On-Country Learning, Exploring Indigenous Australian Knowledges</v>
      </c>
      <c r="E15" s="33">
        <f>TableGCDESIGN[[#This Row],[Credit Points]]</f>
        <v>25</v>
      </c>
      <c r="F15">
        <v>4</v>
      </c>
      <c r="G15" t="s">
        <v>68</v>
      </c>
      <c r="H15">
        <v>1</v>
      </c>
      <c r="I15" t="s">
        <v>214</v>
      </c>
      <c r="J15" t="s">
        <v>104</v>
      </c>
      <c r="K15">
        <v>3</v>
      </c>
      <c r="L15" t="s">
        <v>216</v>
      </c>
      <c r="M15">
        <v>25</v>
      </c>
      <c r="N15" s="72">
        <v>45108</v>
      </c>
      <c r="O15" s="72"/>
      <c r="Q15" t="s">
        <v>104</v>
      </c>
      <c r="R15">
        <v>3</v>
      </c>
    </row>
    <row r="16" spans="1:18" x14ac:dyDescent="0.25">
      <c r="A16" t="str">
        <f>TableGCDESIGN[[#This Row],[Study Package Code]]</f>
        <v>MKTG5006</v>
      </c>
      <c r="B16" s="5">
        <f>TableGCDESIGN[[#This Row],[Ver]]</f>
        <v>2</v>
      </c>
      <c r="D16" t="str">
        <f>TableGCDESIGN[[#This Row],[Structure Line]]</f>
        <v>Marketing Intelligence and Analytics</v>
      </c>
      <c r="E16" s="33">
        <f>TableGCDESIGN[[#This Row],[Credit Points]]</f>
        <v>25</v>
      </c>
      <c r="F16">
        <v>4</v>
      </c>
      <c r="G16" t="s">
        <v>68</v>
      </c>
      <c r="H16">
        <v>1</v>
      </c>
      <c r="I16" t="s">
        <v>214</v>
      </c>
      <c r="J16" t="s">
        <v>105</v>
      </c>
      <c r="K16">
        <v>2</v>
      </c>
      <c r="L16" t="s">
        <v>158</v>
      </c>
      <c r="M16">
        <v>25</v>
      </c>
      <c r="N16" s="72">
        <v>43466</v>
      </c>
      <c r="O16" s="72"/>
      <c r="Q16" t="s">
        <v>105</v>
      </c>
      <c r="R16">
        <v>2</v>
      </c>
    </row>
    <row r="17" spans="1:18" x14ac:dyDescent="0.25">
      <c r="A17" t="str">
        <f>TableGCDESIGN[[#This Row],[Study Package Code]]</f>
        <v>MKTG5007</v>
      </c>
      <c r="B17" s="5">
        <f>TableGCDESIGN[[#This Row],[Ver]]</f>
        <v>3</v>
      </c>
      <c r="D17" t="str">
        <f>TableGCDESIGN[[#This Row],[Structure Line]]</f>
        <v>Consumer Behaviour and Innovation</v>
      </c>
      <c r="E17" s="33">
        <f>TableGCDESIGN[[#This Row],[Credit Points]]</f>
        <v>25</v>
      </c>
      <c r="F17">
        <v>4</v>
      </c>
      <c r="G17" t="s">
        <v>68</v>
      </c>
      <c r="H17">
        <v>1</v>
      </c>
      <c r="I17" t="s">
        <v>214</v>
      </c>
      <c r="J17" t="s">
        <v>106</v>
      </c>
      <c r="K17">
        <v>3</v>
      </c>
      <c r="L17" t="s">
        <v>159</v>
      </c>
      <c r="M17">
        <v>25</v>
      </c>
      <c r="N17" s="72">
        <v>45658</v>
      </c>
      <c r="O17" s="72"/>
      <c r="Q17" t="s">
        <v>106</v>
      </c>
      <c r="R17">
        <v>2</v>
      </c>
    </row>
    <row r="18" spans="1:18" x14ac:dyDescent="0.25">
      <c r="A18" t="str">
        <f>TableGCDESIGN[[#This Row],[Study Package Code]]</f>
        <v>MKTG6006</v>
      </c>
      <c r="B18" s="5">
        <f>TableGCDESIGN[[#This Row],[Ver]]</f>
        <v>1</v>
      </c>
      <c r="D18" t="str">
        <f>TableGCDESIGN[[#This Row],[Structure Line]]</f>
        <v>Digital and Interactive Marketing</v>
      </c>
      <c r="E18" s="33">
        <f>TableGCDESIGN[[#This Row],[Credit Points]]</f>
        <v>25</v>
      </c>
      <c r="F18">
        <v>4</v>
      </c>
      <c r="G18" t="s">
        <v>68</v>
      </c>
      <c r="H18">
        <v>1</v>
      </c>
      <c r="I18" t="s">
        <v>214</v>
      </c>
      <c r="J18" t="s">
        <v>107</v>
      </c>
      <c r="K18">
        <v>1</v>
      </c>
      <c r="L18" t="s">
        <v>162</v>
      </c>
      <c r="M18">
        <v>25</v>
      </c>
      <c r="N18" s="72">
        <v>42005</v>
      </c>
      <c r="O18" s="72"/>
      <c r="Q18" t="s">
        <v>107</v>
      </c>
      <c r="R18">
        <v>1</v>
      </c>
    </row>
    <row r="19" spans="1:18" x14ac:dyDescent="0.25">
      <c r="A19" t="str">
        <f>TableGCDESIGN[[#This Row],[Study Package Code]]</f>
        <v>NETS5001</v>
      </c>
      <c r="B19" s="5">
        <f>TableGCDESIGN[[#This Row],[Ver]]</f>
        <v>3</v>
      </c>
      <c r="D19" t="str">
        <f>TableGCDESIGN[[#This Row],[Structure Line]]</f>
        <v>Graduate Digital Culture and Everyday Life</v>
      </c>
      <c r="E19" s="33">
        <f>TableGCDESIGN[[#This Row],[Credit Points]]</f>
        <v>25</v>
      </c>
      <c r="F19">
        <v>4</v>
      </c>
      <c r="G19" t="s">
        <v>68</v>
      </c>
      <c r="H19">
        <v>1</v>
      </c>
      <c r="I19" t="s">
        <v>214</v>
      </c>
      <c r="J19" t="s">
        <v>108</v>
      </c>
      <c r="K19">
        <v>3</v>
      </c>
      <c r="L19" t="s">
        <v>163</v>
      </c>
      <c r="M19">
        <v>25</v>
      </c>
      <c r="N19" s="72">
        <v>45658</v>
      </c>
      <c r="O19" s="72"/>
      <c r="Q19" t="s">
        <v>108</v>
      </c>
      <c r="R19">
        <v>2</v>
      </c>
    </row>
    <row r="20" spans="1:18" x14ac:dyDescent="0.25">
      <c r="A20" t="str">
        <f>TableGCDESIGN[[#This Row],[Study Package Code]]</f>
        <v>NETS5003</v>
      </c>
      <c r="B20" s="5">
        <f>TableGCDESIGN[[#This Row],[Ver]]</f>
        <v>4</v>
      </c>
      <c r="D20" t="str">
        <f>TableGCDESIGN[[#This Row],[Structure Line]]</f>
        <v>Graduate Online Power and Resistance</v>
      </c>
      <c r="E20" s="33">
        <f>TableGCDESIGN[[#This Row],[Credit Points]]</f>
        <v>25</v>
      </c>
      <c r="F20">
        <v>4</v>
      </c>
      <c r="G20" t="s">
        <v>68</v>
      </c>
      <c r="H20">
        <v>1</v>
      </c>
      <c r="I20" t="s">
        <v>214</v>
      </c>
      <c r="J20" t="s">
        <v>109</v>
      </c>
      <c r="K20">
        <v>4</v>
      </c>
      <c r="L20" t="s">
        <v>166</v>
      </c>
      <c r="M20">
        <v>25</v>
      </c>
      <c r="N20" s="72">
        <v>45658</v>
      </c>
      <c r="O20" s="72"/>
      <c r="Q20" t="s">
        <v>109</v>
      </c>
      <c r="R20">
        <v>3</v>
      </c>
    </row>
    <row r="21" spans="1:18" x14ac:dyDescent="0.25">
      <c r="A21" t="str">
        <f>TableGCDESIGN[[#This Row],[Study Package Code]]</f>
        <v>NETS5004</v>
      </c>
      <c r="B21" s="5">
        <f>TableGCDESIGN[[#This Row],[Ver]]</f>
        <v>3</v>
      </c>
      <c r="D21" t="str">
        <f>TableGCDESIGN[[#This Row],[Structure Line]]</f>
        <v>Graduate Social Media, Communities and Networks</v>
      </c>
      <c r="E21" s="33">
        <f>TableGCDESIGN[[#This Row],[Credit Points]]</f>
        <v>25</v>
      </c>
      <c r="F21">
        <v>4</v>
      </c>
      <c r="G21" t="s">
        <v>68</v>
      </c>
      <c r="H21">
        <v>1</v>
      </c>
      <c r="I21" t="s">
        <v>214</v>
      </c>
      <c r="J21" t="s">
        <v>110</v>
      </c>
      <c r="K21">
        <v>3</v>
      </c>
      <c r="L21" t="s">
        <v>169</v>
      </c>
      <c r="M21">
        <v>25</v>
      </c>
      <c r="N21" s="72">
        <v>45658</v>
      </c>
      <c r="O21" s="72"/>
      <c r="Q21" t="s">
        <v>110</v>
      </c>
      <c r="R21">
        <v>2</v>
      </c>
    </row>
    <row r="22" spans="1:18" x14ac:dyDescent="0.25">
      <c r="A22" t="str">
        <f>TableGCDESIGN[[#This Row],[Study Package Code]]</f>
        <v>NETS5005</v>
      </c>
      <c r="B22" s="5">
        <f>TableGCDESIGN[[#This Row],[Ver]]</f>
        <v>3</v>
      </c>
      <c r="D22" t="str">
        <f>TableGCDESIGN[[#This Row],[Structure Line]]</f>
        <v>Graduate Writing on the Web</v>
      </c>
      <c r="E22" s="33">
        <f>TableGCDESIGN[[#This Row],[Credit Points]]</f>
        <v>25</v>
      </c>
      <c r="F22">
        <v>4</v>
      </c>
      <c r="G22" t="s">
        <v>68</v>
      </c>
      <c r="H22">
        <v>1</v>
      </c>
      <c r="I22" t="s">
        <v>214</v>
      </c>
      <c r="J22" t="s">
        <v>111</v>
      </c>
      <c r="K22">
        <v>3</v>
      </c>
      <c r="L22" t="s">
        <v>172</v>
      </c>
      <c r="M22">
        <v>25</v>
      </c>
      <c r="N22" s="72">
        <v>45658</v>
      </c>
      <c r="O22" s="72"/>
      <c r="Q22" t="s">
        <v>111</v>
      </c>
      <c r="R22">
        <v>2</v>
      </c>
    </row>
    <row r="23" spans="1:18" x14ac:dyDescent="0.25">
      <c r="A23" t="str">
        <f>TableGCDESIGN[[#This Row],[Study Package Code]]</f>
        <v>NETS5006</v>
      </c>
      <c r="B23" s="5">
        <f>TableGCDESIGN[[#This Row],[Ver]]</f>
        <v>3</v>
      </c>
      <c r="D23" t="str">
        <f>TableGCDESIGN[[#This Row],[Structure Line]]</f>
        <v>Graduate The Digital Economy</v>
      </c>
      <c r="E23" s="33">
        <f>TableGCDESIGN[[#This Row],[Credit Points]]</f>
        <v>25</v>
      </c>
      <c r="F23">
        <v>4</v>
      </c>
      <c r="G23" t="s">
        <v>68</v>
      </c>
      <c r="H23">
        <v>1</v>
      </c>
      <c r="I23" t="s">
        <v>214</v>
      </c>
      <c r="J23" t="s">
        <v>112</v>
      </c>
      <c r="K23">
        <v>3</v>
      </c>
      <c r="L23" t="s">
        <v>175</v>
      </c>
      <c r="M23">
        <v>25</v>
      </c>
      <c r="N23" s="72">
        <v>45658</v>
      </c>
      <c r="O23" s="72"/>
      <c r="Q23" t="s">
        <v>112</v>
      </c>
      <c r="R23">
        <v>2</v>
      </c>
    </row>
    <row r="24" spans="1:18" x14ac:dyDescent="0.25">
      <c r="A24" t="str">
        <f>TableGCDESIGN[[#This Row],[Study Package Code]]</f>
        <v>NETS5007</v>
      </c>
      <c r="B24" s="5">
        <f>TableGCDESIGN[[#This Row],[Ver]]</f>
        <v>3</v>
      </c>
      <c r="D24" t="str">
        <f>TableGCDESIGN[[#This Row],[Structure Line]]</f>
        <v>Graduate Technology, Innovation and Societies</v>
      </c>
      <c r="E24" s="33">
        <f>TableGCDESIGN[[#This Row],[Credit Points]]</f>
        <v>25</v>
      </c>
      <c r="F24">
        <v>4</v>
      </c>
      <c r="G24" t="s">
        <v>68</v>
      </c>
      <c r="H24">
        <v>1</v>
      </c>
      <c r="I24" t="s">
        <v>214</v>
      </c>
      <c r="J24" t="s">
        <v>113</v>
      </c>
      <c r="K24">
        <v>3</v>
      </c>
      <c r="L24" t="s">
        <v>178</v>
      </c>
      <c r="M24">
        <v>25</v>
      </c>
      <c r="N24" s="72">
        <v>45658</v>
      </c>
      <c r="O24" s="72"/>
      <c r="Q24" t="s">
        <v>113</v>
      </c>
      <c r="R24">
        <v>2</v>
      </c>
    </row>
    <row r="25" spans="1:18" x14ac:dyDescent="0.25">
      <c r="A25" t="str">
        <f>TableGCDESIGN[[#This Row],[Study Package Code]]</f>
        <v>NETS5009</v>
      </c>
      <c r="B25" s="5">
        <f>TableGCDESIGN[[#This Row],[Ver]]</f>
        <v>4</v>
      </c>
      <c r="D25" t="str">
        <f>TableGCDESIGN[[#This Row],[Structure Line]]</f>
        <v>Graduate Digital Creation Capstone</v>
      </c>
      <c r="E25" s="33">
        <f>TableGCDESIGN[[#This Row],[Credit Points]]</f>
        <v>25</v>
      </c>
      <c r="F25">
        <v>4</v>
      </c>
      <c r="G25" t="s">
        <v>68</v>
      </c>
      <c r="H25">
        <v>1</v>
      </c>
      <c r="I25" t="s">
        <v>214</v>
      </c>
      <c r="J25" t="s">
        <v>114</v>
      </c>
      <c r="K25">
        <v>4</v>
      </c>
      <c r="L25" t="s">
        <v>181</v>
      </c>
      <c r="M25">
        <v>25</v>
      </c>
      <c r="N25" s="72">
        <v>45658</v>
      </c>
      <c r="O25" s="72"/>
      <c r="Q25" t="s">
        <v>114</v>
      </c>
      <c r="R25">
        <v>3</v>
      </c>
    </row>
    <row r="26" spans="1:18" x14ac:dyDescent="0.25">
      <c r="A26" t="str">
        <f>TableGCDESIGN[[#This Row],[Study Package Code]]</f>
        <v>NETS5010</v>
      </c>
      <c r="B26" s="5">
        <f>TableGCDESIGN[[#This Row],[Ver]]</f>
        <v>2</v>
      </c>
      <c r="D26" t="str">
        <f>TableGCDESIGN[[#This Row],[Structure Line]]</f>
        <v>Graduate Web Media</v>
      </c>
      <c r="E26" s="33">
        <f>TableGCDESIGN[[#This Row],[Credit Points]]</f>
        <v>25</v>
      </c>
      <c r="F26">
        <v>4</v>
      </c>
      <c r="G26" t="s">
        <v>68</v>
      </c>
      <c r="H26">
        <v>1</v>
      </c>
      <c r="I26" t="s">
        <v>214</v>
      </c>
      <c r="J26" t="s">
        <v>115</v>
      </c>
      <c r="K26">
        <v>2</v>
      </c>
      <c r="L26" t="s">
        <v>184</v>
      </c>
      <c r="M26">
        <v>25</v>
      </c>
      <c r="N26" s="72">
        <v>45658</v>
      </c>
      <c r="O26" s="72"/>
      <c r="Q26" t="s">
        <v>115</v>
      </c>
      <c r="R26">
        <v>1</v>
      </c>
    </row>
    <row r="27" spans="1:18" x14ac:dyDescent="0.25">
      <c r="A27" t="str">
        <f>TableGCDESIGN[[#This Row],[Study Package Code]]</f>
        <v>NETS5011</v>
      </c>
      <c r="B27" s="5">
        <f>TableGCDESIGN[[#This Row],[Ver]]</f>
        <v>4</v>
      </c>
      <c r="D27" t="str">
        <f>TableGCDESIGN[[#This Row],[Structure Line]]</f>
        <v>Graduate Online Games and Play</v>
      </c>
      <c r="E27" s="33">
        <f>TableGCDESIGN[[#This Row],[Credit Points]]</f>
        <v>25</v>
      </c>
      <c r="F27">
        <v>4</v>
      </c>
      <c r="G27" t="s">
        <v>68</v>
      </c>
      <c r="H27">
        <v>1</v>
      </c>
      <c r="I27" t="s">
        <v>214</v>
      </c>
      <c r="J27" t="s">
        <v>116</v>
      </c>
      <c r="K27">
        <v>4</v>
      </c>
      <c r="L27" t="s">
        <v>187</v>
      </c>
      <c r="M27">
        <v>25</v>
      </c>
      <c r="N27" s="72">
        <v>45658</v>
      </c>
      <c r="O27" s="72"/>
      <c r="Q27" t="s">
        <v>116</v>
      </c>
      <c r="R27">
        <v>3</v>
      </c>
    </row>
    <row r="28" spans="1:18" x14ac:dyDescent="0.25">
      <c r="A28" t="str">
        <f>TableGCDESIGN[[#This Row],[Study Package Code]]</f>
        <v>PRJM6000</v>
      </c>
      <c r="B28" s="5">
        <f>TableGCDESIGN[[#This Row],[Ver]]</f>
        <v>1</v>
      </c>
      <c r="D28" t="str">
        <f>TableGCDESIGN[[#This Row],[Structure Line]]</f>
        <v>Project Management Overview</v>
      </c>
      <c r="E28" s="33">
        <f>TableGCDESIGN[[#This Row],[Credit Points]]</f>
        <v>25</v>
      </c>
      <c r="F28">
        <v>4</v>
      </c>
      <c r="G28" t="s">
        <v>68</v>
      </c>
      <c r="H28">
        <v>1</v>
      </c>
      <c r="I28" t="s">
        <v>214</v>
      </c>
      <c r="J28" t="s">
        <v>117</v>
      </c>
      <c r="K28">
        <v>1</v>
      </c>
      <c r="L28" t="s">
        <v>193</v>
      </c>
      <c r="M28">
        <v>25</v>
      </c>
      <c r="N28" s="72">
        <v>42005</v>
      </c>
      <c r="O28" s="72"/>
      <c r="Q28" t="s">
        <v>117</v>
      </c>
      <c r="R28">
        <v>1</v>
      </c>
    </row>
    <row r="29" spans="1:18" x14ac:dyDescent="0.25">
      <c r="A29" t="str">
        <f>TableGCDESIGN[[#This Row],[Study Package Code]]</f>
        <v>PRJM6001</v>
      </c>
      <c r="B29" s="5">
        <f>TableGCDESIGN[[#This Row],[Ver]]</f>
        <v>1</v>
      </c>
      <c r="D29" t="str">
        <f>TableGCDESIGN[[#This Row],[Structure Line]]</f>
        <v>Project Cost Management</v>
      </c>
      <c r="E29" s="33">
        <f>TableGCDESIGN[[#This Row],[Credit Points]]</f>
        <v>25</v>
      </c>
      <c r="F29">
        <v>4</v>
      </c>
      <c r="G29" t="s">
        <v>68</v>
      </c>
      <c r="H29">
        <v>1</v>
      </c>
      <c r="I29" t="s">
        <v>214</v>
      </c>
      <c r="J29" t="s">
        <v>118</v>
      </c>
      <c r="K29">
        <v>1</v>
      </c>
      <c r="L29" t="s">
        <v>194</v>
      </c>
      <c r="M29">
        <v>25</v>
      </c>
      <c r="N29" s="72">
        <v>42005</v>
      </c>
      <c r="O29" s="72"/>
      <c r="Q29" t="s">
        <v>118</v>
      </c>
      <c r="R29">
        <v>1</v>
      </c>
    </row>
    <row r="30" spans="1:18" x14ac:dyDescent="0.25">
      <c r="A30" t="str">
        <f>TableGCDESIGN[[#This Row],[Study Package Code]]</f>
        <v>PRJM6010</v>
      </c>
      <c r="B30" s="5">
        <f>TableGCDESIGN[[#This Row],[Ver]]</f>
        <v>1</v>
      </c>
      <c r="D30" t="str">
        <f>TableGCDESIGN[[#This Row],[Structure Line]]</f>
        <v>Project and People</v>
      </c>
      <c r="E30" s="33">
        <f>TableGCDESIGN[[#This Row],[Credit Points]]</f>
        <v>25</v>
      </c>
      <c r="F30">
        <v>4</v>
      </c>
      <c r="G30" t="s">
        <v>68</v>
      </c>
      <c r="H30">
        <v>1</v>
      </c>
      <c r="I30" t="s">
        <v>214</v>
      </c>
      <c r="J30" t="s">
        <v>119</v>
      </c>
      <c r="K30">
        <v>1</v>
      </c>
      <c r="L30" t="s">
        <v>195</v>
      </c>
      <c r="M30">
        <v>25</v>
      </c>
      <c r="N30" s="72">
        <v>42005</v>
      </c>
      <c r="O30" s="72"/>
      <c r="Q30" t="s">
        <v>119</v>
      </c>
      <c r="R30">
        <v>1</v>
      </c>
    </row>
    <row r="31" spans="1:18" x14ac:dyDescent="0.25">
      <c r="A31" t="str">
        <f>TableGCDESIGN[[#This Row],[Study Package Code]]</f>
        <v>PUBH6003</v>
      </c>
      <c r="B31" s="5">
        <f>TableGCDESIGN[[#This Row],[Ver]]</f>
        <v>2</v>
      </c>
      <c r="D31" t="str">
        <f>TableGCDESIGN[[#This Row],[Structure Line]]</f>
        <v>Health Policy and Decision Making</v>
      </c>
      <c r="E31" s="33">
        <f>TableGCDESIGN[[#This Row],[Credit Points]]</f>
        <v>25</v>
      </c>
      <c r="F31">
        <v>4</v>
      </c>
      <c r="G31" t="s">
        <v>68</v>
      </c>
      <c r="H31">
        <v>1</v>
      </c>
      <c r="I31" t="s">
        <v>214</v>
      </c>
      <c r="J31" t="s">
        <v>120</v>
      </c>
      <c r="K31">
        <v>2</v>
      </c>
      <c r="L31" t="s">
        <v>196</v>
      </c>
      <c r="M31">
        <v>25</v>
      </c>
      <c r="N31" s="72">
        <v>42736</v>
      </c>
      <c r="O31" s="72"/>
      <c r="Q31" t="s">
        <v>120</v>
      </c>
      <c r="R31">
        <v>2</v>
      </c>
    </row>
    <row r="32" spans="1:18" x14ac:dyDescent="0.25">
      <c r="A32" t="str">
        <f>TableGCDESIGN[[#This Row],[Study Package Code]]</f>
        <v>SUST5005</v>
      </c>
      <c r="B32" s="5">
        <f>TableGCDESIGN[[#This Row],[Ver]]</f>
        <v>2</v>
      </c>
      <c r="D32" t="str">
        <f>TableGCDESIGN[[#This Row],[Structure Line]]</f>
        <v>Future Cities</v>
      </c>
      <c r="E32" s="33">
        <f>TableGCDESIGN[[#This Row],[Credit Points]]</f>
        <v>25</v>
      </c>
      <c r="F32">
        <v>4</v>
      </c>
      <c r="G32" t="s">
        <v>68</v>
      </c>
      <c r="H32">
        <v>1</v>
      </c>
      <c r="I32" t="s">
        <v>214</v>
      </c>
      <c r="J32" t="s">
        <v>121</v>
      </c>
      <c r="K32">
        <v>2</v>
      </c>
      <c r="L32" t="s">
        <v>197</v>
      </c>
      <c r="M32">
        <v>25</v>
      </c>
      <c r="N32" s="72">
        <v>43831</v>
      </c>
      <c r="O32" s="72"/>
      <c r="Q32" t="s">
        <v>121</v>
      </c>
      <c r="R32">
        <v>2</v>
      </c>
    </row>
    <row r="33" spans="1:18" x14ac:dyDescent="0.25">
      <c r="A33">
        <f>TableGCDESIGN[[#This Row],[Study Package Code]]</f>
        <v>0</v>
      </c>
      <c r="B33" s="5">
        <f>TableGCDESIGN[[#This Row],[Ver]]</f>
        <v>0</v>
      </c>
      <c r="D33">
        <f>TableGCDESIGN[[#This Row],[Structure Line]]</f>
        <v>0</v>
      </c>
      <c r="E33" s="33">
        <f>TableGCDESIGN[[#This Row],[Credit Points]]</f>
        <v>0</v>
      </c>
      <c r="N33" s="72"/>
      <c r="O33" s="72"/>
      <c r="Q33" t="s">
        <v>217</v>
      </c>
      <c r="R33">
        <v>3</v>
      </c>
    </row>
    <row r="34" spans="1:18" x14ac:dyDescent="0.25">
      <c r="A34">
        <f>TableGCDESIGN[[#This Row],[Study Package Code]]</f>
        <v>0</v>
      </c>
      <c r="B34" s="5">
        <f>TableGCDESIGN[[#This Row],[Ver]]</f>
        <v>0</v>
      </c>
      <c r="D34">
        <f>TableGCDESIGN[[#This Row],[Structure Line]]</f>
        <v>0</v>
      </c>
      <c r="E34" s="33">
        <f>TableGCDESIGN[[#This Row],[Credit Points]]</f>
        <v>0</v>
      </c>
      <c r="N34" s="72"/>
      <c r="O34" s="72"/>
      <c r="Q34" t="s">
        <v>218</v>
      </c>
      <c r="R34">
        <v>1</v>
      </c>
    </row>
    <row r="35" spans="1:18" x14ac:dyDescent="0.25">
      <c r="A35">
        <f>TableGCDESIGN[[#This Row],[Study Package Code]]</f>
        <v>0</v>
      </c>
      <c r="B35" s="5">
        <f>TableGCDESIGN[[#This Row],[Ver]]</f>
        <v>0</v>
      </c>
      <c r="D35">
        <f>TableGCDESIGN[[#This Row],[Structure Line]]</f>
        <v>0</v>
      </c>
      <c r="E35" s="33">
        <f>TableGCDESIGN[[#This Row],[Credit Points]]</f>
        <v>0</v>
      </c>
      <c r="N35" s="72"/>
      <c r="O35" s="72"/>
      <c r="Q35" t="s">
        <v>219</v>
      </c>
      <c r="R35">
        <v>4</v>
      </c>
    </row>
    <row r="36" spans="1:18" x14ac:dyDescent="0.25">
      <c r="A36">
        <f>TableGCDESIGN[[#This Row],[Study Package Code]]</f>
        <v>0</v>
      </c>
      <c r="B36" s="5">
        <f>TableGCDESIGN[[#This Row],[Ver]]</f>
        <v>0</v>
      </c>
      <c r="D36">
        <f>TableGCDESIGN[[#This Row],[Structure Line]]</f>
        <v>0</v>
      </c>
      <c r="E36" s="33">
        <f>TableGCDESIGN[[#This Row],[Credit Points]]</f>
        <v>0</v>
      </c>
      <c r="N36" s="72"/>
      <c r="O36" s="72"/>
      <c r="Q36" t="s">
        <v>220</v>
      </c>
      <c r="R36">
        <v>3</v>
      </c>
    </row>
    <row r="37" spans="1:18" x14ac:dyDescent="0.25">
      <c r="A37">
        <f>TableGCDESIGN[[#This Row],[Study Package Code]]</f>
        <v>0</v>
      </c>
      <c r="B37" s="5">
        <f>TableGCDESIGN[[#This Row],[Ver]]</f>
        <v>0</v>
      </c>
      <c r="D37">
        <f>TableGCDESIGN[[#This Row],[Structure Line]]</f>
        <v>0</v>
      </c>
      <c r="E37" s="33">
        <f>TableGCDESIGN[[#This Row],[Credit Points]]</f>
        <v>0</v>
      </c>
      <c r="N37" s="72"/>
      <c r="O37" s="72"/>
      <c r="Q37" t="s">
        <v>221</v>
      </c>
      <c r="R37">
        <v>2</v>
      </c>
    </row>
    <row r="38" spans="1:18" x14ac:dyDescent="0.25">
      <c r="A38">
        <f>TableGCDESIGN[[#This Row],[Study Package Code]]</f>
        <v>0</v>
      </c>
      <c r="B38" s="5">
        <f>TableGCDESIGN[[#This Row],[Ver]]</f>
        <v>0</v>
      </c>
      <c r="D38">
        <f>TableGCDESIGN[[#This Row],[Structure Line]]</f>
        <v>0</v>
      </c>
      <c r="E38" s="33">
        <f>TableGCDESIGN[[#This Row],[Credit Points]]</f>
        <v>0</v>
      </c>
      <c r="N38" s="72"/>
      <c r="O38" s="72"/>
      <c r="Q38" t="s">
        <v>222</v>
      </c>
      <c r="R38">
        <v>1</v>
      </c>
    </row>
    <row r="39" spans="1:18" x14ac:dyDescent="0.25">
      <c r="N39" s="72"/>
      <c r="O39" s="72"/>
    </row>
    <row r="40" spans="1:18" x14ac:dyDescent="0.25">
      <c r="B40"/>
      <c r="E40"/>
      <c r="F40" s="31"/>
      <c r="G40" s="32" t="s">
        <v>200</v>
      </c>
      <c r="H40" s="94">
        <v>44197</v>
      </c>
      <c r="I40" s="31"/>
      <c r="J40" s="95" t="s">
        <v>60</v>
      </c>
      <c r="K40" s="96" t="s">
        <v>54</v>
      </c>
      <c r="L40" s="31" t="s">
        <v>59</v>
      </c>
      <c r="M40" s="31"/>
      <c r="N40" s="79" t="s">
        <v>201</v>
      </c>
      <c r="O40" s="80">
        <v>45573</v>
      </c>
    </row>
    <row r="41" spans="1:18" x14ac:dyDescent="0.25">
      <c r="A41" t="s">
        <v>0</v>
      </c>
      <c r="B41" s="5" t="s">
        <v>202</v>
      </c>
      <c r="C41" t="s">
        <v>203</v>
      </c>
      <c r="D41" t="s">
        <v>3</v>
      </c>
      <c r="E41" s="33" t="s">
        <v>204</v>
      </c>
      <c r="F41" t="s">
        <v>205</v>
      </c>
      <c r="G41" t="s">
        <v>206</v>
      </c>
      <c r="H41" t="s">
        <v>207</v>
      </c>
      <c r="I41" t="s">
        <v>18</v>
      </c>
      <c r="J41" t="s">
        <v>208</v>
      </c>
      <c r="K41" t="s">
        <v>1</v>
      </c>
      <c r="L41" t="s">
        <v>209</v>
      </c>
      <c r="M41" t="s">
        <v>45</v>
      </c>
      <c r="N41" t="s">
        <v>210</v>
      </c>
      <c r="O41" t="s">
        <v>211</v>
      </c>
      <c r="Q41" t="s">
        <v>212</v>
      </c>
      <c r="R41" t="s">
        <v>1</v>
      </c>
    </row>
    <row r="42" spans="1:18" x14ac:dyDescent="0.25">
      <c r="A42" t="str">
        <f>TableGDDESIGN[[#This Row],[Study Package Code]]</f>
        <v>GRDE5009</v>
      </c>
      <c r="B42" s="5">
        <f>TableGDDESIGN[[#This Row],[Ver]]</f>
        <v>1</v>
      </c>
      <c r="D42" t="str">
        <f>TableGDDESIGN[[#This Row],[Structure Line]]</f>
        <v>Ethical Design</v>
      </c>
      <c r="E42" s="33">
        <f>TableGDDESIGN[[#This Row],[Credit Points]]</f>
        <v>25</v>
      </c>
      <c r="F42">
        <v>1</v>
      </c>
      <c r="G42" t="s">
        <v>213</v>
      </c>
      <c r="H42">
        <v>1</v>
      </c>
      <c r="I42" t="s">
        <v>214</v>
      </c>
      <c r="J42" t="s">
        <v>48</v>
      </c>
      <c r="K42">
        <v>1</v>
      </c>
      <c r="L42" t="s">
        <v>140</v>
      </c>
      <c r="M42">
        <v>25</v>
      </c>
      <c r="N42" s="72">
        <v>44197</v>
      </c>
      <c r="O42" s="72"/>
      <c r="Q42" t="s">
        <v>48</v>
      </c>
      <c r="R42">
        <v>1</v>
      </c>
    </row>
    <row r="43" spans="1:18" x14ac:dyDescent="0.25">
      <c r="A43" t="str">
        <f>TableGDDESIGN[[#This Row],[Study Package Code]]</f>
        <v>GRDE5010</v>
      </c>
      <c r="B43" s="5">
        <f>TableGDDESIGN[[#This Row],[Ver]]</f>
        <v>1</v>
      </c>
      <c r="D43" t="str">
        <f>TableGDDESIGN[[#This Row],[Structure Line]]</f>
        <v>Experience Making</v>
      </c>
      <c r="E43" s="33">
        <f>TableGDDESIGN[[#This Row],[Credit Points]]</f>
        <v>25</v>
      </c>
      <c r="F43">
        <v>2</v>
      </c>
      <c r="G43" t="s">
        <v>213</v>
      </c>
      <c r="H43">
        <v>1</v>
      </c>
      <c r="I43" t="s">
        <v>214</v>
      </c>
      <c r="J43" t="s">
        <v>57</v>
      </c>
      <c r="K43">
        <v>1</v>
      </c>
      <c r="L43" t="s">
        <v>141</v>
      </c>
      <c r="M43">
        <v>25</v>
      </c>
      <c r="N43" s="72">
        <v>44197</v>
      </c>
      <c r="O43" s="72"/>
      <c r="Q43" t="s">
        <v>57</v>
      </c>
      <c r="R43">
        <v>1</v>
      </c>
    </row>
    <row r="44" spans="1:18" x14ac:dyDescent="0.25">
      <c r="A44" t="str">
        <f>TableGDDESIGN[[#This Row],[Study Package Code]]</f>
        <v>GRDE5008</v>
      </c>
      <c r="B44" s="5">
        <f>TableGDDESIGN[[#This Row],[Ver]]</f>
        <v>1</v>
      </c>
      <c r="D44" t="str">
        <f>TableGDDESIGN[[#This Row],[Structure Line]]</f>
        <v>Innovation by Design</v>
      </c>
      <c r="E44" s="33">
        <f>TableGDDESIGN[[#This Row],[Credit Points]]</f>
        <v>25</v>
      </c>
      <c r="F44">
        <v>3</v>
      </c>
      <c r="G44" t="s">
        <v>213</v>
      </c>
      <c r="H44">
        <v>1</v>
      </c>
      <c r="I44" t="s">
        <v>214</v>
      </c>
      <c r="J44" t="s">
        <v>63</v>
      </c>
      <c r="K44">
        <v>1</v>
      </c>
      <c r="L44" t="s">
        <v>139</v>
      </c>
      <c r="M44">
        <v>25</v>
      </c>
      <c r="N44" s="72">
        <v>44197</v>
      </c>
      <c r="O44" s="72"/>
      <c r="Q44" t="s">
        <v>63</v>
      </c>
      <c r="R44">
        <v>1</v>
      </c>
    </row>
    <row r="45" spans="1:18" x14ac:dyDescent="0.25">
      <c r="A45" t="str">
        <f>TableGDDESIGN[[#This Row],[Study Package Code]]</f>
        <v>Option</v>
      </c>
      <c r="B45" s="5">
        <f>TableGDDESIGN[[#This Row],[Ver]]</f>
        <v>0</v>
      </c>
      <c r="D45" t="str">
        <f>TableGDDESIGN[[#This Row],[Structure Line]]</f>
        <v>Choose an Option</v>
      </c>
      <c r="E45" s="33">
        <f>TableGDDESIGN[[#This Row],[Credit Points]]</f>
        <v>25</v>
      </c>
      <c r="F45">
        <v>4</v>
      </c>
      <c r="G45" t="s">
        <v>68</v>
      </c>
      <c r="H45">
        <v>1</v>
      </c>
      <c r="I45" t="s">
        <v>214</v>
      </c>
      <c r="J45" t="s">
        <v>68</v>
      </c>
      <c r="K45">
        <v>0</v>
      </c>
      <c r="L45" t="s">
        <v>215</v>
      </c>
      <c r="M45">
        <v>25</v>
      </c>
      <c r="N45" s="72"/>
      <c r="O45" s="72"/>
      <c r="Q45" t="s">
        <v>68</v>
      </c>
      <c r="R45">
        <v>0</v>
      </c>
    </row>
    <row r="46" spans="1:18" x14ac:dyDescent="0.25">
      <c r="A46" t="str">
        <f>TableGDDESIGN[[#This Row],[Study Package Code]]</f>
        <v>GRDE5013</v>
      </c>
      <c r="B46" s="5">
        <f>TableGDDESIGN[[#This Row],[Ver]]</f>
        <v>1</v>
      </c>
      <c r="D46" t="str">
        <f>TableGDDESIGN[[#This Row],[Structure Line]]</f>
        <v>Design Entrepreneurship</v>
      </c>
      <c r="E46" s="33">
        <f>TableGDDESIGN[[#This Row],[Credit Points]]</f>
        <v>25</v>
      </c>
      <c r="F46">
        <v>5</v>
      </c>
      <c r="G46" t="s">
        <v>213</v>
      </c>
      <c r="H46">
        <v>1</v>
      </c>
      <c r="I46" t="s">
        <v>223</v>
      </c>
      <c r="J46" t="s">
        <v>51</v>
      </c>
      <c r="K46">
        <v>1</v>
      </c>
      <c r="L46" t="s">
        <v>143</v>
      </c>
      <c r="M46">
        <v>25</v>
      </c>
      <c r="N46" s="72">
        <v>44197</v>
      </c>
      <c r="O46" s="72"/>
      <c r="Q46" t="s">
        <v>51</v>
      </c>
      <c r="R46">
        <v>1</v>
      </c>
    </row>
    <row r="47" spans="1:18" x14ac:dyDescent="0.25">
      <c r="A47" t="str">
        <f>TableGDDESIGN[[#This Row],[Study Package Code]]</f>
        <v>GRDE5012</v>
      </c>
      <c r="B47" s="5">
        <f>TableGDDESIGN[[#This Row],[Ver]]</f>
        <v>1</v>
      </c>
      <c r="D47" t="str">
        <f>TableGDDESIGN[[#This Row],[Structure Line]]</f>
        <v>Design Paradigms</v>
      </c>
      <c r="E47" s="33">
        <f>TableGDDESIGN[[#This Row],[Credit Points]]</f>
        <v>25</v>
      </c>
      <c r="F47">
        <v>6</v>
      </c>
      <c r="G47" t="s">
        <v>213</v>
      </c>
      <c r="H47">
        <v>1</v>
      </c>
      <c r="I47" t="s">
        <v>223</v>
      </c>
      <c r="J47" t="s">
        <v>58</v>
      </c>
      <c r="K47">
        <v>1</v>
      </c>
      <c r="L47" t="s">
        <v>142</v>
      </c>
      <c r="M47">
        <v>25</v>
      </c>
      <c r="N47" s="72">
        <v>44197</v>
      </c>
      <c r="O47" s="72"/>
      <c r="Q47" t="s">
        <v>58</v>
      </c>
      <c r="R47">
        <v>1</v>
      </c>
    </row>
    <row r="48" spans="1:18" x14ac:dyDescent="0.25">
      <c r="A48" t="str">
        <f>TableGDDESIGN[[#This Row],[Study Package Code]]</f>
        <v>GRDE5014</v>
      </c>
      <c r="B48" s="5">
        <f>TableGDDESIGN[[#This Row],[Ver]]</f>
        <v>1</v>
      </c>
      <c r="D48" t="str">
        <f>TableGDDESIGN[[#This Row],[Structure Line]]</f>
        <v>Future Interfaces</v>
      </c>
      <c r="E48" s="33">
        <f>TableGDDESIGN[[#This Row],[Credit Points]]</f>
        <v>25</v>
      </c>
      <c r="F48">
        <v>7</v>
      </c>
      <c r="G48" t="s">
        <v>213</v>
      </c>
      <c r="H48">
        <v>1</v>
      </c>
      <c r="I48" t="s">
        <v>223</v>
      </c>
      <c r="J48" t="s">
        <v>64</v>
      </c>
      <c r="K48">
        <v>1</v>
      </c>
      <c r="L48" t="s">
        <v>144</v>
      </c>
      <c r="M48">
        <v>25</v>
      </c>
      <c r="N48" s="72">
        <v>44197</v>
      </c>
      <c r="O48" s="72"/>
      <c r="Q48" t="s">
        <v>64</v>
      </c>
      <c r="R48">
        <v>1</v>
      </c>
    </row>
    <row r="49" spans="1:18" x14ac:dyDescent="0.25">
      <c r="A49" t="str">
        <f>TableGDDESIGN[[#This Row],[Study Package Code]]</f>
        <v>Option</v>
      </c>
      <c r="B49" s="5">
        <f>TableGDDESIGN[[#This Row],[Ver]]</f>
        <v>0</v>
      </c>
      <c r="D49" t="str">
        <f>TableGDDESIGN[[#This Row],[Structure Line]]</f>
        <v>Choose an Option</v>
      </c>
      <c r="E49" s="33">
        <f>TableGDDESIGN[[#This Row],[Credit Points]]</f>
        <v>25</v>
      </c>
      <c r="F49">
        <v>8</v>
      </c>
      <c r="G49" t="s">
        <v>68</v>
      </c>
      <c r="H49">
        <v>1</v>
      </c>
      <c r="I49" t="s">
        <v>223</v>
      </c>
      <c r="J49" t="s">
        <v>68</v>
      </c>
      <c r="K49">
        <v>0</v>
      </c>
      <c r="L49" t="s">
        <v>215</v>
      </c>
      <c r="M49">
        <v>25</v>
      </c>
      <c r="N49" s="72"/>
      <c r="O49" s="72"/>
      <c r="Q49" t="s">
        <v>68</v>
      </c>
      <c r="R49">
        <v>0</v>
      </c>
    </row>
    <row r="50" spans="1:18" x14ac:dyDescent="0.25">
      <c r="A50" t="str">
        <f>TableGDDESIGN[[#This Row],[Study Package Code]]</f>
        <v>ARCH5006</v>
      </c>
      <c r="B50" s="5">
        <f>TableGDDESIGN[[#This Row],[Ver]]</f>
        <v>3</v>
      </c>
      <c r="D50" t="str">
        <f>TableGDDESIGN[[#This Row],[Structure Line]]</f>
        <v>Architecture and Culture Research Topics and Methods</v>
      </c>
      <c r="E50" s="33">
        <f>TableGDDESIGN[[#This Row],[Credit Points]]</f>
        <v>25</v>
      </c>
      <c r="G50" t="s">
        <v>68</v>
      </c>
      <c r="H50">
        <v>1</v>
      </c>
      <c r="J50" t="s">
        <v>93</v>
      </c>
      <c r="K50">
        <v>3</v>
      </c>
      <c r="L50" t="s">
        <v>133</v>
      </c>
      <c r="M50">
        <v>25</v>
      </c>
      <c r="N50" s="72">
        <v>45108</v>
      </c>
      <c r="O50" s="72"/>
      <c r="Q50" t="s">
        <v>93</v>
      </c>
      <c r="R50">
        <v>3</v>
      </c>
    </row>
    <row r="51" spans="1:18" x14ac:dyDescent="0.25">
      <c r="A51" t="str">
        <f>TableGDDESIGN[[#This Row],[Study Package Code]]</f>
        <v>ARCH5009</v>
      </c>
      <c r="B51" s="5">
        <f>TableGDDESIGN[[#This Row],[Ver]]</f>
        <v>2</v>
      </c>
      <c r="D51" t="str">
        <f>TableGDDESIGN[[#This Row],[Structure Line]]</f>
        <v>Architecture and Culture Research Applications</v>
      </c>
      <c r="E51" s="33">
        <f>TableGDDESIGN[[#This Row],[Credit Points]]</f>
        <v>25</v>
      </c>
      <c r="G51" t="s">
        <v>68</v>
      </c>
      <c r="H51">
        <v>1</v>
      </c>
      <c r="J51" t="s">
        <v>122</v>
      </c>
      <c r="K51">
        <v>2</v>
      </c>
      <c r="L51" t="s">
        <v>135</v>
      </c>
      <c r="M51">
        <v>25</v>
      </c>
      <c r="N51" s="72">
        <v>43101</v>
      </c>
      <c r="O51" s="72"/>
      <c r="Q51" t="s">
        <v>122</v>
      </c>
      <c r="R51">
        <v>2</v>
      </c>
    </row>
    <row r="52" spans="1:18" x14ac:dyDescent="0.25">
      <c r="A52" t="str">
        <f>TableGDDESIGN[[#This Row],[Study Package Code]]</f>
        <v>ENGR6005</v>
      </c>
      <c r="B52" s="5">
        <f>TableGDDESIGN[[#This Row],[Ver]]</f>
        <v>2</v>
      </c>
      <c r="D52" t="str">
        <f>TableGDDESIGN[[#This Row],[Structure Line]]</f>
        <v>New Product Development</v>
      </c>
      <c r="E52" s="33">
        <f>TableGDDESIGN[[#This Row],[Credit Points]]</f>
        <v>25</v>
      </c>
      <c r="G52" t="s">
        <v>68</v>
      </c>
      <c r="H52">
        <v>1</v>
      </c>
      <c r="J52" t="s">
        <v>96</v>
      </c>
      <c r="K52">
        <v>2</v>
      </c>
      <c r="L52" t="s">
        <v>137</v>
      </c>
      <c r="M52">
        <v>25</v>
      </c>
      <c r="N52" s="72">
        <v>43831</v>
      </c>
      <c r="O52" s="72"/>
      <c r="Q52" t="s">
        <v>96</v>
      </c>
      <c r="R52">
        <v>2</v>
      </c>
    </row>
    <row r="53" spans="1:18" x14ac:dyDescent="0.25">
      <c r="A53" t="str">
        <f>TableGDDESIGN[[#This Row],[Study Package Code]]</f>
        <v>GEOG5005</v>
      </c>
      <c r="B53" s="5">
        <f>TableGDDESIGN[[#This Row],[Ver]]</f>
        <v>1</v>
      </c>
      <c r="D53" t="str">
        <f>TableGDDESIGN[[#This Row],[Structure Line]]</f>
        <v>Human Geography</v>
      </c>
      <c r="E53" s="33">
        <f>TableGDDESIGN[[#This Row],[Credit Points]]</f>
        <v>25</v>
      </c>
      <c r="G53" t="s">
        <v>68</v>
      </c>
      <c r="H53">
        <v>1</v>
      </c>
      <c r="J53" t="s">
        <v>99</v>
      </c>
      <c r="K53">
        <v>1</v>
      </c>
      <c r="L53" t="s">
        <v>138</v>
      </c>
      <c r="M53">
        <v>25</v>
      </c>
      <c r="N53" s="72">
        <v>42736</v>
      </c>
      <c r="O53" s="72"/>
      <c r="Q53" t="s">
        <v>99</v>
      </c>
      <c r="R53">
        <v>1</v>
      </c>
    </row>
    <row r="54" spans="1:18" x14ac:dyDescent="0.25">
      <c r="A54" t="str">
        <f>TableGDDESIGN[[#This Row],[Study Package Code]]</f>
        <v>HLPR6001</v>
      </c>
      <c r="B54" s="5">
        <f>TableGDDESIGN[[#This Row],[Ver]]</f>
        <v>1</v>
      </c>
      <c r="D54" t="str">
        <f>TableGDDESIGN[[#This Row],[Structure Line]]</f>
        <v>Health Promotion Strategies and Methods</v>
      </c>
      <c r="E54" s="33">
        <f>TableGDDESIGN[[#This Row],[Credit Points]]</f>
        <v>25</v>
      </c>
      <c r="G54" t="s">
        <v>68</v>
      </c>
      <c r="H54">
        <v>1</v>
      </c>
      <c r="J54" t="s">
        <v>101</v>
      </c>
      <c r="K54">
        <v>1</v>
      </c>
      <c r="L54" t="s">
        <v>151</v>
      </c>
      <c r="M54">
        <v>25</v>
      </c>
      <c r="N54" s="72">
        <v>42005</v>
      </c>
      <c r="O54" s="72"/>
      <c r="Q54" t="s">
        <v>101</v>
      </c>
      <c r="R54">
        <v>1</v>
      </c>
    </row>
    <row r="55" spans="1:18" x14ac:dyDescent="0.25">
      <c r="A55" t="str">
        <f>TableGDDESIGN[[#This Row],[Study Package Code]]</f>
        <v>HLPR6004</v>
      </c>
      <c r="B55" s="5">
        <f>TableGDDESIGN[[#This Row],[Ver]]</f>
        <v>1</v>
      </c>
      <c r="D55" t="str">
        <f>TableGDDESIGN[[#This Row],[Structure Line]]</f>
        <v>Diversity and Difference in Health Promotion</v>
      </c>
      <c r="E55" s="33">
        <f>TableGDDESIGN[[#This Row],[Credit Points]]</f>
        <v>25</v>
      </c>
      <c r="G55" t="s">
        <v>68</v>
      </c>
      <c r="H55">
        <v>1</v>
      </c>
      <c r="J55" t="s">
        <v>123</v>
      </c>
      <c r="K55">
        <v>1</v>
      </c>
      <c r="L55" t="s">
        <v>152</v>
      </c>
      <c r="M55">
        <v>25</v>
      </c>
      <c r="N55" s="72">
        <v>42005</v>
      </c>
      <c r="O55" s="72"/>
      <c r="Q55" t="s">
        <v>123</v>
      </c>
      <c r="R55">
        <v>1</v>
      </c>
    </row>
    <row r="56" spans="1:18" x14ac:dyDescent="0.25">
      <c r="A56" t="str">
        <f>TableGDDESIGN[[#This Row],[Study Package Code]]</f>
        <v>INCD5000</v>
      </c>
      <c r="B56" s="5">
        <f>TableGDDESIGN[[#This Row],[Ver]]</f>
        <v>1</v>
      </c>
      <c r="D56" t="str">
        <f>TableGDDESIGN[[#This Row],[Structure Line]]</f>
        <v>Social, Cultural and Historical Contexts of Indigenous Australians</v>
      </c>
      <c r="E56" s="33">
        <f>TableGDDESIGN[[#This Row],[Credit Points]]</f>
        <v>25</v>
      </c>
      <c r="G56" t="s">
        <v>68</v>
      </c>
      <c r="H56">
        <v>1</v>
      </c>
      <c r="J56" t="s">
        <v>102</v>
      </c>
      <c r="K56">
        <v>1</v>
      </c>
      <c r="L56" t="s">
        <v>153</v>
      </c>
      <c r="M56">
        <v>25</v>
      </c>
      <c r="N56" s="72">
        <v>42005</v>
      </c>
      <c r="O56" s="72"/>
      <c r="Q56" t="s">
        <v>102</v>
      </c>
      <c r="R56">
        <v>1</v>
      </c>
    </row>
    <row r="57" spans="1:18" x14ac:dyDescent="0.25">
      <c r="A57" t="str">
        <f>TableGDDESIGN[[#This Row],[Study Package Code]]</f>
        <v>INDS5001</v>
      </c>
      <c r="B57" s="5">
        <f>TableGDDESIGN[[#This Row],[Ver]]</f>
        <v>1</v>
      </c>
      <c r="D57" t="str">
        <f>TableGDDESIGN[[#This Row],[Structure Line]]</f>
        <v>Introduction to Indigenous Australians</v>
      </c>
      <c r="E57" s="33">
        <f>TableGDDESIGN[[#This Row],[Credit Points]]</f>
        <v>25</v>
      </c>
      <c r="G57" t="s">
        <v>68</v>
      </c>
      <c r="H57">
        <v>1</v>
      </c>
      <c r="J57" t="s">
        <v>103</v>
      </c>
      <c r="K57">
        <v>1</v>
      </c>
      <c r="L57" t="s">
        <v>154</v>
      </c>
      <c r="M57">
        <v>25</v>
      </c>
      <c r="N57" s="72">
        <v>42005</v>
      </c>
      <c r="O57" s="72"/>
      <c r="Q57" t="s">
        <v>103</v>
      </c>
      <c r="R57">
        <v>1</v>
      </c>
    </row>
    <row r="58" spans="1:18" x14ac:dyDescent="0.25">
      <c r="A58" t="str">
        <f>TableGDDESIGN[[#This Row],[Study Package Code]]</f>
        <v>INDS5005</v>
      </c>
      <c r="B58" s="5">
        <f>TableGDDESIGN[[#This Row],[Ver]]</f>
        <v>3</v>
      </c>
      <c r="D58" t="str">
        <f>TableGDDESIGN[[#This Row],[Structure Line]]</f>
        <v>On-Country Learning, Exploring Indigenous Australian Knowledges</v>
      </c>
      <c r="E58" s="33">
        <f>TableGDDESIGN[[#This Row],[Credit Points]]</f>
        <v>25</v>
      </c>
      <c r="G58" t="s">
        <v>68</v>
      </c>
      <c r="H58">
        <v>1</v>
      </c>
      <c r="J58" t="s">
        <v>104</v>
      </c>
      <c r="K58">
        <v>3</v>
      </c>
      <c r="L58" t="s">
        <v>216</v>
      </c>
      <c r="M58">
        <v>25</v>
      </c>
      <c r="N58" s="72">
        <v>45108</v>
      </c>
      <c r="O58" s="72"/>
      <c r="Q58" t="s">
        <v>104</v>
      </c>
      <c r="R58">
        <v>3</v>
      </c>
    </row>
    <row r="59" spans="1:18" x14ac:dyDescent="0.25">
      <c r="A59" t="str">
        <f>TableGDDESIGN[[#This Row],[Study Package Code]]</f>
        <v>MKTG5006</v>
      </c>
      <c r="B59" s="5">
        <f>TableGDDESIGN[[#This Row],[Ver]]</f>
        <v>2</v>
      </c>
      <c r="D59" t="str">
        <f>TableGDDESIGN[[#This Row],[Structure Line]]</f>
        <v>Marketing Intelligence and Analytics</v>
      </c>
      <c r="E59" s="33">
        <f>TableGDDESIGN[[#This Row],[Credit Points]]</f>
        <v>25</v>
      </c>
      <c r="G59" t="s">
        <v>68</v>
      </c>
      <c r="H59">
        <v>1</v>
      </c>
      <c r="J59" t="s">
        <v>105</v>
      </c>
      <c r="K59">
        <v>2</v>
      </c>
      <c r="L59" t="s">
        <v>158</v>
      </c>
      <c r="M59">
        <v>25</v>
      </c>
      <c r="N59" s="72">
        <v>43466</v>
      </c>
      <c r="O59" s="72"/>
      <c r="Q59" t="s">
        <v>105</v>
      </c>
      <c r="R59">
        <v>2</v>
      </c>
    </row>
    <row r="60" spans="1:18" x14ac:dyDescent="0.25">
      <c r="A60" t="str">
        <f>TableGDDESIGN[[#This Row],[Study Package Code]]</f>
        <v>MKTG5007</v>
      </c>
      <c r="B60" s="5">
        <f>TableGDDESIGN[[#This Row],[Ver]]</f>
        <v>3</v>
      </c>
      <c r="D60" t="str">
        <f>TableGDDESIGN[[#This Row],[Structure Line]]</f>
        <v>Consumer Behaviour and Innovation</v>
      </c>
      <c r="E60" s="33">
        <f>TableGDDESIGN[[#This Row],[Credit Points]]</f>
        <v>25</v>
      </c>
      <c r="G60" t="s">
        <v>68</v>
      </c>
      <c r="H60">
        <v>1</v>
      </c>
      <c r="J60" t="s">
        <v>106</v>
      </c>
      <c r="K60">
        <v>3</v>
      </c>
      <c r="L60" t="s">
        <v>159</v>
      </c>
      <c r="M60">
        <v>25</v>
      </c>
      <c r="N60" s="72">
        <v>45658</v>
      </c>
      <c r="O60" s="72"/>
      <c r="Q60" t="s">
        <v>106</v>
      </c>
      <c r="R60">
        <v>2</v>
      </c>
    </row>
    <row r="61" spans="1:18" x14ac:dyDescent="0.25">
      <c r="A61" t="str">
        <f>TableGDDESIGN[[#This Row],[Study Package Code]]</f>
        <v>MKTG6006</v>
      </c>
      <c r="B61" s="5">
        <f>TableGDDESIGN[[#This Row],[Ver]]</f>
        <v>1</v>
      </c>
      <c r="D61" t="str">
        <f>TableGDDESIGN[[#This Row],[Structure Line]]</f>
        <v>Digital and Interactive Marketing</v>
      </c>
      <c r="E61" s="33">
        <f>TableGDDESIGN[[#This Row],[Credit Points]]</f>
        <v>25</v>
      </c>
      <c r="G61" t="s">
        <v>68</v>
      </c>
      <c r="H61">
        <v>1</v>
      </c>
      <c r="J61" t="s">
        <v>107</v>
      </c>
      <c r="K61">
        <v>1</v>
      </c>
      <c r="L61" t="s">
        <v>162</v>
      </c>
      <c r="M61">
        <v>25</v>
      </c>
      <c r="N61" s="72">
        <v>42005</v>
      </c>
      <c r="O61" s="72"/>
      <c r="Q61" t="s">
        <v>107</v>
      </c>
      <c r="R61">
        <v>1</v>
      </c>
    </row>
    <row r="62" spans="1:18" x14ac:dyDescent="0.25">
      <c r="A62" t="str">
        <f>TableGDDESIGN[[#This Row],[Study Package Code]]</f>
        <v>NETS5001</v>
      </c>
      <c r="B62" s="5">
        <f>TableGDDESIGN[[#This Row],[Ver]]</f>
        <v>3</v>
      </c>
      <c r="D62" t="str">
        <f>TableGDDESIGN[[#This Row],[Structure Line]]</f>
        <v>Graduate Digital Culture and Everyday Life</v>
      </c>
      <c r="E62" s="33">
        <f>TableGDDESIGN[[#This Row],[Credit Points]]</f>
        <v>25</v>
      </c>
      <c r="G62" t="s">
        <v>68</v>
      </c>
      <c r="H62">
        <v>1</v>
      </c>
      <c r="J62" t="s">
        <v>108</v>
      </c>
      <c r="K62">
        <v>3</v>
      </c>
      <c r="L62" t="s">
        <v>163</v>
      </c>
      <c r="M62">
        <v>25</v>
      </c>
      <c r="N62" s="72">
        <v>45658</v>
      </c>
      <c r="O62" s="72"/>
      <c r="Q62" t="s">
        <v>108</v>
      </c>
      <c r="R62">
        <v>2</v>
      </c>
    </row>
    <row r="63" spans="1:18" x14ac:dyDescent="0.25">
      <c r="A63" t="str">
        <f>TableGDDESIGN[[#This Row],[Study Package Code]]</f>
        <v>NETS5003</v>
      </c>
      <c r="B63" s="5">
        <f>TableGDDESIGN[[#This Row],[Ver]]</f>
        <v>4</v>
      </c>
      <c r="D63" t="str">
        <f>TableGDDESIGN[[#This Row],[Structure Line]]</f>
        <v>Graduate Online Power and Resistance</v>
      </c>
      <c r="E63" s="33">
        <f>TableGDDESIGN[[#This Row],[Credit Points]]</f>
        <v>25</v>
      </c>
      <c r="G63" t="s">
        <v>68</v>
      </c>
      <c r="H63">
        <v>1</v>
      </c>
      <c r="J63" t="s">
        <v>109</v>
      </c>
      <c r="K63">
        <v>4</v>
      </c>
      <c r="L63" t="s">
        <v>166</v>
      </c>
      <c r="M63">
        <v>25</v>
      </c>
      <c r="N63" s="72">
        <v>45658</v>
      </c>
      <c r="O63" s="72"/>
      <c r="Q63" t="s">
        <v>109</v>
      </c>
      <c r="R63">
        <v>3</v>
      </c>
    </row>
    <row r="64" spans="1:18" x14ac:dyDescent="0.25">
      <c r="A64" t="str">
        <f>TableGDDESIGN[[#This Row],[Study Package Code]]</f>
        <v>NETS5004</v>
      </c>
      <c r="B64" s="5">
        <f>TableGDDESIGN[[#This Row],[Ver]]</f>
        <v>3</v>
      </c>
      <c r="D64" t="str">
        <f>TableGDDESIGN[[#This Row],[Structure Line]]</f>
        <v>Graduate Social Media, Communities and Networks</v>
      </c>
      <c r="E64" s="33">
        <f>TableGDDESIGN[[#This Row],[Credit Points]]</f>
        <v>25</v>
      </c>
      <c r="G64" t="s">
        <v>68</v>
      </c>
      <c r="H64">
        <v>1</v>
      </c>
      <c r="J64" t="s">
        <v>110</v>
      </c>
      <c r="K64">
        <v>3</v>
      </c>
      <c r="L64" t="s">
        <v>169</v>
      </c>
      <c r="M64">
        <v>25</v>
      </c>
      <c r="N64" s="72">
        <v>45658</v>
      </c>
      <c r="O64" s="72"/>
      <c r="Q64" t="s">
        <v>110</v>
      </c>
      <c r="R64">
        <v>2</v>
      </c>
    </row>
    <row r="65" spans="1:18" x14ac:dyDescent="0.25">
      <c r="A65" t="str">
        <f>TableGDDESIGN[[#This Row],[Study Package Code]]</f>
        <v>NETS5005</v>
      </c>
      <c r="B65" s="5">
        <f>TableGDDESIGN[[#This Row],[Ver]]</f>
        <v>3</v>
      </c>
      <c r="D65" t="str">
        <f>TableGDDESIGN[[#This Row],[Structure Line]]</f>
        <v>Graduate Writing on the Web</v>
      </c>
      <c r="E65" s="33">
        <f>TableGDDESIGN[[#This Row],[Credit Points]]</f>
        <v>25</v>
      </c>
      <c r="G65" t="s">
        <v>68</v>
      </c>
      <c r="H65">
        <v>1</v>
      </c>
      <c r="J65" t="s">
        <v>111</v>
      </c>
      <c r="K65">
        <v>3</v>
      </c>
      <c r="L65" t="s">
        <v>172</v>
      </c>
      <c r="M65">
        <v>25</v>
      </c>
      <c r="N65" s="72">
        <v>45658</v>
      </c>
      <c r="O65" s="72"/>
      <c r="Q65" t="s">
        <v>111</v>
      </c>
      <c r="R65">
        <v>2</v>
      </c>
    </row>
    <row r="66" spans="1:18" x14ac:dyDescent="0.25">
      <c r="A66" t="str">
        <f>TableGDDESIGN[[#This Row],[Study Package Code]]</f>
        <v>NETS5006</v>
      </c>
      <c r="B66" s="5">
        <f>TableGDDESIGN[[#This Row],[Ver]]</f>
        <v>3</v>
      </c>
      <c r="D66" t="str">
        <f>TableGDDESIGN[[#This Row],[Structure Line]]</f>
        <v>Graduate The Digital Economy</v>
      </c>
      <c r="E66" s="33">
        <f>TableGDDESIGN[[#This Row],[Credit Points]]</f>
        <v>25</v>
      </c>
      <c r="G66" t="s">
        <v>68</v>
      </c>
      <c r="H66">
        <v>1</v>
      </c>
      <c r="J66" t="s">
        <v>112</v>
      </c>
      <c r="K66">
        <v>3</v>
      </c>
      <c r="L66" t="s">
        <v>175</v>
      </c>
      <c r="M66">
        <v>25</v>
      </c>
      <c r="N66" s="72">
        <v>45658</v>
      </c>
      <c r="O66" s="72"/>
      <c r="Q66" t="s">
        <v>112</v>
      </c>
      <c r="R66">
        <v>2</v>
      </c>
    </row>
    <row r="67" spans="1:18" x14ac:dyDescent="0.25">
      <c r="A67" t="str">
        <f>TableGDDESIGN[[#This Row],[Study Package Code]]</f>
        <v>NETS5007</v>
      </c>
      <c r="B67" s="5">
        <f>TableGDDESIGN[[#This Row],[Ver]]</f>
        <v>3</v>
      </c>
      <c r="D67" t="str">
        <f>TableGDDESIGN[[#This Row],[Structure Line]]</f>
        <v>Graduate Technology, Innovation and Societies</v>
      </c>
      <c r="E67" s="33">
        <f>TableGDDESIGN[[#This Row],[Credit Points]]</f>
        <v>25</v>
      </c>
      <c r="G67" t="s">
        <v>68</v>
      </c>
      <c r="H67">
        <v>1</v>
      </c>
      <c r="J67" t="s">
        <v>113</v>
      </c>
      <c r="K67">
        <v>3</v>
      </c>
      <c r="L67" t="s">
        <v>178</v>
      </c>
      <c r="M67">
        <v>25</v>
      </c>
      <c r="N67" s="72">
        <v>45658</v>
      </c>
      <c r="O67" s="72"/>
      <c r="Q67" t="s">
        <v>113</v>
      </c>
      <c r="R67">
        <v>2</v>
      </c>
    </row>
    <row r="68" spans="1:18" x14ac:dyDescent="0.25">
      <c r="A68" t="str">
        <f>TableGDDESIGN[[#This Row],[Study Package Code]]</f>
        <v>NETS5009</v>
      </c>
      <c r="B68" s="5">
        <f>TableGDDESIGN[[#This Row],[Ver]]</f>
        <v>4</v>
      </c>
      <c r="D68" t="str">
        <f>TableGDDESIGN[[#This Row],[Structure Line]]</f>
        <v>Graduate Digital Creation Capstone</v>
      </c>
      <c r="E68" s="33">
        <f>TableGDDESIGN[[#This Row],[Credit Points]]</f>
        <v>25</v>
      </c>
      <c r="G68" t="s">
        <v>68</v>
      </c>
      <c r="H68">
        <v>1</v>
      </c>
      <c r="J68" t="s">
        <v>114</v>
      </c>
      <c r="K68">
        <v>4</v>
      </c>
      <c r="L68" t="s">
        <v>181</v>
      </c>
      <c r="M68">
        <v>25</v>
      </c>
      <c r="N68" s="72">
        <v>45658</v>
      </c>
      <c r="O68" s="72"/>
      <c r="Q68" t="s">
        <v>114</v>
      </c>
      <c r="R68">
        <v>3</v>
      </c>
    </row>
    <row r="69" spans="1:18" x14ac:dyDescent="0.25">
      <c r="A69" t="str">
        <f>TableGDDESIGN[[#This Row],[Study Package Code]]</f>
        <v>NETS5010</v>
      </c>
      <c r="B69" s="5">
        <f>TableGDDESIGN[[#This Row],[Ver]]</f>
        <v>2</v>
      </c>
      <c r="D69" t="str">
        <f>TableGDDESIGN[[#This Row],[Structure Line]]</f>
        <v>Graduate Web Media</v>
      </c>
      <c r="E69" s="33">
        <f>TableGDDESIGN[[#This Row],[Credit Points]]</f>
        <v>25</v>
      </c>
      <c r="G69" t="s">
        <v>68</v>
      </c>
      <c r="H69">
        <v>1</v>
      </c>
      <c r="J69" t="s">
        <v>115</v>
      </c>
      <c r="K69">
        <v>2</v>
      </c>
      <c r="L69" t="s">
        <v>184</v>
      </c>
      <c r="M69">
        <v>25</v>
      </c>
      <c r="N69" s="72">
        <v>45658</v>
      </c>
      <c r="O69" s="72"/>
      <c r="Q69" t="s">
        <v>115</v>
      </c>
      <c r="R69">
        <v>1</v>
      </c>
    </row>
    <row r="70" spans="1:18" x14ac:dyDescent="0.25">
      <c r="A70" t="str">
        <f>TableGDDESIGN[[#This Row],[Study Package Code]]</f>
        <v>NETS5011</v>
      </c>
      <c r="B70" s="5">
        <f>TableGDDESIGN[[#This Row],[Ver]]</f>
        <v>4</v>
      </c>
      <c r="D70" t="str">
        <f>TableGDDESIGN[[#This Row],[Structure Line]]</f>
        <v>Graduate Online Games and Play</v>
      </c>
      <c r="E70" s="33">
        <f>TableGDDESIGN[[#This Row],[Credit Points]]</f>
        <v>25</v>
      </c>
      <c r="G70" t="s">
        <v>68</v>
      </c>
      <c r="H70">
        <v>1</v>
      </c>
      <c r="J70" t="s">
        <v>116</v>
      </c>
      <c r="K70">
        <v>4</v>
      </c>
      <c r="L70" t="s">
        <v>187</v>
      </c>
      <c r="M70">
        <v>25</v>
      </c>
      <c r="N70" s="72">
        <v>45658</v>
      </c>
      <c r="O70" s="72"/>
      <c r="Q70" t="s">
        <v>116</v>
      </c>
      <c r="R70">
        <v>3</v>
      </c>
    </row>
    <row r="71" spans="1:18" x14ac:dyDescent="0.25">
      <c r="A71" t="str">
        <f>TableGDDESIGN[[#This Row],[Study Package Code]]</f>
        <v>PRJM6000</v>
      </c>
      <c r="B71" s="5">
        <f>TableGDDESIGN[[#This Row],[Ver]]</f>
        <v>1</v>
      </c>
      <c r="D71" t="str">
        <f>TableGDDESIGN[[#This Row],[Structure Line]]</f>
        <v>Project Management Overview</v>
      </c>
      <c r="E71" s="33">
        <f>TableGDDESIGN[[#This Row],[Credit Points]]</f>
        <v>25</v>
      </c>
      <c r="G71" t="s">
        <v>68</v>
      </c>
      <c r="H71">
        <v>1</v>
      </c>
      <c r="J71" t="s">
        <v>117</v>
      </c>
      <c r="K71">
        <v>1</v>
      </c>
      <c r="L71" t="s">
        <v>193</v>
      </c>
      <c r="M71">
        <v>25</v>
      </c>
      <c r="N71" s="72">
        <v>42005</v>
      </c>
      <c r="O71" s="72"/>
      <c r="Q71" t="s">
        <v>117</v>
      </c>
      <c r="R71">
        <v>1</v>
      </c>
    </row>
    <row r="72" spans="1:18" x14ac:dyDescent="0.25">
      <c r="A72" t="str">
        <f>TableGDDESIGN[[#This Row],[Study Package Code]]</f>
        <v>PRJM6001</v>
      </c>
      <c r="B72" s="5">
        <f>TableGDDESIGN[[#This Row],[Ver]]</f>
        <v>1</v>
      </c>
      <c r="D72" t="str">
        <f>TableGDDESIGN[[#This Row],[Structure Line]]</f>
        <v>Project Cost Management</v>
      </c>
      <c r="E72" s="33">
        <f>TableGDDESIGN[[#This Row],[Credit Points]]</f>
        <v>25</v>
      </c>
      <c r="G72" t="s">
        <v>68</v>
      </c>
      <c r="H72">
        <v>1</v>
      </c>
      <c r="J72" t="s">
        <v>118</v>
      </c>
      <c r="K72">
        <v>1</v>
      </c>
      <c r="L72" t="s">
        <v>194</v>
      </c>
      <c r="M72">
        <v>25</v>
      </c>
      <c r="N72" s="72">
        <v>42005</v>
      </c>
      <c r="O72" s="72"/>
      <c r="Q72" t="s">
        <v>118</v>
      </c>
      <c r="R72">
        <v>1</v>
      </c>
    </row>
    <row r="73" spans="1:18" x14ac:dyDescent="0.25">
      <c r="A73" t="str">
        <f>TableGDDESIGN[[#This Row],[Study Package Code]]</f>
        <v>PRJM6010</v>
      </c>
      <c r="B73" s="5">
        <f>TableGDDESIGN[[#This Row],[Ver]]</f>
        <v>1</v>
      </c>
      <c r="D73" t="str">
        <f>TableGDDESIGN[[#This Row],[Structure Line]]</f>
        <v>Project and People</v>
      </c>
      <c r="E73" s="33">
        <f>TableGDDESIGN[[#This Row],[Credit Points]]</f>
        <v>25</v>
      </c>
      <c r="G73" t="s">
        <v>68</v>
      </c>
      <c r="H73">
        <v>1</v>
      </c>
      <c r="J73" t="s">
        <v>119</v>
      </c>
      <c r="K73">
        <v>1</v>
      </c>
      <c r="L73" t="s">
        <v>195</v>
      </c>
      <c r="M73">
        <v>25</v>
      </c>
      <c r="N73" s="72">
        <v>42005</v>
      </c>
      <c r="O73" s="72"/>
      <c r="Q73" t="s">
        <v>119</v>
      </c>
      <c r="R73">
        <v>1</v>
      </c>
    </row>
    <row r="74" spans="1:18" x14ac:dyDescent="0.25">
      <c r="A74" t="str">
        <f>TableGDDESIGN[[#This Row],[Study Package Code]]</f>
        <v>PUBH6003</v>
      </c>
      <c r="B74" s="5">
        <f>TableGDDESIGN[[#This Row],[Ver]]</f>
        <v>2</v>
      </c>
      <c r="D74" t="str">
        <f>TableGDDESIGN[[#This Row],[Structure Line]]</f>
        <v>Health Policy and Decision Making</v>
      </c>
      <c r="E74" s="33">
        <f>TableGDDESIGN[[#This Row],[Credit Points]]</f>
        <v>25</v>
      </c>
      <c r="G74" t="s">
        <v>68</v>
      </c>
      <c r="H74">
        <v>1</v>
      </c>
      <c r="J74" t="s">
        <v>120</v>
      </c>
      <c r="K74">
        <v>2</v>
      </c>
      <c r="L74" t="s">
        <v>196</v>
      </c>
      <c r="M74">
        <v>25</v>
      </c>
      <c r="N74" s="72">
        <v>42736</v>
      </c>
      <c r="O74" s="72"/>
      <c r="Q74" t="s">
        <v>120</v>
      </c>
      <c r="R74">
        <v>2</v>
      </c>
    </row>
    <row r="75" spans="1:18" x14ac:dyDescent="0.25">
      <c r="A75" t="str">
        <f>TableGDDESIGN[[#This Row],[Study Package Code]]</f>
        <v>SUST5005</v>
      </c>
      <c r="B75" s="5">
        <f>TableGDDESIGN[[#This Row],[Ver]]</f>
        <v>2</v>
      </c>
      <c r="D75" t="str">
        <f>TableGDDESIGN[[#This Row],[Structure Line]]</f>
        <v>Future Cities</v>
      </c>
      <c r="E75" s="33">
        <f>TableGDDESIGN[[#This Row],[Credit Points]]</f>
        <v>25</v>
      </c>
      <c r="G75" t="s">
        <v>68</v>
      </c>
      <c r="H75">
        <v>1</v>
      </c>
      <c r="J75" t="s">
        <v>121</v>
      </c>
      <c r="K75">
        <v>2</v>
      </c>
      <c r="L75" t="s">
        <v>197</v>
      </c>
      <c r="M75">
        <v>25</v>
      </c>
      <c r="N75" s="72">
        <v>43831</v>
      </c>
      <c r="O75" s="72"/>
      <c r="Q75" t="s">
        <v>121</v>
      </c>
      <c r="R75">
        <v>2</v>
      </c>
    </row>
    <row r="76" spans="1:18" x14ac:dyDescent="0.25">
      <c r="A76">
        <f>TableGDDESIGN[[#This Row],[Study Package Code]]</f>
        <v>0</v>
      </c>
      <c r="B76" s="5">
        <f>TableGDDESIGN[[#This Row],[Ver]]</f>
        <v>0</v>
      </c>
      <c r="D76">
        <f>TableGDDESIGN[[#This Row],[Structure Line]]</f>
        <v>0</v>
      </c>
      <c r="E76" s="33">
        <f>TableGDDESIGN[[#This Row],[Credit Points]]</f>
        <v>0</v>
      </c>
      <c r="N76" s="72"/>
      <c r="O76" s="72"/>
      <c r="Q76" t="s">
        <v>217</v>
      </c>
      <c r="R76">
        <v>3</v>
      </c>
    </row>
    <row r="77" spans="1:18" x14ac:dyDescent="0.25">
      <c r="A77">
        <f>TableGDDESIGN[[#This Row],[Study Package Code]]</f>
        <v>0</v>
      </c>
      <c r="B77" s="5">
        <f>TableGDDESIGN[[#This Row],[Ver]]</f>
        <v>0</v>
      </c>
      <c r="D77">
        <f>TableGDDESIGN[[#This Row],[Structure Line]]</f>
        <v>0</v>
      </c>
      <c r="E77" s="33">
        <f>TableGDDESIGN[[#This Row],[Credit Points]]</f>
        <v>0</v>
      </c>
      <c r="N77" s="72"/>
      <c r="O77" s="72"/>
      <c r="Q77" t="s">
        <v>218</v>
      </c>
      <c r="R77">
        <v>1</v>
      </c>
    </row>
    <row r="78" spans="1:18" x14ac:dyDescent="0.25">
      <c r="A78">
        <f>TableGDDESIGN[[#This Row],[Study Package Code]]</f>
        <v>0</v>
      </c>
      <c r="B78" s="5">
        <f>TableGDDESIGN[[#This Row],[Ver]]</f>
        <v>0</v>
      </c>
      <c r="D78">
        <f>TableGDDESIGN[[#This Row],[Structure Line]]</f>
        <v>0</v>
      </c>
      <c r="E78" s="33">
        <f>TableGDDESIGN[[#This Row],[Credit Points]]</f>
        <v>0</v>
      </c>
      <c r="N78" s="72"/>
      <c r="O78" s="72"/>
      <c r="Q78" t="s">
        <v>219</v>
      </c>
      <c r="R78">
        <v>4</v>
      </c>
    </row>
    <row r="79" spans="1:18" x14ac:dyDescent="0.25">
      <c r="A79">
        <f>TableGDDESIGN[[#This Row],[Study Package Code]]</f>
        <v>0</v>
      </c>
      <c r="B79" s="5">
        <f>TableGDDESIGN[[#This Row],[Ver]]</f>
        <v>0</v>
      </c>
      <c r="D79">
        <f>TableGDDESIGN[[#This Row],[Structure Line]]</f>
        <v>0</v>
      </c>
      <c r="E79" s="33">
        <f>TableGDDESIGN[[#This Row],[Credit Points]]</f>
        <v>0</v>
      </c>
      <c r="N79" s="72"/>
      <c r="O79" s="72"/>
      <c r="Q79" t="s">
        <v>220</v>
      </c>
      <c r="R79">
        <v>3</v>
      </c>
    </row>
    <row r="80" spans="1:18" x14ac:dyDescent="0.25">
      <c r="A80">
        <f>TableGDDESIGN[[#This Row],[Study Package Code]]</f>
        <v>0</v>
      </c>
      <c r="B80" s="5">
        <f>TableGDDESIGN[[#This Row],[Ver]]</f>
        <v>0</v>
      </c>
      <c r="D80">
        <f>TableGDDESIGN[[#This Row],[Structure Line]]</f>
        <v>0</v>
      </c>
      <c r="E80" s="33">
        <f>TableGDDESIGN[[#This Row],[Credit Points]]</f>
        <v>0</v>
      </c>
      <c r="N80" s="72"/>
      <c r="O80" s="72"/>
      <c r="Q80" t="s">
        <v>221</v>
      </c>
      <c r="R80">
        <v>2</v>
      </c>
    </row>
    <row r="81" spans="1:18" x14ac:dyDescent="0.25">
      <c r="A81">
        <f>TableGDDESIGN[[#This Row],[Study Package Code]]</f>
        <v>0</v>
      </c>
      <c r="B81" s="5">
        <f>TableGDDESIGN[[#This Row],[Ver]]</f>
        <v>0</v>
      </c>
      <c r="D81">
        <f>TableGDDESIGN[[#This Row],[Structure Line]]</f>
        <v>0</v>
      </c>
      <c r="E81" s="33">
        <f>TableGDDESIGN[[#This Row],[Credit Points]]</f>
        <v>0</v>
      </c>
      <c r="N81" s="72"/>
      <c r="O81" s="72"/>
      <c r="Q81" t="s">
        <v>222</v>
      </c>
      <c r="R81">
        <v>1</v>
      </c>
    </row>
    <row r="83" spans="1:18" x14ac:dyDescent="0.25">
      <c r="B83"/>
      <c r="E83"/>
      <c r="F83" s="31"/>
      <c r="G83" s="32" t="s">
        <v>200</v>
      </c>
      <c r="H83" s="94">
        <v>44197</v>
      </c>
      <c r="I83" s="31"/>
      <c r="J83" s="95" t="s">
        <v>66</v>
      </c>
      <c r="K83" s="96" t="s">
        <v>54</v>
      </c>
      <c r="L83" s="31" t="s">
        <v>65</v>
      </c>
      <c r="M83" s="31"/>
      <c r="N83" s="79" t="s">
        <v>201</v>
      </c>
      <c r="O83" s="80">
        <v>45573</v>
      </c>
    </row>
    <row r="84" spans="1:18" x14ac:dyDescent="0.25">
      <c r="A84" t="s">
        <v>0</v>
      </c>
      <c r="B84" s="5" t="s">
        <v>202</v>
      </c>
      <c r="C84" t="s">
        <v>203</v>
      </c>
      <c r="D84" t="s">
        <v>3</v>
      </c>
      <c r="E84" s="33" t="s">
        <v>204</v>
      </c>
      <c r="F84" t="s">
        <v>205</v>
      </c>
      <c r="G84" t="s">
        <v>206</v>
      </c>
      <c r="H84" t="s">
        <v>207</v>
      </c>
      <c r="I84" t="s">
        <v>18</v>
      </c>
      <c r="J84" t="s">
        <v>208</v>
      </c>
      <c r="K84" t="s">
        <v>1</v>
      </c>
      <c r="L84" t="s">
        <v>209</v>
      </c>
      <c r="M84" t="s">
        <v>45</v>
      </c>
      <c r="N84" t="s">
        <v>210</v>
      </c>
      <c r="O84" t="s">
        <v>211</v>
      </c>
      <c r="Q84" t="s">
        <v>212</v>
      </c>
      <c r="R84" t="s">
        <v>1</v>
      </c>
    </row>
    <row r="85" spans="1:18" x14ac:dyDescent="0.25">
      <c r="A85" t="str">
        <f>TableMCDESIGN[[#This Row],[Study Package Code]]</f>
        <v>GRDE5009</v>
      </c>
      <c r="B85" s="5">
        <f>TableMCDESIGN[[#This Row],[Ver]]</f>
        <v>1</v>
      </c>
      <c r="D85" t="str">
        <f>TableMCDESIGN[[#This Row],[Structure Line]]</f>
        <v>Ethical Design</v>
      </c>
      <c r="E85" s="33">
        <f>TableMCDESIGN[[#This Row],[Credit Points]]</f>
        <v>25</v>
      </c>
      <c r="F85">
        <v>1</v>
      </c>
      <c r="G85" t="s">
        <v>213</v>
      </c>
      <c r="H85">
        <v>1</v>
      </c>
      <c r="I85" t="s">
        <v>214</v>
      </c>
      <c r="J85" t="s">
        <v>48</v>
      </c>
      <c r="K85">
        <v>1</v>
      </c>
      <c r="L85" t="s">
        <v>140</v>
      </c>
      <c r="M85">
        <v>25</v>
      </c>
      <c r="N85" s="72">
        <v>44197</v>
      </c>
      <c r="O85" s="72"/>
      <c r="Q85" t="s">
        <v>48</v>
      </c>
      <c r="R85">
        <v>1</v>
      </c>
    </row>
    <row r="86" spans="1:18" x14ac:dyDescent="0.25">
      <c r="A86" t="str">
        <f>TableMCDESIGN[[#This Row],[Study Package Code]]</f>
        <v>GRDE5010</v>
      </c>
      <c r="B86" s="5">
        <f>TableMCDESIGN[[#This Row],[Ver]]</f>
        <v>1</v>
      </c>
      <c r="D86" t="str">
        <f>TableMCDESIGN[[#This Row],[Structure Line]]</f>
        <v>Experience Making</v>
      </c>
      <c r="E86" s="33">
        <f>TableMCDESIGN[[#This Row],[Credit Points]]</f>
        <v>25</v>
      </c>
      <c r="F86">
        <v>2</v>
      </c>
      <c r="G86" t="s">
        <v>213</v>
      </c>
      <c r="H86">
        <v>1</v>
      </c>
      <c r="I86" t="s">
        <v>214</v>
      </c>
      <c r="J86" t="s">
        <v>57</v>
      </c>
      <c r="K86">
        <v>1</v>
      </c>
      <c r="L86" t="s">
        <v>141</v>
      </c>
      <c r="M86">
        <v>25</v>
      </c>
      <c r="N86" s="72">
        <v>44197</v>
      </c>
      <c r="O86" s="72"/>
      <c r="Q86" t="s">
        <v>57</v>
      </c>
      <c r="R86">
        <v>1</v>
      </c>
    </row>
    <row r="87" spans="1:18" x14ac:dyDescent="0.25">
      <c r="A87" t="str">
        <f>TableMCDESIGN[[#This Row],[Study Package Code]]</f>
        <v>GRDE5008</v>
      </c>
      <c r="B87" s="5">
        <f>TableMCDESIGN[[#This Row],[Ver]]</f>
        <v>1</v>
      </c>
      <c r="D87" t="str">
        <f>TableMCDESIGN[[#This Row],[Structure Line]]</f>
        <v>Innovation by Design</v>
      </c>
      <c r="E87" s="33">
        <f>TableMCDESIGN[[#This Row],[Credit Points]]</f>
        <v>25</v>
      </c>
      <c r="F87">
        <v>3</v>
      </c>
      <c r="G87" t="s">
        <v>213</v>
      </c>
      <c r="H87">
        <v>1</v>
      </c>
      <c r="I87" t="s">
        <v>214</v>
      </c>
      <c r="J87" t="s">
        <v>63</v>
      </c>
      <c r="K87">
        <v>1</v>
      </c>
      <c r="L87" t="s">
        <v>139</v>
      </c>
      <c r="M87">
        <v>25</v>
      </c>
      <c r="N87" s="72">
        <v>44197</v>
      </c>
      <c r="O87" s="72"/>
      <c r="Q87" t="s">
        <v>63</v>
      </c>
      <c r="R87">
        <v>1</v>
      </c>
    </row>
    <row r="88" spans="1:18" x14ac:dyDescent="0.25">
      <c r="A88" t="str">
        <f>TableMCDESIGN[[#This Row],[Study Package Code]]</f>
        <v>Option</v>
      </c>
      <c r="B88" s="5">
        <f>TableMCDESIGN[[#This Row],[Ver]]</f>
        <v>0</v>
      </c>
      <c r="D88" t="str">
        <f>TableMCDESIGN[[#This Row],[Structure Line]]</f>
        <v>Choose an optional unit</v>
      </c>
      <c r="E88" s="33">
        <f>TableMCDESIGN[[#This Row],[Credit Points]]</f>
        <v>25</v>
      </c>
      <c r="F88">
        <v>4</v>
      </c>
      <c r="G88" t="s">
        <v>68</v>
      </c>
      <c r="H88">
        <v>1</v>
      </c>
      <c r="I88" t="s">
        <v>214</v>
      </c>
      <c r="J88" t="s">
        <v>68</v>
      </c>
      <c r="K88">
        <v>0</v>
      </c>
      <c r="L88" t="s">
        <v>224</v>
      </c>
      <c r="M88">
        <v>25</v>
      </c>
      <c r="N88" s="72"/>
      <c r="O88" s="72"/>
      <c r="Q88" t="s">
        <v>68</v>
      </c>
      <c r="R88">
        <v>0</v>
      </c>
    </row>
    <row r="89" spans="1:18" x14ac:dyDescent="0.25">
      <c r="A89" t="str">
        <f>TableMCDESIGN[[#This Row],[Study Package Code]]</f>
        <v>GRDE5013</v>
      </c>
      <c r="B89" s="5">
        <f>TableMCDESIGN[[#This Row],[Ver]]</f>
        <v>1</v>
      </c>
      <c r="D89" t="str">
        <f>TableMCDESIGN[[#This Row],[Structure Line]]</f>
        <v>Design Entrepreneurship</v>
      </c>
      <c r="E89" s="33">
        <f>TableMCDESIGN[[#This Row],[Credit Points]]</f>
        <v>25</v>
      </c>
      <c r="F89">
        <v>5</v>
      </c>
      <c r="G89" t="s">
        <v>213</v>
      </c>
      <c r="H89">
        <v>1</v>
      </c>
      <c r="I89" t="s">
        <v>223</v>
      </c>
      <c r="J89" t="s">
        <v>51</v>
      </c>
      <c r="K89">
        <v>1</v>
      </c>
      <c r="L89" t="s">
        <v>143</v>
      </c>
      <c r="M89">
        <v>25</v>
      </c>
      <c r="N89" s="72">
        <v>44197</v>
      </c>
      <c r="O89" s="72"/>
      <c r="Q89" t="s">
        <v>51</v>
      </c>
      <c r="R89">
        <v>1</v>
      </c>
    </row>
    <row r="90" spans="1:18" x14ac:dyDescent="0.25">
      <c r="A90" t="str">
        <f>TableMCDESIGN[[#This Row],[Study Package Code]]</f>
        <v>GRDE5012</v>
      </c>
      <c r="B90" s="5">
        <f>TableMCDESIGN[[#This Row],[Ver]]</f>
        <v>1</v>
      </c>
      <c r="D90" t="str">
        <f>TableMCDESIGN[[#This Row],[Structure Line]]</f>
        <v>Design Paradigms</v>
      </c>
      <c r="E90" s="33">
        <f>TableMCDESIGN[[#This Row],[Credit Points]]</f>
        <v>25</v>
      </c>
      <c r="F90">
        <v>6</v>
      </c>
      <c r="G90" t="s">
        <v>213</v>
      </c>
      <c r="H90">
        <v>1</v>
      </c>
      <c r="I90" t="s">
        <v>223</v>
      </c>
      <c r="J90" t="s">
        <v>58</v>
      </c>
      <c r="K90">
        <v>1</v>
      </c>
      <c r="L90" t="s">
        <v>142</v>
      </c>
      <c r="M90">
        <v>25</v>
      </c>
      <c r="N90" s="72">
        <v>44197</v>
      </c>
      <c r="O90" s="72"/>
      <c r="Q90" t="s">
        <v>58</v>
      </c>
      <c r="R90">
        <v>1</v>
      </c>
    </row>
    <row r="91" spans="1:18" x14ac:dyDescent="0.25">
      <c r="A91" t="str">
        <f>TableMCDESIGN[[#This Row],[Study Package Code]]</f>
        <v>GRDE5014</v>
      </c>
      <c r="B91" s="5">
        <f>TableMCDESIGN[[#This Row],[Ver]]</f>
        <v>1</v>
      </c>
      <c r="D91" t="str">
        <f>TableMCDESIGN[[#This Row],[Structure Line]]</f>
        <v>Future Interfaces</v>
      </c>
      <c r="E91" s="33">
        <f>TableMCDESIGN[[#This Row],[Credit Points]]</f>
        <v>25</v>
      </c>
      <c r="F91">
        <v>7</v>
      </c>
      <c r="G91" t="s">
        <v>213</v>
      </c>
      <c r="H91">
        <v>1</v>
      </c>
      <c r="I91" t="s">
        <v>223</v>
      </c>
      <c r="J91" t="s">
        <v>64</v>
      </c>
      <c r="K91">
        <v>1</v>
      </c>
      <c r="L91" t="s">
        <v>144</v>
      </c>
      <c r="M91">
        <v>25</v>
      </c>
      <c r="N91" s="72">
        <v>44197</v>
      </c>
      <c r="O91" s="72"/>
      <c r="Q91" t="s">
        <v>64</v>
      </c>
      <c r="R91">
        <v>1</v>
      </c>
    </row>
    <row r="92" spans="1:18" x14ac:dyDescent="0.25">
      <c r="A92" t="str">
        <f>TableMCDESIGN[[#This Row],[Study Package Code]]</f>
        <v>Option</v>
      </c>
      <c r="B92" s="5">
        <f>TableMCDESIGN[[#This Row],[Ver]]</f>
        <v>0</v>
      </c>
      <c r="D92" t="str">
        <f>TableMCDESIGN[[#This Row],[Structure Line]]</f>
        <v>Choose an optional unit</v>
      </c>
      <c r="E92" s="33">
        <f>TableMCDESIGN[[#This Row],[Credit Points]]</f>
        <v>25</v>
      </c>
      <c r="F92">
        <v>8</v>
      </c>
      <c r="G92" t="s">
        <v>68</v>
      </c>
      <c r="H92">
        <v>1</v>
      </c>
      <c r="I92" t="s">
        <v>223</v>
      </c>
      <c r="J92" t="s">
        <v>68</v>
      </c>
      <c r="K92">
        <v>0</v>
      </c>
      <c r="L92" t="s">
        <v>224</v>
      </c>
      <c r="M92">
        <v>25</v>
      </c>
      <c r="N92" s="72"/>
      <c r="O92" s="72"/>
      <c r="Q92" t="s">
        <v>68</v>
      </c>
      <c r="R92">
        <v>0</v>
      </c>
    </row>
    <row r="93" spans="1:18" x14ac:dyDescent="0.25">
      <c r="A93" t="str">
        <f>TableMCDESIGN[[#This Row],[Study Package Code]]</f>
        <v>GRDE6005</v>
      </c>
      <c r="B93" s="5">
        <f>TableMCDESIGN[[#This Row],[Ver]]</f>
        <v>1</v>
      </c>
      <c r="D93" t="str">
        <f>TableMCDESIGN[[#This Row],[Structure Line]]</f>
        <v>Critical Design Theory</v>
      </c>
      <c r="E93" s="33">
        <f>TableMCDESIGN[[#This Row],[Credit Points]]</f>
        <v>25</v>
      </c>
      <c r="F93">
        <v>9</v>
      </c>
      <c r="G93" t="s">
        <v>213</v>
      </c>
      <c r="H93">
        <v>2</v>
      </c>
      <c r="I93" t="s">
        <v>214</v>
      </c>
      <c r="J93" t="s">
        <v>77</v>
      </c>
      <c r="K93">
        <v>1</v>
      </c>
      <c r="L93" t="s">
        <v>149</v>
      </c>
      <c r="M93">
        <v>25</v>
      </c>
      <c r="N93" s="72">
        <v>44197</v>
      </c>
      <c r="O93" s="72"/>
      <c r="Q93" t="s">
        <v>77</v>
      </c>
      <c r="R93">
        <v>1</v>
      </c>
    </row>
    <row r="94" spans="1:18" x14ac:dyDescent="0.25">
      <c r="A94" t="str">
        <f>TableMCDESIGN[[#This Row],[Study Package Code]]</f>
        <v>GRDE6002</v>
      </c>
      <c r="B94" s="5">
        <f>TableMCDESIGN[[#This Row],[Ver]]</f>
        <v>1</v>
      </c>
      <c r="D94" t="str">
        <f>TableMCDESIGN[[#This Row],[Structure Line]]</f>
        <v>Design X</v>
      </c>
      <c r="E94" s="33">
        <f>TableMCDESIGN[[#This Row],[Credit Points]]</f>
        <v>50</v>
      </c>
      <c r="F94">
        <v>10</v>
      </c>
      <c r="G94" t="s">
        <v>213</v>
      </c>
      <c r="H94">
        <v>2</v>
      </c>
      <c r="I94" t="s">
        <v>214</v>
      </c>
      <c r="J94" t="s">
        <v>81</v>
      </c>
      <c r="K94">
        <v>1</v>
      </c>
      <c r="L94" t="s">
        <v>145</v>
      </c>
      <c r="M94">
        <v>50</v>
      </c>
      <c r="N94" s="72">
        <v>44197</v>
      </c>
      <c r="O94" s="72"/>
      <c r="Q94" t="s">
        <v>81</v>
      </c>
      <c r="R94">
        <v>1</v>
      </c>
    </row>
    <row r="95" spans="1:18" x14ac:dyDescent="0.25">
      <c r="A95" t="str">
        <f>TableMCDESIGN[[#This Row],[Study Package Code]]</f>
        <v>Option</v>
      </c>
      <c r="B95" s="5">
        <f>TableMCDESIGN[[#This Row],[Ver]]</f>
        <v>0</v>
      </c>
      <c r="D95" t="str">
        <f>TableMCDESIGN[[#This Row],[Structure Line]]</f>
        <v>Choose an optional unit</v>
      </c>
      <c r="E95" s="33">
        <f>TableMCDESIGN[[#This Row],[Credit Points]]</f>
        <v>50</v>
      </c>
      <c r="F95">
        <v>11</v>
      </c>
      <c r="G95" t="s">
        <v>68</v>
      </c>
      <c r="H95">
        <v>2</v>
      </c>
      <c r="I95" t="s">
        <v>225</v>
      </c>
      <c r="J95" t="s">
        <v>68</v>
      </c>
      <c r="K95">
        <v>0</v>
      </c>
      <c r="L95" t="s">
        <v>224</v>
      </c>
      <c r="M95">
        <v>50</v>
      </c>
      <c r="N95" s="72"/>
      <c r="O95" s="72"/>
      <c r="Q95" t="s">
        <v>68</v>
      </c>
      <c r="R95">
        <v>0</v>
      </c>
    </row>
    <row r="96" spans="1:18" x14ac:dyDescent="0.25">
      <c r="A96" t="str">
        <f>TableMCDESIGN[[#This Row],[Study Package Code]]</f>
        <v>GRDE6004</v>
      </c>
      <c r="B96" s="5">
        <f>TableMCDESIGN[[#This Row],[Ver]]</f>
        <v>1</v>
      </c>
      <c r="D96" t="str">
        <f>TableMCDESIGN[[#This Row],[Structure Line]]</f>
        <v>Design Capstone Project and Exhibition</v>
      </c>
      <c r="E96" s="33">
        <f>TableMCDESIGN[[#This Row],[Credit Points]]</f>
        <v>50</v>
      </c>
      <c r="F96">
        <v>12</v>
      </c>
      <c r="G96" t="s">
        <v>213</v>
      </c>
      <c r="H96">
        <v>2</v>
      </c>
      <c r="I96" t="s">
        <v>223</v>
      </c>
      <c r="J96" t="s">
        <v>84</v>
      </c>
      <c r="K96">
        <v>1</v>
      </c>
      <c r="L96" t="s">
        <v>148</v>
      </c>
      <c r="M96">
        <v>50</v>
      </c>
      <c r="N96" s="72">
        <v>44197</v>
      </c>
      <c r="O96" s="72"/>
      <c r="Q96" t="s">
        <v>84</v>
      </c>
      <c r="R96">
        <v>1</v>
      </c>
    </row>
    <row r="97" spans="1:18" x14ac:dyDescent="0.25">
      <c r="A97" t="str">
        <f>TableMCDESIGN[[#This Row],[Study Package Code]]</f>
        <v>GRDE6003</v>
      </c>
      <c r="B97" s="5">
        <f>TableMCDESIGN[[#This Row],[Ver]]</f>
        <v>1</v>
      </c>
      <c r="D97" t="str">
        <f>TableMCDESIGN[[#This Row],[Structure Line]]</f>
        <v>Meaningful Design</v>
      </c>
      <c r="E97" s="33">
        <f>TableMCDESIGN[[#This Row],[Credit Points]]</f>
        <v>25</v>
      </c>
      <c r="F97">
        <v>13</v>
      </c>
      <c r="G97" t="s">
        <v>213</v>
      </c>
      <c r="H97">
        <v>2</v>
      </c>
      <c r="I97" t="s">
        <v>223</v>
      </c>
      <c r="J97" t="s">
        <v>79</v>
      </c>
      <c r="K97">
        <v>1</v>
      </c>
      <c r="L97" t="s">
        <v>147</v>
      </c>
      <c r="M97">
        <v>25</v>
      </c>
      <c r="N97" s="72">
        <v>44197</v>
      </c>
      <c r="O97" s="72"/>
      <c r="Q97" t="s">
        <v>79</v>
      </c>
      <c r="R97">
        <v>1</v>
      </c>
    </row>
    <row r="98" spans="1:18" x14ac:dyDescent="0.25">
      <c r="A98" t="str">
        <f>TableMCDESIGN[[#This Row],[Study Package Code]]</f>
        <v>GRDE6006</v>
      </c>
      <c r="B98" s="5">
        <f>TableMCDESIGN[[#This Row],[Ver]]</f>
        <v>1</v>
      </c>
      <c r="D98" t="str">
        <f>TableMCDESIGN[[#This Row],[Structure Line]]</f>
        <v>Design Futures</v>
      </c>
      <c r="E98" s="33">
        <f>TableMCDESIGN[[#This Row],[Credit Points]]</f>
        <v>25</v>
      </c>
      <c r="F98">
        <v>14</v>
      </c>
      <c r="G98" t="s">
        <v>213</v>
      </c>
      <c r="H98">
        <v>2</v>
      </c>
      <c r="I98" t="s">
        <v>223</v>
      </c>
      <c r="J98" t="s">
        <v>80</v>
      </c>
      <c r="K98">
        <v>1</v>
      </c>
      <c r="L98" t="s">
        <v>150</v>
      </c>
      <c r="M98">
        <v>25</v>
      </c>
      <c r="N98" s="72">
        <v>44197</v>
      </c>
      <c r="O98" s="72"/>
      <c r="Q98" t="s">
        <v>80</v>
      </c>
      <c r="R98">
        <v>1</v>
      </c>
    </row>
    <row r="99" spans="1:18" x14ac:dyDescent="0.25">
      <c r="A99" t="str">
        <f>TableMCDESIGN[[#This Row],[Study Package Code]]</f>
        <v>ARCH5006</v>
      </c>
      <c r="B99" s="5">
        <f>TableMCDESIGN[[#This Row],[Ver]]</f>
        <v>3</v>
      </c>
      <c r="D99" t="str">
        <f>TableMCDESIGN[[#This Row],[Structure Line]]</f>
        <v>Architecture and Culture Research Topics and Methods</v>
      </c>
      <c r="E99" s="33">
        <f>TableMCDESIGN[[#This Row],[Credit Points]]</f>
        <v>25</v>
      </c>
      <c r="G99" t="s">
        <v>68</v>
      </c>
      <c r="J99" t="s">
        <v>93</v>
      </c>
      <c r="K99">
        <v>3</v>
      </c>
      <c r="L99" t="s">
        <v>133</v>
      </c>
      <c r="M99">
        <v>25</v>
      </c>
      <c r="N99" s="72">
        <v>45108</v>
      </c>
      <c r="O99" s="72"/>
      <c r="Q99" t="s">
        <v>93</v>
      </c>
      <c r="R99">
        <v>3</v>
      </c>
    </row>
    <row r="100" spans="1:18" x14ac:dyDescent="0.25">
      <c r="A100" t="str">
        <f>TableMCDESIGN[[#This Row],[Study Package Code]]</f>
        <v>ARCH5009</v>
      </c>
      <c r="B100" s="5">
        <f>TableMCDESIGN[[#This Row],[Ver]]</f>
        <v>2</v>
      </c>
      <c r="D100" t="str">
        <f>TableMCDESIGN[[#This Row],[Structure Line]]</f>
        <v>Architecture and Culture Research Applications</v>
      </c>
      <c r="E100" s="33">
        <f>TableMCDESIGN[[#This Row],[Credit Points]]</f>
        <v>25</v>
      </c>
      <c r="G100" t="s">
        <v>68</v>
      </c>
      <c r="J100" t="s">
        <v>122</v>
      </c>
      <c r="K100">
        <v>2</v>
      </c>
      <c r="L100" t="s">
        <v>135</v>
      </c>
      <c r="M100">
        <v>25</v>
      </c>
      <c r="N100" s="72">
        <v>43101</v>
      </c>
      <c r="O100" s="72"/>
      <c r="Q100" t="s">
        <v>122</v>
      </c>
      <c r="R100">
        <v>2</v>
      </c>
    </row>
    <row r="101" spans="1:18" x14ac:dyDescent="0.25">
      <c r="A101" t="str">
        <f>TableMCDESIGN[[#This Row],[Study Package Code]]</f>
        <v>ENGR6005</v>
      </c>
      <c r="B101" s="5">
        <f>TableMCDESIGN[[#This Row],[Ver]]</f>
        <v>2</v>
      </c>
      <c r="D101" t="str">
        <f>TableMCDESIGN[[#This Row],[Structure Line]]</f>
        <v>New Product Development</v>
      </c>
      <c r="E101" s="33">
        <f>TableMCDESIGN[[#This Row],[Credit Points]]</f>
        <v>25</v>
      </c>
      <c r="G101" t="s">
        <v>68</v>
      </c>
      <c r="J101" t="s">
        <v>96</v>
      </c>
      <c r="K101">
        <v>2</v>
      </c>
      <c r="L101" t="s">
        <v>137</v>
      </c>
      <c r="M101">
        <v>25</v>
      </c>
      <c r="N101" s="72">
        <v>43831</v>
      </c>
      <c r="O101" s="72"/>
      <c r="Q101" t="s">
        <v>96</v>
      </c>
      <c r="R101">
        <v>2</v>
      </c>
    </row>
    <row r="102" spans="1:18" x14ac:dyDescent="0.25">
      <c r="A102" t="str">
        <f>TableMCDESIGN[[#This Row],[Study Package Code]]</f>
        <v>GEOG5005</v>
      </c>
      <c r="B102" s="5">
        <f>TableMCDESIGN[[#This Row],[Ver]]</f>
        <v>1</v>
      </c>
      <c r="D102" t="str">
        <f>TableMCDESIGN[[#This Row],[Structure Line]]</f>
        <v>Human Geography</v>
      </c>
      <c r="E102" s="33">
        <f>TableMCDESIGN[[#This Row],[Credit Points]]</f>
        <v>25</v>
      </c>
      <c r="G102" t="s">
        <v>68</v>
      </c>
      <c r="J102" t="s">
        <v>99</v>
      </c>
      <c r="K102">
        <v>1</v>
      </c>
      <c r="L102" t="s">
        <v>138</v>
      </c>
      <c r="M102">
        <v>25</v>
      </c>
      <c r="N102" s="72">
        <v>42736</v>
      </c>
      <c r="O102" s="72"/>
      <c r="Q102" t="s">
        <v>99</v>
      </c>
      <c r="R102">
        <v>1</v>
      </c>
    </row>
    <row r="103" spans="1:18" x14ac:dyDescent="0.25">
      <c r="A103" t="str">
        <f>TableMCDESIGN[[#This Row],[Study Package Code]]</f>
        <v>HLPR6001</v>
      </c>
      <c r="B103" s="5">
        <f>TableMCDESIGN[[#This Row],[Ver]]</f>
        <v>1</v>
      </c>
      <c r="D103" t="str">
        <f>TableMCDESIGN[[#This Row],[Structure Line]]</f>
        <v>Health Promotion Strategies and Methods</v>
      </c>
      <c r="E103" s="33">
        <f>TableMCDESIGN[[#This Row],[Credit Points]]</f>
        <v>25</v>
      </c>
      <c r="G103" t="s">
        <v>68</v>
      </c>
      <c r="J103" t="s">
        <v>101</v>
      </c>
      <c r="K103">
        <v>1</v>
      </c>
      <c r="L103" t="s">
        <v>151</v>
      </c>
      <c r="M103">
        <v>25</v>
      </c>
      <c r="N103" s="72">
        <v>42005</v>
      </c>
      <c r="O103" s="72"/>
      <c r="Q103" t="s">
        <v>101</v>
      </c>
      <c r="R103">
        <v>1</v>
      </c>
    </row>
    <row r="104" spans="1:18" x14ac:dyDescent="0.25">
      <c r="A104" t="str">
        <f>TableMCDESIGN[[#This Row],[Study Package Code]]</f>
        <v>HLPR6004</v>
      </c>
      <c r="B104" s="5">
        <f>TableMCDESIGN[[#This Row],[Ver]]</f>
        <v>1</v>
      </c>
      <c r="D104" t="str">
        <f>TableMCDESIGN[[#This Row],[Structure Line]]</f>
        <v>Diversity and Difference in Health Promotion</v>
      </c>
      <c r="E104" s="33">
        <f>TableMCDESIGN[[#This Row],[Credit Points]]</f>
        <v>25</v>
      </c>
      <c r="G104" t="s">
        <v>68</v>
      </c>
      <c r="J104" t="s">
        <v>123</v>
      </c>
      <c r="K104">
        <v>1</v>
      </c>
      <c r="L104" t="s">
        <v>152</v>
      </c>
      <c r="M104">
        <v>25</v>
      </c>
      <c r="N104" s="72">
        <v>42005</v>
      </c>
      <c r="O104" s="72"/>
      <c r="Q104" t="s">
        <v>123</v>
      </c>
      <c r="R104">
        <v>1</v>
      </c>
    </row>
    <row r="105" spans="1:18" x14ac:dyDescent="0.25">
      <c r="A105" t="str">
        <f>TableMCDESIGN[[#This Row],[Study Package Code]]</f>
        <v>INCD5000</v>
      </c>
      <c r="B105" s="5">
        <f>TableMCDESIGN[[#This Row],[Ver]]</f>
        <v>1</v>
      </c>
      <c r="D105" t="str">
        <f>TableMCDESIGN[[#This Row],[Structure Line]]</f>
        <v>Social, Cultural and Historical Contexts of Indigenous Australians</v>
      </c>
      <c r="E105" s="33">
        <f>TableMCDESIGN[[#This Row],[Credit Points]]</f>
        <v>25</v>
      </c>
      <c r="G105" t="s">
        <v>68</v>
      </c>
      <c r="J105" t="s">
        <v>102</v>
      </c>
      <c r="K105">
        <v>1</v>
      </c>
      <c r="L105" t="s">
        <v>153</v>
      </c>
      <c r="M105">
        <v>25</v>
      </c>
      <c r="N105" s="72">
        <v>42005</v>
      </c>
      <c r="O105" s="72"/>
      <c r="Q105" t="s">
        <v>102</v>
      </c>
      <c r="R105">
        <v>1</v>
      </c>
    </row>
    <row r="106" spans="1:18" x14ac:dyDescent="0.25">
      <c r="A106" t="str">
        <f>TableMCDESIGN[[#This Row],[Study Package Code]]</f>
        <v>INDS5001</v>
      </c>
      <c r="B106" s="5">
        <f>TableMCDESIGN[[#This Row],[Ver]]</f>
        <v>1</v>
      </c>
      <c r="D106" t="str">
        <f>TableMCDESIGN[[#This Row],[Structure Line]]</f>
        <v>Introduction to Indigenous Australians</v>
      </c>
      <c r="E106" s="33">
        <f>TableMCDESIGN[[#This Row],[Credit Points]]</f>
        <v>25</v>
      </c>
      <c r="G106" t="s">
        <v>68</v>
      </c>
      <c r="J106" t="s">
        <v>103</v>
      </c>
      <c r="K106">
        <v>1</v>
      </c>
      <c r="L106" t="s">
        <v>154</v>
      </c>
      <c r="M106">
        <v>25</v>
      </c>
      <c r="N106" s="72">
        <v>42005</v>
      </c>
      <c r="O106" s="72"/>
      <c r="Q106" t="s">
        <v>103</v>
      </c>
      <c r="R106">
        <v>1</v>
      </c>
    </row>
    <row r="107" spans="1:18" x14ac:dyDescent="0.25">
      <c r="A107" t="str">
        <f>TableMCDESIGN[[#This Row],[Study Package Code]]</f>
        <v>INDS5005</v>
      </c>
      <c r="B107" s="5">
        <f>TableMCDESIGN[[#This Row],[Ver]]</f>
        <v>3</v>
      </c>
      <c r="D107" t="str">
        <f>TableMCDESIGN[[#This Row],[Structure Line]]</f>
        <v>On-Country Learning, Exploring Indigenous Australian Knowledges</v>
      </c>
      <c r="E107" s="33">
        <f>TableMCDESIGN[[#This Row],[Credit Points]]</f>
        <v>25</v>
      </c>
      <c r="G107" t="s">
        <v>68</v>
      </c>
      <c r="J107" t="s">
        <v>104</v>
      </c>
      <c r="K107">
        <v>3</v>
      </c>
      <c r="L107" t="s">
        <v>216</v>
      </c>
      <c r="M107">
        <v>25</v>
      </c>
      <c r="N107" s="72">
        <v>45108</v>
      </c>
      <c r="O107" s="72"/>
      <c r="Q107" t="s">
        <v>104</v>
      </c>
      <c r="R107">
        <v>3</v>
      </c>
    </row>
    <row r="108" spans="1:18" x14ac:dyDescent="0.25">
      <c r="A108" t="str">
        <f>TableMCDESIGN[[#This Row],[Study Package Code]]</f>
        <v>MKTG5006</v>
      </c>
      <c r="B108" s="5">
        <f>TableMCDESIGN[[#This Row],[Ver]]</f>
        <v>2</v>
      </c>
      <c r="D108" t="str">
        <f>TableMCDESIGN[[#This Row],[Structure Line]]</f>
        <v>Marketing Intelligence and Analytics</v>
      </c>
      <c r="E108" s="33">
        <f>TableMCDESIGN[[#This Row],[Credit Points]]</f>
        <v>25</v>
      </c>
      <c r="G108" t="s">
        <v>68</v>
      </c>
      <c r="J108" t="s">
        <v>105</v>
      </c>
      <c r="K108">
        <v>2</v>
      </c>
      <c r="L108" t="s">
        <v>158</v>
      </c>
      <c r="M108">
        <v>25</v>
      </c>
      <c r="N108" s="72">
        <v>43466</v>
      </c>
      <c r="O108" s="72"/>
      <c r="Q108" t="s">
        <v>105</v>
      </c>
      <c r="R108">
        <v>2</v>
      </c>
    </row>
    <row r="109" spans="1:18" x14ac:dyDescent="0.25">
      <c r="A109" t="str">
        <f>TableMCDESIGN[[#This Row],[Study Package Code]]</f>
        <v>MKTG5007</v>
      </c>
      <c r="B109" s="5">
        <f>TableMCDESIGN[[#This Row],[Ver]]</f>
        <v>3</v>
      </c>
      <c r="D109" t="str">
        <f>TableMCDESIGN[[#This Row],[Structure Line]]</f>
        <v>Consumer Behaviour and Innovation</v>
      </c>
      <c r="E109" s="33">
        <f>TableMCDESIGN[[#This Row],[Credit Points]]</f>
        <v>25</v>
      </c>
      <c r="G109" t="s">
        <v>68</v>
      </c>
      <c r="J109" t="s">
        <v>106</v>
      </c>
      <c r="K109">
        <v>3</v>
      </c>
      <c r="L109" t="s">
        <v>159</v>
      </c>
      <c r="M109">
        <v>25</v>
      </c>
      <c r="N109" s="72">
        <v>45658</v>
      </c>
      <c r="O109" s="72"/>
      <c r="Q109" t="s">
        <v>106</v>
      </c>
      <c r="R109">
        <v>2</v>
      </c>
    </row>
    <row r="110" spans="1:18" x14ac:dyDescent="0.25">
      <c r="A110" t="str">
        <f>TableMCDESIGN[[#This Row],[Study Package Code]]</f>
        <v>MKTG6006</v>
      </c>
      <c r="B110" s="5">
        <f>TableMCDESIGN[[#This Row],[Ver]]</f>
        <v>1</v>
      </c>
      <c r="D110" t="str">
        <f>TableMCDESIGN[[#This Row],[Structure Line]]</f>
        <v>Digital and Interactive Marketing</v>
      </c>
      <c r="E110" s="33">
        <f>TableMCDESIGN[[#This Row],[Credit Points]]</f>
        <v>25</v>
      </c>
      <c r="G110" t="s">
        <v>68</v>
      </c>
      <c r="J110" t="s">
        <v>107</v>
      </c>
      <c r="K110">
        <v>1</v>
      </c>
      <c r="L110" t="s">
        <v>162</v>
      </c>
      <c r="M110">
        <v>25</v>
      </c>
      <c r="N110" s="72">
        <v>42005</v>
      </c>
      <c r="O110" s="72"/>
      <c r="Q110" t="s">
        <v>107</v>
      </c>
      <c r="R110">
        <v>1</v>
      </c>
    </row>
    <row r="111" spans="1:18" x14ac:dyDescent="0.25">
      <c r="A111" t="str">
        <f>TableMCDESIGN[[#This Row],[Study Package Code]]</f>
        <v>NETS5001</v>
      </c>
      <c r="B111" s="5">
        <f>TableMCDESIGN[[#This Row],[Ver]]</f>
        <v>3</v>
      </c>
      <c r="D111" t="str">
        <f>TableMCDESIGN[[#This Row],[Structure Line]]</f>
        <v>Graduate Digital Culture and Everyday Life</v>
      </c>
      <c r="E111" s="33">
        <f>TableMCDESIGN[[#This Row],[Credit Points]]</f>
        <v>25</v>
      </c>
      <c r="G111" t="s">
        <v>68</v>
      </c>
      <c r="J111" t="s">
        <v>108</v>
      </c>
      <c r="K111">
        <v>3</v>
      </c>
      <c r="L111" t="s">
        <v>163</v>
      </c>
      <c r="M111">
        <v>25</v>
      </c>
      <c r="N111" s="72">
        <v>45658</v>
      </c>
      <c r="O111" s="72"/>
      <c r="Q111" t="s">
        <v>108</v>
      </c>
      <c r="R111">
        <v>2</v>
      </c>
    </row>
    <row r="112" spans="1:18" x14ac:dyDescent="0.25">
      <c r="A112" t="str">
        <f>TableMCDESIGN[[#This Row],[Study Package Code]]</f>
        <v>NETS5003</v>
      </c>
      <c r="B112" s="5">
        <f>TableMCDESIGN[[#This Row],[Ver]]</f>
        <v>4</v>
      </c>
      <c r="D112" t="str">
        <f>TableMCDESIGN[[#This Row],[Structure Line]]</f>
        <v>Graduate Online Power and Resistance</v>
      </c>
      <c r="E112" s="33">
        <f>TableMCDESIGN[[#This Row],[Credit Points]]</f>
        <v>25</v>
      </c>
      <c r="G112" t="s">
        <v>68</v>
      </c>
      <c r="J112" t="s">
        <v>109</v>
      </c>
      <c r="K112">
        <v>4</v>
      </c>
      <c r="L112" t="s">
        <v>166</v>
      </c>
      <c r="M112">
        <v>25</v>
      </c>
      <c r="N112" s="72">
        <v>45658</v>
      </c>
      <c r="O112" s="72"/>
      <c r="Q112" t="s">
        <v>109</v>
      </c>
      <c r="R112">
        <v>3</v>
      </c>
    </row>
    <row r="113" spans="1:18" x14ac:dyDescent="0.25">
      <c r="A113" t="str">
        <f>TableMCDESIGN[[#This Row],[Study Package Code]]</f>
        <v>NETS5004</v>
      </c>
      <c r="B113" s="5">
        <f>TableMCDESIGN[[#This Row],[Ver]]</f>
        <v>3</v>
      </c>
      <c r="D113" t="str">
        <f>TableMCDESIGN[[#This Row],[Structure Line]]</f>
        <v>Graduate Social Media, Communities and Networks</v>
      </c>
      <c r="E113" s="33">
        <f>TableMCDESIGN[[#This Row],[Credit Points]]</f>
        <v>25</v>
      </c>
      <c r="G113" t="s">
        <v>68</v>
      </c>
      <c r="J113" t="s">
        <v>110</v>
      </c>
      <c r="K113">
        <v>3</v>
      </c>
      <c r="L113" t="s">
        <v>169</v>
      </c>
      <c r="M113">
        <v>25</v>
      </c>
      <c r="N113" s="72">
        <v>45658</v>
      </c>
      <c r="O113" s="72"/>
      <c r="Q113" t="s">
        <v>110</v>
      </c>
      <c r="R113">
        <v>2</v>
      </c>
    </row>
    <row r="114" spans="1:18" x14ac:dyDescent="0.25">
      <c r="A114" t="str">
        <f>TableMCDESIGN[[#This Row],[Study Package Code]]</f>
        <v>NETS5005</v>
      </c>
      <c r="B114" s="5">
        <f>TableMCDESIGN[[#This Row],[Ver]]</f>
        <v>3</v>
      </c>
      <c r="D114" t="str">
        <f>TableMCDESIGN[[#This Row],[Structure Line]]</f>
        <v>Graduate Writing on the Web</v>
      </c>
      <c r="E114" s="33">
        <f>TableMCDESIGN[[#This Row],[Credit Points]]</f>
        <v>25</v>
      </c>
      <c r="G114" t="s">
        <v>68</v>
      </c>
      <c r="J114" t="s">
        <v>111</v>
      </c>
      <c r="K114">
        <v>3</v>
      </c>
      <c r="L114" t="s">
        <v>172</v>
      </c>
      <c r="M114">
        <v>25</v>
      </c>
      <c r="N114" s="72">
        <v>45658</v>
      </c>
      <c r="O114" s="72"/>
      <c r="Q114" t="s">
        <v>111</v>
      </c>
      <c r="R114">
        <v>2</v>
      </c>
    </row>
    <row r="115" spans="1:18" x14ac:dyDescent="0.25">
      <c r="A115" t="str">
        <f>TableMCDESIGN[[#This Row],[Study Package Code]]</f>
        <v>NETS5006</v>
      </c>
      <c r="B115" s="5">
        <f>TableMCDESIGN[[#This Row],[Ver]]</f>
        <v>3</v>
      </c>
      <c r="D115" t="str">
        <f>TableMCDESIGN[[#This Row],[Structure Line]]</f>
        <v>Graduate The Digital Economy</v>
      </c>
      <c r="E115" s="33">
        <f>TableMCDESIGN[[#This Row],[Credit Points]]</f>
        <v>25</v>
      </c>
      <c r="G115" t="s">
        <v>68</v>
      </c>
      <c r="J115" t="s">
        <v>112</v>
      </c>
      <c r="K115">
        <v>3</v>
      </c>
      <c r="L115" t="s">
        <v>175</v>
      </c>
      <c r="M115">
        <v>25</v>
      </c>
      <c r="N115" s="72">
        <v>45658</v>
      </c>
      <c r="O115" s="72"/>
      <c r="Q115" t="s">
        <v>112</v>
      </c>
      <c r="R115">
        <v>2</v>
      </c>
    </row>
    <row r="116" spans="1:18" x14ac:dyDescent="0.25">
      <c r="A116" t="str">
        <f>TableMCDESIGN[[#This Row],[Study Package Code]]</f>
        <v>NETS5007</v>
      </c>
      <c r="B116" s="5">
        <f>TableMCDESIGN[[#This Row],[Ver]]</f>
        <v>3</v>
      </c>
      <c r="D116" t="str">
        <f>TableMCDESIGN[[#This Row],[Structure Line]]</f>
        <v>Graduate Technology, Innovation and Societies</v>
      </c>
      <c r="E116" s="33">
        <f>TableMCDESIGN[[#This Row],[Credit Points]]</f>
        <v>25</v>
      </c>
      <c r="G116" t="s">
        <v>68</v>
      </c>
      <c r="J116" t="s">
        <v>113</v>
      </c>
      <c r="K116">
        <v>3</v>
      </c>
      <c r="L116" t="s">
        <v>178</v>
      </c>
      <c r="M116">
        <v>25</v>
      </c>
      <c r="N116" s="72">
        <v>45658</v>
      </c>
      <c r="O116" s="72"/>
      <c r="Q116" t="s">
        <v>113</v>
      </c>
      <c r="R116">
        <v>2</v>
      </c>
    </row>
    <row r="117" spans="1:18" x14ac:dyDescent="0.25">
      <c r="A117" t="str">
        <f>TableMCDESIGN[[#This Row],[Study Package Code]]</f>
        <v>NETS5009</v>
      </c>
      <c r="B117" s="5">
        <f>TableMCDESIGN[[#This Row],[Ver]]</f>
        <v>4</v>
      </c>
      <c r="D117" t="str">
        <f>TableMCDESIGN[[#This Row],[Structure Line]]</f>
        <v>Graduate Digital Creation Capstone</v>
      </c>
      <c r="E117" s="33">
        <f>TableMCDESIGN[[#This Row],[Credit Points]]</f>
        <v>25</v>
      </c>
      <c r="G117" t="s">
        <v>68</v>
      </c>
      <c r="J117" t="s">
        <v>114</v>
      </c>
      <c r="K117">
        <v>4</v>
      </c>
      <c r="L117" t="s">
        <v>181</v>
      </c>
      <c r="M117">
        <v>25</v>
      </c>
      <c r="N117" s="72">
        <v>45658</v>
      </c>
      <c r="O117" s="72"/>
      <c r="Q117" t="s">
        <v>114</v>
      </c>
      <c r="R117">
        <v>3</v>
      </c>
    </row>
    <row r="118" spans="1:18" x14ac:dyDescent="0.25">
      <c r="A118" t="str">
        <f>TableMCDESIGN[[#This Row],[Study Package Code]]</f>
        <v>NETS5010</v>
      </c>
      <c r="B118" s="5">
        <f>TableMCDESIGN[[#This Row],[Ver]]</f>
        <v>2</v>
      </c>
      <c r="D118" t="str">
        <f>TableMCDESIGN[[#This Row],[Structure Line]]</f>
        <v>Graduate Web Media</v>
      </c>
      <c r="E118" s="33">
        <f>TableMCDESIGN[[#This Row],[Credit Points]]</f>
        <v>25</v>
      </c>
      <c r="G118" t="s">
        <v>68</v>
      </c>
      <c r="J118" t="s">
        <v>115</v>
      </c>
      <c r="K118">
        <v>2</v>
      </c>
      <c r="L118" t="s">
        <v>184</v>
      </c>
      <c r="M118">
        <v>25</v>
      </c>
      <c r="N118" s="72">
        <v>45658</v>
      </c>
      <c r="O118" s="72"/>
      <c r="Q118" t="s">
        <v>115</v>
      </c>
      <c r="R118">
        <v>1</v>
      </c>
    </row>
    <row r="119" spans="1:18" x14ac:dyDescent="0.25">
      <c r="A119" t="str">
        <f>TableMCDESIGN[[#This Row],[Study Package Code]]</f>
        <v>NETS5011</v>
      </c>
      <c r="B119" s="5">
        <f>TableMCDESIGN[[#This Row],[Ver]]</f>
        <v>4</v>
      </c>
      <c r="D119" t="str">
        <f>TableMCDESIGN[[#This Row],[Structure Line]]</f>
        <v>Graduate Online Games and Play</v>
      </c>
      <c r="E119" s="33">
        <f>TableMCDESIGN[[#This Row],[Credit Points]]</f>
        <v>25</v>
      </c>
      <c r="G119" t="s">
        <v>68</v>
      </c>
      <c r="J119" t="s">
        <v>116</v>
      </c>
      <c r="K119">
        <v>4</v>
      </c>
      <c r="L119" t="s">
        <v>187</v>
      </c>
      <c r="M119">
        <v>25</v>
      </c>
      <c r="N119" s="72">
        <v>45658</v>
      </c>
      <c r="O119" s="72"/>
      <c r="Q119" t="s">
        <v>116</v>
      </c>
      <c r="R119">
        <v>3</v>
      </c>
    </row>
    <row r="120" spans="1:18" x14ac:dyDescent="0.25">
      <c r="A120" t="str">
        <f>TableMCDESIGN[[#This Row],[Study Package Code]]</f>
        <v>PRJM6000</v>
      </c>
      <c r="B120" s="5">
        <f>TableMCDESIGN[[#This Row],[Ver]]</f>
        <v>1</v>
      </c>
      <c r="D120" t="str">
        <f>TableMCDESIGN[[#This Row],[Structure Line]]</f>
        <v>Project Management Overview</v>
      </c>
      <c r="E120" s="33">
        <f>TableMCDESIGN[[#This Row],[Credit Points]]</f>
        <v>25</v>
      </c>
      <c r="G120" t="s">
        <v>68</v>
      </c>
      <c r="J120" t="s">
        <v>117</v>
      </c>
      <c r="K120">
        <v>1</v>
      </c>
      <c r="L120" t="s">
        <v>193</v>
      </c>
      <c r="M120">
        <v>25</v>
      </c>
      <c r="N120" s="72">
        <v>42005</v>
      </c>
      <c r="O120" s="72"/>
      <c r="Q120" t="s">
        <v>117</v>
      </c>
      <c r="R120">
        <v>1</v>
      </c>
    </row>
    <row r="121" spans="1:18" x14ac:dyDescent="0.25">
      <c r="A121" t="str">
        <f>TableMCDESIGN[[#This Row],[Study Package Code]]</f>
        <v>PRJM6001</v>
      </c>
      <c r="B121" s="5">
        <f>TableMCDESIGN[[#This Row],[Ver]]</f>
        <v>1</v>
      </c>
      <c r="D121" t="str">
        <f>TableMCDESIGN[[#This Row],[Structure Line]]</f>
        <v>Project Cost Management</v>
      </c>
      <c r="E121" s="33">
        <f>TableMCDESIGN[[#This Row],[Credit Points]]</f>
        <v>25</v>
      </c>
      <c r="G121" t="s">
        <v>68</v>
      </c>
      <c r="J121" t="s">
        <v>118</v>
      </c>
      <c r="K121">
        <v>1</v>
      </c>
      <c r="L121" t="s">
        <v>194</v>
      </c>
      <c r="M121">
        <v>25</v>
      </c>
      <c r="N121" s="72">
        <v>42005</v>
      </c>
      <c r="O121" s="72"/>
      <c r="Q121" t="s">
        <v>118</v>
      </c>
      <c r="R121">
        <v>1</v>
      </c>
    </row>
    <row r="122" spans="1:18" x14ac:dyDescent="0.25">
      <c r="A122" t="str">
        <f>TableMCDESIGN[[#This Row],[Study Package Code]]</f>
        <v>PRJM6010</v>
      </c>
      <c r="B122" s="5">
        <f>TableMCDESIGN[[#This Row],[Ver]]</f>
        <v>1</v>
      </c>
      <c r="D122" t="str">
        <f>TableMCDESIGN[[#This Row],[Structure Line]]</f>
        <v>Project and People</v>
      </c>
      <c r="E122" s="33">
        <f>TableMCDESIGN[[#This Row],[Credit Points]]</f>
        <v>25</v>
      </c>
      <c r="G122" t="s">
        <v>68</v>
      </c>
      <c r="J122" t="s">
        <v>119</v>
      </c>
      <c r="K122">
        <v>1</v>
      </c>
      <c r="L122" t="s">
        <v>195</v>
      </c>
      <c r="M122">
        <v>25</v>
      </c>
      <c r="N122" s="72">
        <v>42005</v>
      </c>
      <c r="O122" s="72"/>
      <c r="Q122" t="s">
        <v>119</v>
      </c>
      <c r="R122">
        <v>1</v>
      </c>
    </row>
    <row r="123" spans="1:18" x14ac:dyDescent="0.25">
      <c r="A123" t="str">
        <f>TableMCDESIGN[[#This Row],[Study Package Code]]</f>
        <v>PUBH6003</v>
      </c>
      <c r="B123" s="5">
        <f>TableMCDESIGN[[#This Row],[Ver]]</f>
        <v>2</v>
      </c>
      <c r="D123" t="str">
        <f>TableMCDESIGN[[#This Row],[Structure Line]]</f>
        <v>Health Policy and Decision Making</v>
      </c>
      <c r="E123" s="33">
        <f>TableMCDESIGN[[#This Row],[Credit Points]]</f>
        <v>25</v>
      </c>
      <c r="G123" t="s">
        <v>68</v>
      </c>
      <c r="J123" t="s">
        <v>120</v>
      </c>
      <c r="K123">
        <v>2</v>
      </c>
      <c r="L123" t="s">
        <v>196</v>
      </c>
      <c r="M123">
        <v>25</v>
      </c>
      <c r="N123" s="72">
        <v>42736</v>
      </c>
      <c r="O123" s="72"/>
      <c r="Q123" t="s">
        <v>120</v>
      </c>
      <c r="R123">
        <v>2</v>
      </c>
    </row>
    <row r="124" spans="1:18" x14ac:dyDescent="0.25">
      <c r="A124" t="str">
        <f>TableMCDESIGN[[#This Row],[Study Package Code]]</f>
        <v>SUST5005</v>
      </c>
      <c r="B124" s="5">
        <f>TableMCDESIGN[[#This Row],[Ver]]</f>
        <v>2</v>
      </c>
      <c r="D124" t="str">
        <f>TableMCDESIGN[[#This Row],[Structure Line]]</f>
        <v>Future Cities</v>
      </c>
      <c r="E124" s="33">
        <f>TableMCDESIGN[[#This Row],[Credit Points]]</f>
        <v>25</v>
      </c>
      <c r="G124" t="s">
        <v>68</v>
      </c>
      <c r="J124" t="s">
        <v>121</v>
      </c>
      <c r="K124">
        <v>2</v>
      </c>
      <c r="L124" t="s">
        <v>197</v>
      </c>
      <c r="M124">
        <v>25</v>
      </c>
      <c r="N124" s="72">
        <v>43831</v>
      </c>
      <c r="O124" s="72"/>
      <c r="Q124" t="s">
        <v>121</v>
      </c>
      <c r="R124">
        <v>2</v>
      </c>
    </row>
    <row r="125" spans="1:18" x14ac:dyDescent="0.25">
      <c r="A125" t="str">
        <f>TableMCDESIGN[[#This Row],[Study Package Code]]</f>
        <v>URDE6006</v>
      </c>
      <c r="B125" s="5">
        <f>TableMCDESIGN[[#This Row],[Ver]]</f>
        <v>1</v>
      </c>
      <c r="D125" t="str">
        <f>TableMCDESIGN[[#This Row],[Structure Line]]</f>
        <v>Design and Built Environment Research Methods</v>
      </c>
      <c r="E125" s="33">
        <f>TableMCDESIGN[[#This Row],[Credit Points]]</f>
        <v>25</v>
      </c>
      <c r="G125" t="s">
        <v>68</v>
      </c>
      <c r="J125" t="s">
        <v>94</v>
      </c>
      <c r="K125">
        <v>1</v>
      </c>
      <c r="L125" t="s">
        <v>226</v>
      </c>
      <c r="M125">
        <v>25</v>
      </c>
      <c r="N125" s="72">
        <v>44562</v>
      </c>
      <c r="O125" s="72"/>
      <c r="Q125" t="s">
        <v>94</v>
      </c>
      <c r="R125">
        <v>1</v>
      </c>
    </row>
    <row r="126" spans="1:18" x14ac:dyDescent="0.25">
      <c r="A126">
        <f>TableMCDESIGN[[#This Row],[Study Package Code]]</f>
        <v>0</v>
      </c>
      <c r="B126" s="5">
        <f>TableMCDESIGN[[#This Row],[Ver]]</f>
        <v>0</v>
      </c>
      <c r="D126">
        <f>TableMCDESIGN[[#This Row],[Structure Line]]</f>
        <v>0</v>
      </c>
      <c r="E126" s="33">
        <f>TableMCDESIGN[[#This Row],[Credit Points]]</f>
        <v>0</v>
      </c>
      <c r="N126" s="72"/>
      <c r="O126" s="72"/>
      <c r="Q126" t="s">
        <v>217</v>
      </c>
      <c r="R126">
        <v>3</v>
      </c>
    </row>
    <row r="127" spans="1:18" x14ac:dyDescent="0.25">
      <c r="A127">
        <f>TableMCDESIGN[[#This Row],[Study Package Code]]</f>
        <v>0</v>
      </c>
      <c r="B127" s="5">
        <f>TableMCDESIGN[[#This Row],[Ver]]</f>
        <v>0</v>
      </c>
      <c r="D127">
        <f>TableMCDESIGN[[#This Row],[Structure Line]]</f>
        <v>0</v>
      </c>
      <c r="E127" s="33">
        <f>TableMCDESIGN[[#This Row],[Credit Points]]</f>
        <v>0</v>
      </c>
      <c r="N127" s="72"/>
      <c r="O127" s="72"/>
      <c r="Q127" t="s">
        <v>218</v>
      </c>
      <c r="R127">
        <v>1</v>
      </c>
    </row>
    <row r="128" spans="1:18" x14ac:dyDescent="0.25">
      <c r="A128">
        <f>TableMCDESIGN[[#This Row],[Study Package Code]]</f>
        <v>0</v>
      </c>
      <c r="B128" s="5">
        <f>TableMCDESIGN[[#This Row],[Ver]]</f>
        <v>0</v>
      </c>
      <c r="D128">
        <f>TableMCDESIGN[[#This Row],[Structure Line]]</f>
        <v>0</v>
      </c>
      <c r="E128" s="33">
        <f>TableMCDESIGN[[#This Row],[Credit Points]]</f>
        <v>0</v>
      </c>
      <c r="N128" s="72"/>
      <c r="O128" s="72"/>
      <c r="Q128" t="s">
        <v>219</v>
      </c>
      <c r="R128">
        <v>4</v>
      </c>
    </row>
    <row r="129" spans="1:18" x14ac:dyDescent="0.25">
      <c r="A129">
        <f>TableMCDESIGN[[#This Row],[Study Package Code]]</f>
        <v>0</v>
      </c>
      <c r="B129" s="5">
        <f>TableMCDESIGN[[#This Row],[Ver]]</f>
        <v>0</v>
      </c>
      <c r="D129">
        <f>TableMCDESIGN[[#This Row],[Structure Line]]</f>
        <v>0</v>
      </c>
      <c r="E129" s="33">
        <f>TableMCDESIGN[[#This Row],[Credit Points]]</f>
        <v>0</v>
      </c>
      <c r="N129" s="72"/>
      <c r="O129" s="72"/>
      <c r="Q129" t="s">
        <v>220</v>
      </c>
      <c r="R129">
        <v>3</v>
      </c>
    </row>
    <row r="130" spans="1:18" x14ac:dyDescent="0.25">
      <c r="A130">
        <f>TableMCDESIGN[[#This Row],[Study Package Code]]</f>
        <v>0</v>
      </c>
      <c r="B130" s="5">
        <f>TableMCDESIGN[[#This Row],[Ver]]</f>
        <v>0</v>
      </c>
      <c r="D130">
        <f>TableMCDESIGN[[#This Row],[Structure Line]]</f>
        <v>0</v>
      </c>
      <c r="E130" s="33">
        <f>TableMCDESIGN[[#This Row],[Credit Points]]</f>
        <v>0</v>
      </c>
      <c r="N130" s="72"/>
      <c r="O130" s="72"/>
      <c r="Q130" t="s">
        <v>221</v>
      </c>
      <c r="R130">
        <v>2</v>
      </c>
    </row>
    <row r="131" spans="1:18" x14ac:dyDescent="0.25">
      <c r="A131">
        <f>TableMCDESIGN[[#This Row],[Study Package Code]]</f>
        <v>0</v>
      </c>
      <c r="B131" s="5">
        <f>TableMCDESIGN[[#This Row],[Ver]]</f>
        <v>0</v>
      </c>
      <c r="D131">
        <f>TableMCDESIGN[[#This Row],[Structure Line]]</f>
        <v>0</v>
      </c>
      <c r="E131" s="33">
        <f>TableMCDESIGN[[#This Row],[Credit Points]]</f>
        <v>0</v>
      </c>
      <c r="N131" s="72"/>
      <c r="O131" s="72"/>
      <c r="Q131" t="s">
        <v>222</v>
      </c>
      <c r="R131">
        <v>1</v>
      </c>
    </row>
  </sheetData>
  <conditionalFormatting sqref="J3:J39">
    <cfRule type="duplicateValues" dxfId="10" priority="85"/>
  </conditionalFormatting>
  <conditionalFormatting sqref="J42:J81">
    <cfRule type="duplicateValues" dxfId="9" priority="6"/>
  </conditionalFormatting>
  <conditionalFormatting sqref="J85:J131">
    <cfRule type="duplicateValues" dxfId="8" priority="3"/>
  </conditionalFormatting>
  <conditionalFormatting sqref="N3:N38">
    <cfRule type="cellIs" dxfId="7" priority="7" operator="greaterThan">
      <formula>$P$1</formula>
    </cfRule>
  </conditionalFormatting>
  <conditionalFormatting sqref="N42:N81">
    <cfRule type="cellIs" dxfId="6" priority="4" operator="greaterThan">
      <formula>$P$1</formula>
    </cfRule>
  </conditionalFormatting>
  <conditionalFormatting sqref="N85:N131">
    <cfRule type="cellIs" dxfId="5" priority="1" operator="greaterThan">
      <formula>$P$1</formula>
    </cfRule>
  </conditionalFormatting>
  <conditionalFormatting sqref="O3:O38">
    <cfRule type="notContainsBlanks" dxfId="4" priority="13">
      <formula>LEN(TRIM(O3))&gt;0</formula>
    </cfRule>
  </conditionalFormatting>
  <conditionalFormatting sqref="O42:O81">
    <cfRule type="notContainsBlanks" dxfId="3" priority="5">
      <formula>LEN(TRIM(O42))&gt;0</formula>
    </cfRule>
  </conditionalFormatting>
  <conditionalFormatting sqref="O85:O131">
    <cfRule type="notContainsBlanks" dxfId="2" priority="2">
      <formula>LEN(TRIM(O85))&gt;0</formula>
    </cfRule>
  </conditionalFormatting>
  <conditionalFormatting sqref="Q2:R39 Q41:R81 Q84:R131">
    <cfRule type="expression" dxfId="1" priority="10">
      <formula>Q2&lt;&gt;J2</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workbookViewId="0">
      <selection activeCell="A27" sqref="A27"/>
    </sheetView>
  </sheetViews>
  <sheetFormatPr defaultRowHeight="15.75" x14ac:dyDescent="0.25"/>
  <cols>
    <col min="1" max="1" width="12.375" bestFit="1" customWidth="1"/>
    <col min="2" max="5" width="5.375" bestFit="1" customWidth="1"/>
    <col min="6" max="6" width="11.5" bestFit="1" customWidth="1"/>
    <col min="7" max="7" width="9.375" bestFit="1" customWidth="1"/>
    <col min="8" max="8" width="9.75" bestFit="1" customWidth="1"/>
    <col min="9" max="12" width="1.875" bestFit="1" customWidth="1"/>
  </cols>
  <sheetData>
    <row r="1" spans="1:11" x14ac:dyDescent="0.25">
      <c r="F1" s="76" t="s">
        <v>201</v>
      </c>
      <c r="G1" s="77">
        <v>45573</v>
      </c>
    </row>
    <row r="2" spans="1:11" ht="72" x14ac:dyDescent="0.25">
      <c r="A2" t="s">
        <v>227</v>
      </c>
      <c r="B2" s="85" t="s">
        <v>228</v>
      </c>
      <c r="C2" s="85" t="s">
        <v>229</v>
      </c>
      <c r="D2" s="85" t="s">
        <v>230</v>
      </c>
      <c r="E2" s="85" t="s">
        <v>231</v>
      </c>
    </row>
    <row r="3" spans="1:11" x14ac:dyDescent="0.25">
      <c r="A3" t="s">
        <v>93</v>
      </c>
      <c r="B3" s="5">
        <v>1</v>
      </c>
      <c r="C3" s="5"/>
      <c r="D3" s="5"/>
      <c r="E3" s="5"/>
      <c r="H3" t="s">
        <v>93</v>
      </c>
      <c r="I3">
        <v>1</v>
      </c>
    </row>
    <row r="4" spans="1:11" x14ac:dyDescent="0.25">
      <c r="A4" t="s">
        <v>96</v>
      </c>
      <c r="B4" s="5">
        <v>1</v>
      </c>
      <c r="C4" s="5"/>
      <c r="D4" s="5">
        <v>1</v>
      </c>
      <c r="E4" s="5"/>
      <c r="H4" t="s">
        <v>96</v>
      </c>
      <c r="I4">
        <v>1</v>
      </c>
      <c r="K4">
        <v>1</v>
      </c>
    </row>
    <row r="5" spans="1:11" x14ac:dyDescent="0.25">
      <c r="A5" t="s">
        <v>99</v>
      </c>
      <c r="B5" s="5">
        <v>1</v>
      </c>
      <c r="C5" s="5"/>
      <c r="D5" s="5"/>
      <c r="E5" s="5"/>
      <c r="H5" t="s">
        <v>99</v>
      </c>
      <c r="I5">
        <v>1</v>
      </c>
    </row>
    <row r="6" spans="1:11" x14ac:dyDescent="0.25">
      <c r="A6" t="s">
        <v>63</v>
      </c>
      <c r="B6" s="5">
        <v>1</v>
      </c>
      <c r="C6" s="5"/>
      <c r="D6" s="5"/>
      <c r="E6" s="5"/>
      <c r="H6" t="s">
        <v>63</v>
      </c>
      <c r="I6">
        <v>1</v>
      </c>
    </row>
    <row r="7" spans="1:11" x14ac:dyDescent="0.25">
      <c r="A7" t="s">
        <v>48</v>
      </c>
      <c r="B7" s="5">
        <v>1</v>
      </c>
      <c r="C7" s="5"/>
      <c r="D7" s="5"/>
      <c r="E7" s="5"/>
      <c r="H7" t="s">
        <v>48</v>
      </c>
      <c r="I7">
        <v>1</v>
      </c>
    </row>
    <row r="8" spans="1:11" x14ac:dyDescent="0.25">
      <c r="A8" t="s">
        <v>57</v>
      </c>
      <c r="B8" s="5">
        <v>1</v>
      </c>
      <c r="C8" s="5"/>
      <c r="D8" s="5"/>
      <c r="E8" s="5"/>
      <c r="H8" t="s">
        <v>57</v>
      </c>
      <c r="I8">
        <v>1</v>
      </c>
    </row>
    <row r="9" spans="1:11" x14ac:dyDescent="0.25">
      <c r="A9" t="s">
        <v>58</v>
      </c>
      <c r="B9" s="5"/>
      <c r="C9" s="5"/>
      <c r="D9" s="5">
        <v>1</v>
      </c>
      <c r="E9" s="5"/>
      <c r="H9" t="s">
        <v>58</v>
      </c>
      <c r="K9">
        <v>1</v>
      </c>
    </row>
    <row r="10" spans="1:11" x14ac:dyDescent="0.25">
      <c r="A10" t="s">
        <v>51</v>
      </c>
      <c r="B10" s="5"/>
      <c r="C10" s="5"/>
      <c r="D10" s="5">
        <v>1</v>
      </c>
      <c r="E10" s="5"/>
      <c r="H10" t="s">
        <v>51</v>
      </c>
      <c r="K10">
        <v>1</v>
      </c>
    </row>
    <row r="11" spans="1:11" x14ac:dyDescent="0.25">
      <c r="A11" t="s">
        <v>64</v>
      </c>
      <c r="B11" s="5"/>
      <c r="C11" s="5"/>
      <c r="D11" s="5">
        <v>1</v>
      </c>
      <c r="E11" s="5"/>
      <c r="H11" t="s">
        <v>64</v>
      </c>
      <c r="K11">
        <v>1</v>
      </c>
    </row>
    <row r="12" spans="1:11" x14ac:dyDescent="0.25">
      <c r="A12" t="s">
        <v>81</v>
      </c>
      <c r="B12" s="5">
        <v>1</v>
      </c>
      <c r="C12" s="5"/>
      <c r="D12" s="5">
        <v>1</v>
      </c>
      <c r="E12" s="5"/>
      <c r="H12" t="s">
        <v>81</v>
      </c>
      <c r="I12">
        <v>1</v>
      </c>
      <c r="K12">
        <v>1</v>
      </c>
    </row>
    <row r="13" spans="1:11" x14ac:dyDescent="0.25">
      <c r="A13" t="s">
        <v>79</v>
      </c>
      <c r="B13" s="5"/>
      <c r="C13" s="5"/>
      <c r="D13" s="5">
        <v>1</v>
      </c>
      <c r="E13" s="5"/>
      <c r="H13" t="s">
        <v>79</v>
      </c>
      <c r="K13">
        <v>1</v>
      </c>
    </row>
    <row r="14" spans="1:11" x14ac:dyDescent="0.25">
      <c r="A14" t="s">
        <v>84</v>
      </c>
      <c r="B14" s="5">
        <v>1</v>
      </c>
      <c r="C14" s="5"/>
      <c r="D14" s="5">
        <v>1</v>
      </c>
      <c r="E14" s="5"/>
      <c r="H14" t="s">
        <v>84</v>
      </c>
      <c r="I14">
        <v>1</v>
      </c>
      <c r="K14">
        <v>1</v>
      </c>
    </row>
    <row r="15" spans="1:11" x14ac:dyDescent="0.25">
      <c r="A15" t="s">
        <v>77</v>
      </c>
      <c r="B15" s="5">
        <v>1</v>
      </c>
      <c r="C15" s="5"/>
      <c r="D15" s="5"/>
      <c r="E15" s="5"/>
      <c r="H15" t="s">
        <v>77</v>
      </c>
      <c r="I15">
        <v>1</v>
      </c>
    </row>
    <row r="16" spans="1:11" x14ac:dyDescent="0.25">
      <c r="A16" t="s">
        <v>80</v>
      </c>
      <c r="B16" s="5"/>
      <c r="C16" s="5"/>
      <c r="D16" s="5">
        <v>1</v>
      </c>
      <c r="E16" s="5"/>
      <c r="H16" t="s">
        <v>80</v>
      </c>
      <c r="K16">
        <v>1</v>
      </c>
    </row>
    <row r="17" spans="1:12" x14ac:dyDescent="0.25">
      <c r="A17" t="s">
        <v>101</v>
      </c>
      <c r="B17" s="5">
        <v>1</v>
      </c>
      <c r="C17" s="5">
        <v>1</v>
      </c>
      <c r="D17" s="5"/>
      <c r="E17" s="5"/>
      <c r="H17" t="s">
        <v>101</v>
      </c>
      <c r="I17">
        <v>1</v>
      </c>
      <c r="J17">
        <v>1</v>
      </c>
    </row>
    <row r="18" spans="1:12" x14ac:dyDescent="0.25">
      <c r="A18" t="s">
        <v>102</v>
      </c>
      <c r="B18" s="5">
        <v>1</v>
      </c>
      <c r="C18" s="5">
        <v>1</v>
      </c>
      <c r="D18" s="5">
        <v>1</v>
      </c>
      <c r="E18" s="5">
        <v>1</v>
      </c>
      <c r="H18" t="s">
        <v>102</v>
      </c>
      <c r="I18">
        <v>1</v>
      </c>
      <c r="J18">
        <v>1</v>
      </c>
      <c r="K18">
        <v>1</v>
      </c>
      <c r="L18">
        <v>1</v>
      </c>
    </row>
    <row r="19" spans="1:12" x14ac:dyDescent="0.25">
      <c r="A19" t="s">
        <v>103</v>
      </c>
      <c r="B19" s="5">
        <v>1</v>
      </c>
      <c r="C19" s="5">
        <v>1</v>
      </c>
      <c r="D19" s="5">
        <v>1</v>
      </c>
      <c r="E19" s="5">
        <v>1</v>
      </c>
      <c r="H19" t="s">
        <v>103</v>
      </c>
      <c r="I19">
        <v>1</v>
      </c>
      <c r="J19">
        <v>1</v>
      </c>
      <c r="K19">
        <v>1</v>
      </c>
      <c r="L19">
        <v>1</v>
      </c>
    </row>
    <row r="20" spans="1:12" x14ac:dyDescent="0.25">
      <c r="A20" t="s">
        <v>105</v>
      </c>
      <c r="B20" s="5"/>
      <c r="C20" s="5"/>
      <c r="D20" s="5">
        <v>1</v>
      </c>
      <c r="E20" s="5">
        <v>1</v>
      </c>
      <c r="H20" t="s">
        <v>105</v>
      </c>
      <c r="K20">
        <v>1</v>
      </c>
    </row>
    <row r="21" spans="1:12" x14ac:dyDescent="0.25">
      <c r="A21" t="s">
        <v>106</v>
      </c>
      <c r="B21" s="5">
        <v>1</v>
      </c>
      <c r="C21" s="5"/>
      <c r="D21" s="5">
        <v>1</v>
      </c>
      <c r="E21" s="5"/>
      <c r="H21" t="s">
        <v>106</v>
      </c>
      <c r="K21">
        <v>1</v>
      </c>
    </row>
    <row r="22" spans="1:12" x14ac:dyDescent="0.25">
      <c r="A22" t="s">
        <v>107</v>
      </c>
      <c r="B22" s="5">
        <v>1</v>
      </c>
      <c r="C22" s="5"/>
      <c r="D22" s="5">
        <v>1</v>
      </c>
      <c r="E22" s="5"/>
      <c r="H22" t="s">
        <v>217</v>
      </c>
      <c r="K22">
        <v>1</v>
      </c>
    </row>
    <row r="23" spans="1:12" x14ac:dyDescent="0.25">
      <c r="A23" t="s">
        <v>108</v>
      </c>
      <c r="B23" s="5"/>
      <c r="C23" s="5"/>
      <c r="D23" s="5">
        <v>1</v>
      </c>
      <c r="E23" s="5">
        <v>1</v>
      </c>
      <c r="H23" t="s">
        <v>218</v>
      </c>
      <c r="I23">
        <v>1</v>
      </c>
      <c r="K23">
        <v>1</v>
      </c>
    </row>
    <row r="24" spans="1:12" x14ac:dyDescent="0.25">
      <c r="A24" t="s">
        <v>109</v>
      </c>
      <c r="B24" s="5"/>
      <c r="C24" s="5"/>
      <c r="D24" s="5"/>
      <c r="E24" s="5">
        <v>1</v>
      </c>
      <c r="H24" t="s">
        <v>219</v>
      </c>
      <c r="K24">
        <v>1</v>
      </c>
    </row>
    <row r="25" spans="1:12" x14ac:dyDescent="0.25">
      <c r="A25" t="s">
        <v>110</v>
      </c>
      <c r="B25" s="5">
        <v>1</v>
      </c>
      <c r="C25" s="5">
        <v>1</v>
      </c>
      <c r="D25" s="5"/>
      <c r="E25" s="5"/>
      <c r="H25" t="s">
        <v>220</v>
      </c>
      <c r="I25">
        <v>1</v>
      </c>
      <c r="K25">
        <v>1</v>
      </c>
    </row>
    <row r="26" spans="1:12" x14ac:dyDescent="0.25">
      <c r="A26" t="s">
        <v>111</v>
      </c>
      <c r="B26" s="5"/>
      <c r="C26" s="5"/>
      <c r="D26" s="5">
        <v>1</v>
      </c>
      <c r="E26" s="5">
        <v>1</v>
      </c>
      <c r="H26" t="s">
        <v>107</v>
      </c>
      <c r="I26">
        <v>1</v>
      </c>
      <c r="K26">
        <v>1</v>
      </c>
    </row>
    <row r="27" spans="1:12" x14ac:dyDescent="0.25">
      <c r="A27" t="s">
        <v>112</v>
      </c>
      <c r="B27" s="5"/>
      <c r="C27" s="5"/>
      <c r="D27" s="5">
        <v>1</v>
      </c>
      <c r="E27" s="5">
        <v>1</v>
      </c>
      <c r="H27" t="s">
        <v>108</v>
      </c>
      <c r="K27">
        <v>1</v>
      </c>
      <c r="L27">
        <v>1</v>
      </c>
    </row>
    <row r="28" spans="1:12" x14ac:dyDescent="0.25">
      <c r="A28" t="s">
        <v>113</v>
      </c>
      <c r="B28" s="5"/>
      <c r="C28" s="5">
        <v>1</v>
      </c>
      <c r="D28" s="5"/>
      <c r="E28" s="5"/>
      <c r="H28" t="s">
        <v>109</v>
      </c>
      <c r="L28">
        <v>1</v>
      </c>
    </row>
    <row r="29" spans="1:12" x14ac:dyDescent="0.25">
      <c r="A29" t="s">
        <v>114</v>
      </c>
      <c r="B29" s="5"/>
      <c r="C29" s="5"/>
      <c r="D29" s="5"/>
      <c r="E29" s="5">
        <v>1</v>
      </c>
      <c r="H29" t="s">
        <v>110</v>
      </c>
      <c r="I29">
        <v>1</v>
      </c>
      <c r="J29">
        <v>1</v>
      </c>
    </row>
    <row r="30" spans="1:12" x14ac:dyDescent="0.25">
      <c r="A30" t="s">
        <v>115</v>
      </c>
      <c r="B30" s="5">
        <v>1</v>
      </c>
      <c r="C30" s="5">
        <v>1</v>
      </c>
      <c r="D30" s="5"/>
      <c r="E30" s="5"/>
      <c r="H30" t="s">
        <v>111</v>
      </c>
      <c r="K30">
        <v>1</v>
      </c>
      <c r="L30">
        <v>1</v>
      </c>
    </row>
    <row r="31" spans="1:12" x14ac:dyDescent="0.25">
      <c r="A31" t="s">
        <v>116</v>
      </c>
      <c r="B31" s="5">
        <v>1</v>
      </c>
      <c r="C31" s="5">
        <v>1</v>
      </c>
      <c r="D31" s="5"/>
      <c r="E31" s="5"/>
      <c r="H31" t="s">
        <v>112</v>
      </c>
      <c r="K31">
        <v>1</v>
      </c>
      <c r="L31">
        <v>1</v>
      </c>
    </row>
    <row r="32" spans="1:12" x14ac:dyDescent="0.25">
      <c r="A32" t="s">
        <v>117</v>
      </c>
      <c r="B32" s="5">
        <v>1</v>
      </c>
      <c r="C32" s="5">
        <v>1</v>
      </c>
      <c r="D32" s="5">
        <v>1</v>
      </c>
      <c r="E32" s="5">
        <v>1</v>
      </c>
      <c r="H32" t="s">
        <v>113</v>
      </c>
      <c r="J32">
        <v>1</v>
      </c>
    </row>
    <row r="33" spans="1:12" x14ac:dyDescent="0.25">
      <c r="A33" t="s">
        <v>118</v>
      </c>
      <c r="B33" s="5">
        <v>1</v>
      </c>
      <c r="C33" s="5">
        <v>1</v>
      </c>
      <c r="D33" s="5">
        <v>1</v>
      </c>
      <c r="E33" s="5">
        <v>1</v>
      </c>
      <c r="H33" t="s">
        <v>114</v>
      </c>
      <c r="L33">
        <v>1</v>
      </c>
    </row>
    <row r="34" spans="1:12" x14ac:dyDescent="0.25">
      <c r="A34" t="s">
        <v>119</v>
      </c>
      <c r="B34" s="5">
        <v>1</v>
      </c>
      <c r="C34" s="5">
        <v>1</v>
      </c>
      <c r="D34" s="5">
        <v>1</v>
      </c>
      <c r="E34" s="5">
        <v>1</v>
      </c>
      <c r="H34" t="s">
        <v>115</v>
      </c>
      <c r="I34">
        <v>1</v>
      </c>
      <c r="J34">
        <v>1</v>
      </c>
    </row>
    <row r="35" spans="1:12" x14ac:dyDescent="0.25">
      <c r="A35" t="s">
        <v>120</v>
      </c>
      <c r="B35" s="5">
        <v>1</v>
      </c>
      <c r="C35" s="5">
        <v>1</v>
      </c>
      <c r="D35" s="5"/>
      <c r="E35" s="5"/>
      <c r="H35" t="s">
        <v>116</v>
      </c>
      <c r="I35">
        <v>1</v>
      </c>
      <c r="J35">
        <v>1</v>
      </c>
    </row>
    <row r="36" spans="1:12" x14ac:dyDescent="0.25">
      <c r="A36" t="s">
        <v>121</v>
      </c>
      <c r="B36" s="5">
        <v>1</v>
      </c>
      <c r="C36" s="5">
        <v>1</v>
      </c>
      <c r="D36" s="5"/>
      <c r="E36" s="5"/>
      <c r="H36" t="s">
        <v>117</v>
      </c>
      <c r="I36">
        <v>1</v>
      </c>
      <c r="J36">
        <v>1</v>
      </c>
      <c r="K36">
        <v>1</v>
      </c>
      <c r="L36">
        <v>1</v>
      </c>
    </row>
    <row r="37" spans="1:12" x14ac:dyDescent="0.25">
      <c r="A37" t="s">
        <v>94</v>
      </c>
      <c r="B37" s="5">
        <v>1</v>
      </c>
      <c r="C37" s="5">
        <v>1</v>
      </c>
      <c r="D37" s="5">
        <v>1</v>
      </c>
      <c r="E37" s="5">
        <v>1</v>
      </c>
      <c r="H37" t="s">
        <v>118</v>
      </c>
      <c r="I37">
        <v>1</v>
      </c>
      <c r="J37">
        <v>1</v>
      </c>
      <c r="K37">
        <v>1</v>
      </c>
      <c r="L37">
        <v>1</v>
      </c>
    </row>
    <row r="38" spans="1:12" x14ac:dyDescent="0.25">
      <c r="H38" t="s">
        <v>119</v>
      </c>
      <c r="I38">
        <v>1</v>
      </c>
      <c r="J38">
        <v>1</v>
      </c>
      <c r="K38">
        <v>1</v>
      </c>
      <c r="L38">
        <v>1</v>
      </c>
    </row>
    <row r="39" spans="1:12" x14ac:dyDescent="0.25">
      <c r="H39" t="s">
        <v>120</v>
      </c>
      <c r="I39">
        <v>1</v>
      </c>
      <c r="J39">
        <v>1</v>
      </c>
    </row>
    <row r="40" spans="1:12" x14ac:dyDescent="0.25">
      <c r="H40" t="s">
        <v>121</v>
      </c>
      <c r="I40">
        <v>1</v>
      </c>
      <c r="J40">
        <v>1</v>
      </c>
    </row>
    <row r="41" spans="1:12" x14ac:dyDescent="0.25">
      <c r="H41" t="s">
        <v>94</v>
      </c>
      <c r="I41">
        <v>1</v>
      </c>
      <c r="J41">
        <v>1</v>
      </c>
      <c r="K41">
        <v>1</v>
      </c>
      <c r="L41">
        <v>1</v>
      </c>
    </row>
  </sheetData>
  <conditionalFormatting sqref="A3:A37">
    <cfRule type="duplicateValues" dxfId="0" priority="104"/>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540902-26E2-45A7-B385-74ECFF8872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2380bd5d-8f09-40a9-a9cb-2482ec2cd2ca"/>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ba69df13-0c3c-4942-8695-6ca01564010c"/>
    <ds:schemaRef ds:uri="http://purl.org/dc/terms/"/>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PG Design Planner</vt:lpstr>
      <vt:lpstr>Unitsets</vt:lpstr>
      <vt:lpstr>Handbook</vt:lpstr>
      <vt:lpstr>Structures</vt:lpstr>
      <vt:lpstr>Availabilities</vt:lpstr>
      <vt:lpstr>'PG Design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2024-11-11T07:23:41Z</cp:lastPrinted>
  <dcterms:created xsi:type="dcterms:W3CDTF">2022-02-28T04:48:12Z</dcterms:created>
  <dcterms:modified xsi:type="dcterms:W3CDTF">2024-11-11T07:25:01Z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