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A22FB967-1FC8-4B85-9344-605B0BC45444}" xr6:coauthVersionLast="47" xr6:coauthVersionMax="47" xr10:uidLastSave="{00000000-0000-0000-0000-000000000000}"/>
  <workbookProtection workbookAlgorithmName="SHA-512" workbookHashValue="+uRanc4c12ImtvPcPfjgQBvQgWdT/k6FHFMA33OAi6rA+X8rQmnHGBwBzpHr687OF9ZbQknK5WDHL+NtAq0iBA==" workbookSaltValue="Ex7qtyt2MFsPYzHCn7XC5w==" workbookSpinCount="100000" lockStructure="1"/>
  <bookViews>
    <workbookView xWindow="28680" yWindow="-120" windowWidth="29040" windowHeight="17520" xr2:uid="{00000000-000D-0000-FFFF-FFFF00000000}"/>
  </bookViews>
  <sheets>
    <sheet name="B-Design Planner" sheetId="5" r:id="rId1"/>
    <sheet name="Unitsets" sheetId="2" state="hidden" r:id="rId2"/>
    <sheet name="Handbook" sheetId="3" state="hidden" r:id="rId3"/>
    <sheet name="Structures" sheetId="8" state="hidden" r:id="rId4"/>
    <sheet name="Availabilities" sheetId="9" state="hidden" r:id="rId5"/>
    <sheet name="Issues Log" sheetId="10" state="hidden" r:id="rId6"/>
  </sheets>
  <definedNames>
    <definedName name="_xlnm._FilterDatabase" localSheetId="2" hidden="1">Handbook!#REF!</definedName>
    <definedName name="DDADVDS">Unitsets!$K$5:$K$12</definedName>
    <definedName name="DDANIGD">Unitsets!$K$13:$K$20</definedName>
    <definedName name="DDDIGDE">Unitsets!$K$21:$K$28</definedName>
    <definedName name="DDDINFB">Unitsets!$K$29:$K$36</definedName>
    <definedName name="DDFASHN">Unitsets!$K$37:$K$45</definedName>
    <definedName name="DDGRPDS">Unitsets!$K$46:$K$53</definedName>
    <definedName name="DDPHOTO">Unitsets!$K$54:$K$61</definedName>
    <definedName name="_xlnm.Print_Area" localSheetId="0">'B-Design Planner'!$A$3:$L$83</definedName>
    <definedName name="RangeMajorOptions">Unitsets!$N$45:$AA$65</definedName>
    <definedName name="RangeSpecialisations">Unitsets!$N$30:$AC$43</definedName>
    <definedName name="RangeUnitsets">Unitsets!$N$3:$AS$27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5" l="1"/>
  <c r="AA1" i="3"/>
  <c r="Z1" i="3"/>
  <c r="Y1" i="3"/>
  <c r="X1" i="3"/>
  <c r="W1" i="3"/>
  <c r="V1" i="3"/>
  <c r="U1" i="3"/>
  <c r="T1" i="3"/>
  <c r="S1" i="3"/>
  <c r="R1" i="3"/>
  <c r="Q1" i="3"/>
  <c r="P1" i="3"/>
  <c r="O1" i="3"/>
  <c r="N1" i="3"/>
  <c r="M1" i="3"/>
  <c r="L1" i="3"/>
  <c r="K1" i="3"/>
  <c r="J1" i="3"/>
  <c r="I1" i="3"/>
  <c r="H1" i="3"/>
  <c r="G1" i="3"/>
  <c r="F1" i="3"/>
  <c r="E1" i="3"/>
  <c r="D1" i="3"/>
  <c r="C1" i="3"/>
  <c r="B1" i="3"/>
  <c r="A1" i="3"/>
  <c r="G95" i="3"/>
  <c r="H95" i="3"/>
  <c r="I95" i="3"/>
  <c r="J95" i="3"/>
  <c r="L95" i="3"/>
  <c r="M95" i="3"/>
  <c r="N95" i="3"/>
  <c r="O95" i="3"/>
  <c r="P95" i="3"/>
  <c r="Q95" i="3"/>
  <c r="R95" i="3"/>
  <c r="S95" i="3"/>
  <c r="T95" i="3"/>
  <c r="U95" i="3"/>
  <c r="V95" i="3"/>
  <c r="W95" i="3"/>
  <c r="X95" i="3"/>
  <c r="E150" i="8"/>
  <c r="G81" i="3"/>
  <c r="H81" i="3"/>
  <c r="I81" i="3"/>
  <c r="J81" i="3"/>
  <c r="L81" i="3"/>
  <c r="M81" i="3"/>
  <c r="N81" i="3"/>
  <c r="O81" i="3"/>
  <c r="G97" i="3"/>
  <c r="H97" i="3"/>
  <c r="I97" i="3"/>
  <c r="J97" i="3"/>
  <c r="L97" i="3"/>
  <c r="M97" i="3"/>
  <c r="G112" i="3"/>
  <c r="H112" i="3"/>
  <c r="I112" i="3"/>
  <c r="J112" i="3"/>
  <c r="L112" i="3"/>
  <c r="G32" i="3"/>
  <c r="H32" i="3"/>
  <c r="I32" i="3"/>
  <c r="J32" i="3"/>
  <c r="L32" i="3"/>
  <c r="L42" i="5"/>
  <c r="K42" i="5"/>
  <c r="J42" i="5"/>
  <c r="I42" i="5"/>
  <c r="H42" i="5"/>
  <c r="H41" i="5"/>
  <c r="H64" i="5"/>
  <c r="L65" i="5"/>
  <c r="K65" i="5"/>
  <c r="J65" i="5"/>
  <c r="I65" i="5"/>
  <c r="H65" i="5"/>
  <c r="L30" i="5"/>
  <c r="K30" i="5"/>
  <c r="J30" i="5"/>
  <c r="I30" i="5"/>
  <c r="H30" i="5"/>
  <c r="L20" i="5"/>
  <c r="K20" i="5"/>
  <c r="J20" i="5"/>
  <c r="I20" i="5"/>
  <c r="H20" i="5"/>
  <c r="Q60" i="2" l="1"/>
  <c r="Q59" i="2"/>
  <c r="Q58" i="2"/>
  <c r="Q57" i="2"/>
  <c r="Q56" i="2"/>
  <c r="Q55" i="2"/>
  <c r="Q53" i="2"/>
  <c r="Q52" i="2"/>
  <c r="Q51" i="2"/>
  <c r="Q50" i="2"/>
  <c r="Q49" i="2"/>
  <c r="Q48" i="2"/>
  <c r="Q47" i="2"/>
  <c r="G3" i="3" l="1"/>
  <c r="H3" i="3"/>
  <c r="I3" i="3"/>
  <c r="J3" i="3"/>
  <c r="G5" i="3"/>
  <c r="H5" i="3"/>
  <c r="I5" i="3"/>
  <c r="J5" i="3"/>
  <c r="G4" i="3"/>
  <c r="H4" i="3"/>
  <c r="I4" i="3"/>
  <c r="J4" i="3"/>
  <c r="S60" i="2" l="1"/>
  <c r="U60" i="2" s="1"/>
  <c r="W60" i="2" s="1"/>
  <c r="Y60" i="2" s="1"/>
  <c r="S59" i="2"/>
  <c r="U59" i="2" s="1"/>
  <c r="W59" i="2" s="1"/>
  <c r="Y59" i="2" s="1"/>
  <c r="S58" i="2"/>
  <c r="U58" i="2" s="1"/>
  <c r="W58" i="2" s="1"/>
  <c r="Y58" i="2" s="1"/>
  <c r="S57" i="2"/>
  <c r="U57" i="2" s="1"/>
  <c r="W57" i="2" s="1"/>
  <c r="Y57" i="2" s="1"/>
  <c r="S56" i="2"/>
  <c r="U56" i="2" s="1"/>
  <c r="W56" i="2" s="1"/>
  <c r="Y56" i="2" s="1"/>
  <c r="S55" i="2"/>
  <c r="U55" i="2" s="1"/>
  <c r="W55" i="2" s="1"/>
  <c r="Y55" i="2" s="1"/>
  <c r="S53" i="2"/>
  <c r="U53" i="2" s="1"/>
  <c r="W53" i="2" s="1"/>
  <c r="Y53" i="2" s="1"/>
  <c r="S52" i="2"/>
  <c r="U52" i="2" s="1"/>
  <c r="W52" i="2" s="1"/>
  <c r="Y52" i="2" s="1"/>
  <c r="S51" i="2"/>
  <c r="U51" i="2" s="1"/>
  <c r="W51" i="2" s="1"/>
  <c r="Y51" i="2" s="1"/>
  <c r="S50" i="2"/>
  <c r="U50" i="2" s="1"/>
  <c r="W50" i="2" s="1"/>
  <c r="Y50" i="2" s="1"/>
  <c r="S49" i="2"/>
  <c r="U49" i="2" s="1"/>
  <c r="W49" i="2" s="1"/>
  <c r="Y49" i="2" s="1"/>
  <c r="S48" i="2"/>
  <c r="U48" i="2" s="1"/>
  <c r="W48" i="2" s="1"/>
  <c r="Y48" i="2" s="1"/>
  <c r="S47" i="2"/>
  <c r="U47" i="2" s="1"/>
  <c r="W47" i="2" s="1"/>
  <c r="Y47" i="2" s="1"/>
  <c r="P60" i="2"/>
  <c r="R60" i="2" s="1"/>
  <c r="T60" i="2" s="1"/>
  <c r="V60" i="2" s="1"/>
  <c r="X60" i="2" s="1"/>
  <c r="P59" i="2"/>
  <c r="R59" i="2" s="1"/>
  <c r="T59" i="2" s="1"/>
  <c r="V59" i="2" s="1"/>
  <c r="X59" i="2" s="1"/>
  <c r="P58" i="2"/>
  <c r="R58" i="2" s="1"/>
  <c r="T58" i="2" s="1"/>
  <c r="V58" i="2" s="1"/>
  <c r="X58" i="2" s="1"/>
  <c r="P57" i="2"/>
  <c r="R57" i="2" s="1"/>
  <c r="T57" i="2" s="1"/>
  <c r="V57" i="2" s="1"/>
  <c r="X57" i="2" s="1"/>
  <c r="P56" i="2"/>
  <c r="R56" i="2" s="1"/>
  <c r="T56" i="2" s="1"/>
  <c r="V56" i="2" s="1"/>
  <c r="X56" i="2" s="1"/>
  <c r="P53" i="2"/>
  <c r="R53" i="2" s="1"/>
  <c r="T53" i="2" s="1"/>
  <c r="V53" i="2" s="1"/>
  <c r="X53" i="2" s="1"/>
  <c r="P52" i="2"/>
  <c r="R52" i="2" s="1"/>
  <c r="T52" i="2" s="1"/>
  <c r="V52" i="2" s="1"/>
  <c r="X52" i="2" s="1"/>
  <c r="P51" i="2"/>
  <c r="R51" i="2" s="1"/>
  <c r="T51" i="2" s="1"/>
  <c r="V51" i="2" s="1"/>
  <c r="X51" i="2" s="1"/>
  <c r="P50" i="2"/>
  <c r="R50" i="2" s="1"/>
  <c r="T50" i="2" s="1"/>
  <c r="V50" i="2" s="1"/>
  <c r="X50" i="2" s="1"/>
  <c r="P49" i="2"/>
  <c r="R49" i="2" s="1"/>
  <c r="T49" i="2" s="1"/>
  <c r="V49" i="2" s="1"/>
  <c r="X49" i="2" s="1"/>
  <c r="P48" i="2"/>
  <c r="R48" i="2" s="1"/>
  <c r="T48" i="2" s="1"/>
  <c r="V48" i="2" s="1"/>
  <c r="X48" i="2" s="1"/>
  <c r="P47" i="2"/>
  <c r="R47" i="2" s="1"/>
  <c r="T47" i="2" s="1"/>
  <c r="V47" i="2" s="1"/>
  <c r="X47" i="2" s="1"/>
  <c r="G102" i="3" l="1"/>
  <c r="H102" i="3"/>
  <c r="I102" i="3"/>
  <c r="J102" i="3"/>
  <c r="G106" i="3" l="1"/>
  <c r="H106" i="3"/>
  <c r="I106" i="3"/>
  <c r="J106" i="3"/>
  <c r="G101" i="3" l="1"/>
  <c r="G92" i="3"/>
  <c r="G96" i="3"/>
  <c r="H101" i="3"/>
  <c r="H92" i="3"/>
  <c r="H96" i="3"/>
  <c r="I101" i="3"/>
  <c r="I92" i="3"/>
  <c r="I96" i="3"/>
  <c r="J101" i="3"/>
  <c r="J92" i="3"/>
  <c r="J96" i="3"/>
  <c r="A158" i="8"/>
  <c r="B158" i="8"/>
  <c r="D158" i="8"/>
  <c r="E158" i="8"/>
  <c r="G40" i="3" l="1"/>
  <c r="G41" i="3"/>
  <c r="G42" i="3"/>
  <c r="G65" i="3"/>
  <c r="G64" i="3"/>
  <c r="G66" i="3"/>
  <c r="H40" i="3"/>
  <c r="H41" i="3"/>
  <c r="H42" i="3"/>
  <c r="H65" i="3"/>
  <c r="H64" i="3"/>
  <c r="H66" i="3"/>
  <c r="I40" i="3"/>
  <c r="I41" i="3"/>
  <c r="I42" i="3"/>
  <c r="I65" i="3"/>
  <c r="I64" i="3"/>
  <c r="I66" i="3"/>
  <c r="J40" i="3"/>
  <c r="J41" i="3"/>
  <c r="J42" i="3"/>
  <c r="J65" i="3"/>
  <c r="J64" i="3"/>
  <c r="J66" i="3"/>
  <c r="G56" i="3" l="1"/>
  <c r="H56" i="3"/>
  <c r="I56" i="3"/>
  <c r="J56" i="3"/>
  <c r="J88" i="3" l="1"/>
  <c r="I88" i="3"/>
  <c r="H88" i="3"/>
  <c r="G88" i="3"/>
  <c r="J25" i="3"/>
  <c r="I25" i="3"/>
  <c r="H25" i="3"/>
  <c r="G25" i="3"/>
  <c r="J120" i="3"/>
  <c r="I120" i="3"/>
  <c r="H120" i="3"/>
  <c r="G120" i="3"/>
  <c r="J119" i="3"/>
  <c r="I119" i="3"/>
  <c r="H119" i="3"/>
  <c r="G119" i="3"/>
  <c r="J118" i="3"/>
  <c r="I118" i="3"/>
  <c r="H118" i="3"/>
  <c r="G118" i="3"/>
  <c r="J117" i="3"/>
  <c r="I117" i="3"/>
  <c r="H117" i="3"/>
  <c r="G117" i="3"/>
  <c r="J116" i="3"/>
  <c r="I116" i="3"/>
  <c r="H116" i="3"/>
  <c r="G116" i="3"/>
  <c r="J115" i="3"/>
  <c r="I115" i="3"/>
  <c r="H115" i="3"/>
  <c r="G115" i="3"/>
  <c r="J114" i="3"/>
  <c r="I114" i="3"/>
  <c r="H114" i="3"/>
  <c r="G114" i="3"/>
  <c r="J113" i="3"/>
  <c r="I113" i="3"/>
  <c r="H113" i="3"/>
  <c r="G113" i="3"/>
  <c r="J111" i="3"/>
  <c r="I111" i="3"/>
  <c r="H111" i="3"/>
  <c r="G111" i="3"/>
  <c r="J110" i="3"/>
  <c r="I110" i="3"/>
  <c r="H110" i="3"/>
  <c r="G110" i="3"/>
  <c r="J109" i="3"/>
  <c r="I109" i="3"/>
  <c r="H109" i="3"/>
  <c r="G109" i="3"/>
  <c r="J108" i="3"/>
  <c r="I108" i="3"/>
  <c r="H108" i="3"/>
  <c r="G108" i="3"/>
  <c r="J107" i="3"/>
  <c r="I107" i="3"/>
  <c r="H107" i="3"/>
  <c r="G107" i="3"/>
  <c r="J104" i="3"/>
  <c r="I104" i="3"/>
  <c r="H104" i="3"/>
  <c r="G104" i="3"/>
  <c r="J103" i="3"/>
  <c r="I103" i="3"/>
  <c r="H103" i="3"/>
  <c r="G103" i="3"/>
  <c r="J100" i="3"/>
  <c r="I100" i="3"/>
  <c r="H100" i="3"/>
  <c r="G100" i="3"/>
  <c r="J99" i="3"/>
  <c r="I99" i="3"/>
  <c r="H99" i="3"/>
  <c r="G99" i="3"/>
  <c r="J98" i="3"/>
  <c r="I98" i="3"/>
  <c r="H98" i="3"/>
  <c r="G98" i="3"/>
  <c r="J94" i="3"/>
  <c r="I94" i="3"/>
  <c r="H94" i="3"/>
  <c r="G94" i="3"/>
  <c r="J93" i="3"/>
  <c r="I93" i="3"/>
  <c r="H93" i="3"/>
  <c r="G93" i="3"/>
  <c r="J91" i="3"/>
  <c r="I91" i="3"/>
  <c r="H91" i="3"/>
  <c r="G91" i="3"/>
  <c r="J90" i="3"/>
  <c r="I90" i="3"/>
  <c r="H90" i="3"/>
  <c r="G90" i="3"/>
  <c r="J89" i="3"/>
  <c r="I89" i="3"/>
  <c r="H89" i="3"/>
  <c r="G89" i="3"/>
  <c r="J87" i="3"/>
  <c r="I87" i="3"/>
  <c r="H87" i="3"/>
  <c r="G87" i="3"/>
  <c r="J86" i="3"/>
  <c r="I86" i="3"/>
  <c r="H86" i="3"/>
  <c r="G86" i="3"/>
  <c r="J85" i="3"/>
  <c r="I85" i="3"/>
  <c r="H85" i="3"/>
  <c r="G85" i="3"/>
  <c r="J84" i="3"/>
  <c r="I84" i="3"/>
  <c r="H84" i="3"/>
  <c r="G84" i="3"/>
  <c r="J83" i="3"/>
  <c r="I83" i="3"/>
  <c r="H83" i="3"/>
  <c r="G83" i="3"/>
  <c r="J82" i="3"/>
  <c r="I82" i="3"/>
  <c r="H82" i="3"/>
  <c r="G82" i="3"/>
  <c r="J80" i="3"/>
  <c r="I80" i="3"/>
  <c r="H80" i="3"/>
  <c r="G80" i="3"/>
  <c r="J79" i="3"/>
  <c r="I79" i="3"/>
  <c r="H79" i="3"/>
  <c r="G79" i="3"/>
  <c r="J78" i="3"/>
  <c r="I78" i="3"/>
  <c r="H78" i="3"/>
  <c r="G78" i="3"/>
  <c r="J77" i="3"/>
  <c r="I77" i="3"/>
  <c r="H77" i="3"/>
  <c r="G77" i="3"/>
  <c r="J76" i="3"/>
  <c r="I76" i="3"/>
  <c r="H76" i="3"/>
  <c r="G76" i="3"/>
  <c r="J75" i="3"/>
  <c r="I75" i="3"/>
  <c r="H75" i="3"/>
  <c r="G75" i="3"/>
  <c r="J74" i="3"/>
  <c r="I74" i="3"/>
  <c r="H74" i="3"/>
  <c r="G74" i="3"/>
  <c r="J73" i="3"/>
  <c r="I73" i="3"/>
  <c r="H73" i="3"/>
  <c r="G73" i="3"/>
  <c r="J72" i="3"/>
  <c r="I72" i="3"/>
  <c r="H72" i="3"/>
  <c r="G72" i="3"/>
  <c r="J71" i="3"/>
  <c r="I71" i="3"/>
  <c r="H71" i="3"/>
  <c r="G71" i="3"/>
  <c r="J70" i="3"/>
  <c r="I70" i="3"/>
  <c r="H70" i="3"/>
  <c r="G70" i="3"/>
  <c r="J69" i="3"/>
  <c r="I69" i="3"/>
  <c r="H69" i="3"/>
  <c r="G69" i="3"/>
  <c r="J68" i="3"/>
  <c r="I68" i="3"/>
  <c r="H68" i="3"/>
  <c r="G68" i="3"/>
  <c r="J67" i="3"/>
  <c r="I67" i="3"/>
  <c r="H67" i="3"/>
  <c r="G67" i="3"/>
  <c r="J63" i="3"/>
  <c r="I63" i="3"/>
  <c r="H63" i="3"/>
  <c r="G63" i="3"/>
  <c r="J62" i="3"/>
  <c r="I62" i="3"/>
  <c r="H62" i="3"/>
  <c r="G62" i="3"/>
  <c r="J61" i="3"/>
  <c r="I61" i="3"/>
  <c r="H61" i="3"/>
  <c r="G61" i="3"/>
  <c r="J60" i="3"/>
  <c r="I60" i="3"/>
  <c r="H60" i="3"/>
  <c r="G60" i="3"/>
  <c r="J59" i="3"/>
  <c r="I59" i="3"/>
  <c r="H59" i="3"/>
  <c r="G59" i="3"/>
  <c r="J58" i="3"/>
  <c r="I58" i="3"/>
  <c r="H58" i="3"/>
  <c r="G58" i="3"/>
  <c r="J57" i="3"/>
  <c r="I57" i="3"/>
  <c r="H57" i="3"/>
  <c r="G57" i="3"/>
  <c r="J55" i="3"/>
  <c r="I55" i="3"/>
  <c r="H55" i="3"/>
  <c r="G55" i="3"/>
  <c r="J54" i="3"/>
  <c r="I54" i="3"/>
  <c r="H54" i="3"/>
  <c r="G54" i="3"/>
  <c r="J53" i="3"/>
  <c r="I53" i="3"/>
  <c r="H53" i="3"/>
  <c r="G53" i="3"/>
  <c r="J52" i="3"/>
  <c r="I52" i="3"/>
  <c r="H52" i="3"/>
  <c r="G52" i="3"/>
  <c r="J51" i="3"/>
  <c r="I51" i="3"/>
  <c r="H51" i="3"/>
  <c r="G51" i="3"/>
  <c r="J50" i="3"/>
  <c r="I50" i="3"/>
  <c r="H50" i="3"/>
  <c r="G50" i="3"/>
  <c r="J49" i="3"/>
  <c r="I49" i="3"/>
  <c r="H49" i="3"/>
  <c r="G49" i="3"/>
  <c r="J48" i="3"/>
  <c r="I48" i="3"/>
  <c r="H48" i="3"/>
  <c r="G48" i="3"/>
  <c r="J47" i="3"/>
  <c r="I47" i="3"/>
  <c r="H47" i="3"/>
  <c r="G47" i="3"/>
  <c r="J46" i="3"/>
  <c r="I46" i="3"/>
  <c r="H46" i="3"/>
  <c r="G46" i="3"/>
  <c r="J45" i="3"/>
  <c r="I45" i="3"/>
  <c r="H45" i="3"/>
  <c r="G45" i="3"/>
  <c r="J44" i="3"/>
  <c r="I44" i="3"/>
  <c r="H44" i="3"/>
  <c r="G44" i="3"/>
  <c r="J43" i="3"/>
  <c r="I43" i="3"/>
  <c r="H43" i="3"/>
  <c r="G43" i="3"/>
  <c r="J39" i="3"/>
  <c r="I39" i="3"/>
  <c r="H39" i="3"/>
  <c r="G39" i="3"/>
  <c r="J38" i="3"/>
  <c r="I38" i="3"/>
  <c r="H38" i="3"/>
  <c r="G38" i="3"/>
  <c r="J37" i="3"/>
  <c r="I37" i="3"/>
  <c r="H37" i="3"/>
  <c r="G37" i="3"/>
  <c r="J36" i="3"/>
  <c r="I36" i="3"/>
  <c r="H36" i="3"/>
  <c r="G36" i="3"/>
  <c r="J35" i="3"/>
  <c r="I35" i="3"/>
  <c r="H35" i="3"/>
  <c r="G35" i="3"/>
  <c r="J34" i="3"/>
  <c r="I34" i="3"/>
  <c r="H34" i="3"/>
  <c r="G34" i="3"/>
  <c r="J33" i="3"/>
  <c r="I33" i="3"/>
  <c r="H33" i="3"/>
  <c r="G33" i="3"/>
  <c r="J31" i="3"/>
  <c r="I31" i="3"/>
  <c r="H31" i="3"/>
  <c r="G31" i="3"/>
  <c r="J30" i="3"/>
  <c r="I30" i="3"/>
  <c r="H30" i="3"/>
  <c r="G30" i="3"/>
  <c r="J29" i="3"/>
  <c r="I29" i="3"/>
  <c r="H29" i="3"/>
  <c r="G29" i="3"/>
  <c r="J28" i="3"/>
  <c r="I28" i="3"/>
  <c r="H28" i="3"/>
  <c r="G28" i="3"/>
  <c r="J27" i="3"/>
  <c r="I27" i="3"/>
  <c r="H27" i="3"/>
  <c r="G27" i="3"/>
  <c r="J26" i="3"/>
  <c r="I26" i="3"/>
  <c r="H26" i="3"/>
  <c r="G26"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5" i="3"/>
  <c r="I105" i="3"/>
  <c r="H105" i="3"/>
  <c r="G105" i="3"/>
  <c r="J10" i="3"/>
  <c r="I10" i="3"/>
  <c r="H10" i="3"/>
  <c r="G10" i="3"/>
  <c r="J9" i="3"/>
  <c r="I9" i="3"/>
  <c r="H9" i="3"/>
  <c r="G9" i="3"/>
  <c r="J8" i="3"/>
  <c r="I8" i="3"/>
  <c r="H8" i="3"/>
  <c r="G8" i="3"/>
  <c r="J7" i="3"/>
  <c r="I7" i="3"/>
  <c r="H7" i="3"/>
  <c r="G7" i="3"/>
  <c r="J6" i="3"/>
  <c r="I6" i="3"/>
  <c r="H6" i="3"/>
  <c r="G6" i="3"/>
  <c r="A41" i="8" l="1"/>
  <c r="B41" i="8"/>
  <c r="D41" i="8"/>
  <c r="E41" i="8"/>
  <c r="A33" i="8" l="1"/>
  <c r="B33" i="8"/>
  <c r="D33" i="8"/>
  <c r="E33" i="8"/>
  <c r="Q46" i="2" l="1"/>
  <c r="L6" i="5"/>
  <c r="L7" i="5"/>
  <c r="L5" i="5"/>
  <c r="S46" i="2" l="1"/>
  <c r="U46" i="2" s="1"/>
  <c r="W46" i="2" s="1"/>
  <c r="Y46" i="2" s="1"/>
  <c r="AA46" i="2" s="1"/>
  <c r="A56" i="5"/>
  <c r="I56" i="5" s="1"/>
  <c r="L8" i="5"/>
  <c r="A79" i="5"/>
  <c r="A78" i="5"/>
  <c r="A75" i="5"/>
  <c r="A76" i="5"/>
  <c r="A77" i="5"/>
  <c r="A74" i="5"/>
  <c r="A49" i="5"/>
  <c r="H49" i="5" s="1"/>
  <c r="A57" i="5"/>
  <c r="H57" i="5" s="1"/>
  <c r="A50" i="5"/>
  <c r="J50" i="5" s="1"/>
  <c r="A58" i="5"/>
  <c r="H58" i="5" s="1"/>
  <c r="A43" i="5"/>
  <c r="A51" i="5"/>
  <c r="K51" i="5" s="1"/>
  <c r="A59" i="5"/>
  <c r="J59" i="5" s="1"/>
  <c r="A44" i="5"/>
  <c r="A52" i="5"/>
  <c r="D52" i="5" s="1"/>
  <c r="A60" i="5"/>
  <c r="D60" i="5" s="1"/>
  <c r="A45" i="5"/>
  <c r="A53" i="5"/>
  <c r="H53" i="5" s="1"/>
  <c r="A61" i="5"/>
  <c r="D61" i="5" s="1"/>
  <c r="A46" i="5"/>
  <c r="A54" i="5"/>
  <c r="H54" i="5" s="1"/>
  <c r="A62" i="5"/>
  <c r="J62" i="5" s="1"/>
  <c r="A47" i="5"/>
  <c r="A55" i="5"/>
  <c r="B55" i="5" s="1"/>
  <c r="A48" i="5"/>
  <c r="C48" i="5" s="1"/>
  <c r="A72" i="5"/>
  <c r="D72" i="5" s="1"/>
  <c r="A73" i="5"/>
  <c r="K73" i="5" s="1"/>
  <c r="A67" i="5"/>
  <c r="A68" i="5"/>
  <c r="A70" i="5"/>
  <c r="A69" i="5"/>
  <c r="A71" i="5"/>
  <c r="H56" i="5" l="1"/>
  <c r="C56" i="5"/>
  <c r="G56" i="5"/>
  <c r="F56" i="5"/>
  <c r="D56" i="5"/>
  <c r="J56" i="5"/>
  <c r="B56" i="5"/>
  <c r="K56" i="5"/>
  <c r="I74" i="5"/>
  <c r="J74" i="5"/>
  <c r="B74" i="5"/>
  <c r="D74" i="5"/>
  <c r="F74" i="5"/>
  <c r="K74" i="5"/>
  <c r="C74" i="5"/>
  <c r="H74" i="5"/>
  <c r="G74" i="5"/>
  <c r="K77" i="5"/>
  <c r="D77" i="5"/>
  <c r="C77" i="5"/>
  <c r="G77" i="5"/>
  <c r="B77" i="5"/>
  <c r="I77" i="5"/>
  <c r="F77" i="5"/>
  <c r="H77" i="5"/>
  <c r="J77" i="5"/>
  <c r="D76" i="5"/>
  <c r="G76" i="5"/>
  <c r="F76" i="5"/>
  <c r="B76" i="5"/>
  <c r="K76" i="5"/>
  <c r="J76" i="5"/>
  <c r="C76" i="5"/>
  <c r="I76" i="5"/>
  <c r="H76" i="5"/>
  <c r="G75" i="5"/>
  <c r="I75" i="5"/>
  <c r="F75" i="5"/>
  <c r="H75" i="5"/>
  <c r="C75" i="5"/>
  <c r="D75" i="5"/>
  <c r="B75" i="5"/>
  <c r="J75" i="5"/>
  <c r="K75" i="5"/>
  <c r="I78" i="5"/>
  <c r="C78" i="5"/>
  <c r="H78" i="5"/>
  <c r="B78" i="5"/>
  <c r="D78" i="5"/>
  <c r="J78" i="5"/>
  <c r="F78" i="5"/>
  <c r="G78" i="5"/>
  <c r="K78" i="5"/>
  <c r="G79" i="5"/>
  <c r="I79" i="5"/>
  <c r="K79" i="5"/>
  <c r="D79" i="5"/>
  <c r="H79" i="5"/>
  <c r="F79" i="5"/>
  <c r="C79" i="5"/>
  <c r="J79" i="5"/>
  <c r="B79" i="5"/>
  <c r="C49" i="5"/>
  <c r="F49" i="5"/>
  <c r="D57" i="5"/>
  <c r="G49" i="5"/>
  <c r="B49" i="5"/>
  <c r="D49" i="5"/>
  <c r="I49" i="5"/>
  <c r="J49" i="5"/>
  <c r="K49" i="5"/>
  <c r="C52" i="5"/>
  <c r="C51" i="5"/>
  <c r="K57" i="5"/>
  <c r="K59" i="5"/>
  <c r="G57" i="5"/>
  <c r="B57" i="5"/>
  <c r="J57" i="5"/>
  <c r="F57" i="5"/>
  <c r="C57" i="5"/>
  <c r="I57" i="5"/>
  <c r="G52" i="5"/>
  <c r="C60" i="5"/>
  <c r="B52" i="5"/>
  <c r="I52" i="5"/>
  <c r="H62" i="5"/>
  <c r="G60" i="5"/>
  <c r="F60" i="5"/>
  <c r="K60" i="5"/>
  <c r="J60" i="5"/>
  <c r="B60" i="5"/>
  <c r="I60" i="5"/>
  <c r="I61" i="5"/>
  <c r="D50" i="5"/>
  <c r="C58" i="5"/>
  <c r="K61" i="5"/>
  <c r="B61" i="5"/>
  <c r="J61" i="5"/>
  <c r="D48" i="5"/>
  <c r="H48" i="5"/>
  <c r="G48" i="5"/>
  <c r="G61" i="5"/>
  <c r="K53" i="5"/>
  <c r="B58" i="5"/>
  <c r="J48" i="5"/>
  <c r="B53" i="5"/>
  <c r="J53" i="5"/>
  <c r="I55" i="5"/>
  <c r="D58" i="5"/>
  <c r="G55" i="5"/>
  <c r="F58" i="5"/>
  <c r="C50" i="5"/>
  <c r="K50" i="5"/>
  <c r="G53" i="5"/>
  <c r="H50" i="5"/>
  <c r="F50" i="5"/>
  <c r="H55" i="5"/>
  <c r="B50" i="5"/>
  <c r="B51" i="5"/>
  <c r="D51" i="5"/>
  <c r="F54" i="5"/>
  <c r="D59" i="5"/>
  <c r="G59" i="5"/>
  <c r="I51" i="5"/>
  <c r="B54" i="5"/>
  <c r="F48" i="5"/>
  <c r="G54" i="5"/>
  <c r="H60" i="5"/>
  <c r="C59" i="5"/>
  <c r="B59" i="5"/>
  <c r="I59" i="5"/>
  <c r="J54" i="5"/>
  <c r="H61" i="5"/>
  <c r="J51" i="5"/>
  <c r="C54" i="5"/>
  <c r="I54" i="5"/>
  <c r="G51" i="5"/>
  <c r="K62" i="5"/>
  <c r="D62" i="5"/>
  <c r="K52" i="5"/>
  <c r="I53" i="5"/>
  <c r="G62" i="5"/>
  <c r="F55" i="5"/>
  <c r="K54" i="5"/>
  <c r="D54" i="5"/>
  <c r="F59" i="5"/>
  <c r="H59" i="5"/>
  <c r="K44" i="5"/>
  <c r="B44" i="5"/>
  <c r="J44" i="5"/>
  <c r="I44" i="5"/>
  <c r="H44" i="5"/>
  <c r="G44" i="5"/>
  <c r="C44" i="5"/>
  <c r="F44" i="5"/>
  <c r="D44" i="5"/>
  <c r="B62" i="5"/>
  <c r="J52" i="5"/>
  <c r="F62" i="5"/>
  <c r="D55" i="5"/>
  <c r="K55" i="5"/>
  <c r="I46" i="5"/>
  <c r="H46" i="5"/>
  <c r="G46" i="5"/>
  <c r="F46" i="5"/>
  <c r="D46" i="5"/>
  <c r="J46" i="5"/>
  <c r="C46" i="5"/>
  <c r="K46" i="5"/>
  <c r="B46" i="5"/>
  <c r="F51" i="5"/>
  <c r="H51" i="5"/>
  <c r="C62" i="5"/>
  <c r="I48" i="5"/>
  <c r="K48" i="5"/>
  <c r="B48" i="5"/>
  <c r="C61" i="5"/>
  <c r="F61" i="5"/>
  <c r="B43" i="5"/>
  <c r="C43" i="5"/>
  <c r="D43" i="5"/>
  <c r="F43" i="5"/>
  <c r="G43" i="5"/>
  <c r="J55" i="5"/>
  <c r="C55" i="5"/>
  <c r="C53" i="5"/>
  <c r="F53" i="5"/>
  <c r="G58" i="5"/>
  <c r="I58" i="5"/>
  <c r="K58" i="5"/>
  <c r="H52" i="5"/>
  <c r="D53" i="5"/>
  <c r="H47" i="5"/>
  <c r="G47" i="5"/>
  <c r="F47" i="5"/>
  <c r="D47" i="5"/>
  <c r="C47" i="5"/>
  <c r="I47" i="5"/>
  <c r="K47" i="5"/>
  <c r="B47" i="5"/>
  <c r="J47" i="5"/>
  <c r="J45" i="5"/>
  <c r="I45" i="5"/>
  <c r="H45" i="5"/>
  <c r="G45" i="5"/>
  <c r="F45" i="5"/>
  <c r="K45" i="5"/>
  <c r="B45" i="5"/>
  <c r="D45" i="5"/>
  <c r="C45" i="5"/>
  <c r="G50" i="5"/>
  <c r="I50" i="5"/>
  <c r="I62" i="5"/>
  <c r="J58" i="5"/>
  <c r="F52" i="5"/>
  <c r="C72" i="5"/>
  <c r="G73" i="5"/>
  <c r="I73" i="5"/>
  <c r="J73" i="5"/>
  <c r="J72" i="5"/>
  <c r="H73" i="5"/>
  <c r="F73" i="5"/>
  <c r="B73" i="5"/>
  <c r="D73" i="5"/>
  <c r="H72" i="5"/>
  <c r="K72" i="5"/>
  <c r="G72" i="5"/>
  <c r="B72" i="5"/>
  <c r="C73" i="5"/>
  <c r="I72" i="5"/>
  <c r="F72" i="5"/>
  <c r="I43" i="5" l="1"/>
  <c r="H43" i="5" l="1"/>
  <c r="J43" i="5"/>
  <c r="K43" i="5"/>
  <c r="G7" i="5"/>
  <c r="G6" i="5"/>
  <c r="G5" i="5"/>
  <c r="E178" i="8" l="1"/>
  <c r="D178" i="8"/>
  <c r="B178" i="8"/>
  <c r="A178" i="8"/>
  <c r="E177" i="8"/>
  <c r="D177" i="8"/>
  <c r="B177" i="8"/>
  <c r="A177" i="8"/>
  <c r="E176" i="8"/>
  <c r="D176" i="8"/>
  <c r="B176" i="8"/>
  <c r="A176" i="8"/>
  <c r="E175" i="8"/>
  <c r="D175" i="8"/>
  <c r="B175" i="8"/>
  <c r="A175" i="8"/>
  <c r="AA81" i="3" l="1"/>
  <c r="AA95" i="3"/>
  <c r="AA97" i="3"/>
  <c r="AA32" i="3"/>
  <c r="AA112" i="3"/>
  <c r="AA3" i="3"/>
  <c r="AA5" i="3"/>
  <c r="AA4" i="3"/>
  <c r="AA106" i="3"/>
  <c r="AA102" i="3"/>
  <c r="AA101" i="3"/>
  <c r="AA96" i="3"/>
  <c r="AA92" i="3"/>
  <c r="AA40" i="3"/>
  <c r="AA41" i="3"/>
  <c r="AA64" i="3"/>
  <c r="AA66" i="3"/>
  <c r="AA42" i="3"/>
  <c r="AA65" i="3"/>
  <c r="AA56" i="3"/>
  <c r="AA25" i="3"/>
  <c r="AA88" i="3"/>
  <c r="AA10" i="3"/>
  <c r="AA83" i="3"/>
  <c r="AA6" i="3"/>
  <c r="AA7" i="3"/>
  <c r="AA8" i="3"/>
  <c r="AA9" i="3"/>
  <c r="AA105" i="3"/>
  <c r="AA11" i="3"/>
  <c r="AA12" i="3"/>
  <c r="AA13" i="3"/>
  <c r="AA14" i="3"/>
  <c r="AA15" i="3"/>
  <c r="AA16" i="3"/>
  <c r="AA17" i="3"/>
  <c r="AA18" i="3"/>
  <c r="AA19" i="3"/>
  <c r="AA20" i="3"/>
  <c r="AA21" i="3"/>
  <c r="AA22" i="3"/>
  <c r="AA23" i="3"/>
  <c r="AA24" i="3"/>
  <c r="AA26" i="3"/>
  <c r="AA27" i="3"/>
  <c r="AA28" i="3"/>
  <c r="AA29" i="3"/>
  <c r="AA30" i="3"/>
  <c r="AA31" i="3"/>
  <c r="AA33" i="3"/>
  <c r="AA34" i="3"/>
  <c r="AA35" i="3"/>
  <c r="AA36" i="3"/>
  <c r="AA37" i="3"/>
  <c r="AA38" i="3"/>
  <c r="AA39" i="3"/>
  <c r="AA43" i="3"/>
  <c r="AA44" i="3"/>
  <c r="AA45" i="3"/>
  <c r="AA46" i="3"/>
  <c r="AA47" i="3"/>
  <c r="AA48" i="3"/>
  <c r="AA49" i="3"/>
  <c r="AA50" i="3"/>
  <c r="AA51" i="3"/>
  <c r="AA52" i="3"/>
  <c r="AA53" i="3"/>
  <c r="AA54" i="3"/>
  <c r="AA55" i="3"/>
  <c r="AA57" i="3"/>
  <c r="AA58" i="3"/>
  <c r="AA59" i="3"/>
  <c r="AA60" i="3"/>
  <c r="AA61" i="3"/>
  <c r="AA62" i="3"/>
  <c r="AA63" i="3"/>
  <c r="AA67" i="3"/>
  <c r="AA68" i="3"/>
  <c r="AA69" i="3"/>
  <c r="AA70" i="3"/>
  <c r="AA71" i="3"/>
  <c r="AA72" i="3"/>
  <c r="AA73" i="3"/>
  <c r="AA74" i="3"/>
  <c r="AA75" i="3"/>
  <c r="AA76" i="3"/>
  <c r="AA77" i="3"/>
  <c r="AA78" i="3"/>
  <c r="AA79" i="3"/>
  <c r="AA80" i="3"/>
  <c r="AA82" i="3"/>
  <c r="AA84" i="3"/>
  <c r="AA85" i="3"/>
  <c r="AA86" i="3"/>
  <c r="AA87" i="3"/>
  <c r="AA89" i="3"/>
  <c r="AA90" i="3"/>
  <c r="AA91" i="3"/>
  <c r="AA93" i="3"/>
  <c r="AA94" i="3"/>
  <c r="AA98" i="3"/>
  <c r="AA99" i="3"/>
  <c r="AA100" i="3"/>
  <c r="AA107" i="3"/>
  <c r="AA108" i="3"/>
  <c r="AA109" i="3"/>
  <c r="AA110" i="3"/>
  <c r="AA111" i="3"/>
  <c r="AA113" i="3"/>
  <c r="AA114" i="3"/>
  <c r="AA115" i="3"/>
  <c r="AA116" i="3"/>
  <c r="AA117" i="3"/>
  <c r="AA118" i="3"/>
  <c r="AA119" i="3"/>
  <c r="AA120" i="3"/>
  <c r="AA103" i="3"/>
  <c r="AA104" i="3"/>
  <c r="E172" i="8"/>
  <c r="D172" i="8"/>
  <c r="B172" i="8"/>
  <c r="A172" i="8"/>
  <c r="E171" i="8"/>
  <c r="D171" i="8"/>
  <c r="B171" i="8"/>
  <c r="A171" i="8"/>
  <c r="E170" i="8"/>
  <c r="D170" i="8"/>
  <c r="B170" i="8"/>
  <c r="A170" i="8"/>
  <c r="E169" i="8"/>
  <c r="D169" i="8"/>
  <c r="B169" i="8"/>
  <c r="A169" i="8"/>
  <c r="E166" i="8"/>
  <c r="D166" i="8"/>
  <c r="B166" i="8"/>
  <c r="A166" i="8"/>
  <c r="E165" i="8"/>
  <c r="D165" i="8"/>
  <c r="B165" i="8"/>
  <c r="A165" i="8"/>
  <c r="E164" i="8"/>
  <c r="D164" i="8"/>
  <c r="B164" i="8"/>
  <c r="A164" i="8"/>
  <c r="E163" i="8"/>
  <c r="D163" i="8"/>
  <c r="B163" i="8"/>
  <c r="A163" i="8"/>
  <c r="E162" i="8"/>
  <c r="D162" i="8"/>
  <c r="B162" i="8"/>
  <c r="A162" i="8"/>
  <c r="E161" i="8"/>
  <c r="D161" i="8"/>
  <c r="B161" i="8"/>
  <c r="A161" i="8"/>
  <c r="Z81" i="3" l="1"/>
  <c r="Z95" i="3"/>
  <c r="Y81" i="3"/>
  <c r="Y95" i="3"/>
  <c r="Z32" i="3"/>
  <c r="Z97" i="3"/>
  <c r="Z112" i="3"/>
  <c r="Y97" i="3"/>
  <c r="Y32" i="3"/>
  <c r="Y112" i="3"/>
  <c r="Y3" i="3"/>
  <c r="Y5" i="3"/>
  <c r="Y4" i="3"/>
  <c r="Z3" i="3"/>
  <c r="Z5" i="3"/>
  <c r="Z4" i="3"/>
  <c r="Y106" i="3"/>
  <c r="Y102" i="3"/>
  <c r="Z106" i="3"/>
  <c r="Z102" i="3"/>
  <c r="Z96" i="3"/>
  <c r="Z92" i="3"/>
  <c r="Z101" i="3"/>
  <c r="Y96" i="3"/>
  <c r="Y101" i="3"/>
  <c r="Y92" i="3"/>
  <c r="Y64" i="3"/>
  <c r="Y40" i="3"/>
  <c r="Y41" i="3"/>
  <c r="Y42" i="3"/>
  <c r="Y65" i="3"/>
  <c r="Y66" i="3"/>
  <c r="Y56" i="3"/>
  <c r="Y25" i="3"/>
  <c r="Y88" i="3"/>
  <c r="Z40" i="3"/>
  <c r="Z64" i="3"/>
  <c r="Z66" i="3"/>
  <c r="Z41" i="3"/>
  <c r="Z42" i="3"/>
  <c r="Z65" i="3"/>
  <c r="Z56" i="3"/>
  <c r="Z25" i="3"/>
  <c r="Z88" i="3"/>
  <c r="Y10" i="3"/>
  <c r="Y83" i="3"/>
  <c r="Y6" i="3"/>
  <c r="Y7" i="3"/>
  <c r="Y8" i="3"/>
  <c r="Y9" i="3"/>
  <c r="Y105" i="3"/>
  <c r="Y11" i="3"/>
  <c r="Y12" i="3"/>
  <c r="Y13" i="3"/>
  <c r="Y14" i="3"/>
  <c r="Y15" i="3"/>
  <c r="Y16" i="3"/>
  <c r="Y17" i="3"/>
  <c r="Y18" i="3"/>
  <c r="Y19" i="3"/>
  <c r="Y20" i="3"/>
  <c r="Y21" i="3"/>
  <c r="Y22" i="3"/>
  <c r="Y23" i="3"/>
  <c r="Y24" i="3"/>
  <c r="Y26" i="3"/>
  <c r="Y27" i="3"/>
  <c r="Y28" i="3"/>
  <c r="Y29" i="3"/>
  <c r="Y30" i="3"/>
  <c r="Y31" i="3"/>
  <c r="Y33" i="3"/>
  <c r="Y34" i="3"/>
  <c r="Y35" i="3"/>
  <c r="Y36" i="3"/>
  <c r="Y37" i="3"/>
  <c r="Y38" i="3"/>
  <c r="Y39" i="3"/>
  <c r="Y43" i="3"/>
  <c r="Y44" i="3"/>
  <c r="Y45" i="3"/>
  <c r="Y46" i="3"/>
  <c r="Y47" i="3"/>
  <c r="Y48" i="3"/>
  <c r="Y49" i="3"/>
  <c r="Y50" i="3"/>
  <c r="Y51" i="3"/>
  <c r="Y52" i="3"/>
  <c r="Y53" i="3"/>
  <c r="Y54" i="3"/>
  <c r="Y55" i="3"/>
  <c r="Y57" i="3"/>
  <c r="Y58" i="3"/>
  <c r="Y59" i="3"/>
  <c r="Y60" i="3"/>
  <c r="Y61" i="3"/>
  <c r="Y62" i="3"/>
  <c r="Y63" i="3"/>
  <c r="Y67" i="3"/>
  <c r="Y68" i="3"/>
  <c r="Y69" i="3"/>
  <c r="Y70" i="3"/>
  <c r="Y71" i="3"/>
  <c r="Y72" i="3"/>
  <c r="Y73" i="3"/>
  <c r="Y74" i="3"/>
  <c r="Y75" i="3"/>
  <c r="Y76" i="3"/>
  <c r="Y77" i="3"/>
  <c r="Y78" i="3"/>
  <c r="Y79" i="3"/>
  <c r="Y80" i="3"/>
  <c r="Y82" i="3"/>
  <c r="Y84" i="3"/>
  <c r="Y85" i="3"/>
  <c r="Y86" i="3"/>
  <c r="Y87" i="3"/>
  <c r="Y89" i="3"/>
  <c r="Y90" i="3"/>
  <c r="Y91" i="3"/>
  <c r="Y93" i="3"/>
  <c r="Y94" i="3"/>
  <c r="Y98" i="3"/>
  <c r="Y99" i="3"/>
  <c r="Y100" i="3"/>
  <c r="Y107" i="3"/>
  <c r="Y108" i="3"/>
  <c r="Y109" i="3"/>
  <c r="Y110" i="3"/>
  <c r="Y111" i="3"/>
  <c r="Y113" i="3"/>
  <c r="Y114" i="3"/>
  <c r="Y115" i="3"/>
  <c r="Y116" i="3"/>
  <c r="Y117" i="3"/>
  <c r="Y118" i="3"/>
  <c r="Y119" i="3"/>
  <c r="Y120" i="3"/>
  <c r="Y103" i="3"/>
  <c r="Y104" i="3"/>
  <c r="Z10" i="3"/>
  <c r="Z83" i="3"/>
  <c r="Z6" i="3"/>
  <c r="Z7" i="3"/>
  <c r="Z8" i="3"/>
  <c r="Z9" i="3"/>
  <c r="Z105" i="3"/>
  <c r="Z11" i="3"/>
  <c r="Z12" i="3"/>
  <c r="Z13" i="3"/>
  <c r="Z14" i="3"/>
  <c r="Z15" i="3"/>
  <c r="Z16" i="3"/>
  <c r="Z17" i="3"/>
  <c r="Z18" i="3"/>
  <c r="Z19" i="3"/>
  <c r="Z20" i="3"/>
  <c r="Z21" i="3"/>
  <c r="Z22" i="3"/>
  <c r="Z23" i="3"/>
  <c r="Z24" i="3"/>
  <c r="Z26" i="3"/>
  <c r="Z27" i="3"/>
  <c r="Z28" i="3"/>
  <c r="Z29" i="3"/>
  <c r="Z30" i="3"/>
  <c r="Z31" i="3"/>
  <c r="Z33" i="3"/>
  <c r="Z34" i="3"/>
  <c r="Z35" i="3"/>
  <c r="Z36" i="3"/>
  <c r="Z37" i="3"/>
  <c r="Z38" i="3"/>
  <c r="Z39" i="3"/>
  <c r="Z43" i="3"/>
  <c r="Z44" i="3"/>
  <c r="Z45" i="3"/>
  <c r="Z46" i="3"/>
  <c r="Z47" i="3"/>
  <c r="Z48" i="3"/>
  <c r="Z49" i="3"/>
  <c r="Z50" i="3"/>
  <c r="Z51" i="3"/>
  <c r="Z52" i="3"/>
  <c r="Z53" i="3"/>
  <c r="Z54" i="3"/>
  <c r="Z55" i="3"/>
  <c r="Z57" i="3"/>
  <c r="Z58" i="3"/>
  <c r="Z59" i="3"/>
  <c r="Z60" i="3"/>
  <c r="Z61" i="3"/>
  <c r="Z62" i="3"/>
  <c r="Z63" i="3"/>
  <c r="Z67" i="3"/>
  <c r="Z68" i="3"/>
  <c r="Z69" i="3"/>
  <c r="Z70" i="3"/>
  <c r="Z71" i="3"/>
  <c r="Z72" i="3"/>
  <c r="Z73" i="3"/>
  <c r="Z74" i="3"/>
  <c r="Z75" i="3"/>
  <c r="Z76" i="3"/>
  <c r="Z77" i="3"/>
  <c r="Z78" i="3"/>
  <c r="Z79" i="3"/>
  <c r="Z80" i="3"/>
  <c r="Z82" i="3"/>
  <c r="Z84" i="3"/>
  <c r="Z85" i="3"/>
  <c r="Z86" i="3"/>
  <c r="Z87" i="3"/>
  <c r="Z89" i="3"/>
  <c r="Z90" i="3"/>
  <c r="Z91" i="3"/>
  <c r="Z93" i="3"/>
  <c r="Z94" i="3"/>
  <c r="Z98" i="3"/>
  <c r="Z99" i="3"/>
  <c r="Z100" i="3"/>
  <c r="Z107" i="3"/>
  <c r="Z108" i="3"/>
  <c r="Z109" i="3"/>
  <c r="Z110" i="3"/>
  <c r="Z111" i="3"/>
  <c r="Z113" i="3"/>
  <c r="Z114" i="3"/>
  <c r="Z115" i="3"/>
  <c r="Z116" i="3"/>
  <c r="Z117" i="3"/>
  <c r="Z118" i="3"/>
  <c r="Z119" i="3"/>
  <c r="Z120" i="3"/>
  <c r="Z103" i="3"/>
  <c r="Z104" i="3"/>
  <c r="E157" i="8"/>
  <c r="D157" i="8"/>
  <c r="B157" i="8"/>
  <c r="A157" i="8"/>
  <c r="E156" i="8"/>
  <c r="D156" i="8"/>
  <c r="B156" i="8"/>
  <c r="A156" i="8"/>
  <c r="E155" i="8"/>
  <c r="D155" i="8"/>
  <c r="B155" i="8"/>
  <c r="A155" i="8"/>
  <c r="E154" i="8"/>
  <c r="D154" i="8"/>
  <c r="B154" i="8"/>
  <c r="A154" i="8"/>
  <c r="E153" i="8"/>
  <c r="D153" i="8"/>
  <c r="B153" i="8"/>
  <c r="A153" i="8"/>
  <c r="E152" i="8"/>
  <c r="D152" i="8"/>
  <c r="B152" i="8"/>
  <c r="A152" i="8"/>
  <c r="E151" i="8"/>
  <c r="D151" i="8"/>
  <c r="B151" i="8"/>
  <c r="A151" i="8"/>
  <c r="D150" i="8"/>
  <c r="B150" i="8"/>
  <c r="A150" i="8"/>
  <c r="E149" i="8"/>
  <c r="D149" i="8"/>
  <c r="B149" i="8"/>
  <c r="A149" i="8"/>
  <c r="E148" i="8"/>
  <c r="D148" i="8"/>
  <c r="B148" i="8"/>
  <c r="A148" i="8"/>
  <c r="X81" i="3" l="1"/>
  <c r="X97" i="3"/>
  <c r="X112" i="3"/>
  <c r="X32" i="3"/>
  <c r="X102" i="3"/>
  <c r="X3" i="3"/>
  <c r="X5" i="3"/>
  <c r="X4" i="3"/>
  <c r="X106" i="3"/>
  <c r="X101" i="3"/>
  <c r="X96" i="3"/>
  <c r="X92" i="3"/>
  <c r="X42" i="3"/>
  <c r="X65" i="3"/>
  <c r="X64" i="3"/>
  <c r="X66" i="3"/>
  <c r="X40" i="3"/>
  <c r="X41" i="3"/>
  <c r="X56" i="3"/>
  <c r="X25" i="3"/>
  <c r="X88" i="3"/>
  <c r="X10" i="3"/>
  <c r="X83" i="3"/>
  <c r="X6" i="3"/>
  <c r="X7" i="3"/>
  <c r="X8" i="3"/>
  <c r="X9" i="3"/>
  <c r="X105" i="3"/>
  <c r="X11" i="3"/>
  <c r="X12" i="3"/>
  <c r="X13" i="3"/>
  <c r="X14" i="3"/>
  <c r="X15" i="3"/>
  <c r="X16" i="3"/>
  <c r="X17" i="3"/>
  <c r="X18" i="3"/>
  <c r="X19" i="3"/>
  <c r="X20" i="3"/>
  <c r="X21" i="3"/>
  <c r="X22" i="3"/>
  <c r="X23" i="3"/>
  <c r="X24" i="3"/>
  <c r="X26" i="3"/>
  <c r="X27" i="3"/>
  <c r="X28" i="3"/>
  <c r="X29" i="3"/>
  <c r="X30" i="3"/>
  <c r="X31" i="3"/>
  <c r="X33" i="3"/>
  <c r="X34" i="3"/>
  <c r="X35" i="3"/>
  <c r="X36" i="3"/>
  <c r="X37" i="3"/>
  <c r="X38" i="3"/>
  <c r="X39" i="3"/>
  <c r="X43" i="3"/>
  <c r="X44" i="3"/>
  <c r="X45" i="3"/>
  <c r="X46" i="3"/>
  <c r="X47" i="3"/>
  <c r="X48" i="3"/>
  <c r="X49" i="3"/>
  <c r="X50" i="3"/>
  <c r="X51" i="3"/>
  <c r="X52" i="3"/>
  <c r="X53" i="3"/>
  <c r="X54" i="3"/>
  <c r="X55" i="3"/>
  <c r="X57" i="3"/>
  <c r="X58" i="3"/>
  <c r="X59" i="3"/>
  <c r="X60" i="3"/>
  <c r="X61" i="3"/>
  <c r="X62" i="3"/>
  <c r="X63" i="3"/>
  <c r="X67" i="3"/>
  <c r="X68" i="3"/>
  <c r="X69" i="3"/>
  <c r="X70" i="3"/>
  <c r="X71" i="3"/>
  <c r="X72" i="3"/>
  <c r="X73" i="3"/>
  <c r="X74" i="3"/>
  <c r="X75" i="3"/>
  <c r="X76" i="3"/>
  <c r="X77" i="3"/>
  <c r="X78" i="3"/>
  <c r="X79" i="3"/>
  <c r="X80" i="3"/>
  <c r="X82" i="3"/>
  <c r="X84" i="3"/>
  <c r="X85" i="3"/>
  <c r="X86" i="3"/>
  <c r="X87" i="3"/>
  <c r="X89" i="3"/>
  <c r="X90" i="3"/>
  <c r="X91" i="3"/>
  <c r="X93" i="3"/>
  <c r="X94" i="3"/>
  <c r="X98" i="3"/>
  <c r="X99" i="3"/>
  <c r="X100" i="3"/>
  <c r="X107" i="3"/>
  <c r="X108" i="3"/>
  <c r="X109" i="3"/>
  <c r="X110" i="3"/>
  <c r="X111" i="3"/>
  <c r="X113" i="3"/>
  <c r="X114" i="3"/>
  <c r="X115" i="3"/>
  <c r="X116" i="3"/>
  <c r="X117" i="3"/>
  <c r="X118" i="3"/>
  <c r="X119" i="3"/>
  <c r="X120" i="3"/>
  <c r="X103" i="3"/>
  <c r="X104" i="3"/>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W81" i="3" l="1"/>
  <c r="W112" i="3"/>
  <c r="W32" i="3"/>
  <c r="W97" i="3"/>
  <c r="W102" i="3"/>
  <c r="W3" i="3"/>
  <c r="W5" i="3"/>
  <c r="W4" i="3"/>
  <c r="W106" i="3"/>
  <c r="W96" i="3"/>
  <c r="W92" i="3"/>
  <c r="W101" i="3"/>
  <c r="W64" i="3"/>
  <c r="W40" i="3"/>
  <c r="W41" i="3"/>
  <c r="W42" i="3"/>
  <c r="W65" i="3"/>
  <c r="W66" i="3"/>
  <c r="W56" i="3"/>
  <c r="W25" i="3"/>
  <c r="W88" i="3"/>
  <c r="W10" i="3"/>
  <c r="W83" i="3"/>
  <c r="W6" i="3"/>
  <c r="W7" i="3"/>
  <c r="W8" i="3"/>
  <c r="W9" i="3"/>
  <c r="W105" i="3"/>
  <c r="W11" i="3"/>
  <c r="W12" i="3"/>
  <c r="W13" i="3"/>
  <c r="W14" i="3"/>
  <c r="W15" i="3"/>
  <c r="W16" i="3"/>
  <c r="W17" i="3"/>
  <c r="W18" i="3"/>
  <c r="W19" i="3"/>
  <c r="W20" i="3"/>
  <c r="W21" i="3"/>
  <c r="W22" i="3"/>
  <c r="W23" i="3"/>
  <c r="W24" i="3"/>
  <c r="W26" i="3"/>
  <c r="W27" i="3"/>
  <c r="W28" i="3"/>
  <c r="W29" i="3"/>
  <c r="W30" i="3"/>
  <c r="W31" i="3"/>
  <c r="W33" i="3"/>
  <c r="W34" i="3"/>
  <c r="W35" i="3"/>
  <c r="W36" i="3"/>
  <c r="W37" i="3"/>
  <c r="W38" i="3"/>
  <c r="W39" i="3"/>
  <c r="W43" i="3"/>
  <c r="W44" i="3"/>
  <c r="W45" i="3"/>
  <c r="W46" i="3"/>
  <c r="W47" i="3"/>
  <c r="W48" i="3"/>
  <c r="W49" i="3"/>
  <c r="W50" i="3"/>
  <c r="W51" i="3"/>
  <c r="W52" i="3"/>
  <c r="W53" i="3"/>
  <c r="W54" i="3"/>
  <c r="W55" i="3"/>
  <c r="W57" i="3"/>
  <c r="W58" i="3"/>
  <c r="W59" i="3"/>
  <c r="W60" i="3"/>
  <c r="W61" i="3"/>
  <c r="W62" i="3"/>
  <c r="W63" i="3"/>
  <c r="W67" i="3"/>
  <c r="W68" i="3"/>
  <c r="W69" i="3"/>
  <c r="W70" i="3"/>
  <c r="W71" i="3"/>
  <c r="W72" i="3"/>
  <c r="W73" i="3"/>
  <c r="W74" i="3"/>
  <c r="W75" i="3"/>
  <c r="W76" i="3"/>
  <c r="W77" i="3"/>
  <c r="W78" i="3"/>
  <c r="W79" i="3"/>
  <c r="W80" i="3"/>
  <c r="W82" i="3"/>
  <c r="W84" i="3"/>
  <c r="W85" i="3"/>
  <c r="W86" i="3"/>
  <c r="W87" i="3"/>
  <c r="W89" i="3"/>
  <c r="W90" i="3"/>
  <c r="W91" i="3"/>
  <c r="W93" i="3"/>
  <c r="W94" i="3"/>
  <c r="W98" i="3"/>
  <c r="W99" i="3"/>
  <c r="W100" i="3"/>
  <c r="W107" i="3"/>
  <c r="W108" i="3"/>
  <c r="W109" i="3"/>
  <c r="W110" i="3"/>
  <c r="W111" i="3"/>
  <c r="W113" i="3"/>
  <c r="W114" i="3"/>
  <c r="W115" i="3"/>
  <c r="W116" i="3"/>
  <c r="W117" i="3"/>
  <c r="W118" i="3"/>
  <c r="W119" i="3"/>
  <c r="W120" i="3"/>
  <c r="W103" i="3"/>
  <c r="W104" i="3"/>
  <c r="E135" i="8"/>
  <c r="D135" i="8"/>
  <c r="B135" i="8"/>
  <c r="A135" i="8"/>
  <c r="E134" i="8"/>
  <c r="D134" i="8"/>
  <c r="B134" i="8"/>
  <c r="A134" i="8"/>
  <c r="E133" i="8"/>
  <c r="D133" i="8"/>
  <c r="B133" i="8"/>
  <c r="A133" i="8"/>
  <c r="E132" i="8"/>
  <c r="D132" i="8"/>
  <c r="B132" i="8"/>
  <c r="A132" i="8"/>
  <c r="V81" i="3" l="1"/>
  <c r="V97" i="3"/>
  <c r="V112" i="3"/>
  <c r="V32" i="3"/>
  <c r="V3" i="3"/>
  <c r="V5" i="3"/>
  <c r="V4" i="3"/>
  <c r="V106" i="3"/>
  <c r="V102" i="3"/>
  <c r="V92" i="3"/>
  <c r="V101" i="3"/>
  <c r="V96" i="3"/>
  <c r="V40" i="3"/>
  <c r="V41" i="3"/>
  <c r="V42" i="3"/>
  <c r="V65" i="3"/>
  <c r="V64" i="3"/>
  <c r="V66" i="3"/>
  <c r="V56" i="3"/>
  <c r="V88" i="3"/>
  <c r="V25" i="3"/>
  <c r="V10" i="3"/>
  <c r="V83" i="3"/>
  <c r="V6" i="3"/>
  <c r="V7" i="3"/>
  <c r="V8" i="3"/>
  <c r="V9" i="3"/>
  <c r="V105" i="3"/>
  <c r="V11" i="3"/>
  <c r="V12" i="3"/>
  <c r="V13" i="3"/>
  <c r="V14" i="3"/>
  <c r="V15" i="3"/>
  <c r="V16" i="3"/>
  <c r="V17" i="3"/>
  <c r="V18" i="3"/>
  <c r="V19" i="3"/>
  <c r="V20" i="3"/>
  <c r="V21" i="3"/>
  <c r="V22" i="3"/>
  <c r="V23" i="3"/>
  <c r="V24" i="3"/>
  <c r="V26" i="3"/>
  <c r="V27" i="3"/>
  <c r="V28" i="3"/>
  <c r="V29" i="3"/>
  <c r="V30" i="3"/>
  <c r="V31" i="3"/>
  <c r="V33" i="3"/>
  <c r="V34" i="3"/>
  <c r="V35" i="3"/>
  <c r="V36" i="3"/>
  <c r="V37" i="3"/>
  <c r="V38" i="3"/>
  <c r="V39" i="3"/>
  <c r="V43" i="3"/>
  <c r="V44" i="3"/>
  <c r="V45" i="3"/>
  <c r="V46" i="3"/>
  <c r="V47" i="3"/>
  <c r="V48" i="3"/>
  <c r="V49" i="3"/>
  <c r="V50" i="3"/>
  <c r="V51" i="3"/>
  <c r="V52" i="3"/>
  <c r="V53" i="3"/>
  <c r="V54" i="3"/>
  <c r="V55" i="3"/>
  <c r="V57" i="3"/>
  <c r="V58" i="3"/>
  <c r="V59" i="3"/>
  <c r="V60" i="3"/>
  <c r="V61" i="3"/>
  <c r="V62" i="3"/>
  <c r="V63" i="3"/>
  <c r="V67" i="3"/>
  <c r="V68" i="3"/>
  <c r="V69" i="3"/>
  <c r="V70" i="3"/>
  <c r="V71" i="3"/>
  <c r="V72" i="3"/>
  <c r="V73" i="3"/>
  <c r="V74" i="3"/>
  <c r="V75" i="3"/>
  <c r="V76" i="3"/>
  <c r="V77" i="3"/>
  <c r="V78" i="3"/>
  <c r="V79" i="3"/>
  <c r="V80" i="3"/>
  <c r="V82" i="3"/>
  <c r="V84" i="3"/>
  <c r="V85" i="3"/>
  <c r="V86" i="3"/>
  <c r="V87" i="3"/>
  <c r="V89" i="3"/>
  <c r="V90" i="3"/>
  <c r="V91" i="3"/>
  <c r="V93" i="3"/>
  <c r="V94" i="3"/>
  <c r="V98" i="3"/>
  <c r="V99" i="3"/>
  <c r="V100" i="3"/>
  <c r="V107" i="3"/>
  <c r="V108" i="3"/>
  <c r="V109" i="3"/>
  <c r="V110" i="3"/>
  <c r="V111" i="3"/>
  <c r="V113" i="3"/>
  <c r="V114" i="3"/>
  <c r="V115" i="3"/>
  <c r="V116" i="3"/>
  <c r="V117" i="3"/>
  <c r="V118" i="3"/>
  <c r="V119" i="3"/>
  <c r="V120" i="3"/>
  <c r="V103" i="3"/>
  <c r="V104" i="3"/>
  <c r="E129" i="8"/>
  <c r="D129" i="8"/>
  <c r="B129" i="8"/>
  <c r="A129" i="8"/>
  <c r="E128" i="8"/>
  <c r="D128" i="8"/>
  <c r="B128" i="8"/>
  <c r="A128" i="8"/>
  <c r="E127" i="8"/>
  <c r="D127" i="8"/>
  <c r="B127" i="8"/>
  <c r="A127" i="8"/>
  <c r="E126" i="8"/>
  <c r="D126" i="8"/>
  <c r="B126" i="8"/>
  <c r="A126" i="8"/>
  <c r="U81" i="3" l="1"/>
  <c r="U32" i="3"/>
  <c r="U112" i="3"/>
  <c r="U97" i="3"/>
  <c r="U3" i="3"/>
  <c r="U5" i="3"/>
  <c r="U4" i="3"/>
  <c r="U106" i="3"/>
  <c r="U102" i="3"/>
  <c r="U96" i="3"/>
  <c r="U92" i="3"/>
  <c r="U101" i="3"/>
  <c r="U40" i="3"/>
  <c r="U41" i="3"/>
  <c r="U42" i="3"/>
  <c r="U65" i="3"/>
  <c r="U66" i="3"/>
  <c r="U64" i="3"/>
  <c r="U56" i="3"/>
  <c r="U25" i="3"/>
  <c r="U88" i="3"/>
  <c r="U10" i="3"/>
  <c r="U83" i="3"/>
  <c r="U6" i="3"/>
  <c r="U7" i="3"/>
  <c r="U8" i="3"/>
  <c r="U9" i="3"/>
  <c r="U105" i="3"/>
  <c r="U11" i="3"/>
  <c r="U12" i="3"/>
  <c r="U13" i="3"/>
  <c r="U14" i="3"/>
  <c r="U15" i="3"/>
  <c r="U16" i="3"/>
  <c r="U17" i="3"/>
  <c r="U18" i="3"/>
  <c r="U19" i="3"/>
  <c r="U20" i="3"/>
  <c r="U21" i="3"/>
  <c r="U22" i="3"/>
  <c r="U23" i="3"/>
  <c r="U24" i="3"/>
  <c r="U26" i="3"/>
  <c r="U27" i="3"/>
  <c r="U28" i="3"/>
  <c r="U29" i="3"/>
  <c r="U30" i="3"/>
  <c r="U31" i="3"/>
  <c r="U33" i="3"/>
  <c r="U34" i="3"/>
  <c r="U35" i="3"/>
  <c r="U36" i="3"/>
  <c r="U37" i="3"/>
  <c r="U38" i="3"/>
  <c r="U39" i="3"/>
  <c r="U43" i="3"/>
  <c r="U44" i="3"/>
  <c r="U45" i="3"/>
  <c r="U46" i="3"/>
  <c r="U47" i="3"/>
  <c r="U48" i="3"/>
  <c r="U49" i="3"/>
  <c r="U50" i="3"/>
  <c r="U51" i="3"/>
  <c r="U52" i="3"/>
  <c r="U53" i="3"/>
  <c r="U54" i="3"/>
  <c r="U55" i="3"/>
  <c r="U57" i="3"/>
  <c r="U58" i="3"/>
  <c r="U59" i="3"/>
  <c r="U60" i="3"/>
  <c r="U61" i="3"/>
  <c r="U62" i="3"/>
  <c r="U63" i="3"/>
  <c r="U67" i="3"/>
  <c r="U68" i="3"/>
  <c r="U69" i="3"/>
  <c r="U70" i="3"/>
  <c r="U71" i="3"/>
  <c r="U72" i="3"/>
  <c r="U73" i="3"/>
  <c r="U74" i="3"/>
  <c r="U75" i="3"/>
  <c r="U76" i="3"/>
  <c r="U77" i="3"/>
  <c r="U78" i="3"/>
  <c r="U79" i="3"/>
  <c r="U80" i="3"/>
  <c r="U82" i="3"/>
  <c r="U84" i="3"/>
  <c r="U85" i="3"/>
  <c r="U86" i="3"/>
  <c r="U87" i="3"/>
  <c r="U89" i="3"/>
  <c r="U90" i="3"/>
  <c r="U91" i="3"/>
  <c r="U93" i="3"/>
  <c r="U94" i="3"/>
  <c r="U98" i="3"/>
  <c r="U99" i="3"/>
  <c r="U100" i="3"/>
  <c r="U107" i="3"/>
  <c r="U108" i="3"/>
  <c r="U109" i="3"/>
  <c r="U110" i="3"/>
  <c r="U111" i="3"/>
  <c r="U113" i="3"/>
  <c r="U114" i="3"/>
  <c r="U115" i="3"/>
  <c r="U116" i="3"/>
  <c r="U117" i="3"/>
  <c r="U118" i="3"/>
  <c r="U119" i="3"/>
  <c r="U120" i="3"/>
  <c r="U103" i="3"/>
  <c r="U104" i="3"/>
  <c r="E123" i="8"/>
  <c r="D123" i="8"/>
  <c r="B123" i="8"/>
  <c r="A123" i="8"/>
  <c r="E122" i="8"/>
  <c r="D122" i="8"/>
  <c r="B122" i="8"/>
  <c r="A122" i="8"/>
  <c r="E121" i="8"/>
  <c r="D121" i="8"/>
  <c r="B121" i="8"/>
  <c r="A121" i="8"/>
  <c r="E120" i="8"/>
  <c r="D120" i="8"/>
  <c r="B120" i="8"/>
  <c r="A120" i="8"/>
  <c r="E119" i="8"/>
  <c r="D119" i="8"/>
  <c r="B119" i="8"/>
  <c r="A119" i="8"/>
  <c r="E118" i="8"/>
  <c r="D118" i="8"/>
  <c r="B118" i="8"/>
  <c r="A118" i="8"/>
  <c r="T81" i="3" l="1"/>
  <c r="T32" i="3"/>
  <c r="T112" i="3"/>
  <c r="T97" i="3"/>
  <c r="T102" i="3"/>
  <c r="T3" i="3"/>
  <c r="T5" i="3"/>
  <c r="T4" i="3"/>
  <c r="T106" i="3"/>
  <c r="T92" i="3"/>
  <c r="T101" i="3"/>
  <c r="T96" i="3"/>
  <c r="T40" i="3"/>
  <c r="T41" i="3"/>
  <c r="T42" i="3"/>
  <c r="T64" i="3"/>
  <c r="T65" i="3"/>
  <c r="T66" i="3"/>
  <c r="T56" i="3"/>
  <c r="T88" i="3"/>
  <c r="T25" i="3"/>
  <c r="T10" i="3"/>
  <c r="T83" i="3"/>
  <c r="T6" i="3"/>
  <c r="T7" i="3"/>
  <c r="T8" i="3"/>
  <c r="T9" i="3"/>
  <c r="T105" i="3"/>
  <c r="T11" i="3"/>
  <c r="T12" i="3"/>
  <c r="T13" i="3"/>
  <c r="T14" i="3"/>
  <c r="T15" i="3"/>
  <c r="T16" i="3"/>
  <c r="T17" i="3"/>
  <c r="T18" i="3"/>
  <c r="T19" i="3"/>
  <c r="T20" i="3"/>
  <c r="T21" i="3"/>
  <c r="T22" i="3"/>
  <c r="T23" i="3"/>
  <c r="T24" i="3"/>
  <c r="T26" i="3"/>
  <c r="T27" i="3"/>
  <c r="T28" i="3"/>
  <c r="T29" i="3"/>
  <c r="T30" i="3"/>
  <c r="T31" i="3"/>
  <c r="T33" i="3"/>
  <c r="T34" i="3"/>
  <c r="T35" i="3"/>
  <c r="T36" i="3"/>
  <c r="T37" i="3"/>
  <c r="T38" i="3"/>
  <c r="T39" i="3"/>
  <c r="T43" i="3"/>
  <c r="T44" i="3"/>
  <c r="T45" i="3"/>
  <c r="T46" i="3"/>
  <c r="T47" i="3"/>
  <c r="T48" i="3"/>
  <c r="T49" i="3"/>
  <c r="T50" i="3"/>
  <c r="T51" i="3"/>
  <c r="T52" i="3"/>
  <c r="T53" i="3"/>
  <c r="T54" i="3"/>
  <c r="T55" i="3"/>
  <c r="T57" i="3"/>
  <c r="T58" i="3"/>
  <c r="T59" i="3"/>
  <c r="T60" i="3"/>
  <c r="T61" i="3"/>
  <c r="T62" i="3"/>
  <c r="T63" i="3"/>
  <c r="T67" i="3"/>
  <c r="T68" i="3"/>
  <c r="T69" i="3"/>
  <c r="T70" i="3"/>
  <c r="T71" i="3"/>
  <c r="T72" i="3"/>
  <c r="T73" i="3"/>
  <c r="T74" i="3"/>
  <c r="T75" i="3"/>
  <c r="T76" i="3"/>
  <c r="T77" i="3"/>
  <c r="T78" i="3"/>
  <c r="T79" i="3"/>
  <c r="T80" i="3"/>
  <c r="T82" i="3"/>
  <c r="T84" i="3"/>
  <c r="T85" i="3"/>
  <c r="T86" i="3"/>
  <c r="T87" i="3"/>
  <c r="T89" i="3"/>
  <c r="T90" i="3"/>
  <c r="T91" i="3"/>
  <c r="T93" i="3"/>
  <c r="T94" i="3"/>
  <c r="T98" i="3"/>
  <c r="T99" i="3"/>
  <c r="T100" i="3"/>
  <c r="T107" i="3"/>
  <c r="T108" i="3"/>
  <c r="T109" i="3"/>
  <c r="T110" i="3"/>
  <c r="T111" i="3"/>
  <c r="T113" i="3"/>
  <c r="T114" i="3"/>
  <c r="T115" i="3"/>
  <c r="T116" i="3"/>
  <c r="T117" i="3"/>
  <c r="T118" i="3"/>
  <c r="T119" i="3"/>
  <c r="T120" i="3"/>
  <c r="T103" i="3"/>
  <c r="T104" i="3"/>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S81" i="3" l="1"/>
  <c r="S32" i="3"/>
  <c r="S112" i="3"/>
  <c r="S97" i="3"/>
  <c r="S102" i="3"/>
  <c r="S3" i="3"/>
  <c r="S5" i="3"/>
  <c r="S4" i="3"/>
  <c r="S106" i="3"/>
  <c r="S101" i="3"/>
  <c r="S96" i="3"/>
  <c r="S92" i="3"/>
  <c r="S40" i="3"/>
  <c r="S41" i="3"/>
  <c r="S64" i="3"/>
  <c r="S42" i="3"/>
  <c r="S65" i="3"/>
  <c r="S66" i="3"/>
  <c r="S56" i="3"/>
  <c r="S88" i="3"/>
  <c r="S25" i="3"/>
  <c r="S10" i="3"/>
  <c r="S83" i="3"/>
  <c r="S6" i="3"/>
  <c r="S7" i="3"/>
  <c r="S8" i="3"/>
  <c r="S9" i="3"/>
  <c r="S105" i="3"/>
  <c r="S11" i="3"/>
  <c r="S12" i="3"/>
  <c r="S13" i="3"/>
  <c r="S14" i="3"/>
  <c r="S15" i="3"/>
  <c r="S16" i="3"/>
  <c r="S17" i="3"/>
  <c r="S18" i="3"/>
  <c r="S19" i="3"/>
  <c r="S20" i="3"/>
  <c r="S21" i="3"/>
  <c r="S22" i="3"/>
  <c r="S23" i="3"/>
  <c r="S24" i="3"/>
  <c r="S26" i="3"/>
  <c r="S27" i="3"/>
  <c r="S28" i="3"/>
  <c r="S29" i="3"/>
  <c r="S30" i="3"/>
  <c r="S31" i="3"/>
  <c r="S33" i="3"/>
  <c r="S34" i="3"/>
  <c r="S35" i="3"/>
  <c r="S36" i="3"/>
  <c r="S37" i="3"/>
  <c r="S38" i="3"/>
  <c r="S39" i="3"/>
  <c r="S43" i="3"/>
  <c r="S44" i="3"/>
  <c r="S45" i="3"/>
  <c r="S46" i="3"/>
  <c r="S47" i="3"/>
  <c r="S48" i="3"/>
  <c r="S49" i="3"/>
  <c r="S50" i="3"/>
  <c r="S51" i="3"/>
  <c r="S52" i="3"/>
  <c r="S53" i="3"/>
  <c r="S54" i="3"/>
  <c r="S55" i="3"/>
  <c r="S57" i="3"/>
  <c r="S58" i="3"/>
  <c r="S59" i="3"/>
  <c r="S60" i="3"/>
  <c r="S61" i="3"/>
  <c r="S62" i="3"/>
  <c r="S63" i="3"/>
  <c r="S67" i="3"/>
  <c r="S68" i="3"/>
  <c r="S69" i="3"/>
  <c r="S70" i="3"/>
  <c r="S71" i="3"/>
  <c r="S72" i="3"/>
  <c r="S73" i="3"/>
  <c r="S74" i="3"/>
  <c r="S75" i="3"/>
  <c r="S76" i="3"/>
  <c r="S77" i="3"/>
  <c r="S78" i="3"/>
  <c r="S79" i="3"/>
  <c r="S80" i="3"/>
  <c r="S82" i="3"/>
  <c r="S84" i="3"/>
  <c r="S85" i="3"/>
  <c r="S86" i="3"/>
  <c r="S87" i="3"/>
  <c r="S89" i="3"/>
  <c r="S90" i="3"/>
  <c r="S91" i="3"/>
  <c r="S93" i="3"/>
  <c r="S94" i="3"/>
  <c r="S98" i="3"/>
  <c r="S99" i="3"/>
  <c r="S100" i="3"/>
  <c r="S107" i="3"/>
  <c r="S108" i="3"/>
  <c r="S109" i="3"/>
  <c r="S110" i="3"/>
  <c r="S111" i="3"/>
  <c r="S113" i="3"/>
  <c r="S114" i="3"/>
  <c r="S115" i="3"/>
  <c r="S116" i="3"/>
  <c r="S117" i="3"/>
  <c r="S118" i="3"/>
  <c r="S119" i="3"/>
  <c r="S120" i="3"/>
  <c r="S103" i="3"/>
  <c r="S104" i="3"/>
  <c r="E104" i="8"/>
  <c r="D104" i="8"/>
  <c r="B104" i="8"/>
  <c r="A104" i="8"/>
  <c r="E103" i="8"/>
  <c r="D103" i="8"/>
  <c r="B103" i="8"/>
  <c r="A103" i="8"/>
  <c r="E102" i="8"/>
  <c r="D102" i="8"/>
  <c r="B102" i="8"/>
  <c r="A102" i="8"/>
  <c r="E101" i="8"/>
  <c r="D101" i="8"/>
  <c r="B101" i="8"/>
  <c r="A101" i="8"/>
  <c r="E100" i="8"/>
  <c r="D100" i="8"/>
  <c r="B100" i="8"/>
  <c r="A100" i="8"/>
  <c r="E99" i="8"/>
  <c r="D99" i="8"/>
  <c r="B99" i="8"/>
  <c r="A99" i="8"/>
  <c r="E98" i="8"/>
  <c r="D98" i="8"/>
  <c r="B98" i="8"/>
  <c r="A98" i="8"/>
  <c r="E97" i="8"/>
  <c r="D97" i="8"/>
  <c r="B97" i="8"/>
  <c r="A97" i="8"/>
  <c r="R81" i="3" l="1"/>
  <c r="R112" i="3"/>
  <c r="R32" i="3"/>
  <c r="R97" i="3"/>
  <c r="R3" i="3"/>
  <c r="R5" i="3"/>
  <c r="R4" i="3"/>
  <c r="R106" i="3"/>
  <c r="R102" i="3"/>
  <c r="R101" i="3"/>
  <c r="R92" i="3"/>
  <c r="R96" i="3"/>
  <c r="R66" i="3"/>
  <c r="R65" i="3"/>
  <c r="R40" i="3"/>
  <c r="R41" i="3"/>
  <c r="R42" i="3"/>
  <c r="R64" i="3"/>
  <c r="R56" i="3"/>
  <c r="R25" i="3"/>
  <c r="R88" i="3"/>
  <c r="R10" i="3"/>
  <c r="R83" i="3"/>
  <c r="R6" i="3"/>
  <c r="R7" i="3"/>
  <c r="R8" i="3"/>
  <c r="R9" i="3"/>
  <c r="R105" i="3"/>
  <c r="R11" i="3"/>
  <c r="R12" i="3"/>
  <c r="R13" i="3"/>
  <c r="R14" i="3"/>
  <c r="R15" i="3"/>
  <c r="R16" i="3"/>
  <c r="R17" i="3"/>
  <c r="R18" i="3"/>
  <c r="R19" i="3"/>
  <c r="R20" i="3"/>
  <c r="R21" i="3"/>
  <c r="R22" i="3"/>
  <c r="R23" i="3"/>
  <c r="R24" i="3"/>
  <c r="R26" i="3"/>
  <c r="R27" i="3"/>
  <c r="R28" i="3"/>
  <c r="R29" i="3"/>
  <c r="R30" i="3"/>
  <c r="R31" i="3"/>
  <c r="R33" i="3"/>
  <c r="R34" i="3"/>
  <c r="R35" i="3"/>
  <c r="R36" i="3"/>
  <c r="R37" i="3"/>
  <c r="R38" i="3"/>
  <c r="R39" i="3"/>
  <c r="R43" i="3"/>
  <c r="R44" i="3"/>
  <c r="R45" i="3"/>
  <c r="R46" i="3"/>
  <c r="R47" i="3"/>
  <c r="R48" i="3"/>
  <c r="R49" i="3"/>
  <c r="R50" i="3"/>
  <c r="R51" i="3"/>
  <c r="R52" i="3"/>
  <c r="R53" i="3"/>
  <c r="R54" i="3"/>
  <c r="R55" i="3"/>
  <c r="R57" i="3"/>
  <c r="R58" i="3"/>
  <c r="R59" i="3"/>
  <c r="R60" i="3"/>
  <c r="R61" i="3"/>
  <c r="R62" i="3"/>
  <c r="R63" i="3"/>
  <c r="R67" i="3"/>
  <c r="R68" i="3"/>
  <c r="R69" i="3"/>
  <c r="R70" i="3"/>
  <c r="R71" i="3"/>
  <c r="R72" i="3"/>
  <c r="R73" i="3"/>
  <c r="R74" i="3"/>
  <c r="R75" i="3"/>
  <c r="R76" i="3"/>
  <c r="R77" i="3"/>
  <c r="R78" i="3"/>
  <c r="R79" i="3"/>
  <c r="R80" i="3"/>
  <c r="R82" i="3"/>
  <c r="R84" i="3"/>
  <c r="R85" i="3"/>
  <c r="R86" i="3"/>
  <c r="R87" i="3"/>
  <c r="R89" i="3"/>
  <c r="R90" i="3"/>
  <c r="R91" i="3"/>
  <c r="R93" i="3"/>
  <c r="R94" i="3"/>
  <c r="R98" i="3"/>
  <c r="R99" i="3"/>
  <c r="R100" i="3"/>
  <c r="R107" i="3"/>
  <c r="R108" i="3"/>
  <c r="R109" i="3"/>
  <c r="R110" i="3"/>
  <c r="R111" i="3"/>
  <c r="R113" i="3"/>
  <c r="R114" i="3"/>
  <c r="R115" i="3"/>
  <c r="R116" i="3"/>
  <c r="R117" i="3"/>
  <c r="R118" i="3"/>
  <c r="R119" i="3"/>
  <c r="R120" i="3"/>
  <c r="R103" i="3"/>
  <c r="R104" i="3"/>
  <c r="E94" i="8"/>
  <c r="D94" i="8"/>
  <c r="B94" i="8"/>
  <c r="A94" i="8"/>
  <c r="E93" i="8"/>
  <c r="D93" i="8"/>
  <c r="B93" i="8"/>
  <c r="A93" i="8"/>
  <c r="E92" i="8"/>
  <c r="D92" i="8"/>
  <c r="B92" i="8"/>
  <c r="A92" i="8"/>
  <c r="E91" i="8"/>
  <c r="D91" i="8"/>
  <c r="B91" i="8"/>
  <c r="A91" i="8"/>
  <c r="E90" i="8"/>
  <c r="D90" i="8"/>
  <c r="B90" i="8"/>
  <c r="A90" i="8"/>
  <c r="E89" i="8"/>
  <c r="D89" i="8"/>
  <c r="B89" i="8"/>
  <c r="A89" i="8"/>
  <c r="E88" i="8"/>
  <c r="D88" i="8"/>
  <c r="B88" i="8"/>
  <c r="A88" i="8"/>
  <c r="E87" i="8"/>
  <c r="D87" i="8"/>
  <c r="B87" i="8"/>
  <c r="A87" i="8"/>
  <c r="Q81" i="3" l="1"/>
  <c r="Q97" i="3"/>
  <c r="Q112" i="3"/>
  <c r="Q32" i="3"/>
  <c r="Q3" i="3"/>
  <c r="Q5" i="3"/>
  <c r="Q4" i="3"/>
  <c r="Q106" i="3"/>
  <c r="Q102" i="3"/>
  <c r="Q101" i="3"/>
  <c r="Q96" i="3"/>
  <c r="Q92" i="3"/>
  <c r="Q40" i="3"/>
  <c r="Q41" i="3"/>
  <c r="Q42" i="3"/>
  <c r="Q65" i="3"/>
  <c r="Q64" i="3"/>
  <c r="Q66" i="3"/>
  <c r="Q56" i="3"/>
  <c r="Q88" i="3"/>
  <c r="Q25" i="3"/>
  <c r="Q10" i="3"/>
  <c r="Q83" i="3"/>
  <c r="Q6" i="3"/>
  <c r="Q7" i="3"/>
  <c r="Q8" i="3"/>
  <c r="Q9" i="3"/>
  <c r="Q105" i="3"/>
  <c r="Q11" i="3"/>
  <c r="Q12" i="3"/>
  <c r="Q13" i="3"/>
  <c r="Q14" i="3"/>
  <c r="Q15" i="3"/>
  <c r="Q16" i="3"/>
  <c r="Q17" i="3"/>
  <c r="Q18" i="3"/>
  <c r="Q19" i="3"/>
  <c r="Q20" i="3"/>
  <c r="Q21" i="3"/>
  <c r="Q22" i="3"/>
  <c r="Q23" i="3"/>
  <c r="Q24" i="3"/>
  <c r="Q26" i="3"/>
  <c r="Q27" i="3"/>
  <c r="Q28" i="3"/>
  <c r="Q29" i="3"/>
  <c r="Q30" i="3"/>
  <c r="Q31" i="3"/>
  <c r="Q33" i="3"/>
  <c r="Q34" i="3"/>
  <c r="Q35" i="3"/>
  <c r="Q36" i="3"/>
  <c r="Q37" i="3"/>
  <c r="Q38" i="3"/>
  <c r="Q39" i="3"/>
  <c r="Q43" i="3"/>
  <c r="Q44" i="3"/>
  <c r="Q45" i="3"/>
  <c r="Q46" i="3"/>
  <c r="Q47" i="3"/>
  <c r="Q48" i="3"/>
  <c r="Q49" i="3"/>
  <c r="Q50" i="3"/>
  <c r="Q51" i="3"/>
  <c r="Q52" i="3"/>
  <c r="Q53" i="3"/>
  <c r="Q54" i="3"/>
  <c r="Q55" i="3"/>
  <c r="Q57" i="3"/>
  <c r="Q58" i="3"/>
  <c r="Q59" i="3"/>
  <c r="Q60" i="3"/>
  <c r="Q61" i="3"/>
  <c r="Q62" i="3"/>
  <c r="Q63" i="3"/>
  <c r="Q67" i="3"/>
  <c r="Q68" i="3"/>
  <c r="Q69" i="3"/>
  <c r="Q70" i="3"/>
  <c r="Q71" i="3"/>
  <c r="Q72" i="3"/>
  <c r="Q73" i="3"/>
  <c r="Q74" i="3"/>
  <c r="Q75" i="3"/>
  <c r="Q76" i="3"/>
  <c r="Q77" i="3"/>
  <c r="Q78" i="3"/>
  <c r="Q79" i="3"/>
  <c r="Q80" i="3"/>
  <c r="Q82" i="3"/>
  <c r="Q84" i="3"/>
  <c r="Q85" i="3"/>
  <c r="Q86" i="3"/>
  <c r="Q87" i="3"/>
  <c r="Q89" i="3"/>
  <c r="Q90" i="3"/>
  <c r="Q91" i="3"/>
  <c r="Q93" i="3"/>
  <c r="Q94" i="3"/>
  <c r="Q98" i="3"/>
  <c r="Q99" i="3"/>
  <c r="Q100" i="3"/>
  <c r="Q107" i="3"/>
  <c r="Q108" i="3"/>
  <c r="Q109" i="3"/>
  <c r="Q110" i="3"/>
  <c r="Q111" i="3"/>
  <c r="Q113" i="3"/>
  <c r="Q114" i="3"/>
  <c r="Q115" i="3"/>
  <c r="Q116" i="3"/>
  <c r="Q117" i="3"/>
  <c r="Q118" i="3"/>
  <c r="Q119" i="3"/>
  <c r="Q120" i="3"/>
  <c r="Q103" i="3"/>
  <c r="Q104" i="3"/>
  <c r="E84" i="8"/>
  <c r="D84" i="8"/>
  <c r="B84" i="8"/>
  <c r="A84" i="8"/>
  <c r="E83" i="8"/>
  <c r="D83" i="8"/>
  <c r="B83" i="8"/>
  <c r="A83" i="8"/>
  <c r="E82" i="8"/>
  <c r="D82" i="8"/>
  <c r="B82" i="8"/>
  <c r="A82" i="8"/>
  <c r="E81" i="8"/>
  <c r="D81" i="8"/>
  <c r="B81" i="8"/>
  <c r="A81" i="8"/>
  <c r="E80" i="8"/>
  <c r="D80" i="8"/>
  <c r="B80" i="8"/>
  <c r="A80" i="8"/>
  <c r="E79" i="8"/>
  <c r="D79" i="8"/>
  <c r="B79" i="8"/>
  <c r="A79" i="8"/>
  <c r="E78" i="8"/>
  <c r="D78" i="8"/>
  <c r="B78" i="8"/>
  <c r="A78" i="8"/>
  <c r="E77" i="8"/>
  <c r="D77" i="8"/>
  <c r="B77" i="8"/>
  <c r="A77" i="8"/>
  <c r="P81" i="3" l="1"/>
  <c r="P112" i="3"/>
  <c r="P97" i="3"/>
  <c r="P32" i="3"/>
  <c r="P3" i="3"/>
  <c r="P5" i="3"/>
  <c r="P4" i="3"/>
  <c r="P106" i="3"/>
  <c r="P102" i="3"/>
  <c r="P101" i="3"/>
  <c r="P96" i="3"/>
  <c r="P92" i="3"/>
  <c r="P66" i="3"/>
  <c r="P40" i="3"/>
  <c r="P41" i="3"/>
  <c r="P42" i="3"/>
  <c r="P65" i="3"/>
  <c r="P64" i="3"/>
  <c r="P56" i="3"/>
  <c r="P25" i="3"/>
  <c r="P88" i="3"/>
  <c r="P10" i="3"/>
  <c r="P83" i="3"/>
  <c r="P6" i="3"/>
  <c r="P7" i="3"/>
  <c r="P8" i="3"/>
  <c r="P9" i="3"/>
  <c r="P105" i="3"/>
  <c r="P11" i="3"/>
  <c r="P12" i="3"/>
  <c r="P13" i="3"/>
  <c r="P14" i="3"/>
  <c r="P15" i="3"/>
  <c r="P16" i="3"/>
  <c r="P17" i="3"/>
  <c r="P18" i="3"/>
  <c r="P19" i="3"/>
  <c r="P20" i="3"/>
  <c r="P21" i="3"/>
  <c r="P22" i="3"/>
  <c r="P23" i="3"/>
  <c r="P24" i="3"/>
  <c r="P26" i="3"/>
  <c r="P27" i="3"/>
  <c r="P28" i="3"/>
  <c r="P29" i="3"/>
  <c r="P30" i="3"/>
  <c r="P31" i="3"/>
  <c r="P33" i="3"/>
  <c r="P34" i="3"/>
  <c r="P35" i="3"/>
  <c r="P36" i="3"/>
  <c r="P37" i="3"/>
  <c r="P38" i="3"/>
  <c r="P39" i="3"/>
  <c r="P43" i="3"/>
  <c r="P44" i="3"/>
  <c r="P45" i="3"/>
  <c r="P46" i="3"/>
  <c r="P47" i="3"/>
  <c r="P48" i="3"/>
  <c r="P49" i="3"/>
  <c r="P50" i="3"/>
  <c r="P51" i="3"/>
  <c r="P52" i="3"/>
  <c r="P53" i="3"/>
  <c r="P54" i="3"/>
  <c r="P55" i="3"/>
  <c r="P57" i="3"/>
  <c r="P58" i="3"/>
  <c r="P59" i="3"/>
  <c r="P60" i="3"/>
  <c r="P61" i="3"/>
  <c r="P62" i="3"/>
  <c r="P63" i="3"/>
  <c r="P67" i="3"/>
  <c r="P68" i="3"/>
  <c r="P69" i="3"/>
  <c r="P70" i="3"/>
  <c r="P71" i="3"/>
  <c r="P72" i="3"/>
  <c r="P73" i="3"/>
  <c r="P74" i="3"/>
  <c r="P75" i="3"/>
  <c r="P76" i="3"/>
  <c r="P77" i="3"/>
  <c r="P78" i="3"/>
  <c r="P79" i="3"/>
  <c r="P80" i="3"/>
  <c r="P82" i="3"/>
  <c r="P84" i="3"/>
  <c r="P85" i="3"/>
  <c r="P86" i="3"/>
  <c r="P87" i="3"/>
  <c r="P89" i="3"/>
  <c r="P90" i="3"/>
  <c r="P91" i="3"/>
  <c r="P93" i="3"/>
  <c r="P94" i="3"/>
  <c r="P98" i="3"/>
  <c r="P99" i="3"/>
  <c r="P100" i="3"/>
  <c r="P107" i="3"/>
  <c r="P108" i="3"/>
  <c r="P109" i="3"/>
  <c r="P110" i="3"/>
  <c r="P111" i="3"/>
  <c r="P113" i="3"/>
  <c r="P114" i="3"/>
  <c r="P115" i="3"/>
  <c r="P116" i="3"/>
  <c r="P117" i="3"/>
  <c r="P118" i="3"/>
  <c r="P119" i="3"/>
  <c r="P120" i="3"/>
  <c r="P103" i="3"/>
  <c r="P104" i="3"/>
  <c r="E74" i="8"/>
  <c r="D74" i="8"/>
  <c r="B74" i="8"/>
  <c r="A74" i="8"/>
  <c r="E73" i="8"/>
  <c r="D73" i="8"/>
  <c r="B73" i="8"/>
  <c r="A73" i="8"/>
  <c r="E72" i="8"/>
  <c r="D72" i="8"/>
  <c r="B72" i="8"/>
  <c r="A72" i="8"/>
  <c r="E71" i="8"/>
  <c r="D71" i="8"/>
  <c r="B71" i="8"/>
  <c r="A71" i="8"/>
  <c r="E70" i="8"/>
  <c r="D70" i="8"/>
  <c r="B70" i="8"/>
  <c r="A70" i="8"/>
  <c r="E69" i="8"/>
  <c r="D69" i="8"/>
  <c r="B69" i="8"/>
  <c r="A69" i="8"/>
  <c r="E68" i="8"/>
  <c r="D68" i="8"/>
  <c r="B68" i="8"/>
  <c r="A68" i="8"/>
  <c r="E67" i="8"/>
  <c r="D67" i="8"/>
  <c r="B67" i="8"/>
  <c r="A67" i="8"/>
  <c r="O112" i="3" l="1"/>
  <c r="O32" i="3"/>
  <c r="O97" i="3"/>
  <c r="O3" i="3"/>
  <c r="O5" i="3"/>
  <c r="O4" i="3"/>
  <c r="O106" i="3"/>
  <c r="O102" i="3"/>
  <c r="O101" i="3"/>
  <c r="O96" i="3"/>
  <c r="O92" i="3"/>
  <c r="O40" i="3"/>
  <c r="O41" i="3"/>
  <c r="O64" i="3"/>
  <c r="O66" i="3"/>
  <c r="O42" i="3"/>
  <c r="O65" i="3"/>
  <c r="O56" i="3"/>
  <c r="O25" i="3"/>
  <c r="O88" i="3"/>
  <c r="O10" i="3"/>
  <c r="O83" i="3"/>
  <c r="O6" i="3"/>
  <c r="O7" i="3"/>
  <c r="O8" i="3"/>
  <c r="O9" i="3"/>
  <c r="O105" i="3"/>
  <c r="O11" i="3"/>
  <c r="O12" i="3"/>
  <c r="O13" i="3"/>
  <c r="O14" i="3"/>
  <c r="O15" i="3"/>
  <c r="O16" i="3"/>
  <c r="O17" i="3"/>
  <c r="O18" i="3"/>
  <c r="O19" i="3"/>
  <c r="O20" i="3"/>
  <c r="O21" i="3"/>
  <c r="O22" i="3"/>
  <c r="O23" i="3"/>
  <c r="O24" i="3"/>
  <c r="O26" i="3"/>
  <c r="O27" i="3"/>
  <c r="O28" i="3"/>
  <c r="O29" i="3"/>
  <c r="O30" i="3"/>
  <c r="O31" i="3"/>
  <c r="O33" i="3"/>
  <c r="O34" i="3"/>
  <c r="O35" i="3"/>
  <c r="O36" i="3"/>
  <c r="O37" i="3"/>
  <c r="O38" i="3"/>
  <c r="O39" i="3"/>
  <c r="O43" i="3"/>
  <c r="O44" i="3"/>
  <c r="O45" i="3"/>
  <c r="O46" i="3"/>
  <c r="O47" i="3"/>
  <c r="O48" i="3"/>
  <c r="O49" i="3"/>
  <c r="O50" i="3"/>
  <c r="O51" i="3"/>
  <c r="O52" i="3"/>
  <c r="O53" i="3"/>
  <c r="O54" i="3"/>
  <c r="O55" i="3"/>
  <c r="O57" i="3"/>
  <c r="O58" i="3"/>
  <c r="O59" i="3"/>
  <c r="O60" i="3"/>
  <c r="O61" i="3"/>
  <c r="O62" i="3"/>
  <c r="O63" i="3"/>
  <c r="O67" i="3"/>
  <c r="O68" i="3"/>
  <c r="O69" i="3"/>
  <c r="O70" i="3"/>
  <c r="O71" i="3"/>
  <c r="O72" i="3"/>
  <c r="O73" i="3"/>
  <c r="O74" i="3"/>
  <c r="O75" i="3"/>
  <c r="O76" i="3"/>
  <c r="O77" i="3"/>
  <c r="O78" i="3"/>
  <c r="O79" i="3"/>
  <c r="O80" i="3"/>
  <c r="O82" i="3"/>
  <c r="O84" i="3"/>
  <c r="O85" i="3"/>
  <c r="O86" i="3"/>
  <c r="O87" i="3"/>
  <c r="O89" i="3"/>
  <c r="O90" i="3"/>
  <c r="O91" i="3"/>
  <c r="O93" i="3"/>
  <c r="O94" i="3"/>
  <c r="O98" i="3"/>
  <c r="O99" i="3"/>
  <c r="O100" i="3"/>
  <c r="O107" i="3"/>
  <c r="O108" i="3"/>
  <c r="O109" i="3"/>
  <c r="O110" i="3"/>
  <c r="O111" i="3"/>
  <c r="O113" i="3"/>
  <c r="O114" i="3"/>
  <c r="O115" i="3"/>
  <c r="O116" i="3"/>
  <c r="O117" i="3"/>
  <c r="O118" i="3"/>
  <c r="O119" i="3"/>
  <c r="O120" i="3"/>
  <c r="O103" i="3"/>
  <c r="O104" i="3"/>
  <c r="E64" i="8"/>
  <c r="D64" i="8"/>
  <c r="B64" i="8"/>
  <c r="A64" i="8"/>
  <c r="E63" i="8"/>
  <c r="D63" i="8"/>
  <c r="B63" i="8"/>
  <c r="A63" i="8"/>
  <c r="E62" i="8"/>
  <c r="D62" i="8"/>
  <c r="B62" i="8"/>
  <c r="A62" i="8"/>
  <c r="E61" i="8"/>
  <c r="D61" i="8"/>
  <c r="B61" i="8"/>
  <c r="A61" i="8"/>
  <c r="E60" i="8"/>
  <c r="D60" i="8"/>
  <c r="B60" i="8"/>
  <c r="A60" i="8"/>
  <c r="E59" i="8"/>
  <c r="D59" i="8"/>
  <c r="B59" i="8"/>
  <c r="A59" i="8"/>
  <c r="E58" i="8"/>
  <c r="D58" i="8"/>
  <c r="B58" i="8"/>
  <c r="A58" i="8"/>
  <c r="E57" i="8"/>
  <c r="D57" i="8"/>
  <c r="B57" i="8"/>
  <c r="A57" i="8"/>
  <c r="A49" i="8"/>
  <c r="A50" i="8"/>
  <c r="B49" i="8"/>
  <c r="B50" i="8"/>
  <c r="D49" i="8"/>
  <c r="D50" i="8"/>
  <c r="E49" i="8"/>
  <c r="E50" i="8"/>
  <c r="A51" i="8"/>
  <c r="A52" i="8"/>
  <c r="B51" i="8"/>
  <c r="B52" i="8"/>
  <c r="D51" i="8"/>
  <c r="D52" i="8"/>
  <c r="E51" i="8"/>
  <c r="E52" i="8"/>
  <c r="A53" i="8"/>
  <c r="A54" i="8"/>
  <c r="B53" i="8"/>
  <c r="B54" i="8"/>
  <c r="D53" i="8"/>
  <c r="D54" i="8"/>
  <c r="E53" i="8"/>
  <c r="E54" i="8"/>
  <c r="N112" i="3" l="1"/>
  <c r="N32" i="3"/>
  <c r="N97" i="3"/>
  <c r="N3" i="3"/>
  <c r="N5" i="3"/>
  <c r="N4" i="3"/>
  <c r="N106" i="3"/>
  <c r="N102" i="3"/>
  <c r="N101" i="3"/>
  <c r="N96" i="3"/>
  <c r="N92" i="3"/>
  <c r="N40" i="3"/>
  <c r="N66" i="3"/>
  <c r="N41" i="3"/>
  <c r="N42" i="3"/>
  <c r="N65" i="3"/>
  <c r="N64" i="3"/>
  <c r="N56" i="3"/>
  <c r="N88" i="3"/>
  <c r="N25" i="3"/>
  <c r="N10" i="3"/>
  <c r="N83" i="3"/>
  <c r="N6" i="3"/>
  <c r="N7" i="3"/>
  <c r="N8" i="3"/>
  <c r="N9" i="3"/>
  <c r="N105" i="3"/>
  <c r="N11" i="3"/>
  <c r="N12" i="3"/>
  <c r="N13" i="3"/>
  <c r="N14" i="3"/>
  <c r="N15" i="3"/>
  <c r="N16" i="3"/>
  <c r="N17" i="3"/>
  <c r="N18" i="3"/>
  <c r="N19" i="3"/>
  <c r="N20" i="3"/>
  <c r="N21" i="3"/>
  <c r="N22" i="3"/>
  <c r="N23" i="3"/>
  <c r="N24" i="3"/>
  <c r="N26" i="3"/>
  <c r="N27" i="3"/>
  <c r="N28" i="3"/>
  <c r="N29" i="3"/>
  <c r="N30" i="3"/>
  <c r="N31" i="3"/>
  <c r="N33" i="3"/>
  <c r="N34" i="3"/>
  <c r="N35" i="3"/>
  <c r="N36" i="3"/>
  <c r="N37" i="3"/>
  <c r="N38" i="3"/>
  <c r="N39" i="3"/>
  <c r="N43" i="3"/>
  <c r="N44" i="3"/>
  <c r="N45" i="3"/>
  <c r="N46" i="3"/>
  <c r="N47" i="3"/>
  <c r="N48" i="3"/>
  <c r="N49" i="3"/>
  <c r="N50" i="3"/>
  <c r="N51" i="3"/>
  <c r="N52" i="3"/>
  <c r="N53" i="3"/>
  <c r="N54" i="3"/>
  <c r="N55" i="3"/>
  <c r="N57" i="3"/>
  <c r="N58" i="3"/>
  <c r="N59" i="3"/>
  <c r="N60" i="3"/>
  <c r="N61" i="3"/>
  <c r="N62" i="3"/>
  <c r="N63" i="3"/>
  <c r="N67" i="3"/>
  <c r="N68" i="3"/>
  <c r="N69" i="3"/>
  <c r="N70" i="3"/>
  <c r="N71" i="3"/>
  <c r="N72" i="3"/>
  <c r="N73" i="3"/>
  <c r="N74" i="3"/>
  <c r="N75" i="3"/>
  <c r="N76" i="3"/>
  <c r="N77" i="3"/>
  <c r="N78" i="3"/>
  <c r="N79" i="3"/>
  <c r="N80" i="3"/>
  <c r="N82" i="3"/>
  <c r="N84" i="3"/>
  <c r="N85" i="3"/>
  <c r="N86" i="3"/>
  <c r="N87" i="3"/>
  <c r="N89" i="3"/>
  <c r="N90" i="3"/>
  <c r="N91" i="3"/>
  <c r="N93" i="3"/>
  <c r="N94" i="3"/>
  <c r="N98" i="3"/>
  <c r="N99" i="3"/>
  <c r="N100" i="3"/>
  <c r="N107" i="3"/>
  <c r="N108" i="3"/>
  <c r="N109" i="3"/>
  <c r="N110" i="3"/>
  <c r="N111" i="3"/>
  <c r="N113" i="3"/>
  <c r="N114" i="3"/>
  <c r="N115" i="3"/>
  <c r="N116" i="3"/>
  <c r="N117" i="3"/>
  <c r="N118" i="3"/>
  <c r="N119" i="3"/>
  <c r="N120" i="3"/>
  <c r="N103" i="3"/>
  <c r="N104" i="3"/>
  <c r="A36" i="8"/>
  <c r="A37" i="8"/>
  <c r="A38" i="8"/>
  <c r="A39" i="8"/>
  <c r="B36" i="8"/>
  <c r="B37" i="8"/>
  <c r="B38" i="8"/>
  <c r="B39" i="8"/>
  <c r="D36" i="8"/>
  <c r="D37" i="8"/>
  <c r="D38" i="8"/>
  <c r="D39" i="8"/>
  <c r="E36" i="8"/>
  <c r="E37" i="8"/>
  <c r="E38" i="8"/>
  <c r="E39" i="8"/>
  <c r="A23" i="8" l="1"/>
  <c r="A24" i="8"/>
  <c r="A25" i="8"/>
  <c r="A26" i="8"/>
  <c r="A27" i="8"/>
  <c r="A28" i="8"/>
  <c r="B23" i="8"/>
  <c r="B24" i="8"/>
  <c r="B25" i="8"/>
  <c r="B26" i="8"/>
  <c r="B27" i="8"/>
  <c r="B28" i="8"/>
  <c r="D23" i="8"/>
  <c r="D24" i="8"/>
  <c r="D25" i="8"/>
  <c r="D26" i="8"/>
  <c r="D27" i="8"/>
  <c r="D28" i="8"/>
  <c r="E23" i="8"/>
  <c r="E24" i="8"/>
  <c r="E25" i="8"/>
  <c r="E26" i="8"/>
  <c r="E27" i="8"/>
  <c r="E28" i="8"/>
  <c r="A29" i="8"/>
  <c r="A30" i="8"/>
  <c r="A32" i="8"/>
  <c r="A34" i="8"/>
  <c r="A35" i="8"/>
  <c r="B29" i="8"/>
  <c r="B30" i="8"/>
  <c r="B32" i="8"/>
  <c r="B34" i="8"/>
  <c r="B35" i="8"/>
  <c r="D29" i="8"/>
  <c r="D30" i="8"/>
  <c r="D32" i="8"/>
  <c r="D34" i="8"/>
  <c r="D35" i="8"/>
  <c r="E29" i="8"/>
  <c r="E30" i="8"/>
  <c r="E32" i="8"/>
  <c r="E34" i="8"/>
  <c r="E35" i="8"/>
  <c r="G67" i="5" l="1"/>
  <c r="A65" i="5"/>
  <c r="F69" i="5" l="1"/>
  <c r="D70" i="5"/>
  <c r="C71" i="5"/>
  <c r="C67" i="5"/>
  <c r="D67" i="5"/>
  <c r="F67" i="5"/>
  <c r="B67" i="5"/>
  <c r="D68" i="5" l="1"/>
  <c r="B69" i="5"/>
  <c r="F71" i="5"/>
  <c r="C70" i="5"/>
  <c r="G70" i="5"/>
  <c r="B70" i="5"/>
  <c r="F68" i="5"/>
  <c r="B68" i="5"/>
  <c r="G68" i="5"/>
  <c r="F70" i="5"/>
  <c r="B71" i="5"/>
  <c r="D69" i="5"/>
  <c r="G69" i="5"/>
  <c r="C69" i="5"/>
  <c r="C68" i="5"/>
  <c r="G71" i="5"/>
  <c r="D71" i="5"/>
  <c r="K71" i="5"/>
  <c r="J71" i="5"/>
  <c r="I71" i="5"/>
  <c r="H71" i="5"/>
  <c r="K69" i="5"/>
  <c r="J69" i="5"/>
  <c r="I69" i="5"/>
  <c r="H69" i="5"/>
  <c r="K68" i="5"/>
  <c r="J68" i="5"/>
  <c r="I68" i="5"/>
  <c r="H68" i="5"/>
  <c r="K67" i="5"/>
  <c r="J67" i="5"/>
  <c r="I67" i="5"/>
  <c r="H67" i="5"/>
  <c r="I70" i="5"/>
  <c r="H70" i="5" l="1"/>
  <c r="J70" i="5"/>
  <c r="K70" i="5"/>
  <c r="A40" i="8" l="1"/>
  <c r="B40" i="8"/>
  <c r="D40" i="8"/>
  <c r="E40" i="8"/>
  <c r="A31" i="8"/>
  <c r="B31" i="8"/>
  <c r="D31" i="8"/>
  <c r="E31" i="8"/>
  <c r="A3" i="8" l="1"/>
  <c r="A7" i="8"/>
  <c r="A8" i="8"/>
  <c r="A9" i="8"/>
  <c r="A10" i="8"/>
  <c r="A11" i="8"/>
  <c r="A12" i="8"/>
  <c r="A13" i="8"/>
  <c r="A14" i="8"/>
  <c r="A15" i="8"/>
  <c r="A16" i="8"/>
  <c r="A17" i="8"/>
  <c r="A18" i="8"/>
  <c r="A19" i="8"/>
  <c r="A20" i="8"/>
  <c r="A21" i="8"/>
  <c r="A22" i="8"/>
  <c r="B7" i="8"/>
  <c r="B8" i="8"/>
  <c r="B9" i="8"/>
  <c r="B10" i="8"/>
  <c r="B11" i="8"/>
  <c r="B12" i="8"/>
  <c r="B13" i="8"/>
  <c r="B14" i="8"/>
  <c r="B15" i="8"/>
  <c r="B16" i="8"/>
  <c r="B17" i="8"/>
  <c r="B18" i="8"/>
  <c r="B19" i="8"/>
  <c r="B20" i="8"/>
  <c r="B21" i="8"/>
  <c r="B22" i="8"/>
  <c r="D7" i="8"/>
  <c r="D8" i="8"/>
  <c r="D9" i="8"/>
  <c r="D10" i="8"/>
  <c r="D11" i="8"/>
  <c r="D12" i="8"/>
  <c r="D13" i="8"/>
  <c r="D14" i="8"/>
  <c r="D15" i="8"/>
  <c r="D16" i="8"/>
  <c r="D17" i="8"/>
  <c r="D18" i="8"/>
  <c r="D19" i="8"/>
  <c r="D20" i="8"/>
  <c r="D21" i="8"/>
  <c r="D22" i="8"/>
  <c r="E7" i="8"/>
  <c r="E8" i="8"/>
  <c r="E9" i="8"/>
  <c r="E10" i="8"/>
  <c r="E11" i="8"/>
  <c r="E12" i="8"/>
  <c r="E13" i="8"/>
  <c r="E14" i="8"/>
  <c r="E15" i="8"/>
  <c r="E16" i="8"/>
  <c r="E17" i="8"/>
  <c r="E18" i="8"/>
  <c r="E19" i="8"/>
  <c r="E20" i="8"/>
  <c r="E21" i="8"/>
  <c r="E22" i="8"/>
  <c r="B45" i="8" l="1"/>
  <c r="E45" i="8"/>
  <c r="E46" i="8"/>
  <c r="E47" i="8"/>
  <c r="E48" i="8"/>
  <c r="D45" i="8"/>
  <c r="D46" i="8"/>
  <c r="D47" i="8"/>
  <c r="D48" i="8"/>
  <c r="B46" i="8"/>
  <c r="B47" i="8"/>
  <c r="B48" i="8"/>
  <c r="A45" i="8"/>
  <c r="A46" i="8"/>
  <c r="A47" i="8"/>
  <c r="A48" i="8"/>
  <c r="E3" i="8"/>
  <c r="E4" i="8"/>
  <c r="E5" i="8"/>
  <c r="E6" i="8"/>
  <c r="D3" i="8"/>
  <c r="D4" i="8"/>
  <c r="D5" i="8"/>
  <c r="D6" i="8"/>
  <c r="B3" i="8"/>
  <c r="B4" i="8"/>
  <c r="B5" i="8"/>
  <c r="B6" i="8"/>
  <c r="A4" i="8"/>
  <c r="A5" i="8"/>
  <c r="A6" i="8"/>
  <c r="L42" i="3" s="1"/>
  <c r="M32" i="3" l="1"/>
  <c r="M112" i="3"/>
  <c r="L3" i="3"/>
  <c r="L5" i="3"/>
  <c r="L4" i="3"/>
  <c r="M3" i="3"/>
  <c r="M5" i="3"/>
  <c r="M4" i="3"/>
  <c r="L102" i="3"/>
  <c r="M102" i="3"/>
  <c r="L106" i="3"/>
  <c r="M106" i="3"/>
  <c r="L66" i="3"/>
  <c r="L64" i="3"/>
  <c r="L92" i="3"/>
  <c r="M101" i="3"/>
  <c r="M96" i="3"/>
  <c r="M92" i="3"/>
  <c r="L96" i="3"/>
  <c r="L101" i="3"/>
  <c r="L65" i="3"/>
  <c r="L88" i="3"/>
  <c r="L41" i="3"/>
  <c r="L25" i="3"/>
  <c r="L40" i="3"/>
  <c r="M66" i="3"/>
  <c r="M40" i="3"/>
  <c r="M41" i="3"/>
  <c r="M42" i="3"/>
  <c r="M65" i="3"/>
  <c r="M64" i="3"/>
  <c r="M56" i="3"/>
  <c r="L56" i="3"/>
  <c r="M88" i="3"/>
  <c r="M25" i="3"/>
  <c r="L10" i="3"/>
  <c r="L83" i="3"/>
  <c r="L28" i="3"/>
  <c r="L36" i="3"/>
  <c r="L9" i="3"/>
  <c r="L105" i="3"/>
  <c r="L84" i="3"/>
  <c r="L62" i="3"/>
  <c r="L103" i="3"/>
  <c r="L79" i="3"/>
  <c r="L107" i="3"/>
  <c r="L87" i="3"/>
  <c r="L111" i="3"/>
  <c r="L119" i="3"/>
  <c r="L57" i="3"/>
  <c r="L58" i="3"/>
  <c r="L71" i="3"/>
  <c r="L11" i="3"/>
  <c r="L27" i="3"/>
  <c r="L49" i="3"/>
  <c r="L21" i="3"/>
  <c r="L74" i="3"/>
  <c r="L113" i="3"/>
  <c r="L120" i="3"/>
  <c r="L6" i="3"/>
  <c r="L72" i="3"/>
  <c r="L73" i="3"/>
  <c r="L14" i="3"/>
  <c r="L53" i="3"/>
  <c r="L54" i="3"/>
  <c r="L100" i="3"/>
  <c r="L50" i="3"/>
  <c r="L89" i="3"/>
  <c r="L114" i="3"/>
  <c r="L76" i="3"/>
  <c r="L39" i="3"/>
  <c r="L90" i="3"/>
  <c r="L94" i="3"/>
  <c r="L15" i="3"/>
  <c r="L78" i="3"/>
  <c r="L29" i="3"/>
  <c r="L30" i="3"/>
  <c r="L33" i="3"/>
  <c r="L35" i="3"/>
  <c r="L91" i="3"/>
  <c r="L116" i="3"/>
  <c r="L98" i="3"/>
  <c r="L34" i="3"/>
  <c r="L82" i="3"/>
  <c r="L16" i="3"/>
  <c r="L63" i="3"/>
  <c r="L117" i="3"/>
  <c r="L51" i="3"/>
  <c r="L109" i="3"/>
  <c r="L77" i="3"/>
  <c r="L61" i="3"/>
  <c r="L19" i="3"/>
  <c r="L80" i="3"/>
  <c r="L86" i="3"/>
  <c r="L99" i="3"/>
  <c r="L60" i="3"/>
  <c r="L18" i="3"/>
  <c r="L7" i="3"/>
  <c r="L45" i="3"/>
  <c r="L13" i="3"/>
  <c r="L52" i="3"/>
  <c r="L115" i="3"/>
  <c r="L31" i="3"/>
  <c r="L43" i="3"/>
  <c r="L104" i="3"/>
  <c r="L37" i="3"/>
  <c r="L108" i="3"/>
  <c r="L75" i="3"/>
  <c r="L69" i="3"/>
  <c r="L59" i="3"/>
  <c r="L46" i="3"/>
  <c r="L20" i="3"/>
  <c r="L68" i="3"/>
  <c r="L118" i="3"/>
  <c r="L8" i="3"/>
  <c r="L85" i="3"/>
  <c r="L38" i="3"/>
  <c r="L48" i="3"/>
  <c r="L67" i="3"/>
  <c r="L44" i="3"/>
  <c r="L110" i="3"/>
  <c r="L70" i="3"/>
  <c r="L47" i="3"/>
  <c r="L24" i="3"/>
  <c r="L55" i="3"/>
  <c r="L17" i="3"/>
  <c r="L93" i="3"/>
  <c r="L22" i="3"/>
  <c r="L12" i="3"/>
  <c r="L23" i="3"/>
  <c r="M10" i="3"/>
  <c r="M83" i="3"/>
  <c r="M28" i="3"/>
  <c r="M36" i="3"/>
  <c r="M9" i="3"/>
  <c r="M103" i="3"/>
  <c r="M105" i="3"/>
  <c r="M84" i="3"/>
  <c r="M62" i="3"/>
  <c r="M79" i="3"/>
  <c r="M107" i="3"/>
  <c r="M104" i="3"/>
  <c r="M12" i="3"/>
  <c r="M23" i="3"/>
  <c r="M29" i="3"/>
  <c r="M30" i="3"/>
  <c r="M33" i="3"/>
  <c r="M35" i="3"/>
  <c r="M37" i="3"/>
  <c r="M85" i="3"/>
  <c r="M86" i="3"/>
  <c r="M87" i="3"/>
  <c r="M89" i="3"/>
  <c r="M90" i="3"/>
  <c r="M91" i="3"/>
  <c r="M108" i="3"/>
  <c r="M109" i="3"/>
  <c r="M110" i="3"/>
  <c r="M111" i="3"/>
  <c r="M113" i="3"/>
  <c r="M114" i="3"/>
  <c r="M115" i="3"/>
  <c r="M116" i="3"/>
  <c r="M75" i="3"/>
  <c r="M77" i="3"/>
  <c r="M99" i="3"/>
  <c r="M119" i="3"/>
  <c r="M120" i="3"/>
  <c r="M45" i="3"/>
  <c r="M93" i="3"/>
  <c r="M98" i="3"/>
  <c r="M69" i="3"/>
  <c r="M38" i="3"/>
  <c r="M70" i="3"/>
  <c r="M57" i="3"/>
  <c r="M6" i="3"/>
  <c r="M94" i="3"/>
  <c r="M34" i="3"/>
  <c r="M59" i="3"/>
  <c r="M48" i="3"/>
  <c r="M60" i="3"/>
  <c r="M58" i="3"/>
  <c r="M72" i="3"/>
  <c r="M76" i="3"/>
  <c r="M31" i="3"/>
  <c r="M82" i="3"/>
  <c r="M46" i="3"/>
  <c r="M61" i="3"/>
  <c r="M47" i="3"/>
  <c r="M71" i="3"/>
  <c r="M73" i="3"/>
  <c r="M11" i="3"/>
  <c r="M14" i="3"/>
  <c r="M13" i="3"/>
  <c r="M15" i="3"/>
  <c r="M16" i="3"/>
  <c r="M20" i="3"/>
  <c r="M19" i="3"/>
  <c r="M18" i="3"/>
  <c r="M27" i="3"/>
  <c r="M53" i="3"/>
  <c r="M39" i="3"/>
  <c r="M43" i="3"/>
  <c r="M63" i="3"/>
  <c r="M68" i="3"/>
  <c r="M67" i="3"/>
  <c r="M24" i="3"/>
  <c r="M49" i="3"/>
  <c r="M54" i="3"/>
  <c r="M52" i="3"/>
  <c r="M78" i="3"/>
  <c r="M117" i="3"/>
  <c r="M118" i="3"/>
  <c r="M80" i="3"/>
  <c r="M7" i="3"/>
  <c r="M21" i="3"/>
  <c r="M100" i="3"/>
  <c r="M17" i="3"/>
  <c r="M22" i="3"/>
  <c r="M51" i="3"/>
  <c r="M8" i="3"/>
  <c r="M44" i="3"/>
  <c r="M55" i="3"/>
  <c r="M74" i="3"/>
  <c r="M50" i="3"/>
  <c r="L26" i="3"/>
  <c r="M26" i="3"/>
  <c r="A32" i="5" l="1"/>
  <c r="A22" i="5"/>
  <c r="A12" i="5"/>
  <c r="A31" i="5"/>
  <c r="A21" i="5"/>
  <c r="A11" i="5"/>
  <c r="A39" i="5"/>
  <c r="A29" i="5"/>
  <c r="A19" i="5"/>
  <c r="A38" i="5"/>
  <c r="A28" i="5"/>
  <c r="A18" i="5"/>
  <c r="A37" i="5"/>
  <c r="A27" i="5"/>
  <c r="A17" i="5"/>
  <c r="A36" i="5"/>
  <c r="A26" i="5"/>
  <c r="A16" i="5"/>
  <c r="A34" i="5"/>
  <c r="A24" i="5"/>
  <c r="A14" i="5"/>
  <c r="A33" i="5"/>
  <c r="A23" i="5"/>
  <c r="A13" i="5"/>
  <c r="K39" i="5" l="1"/>
  <c r="J39" i="5"/>
  <c r="I39" i="5"/>
  <c r="H39" i="5"/>
  <c r="H13" i="5"/>
  <c r="K13" i="5"/>
  <c r="J13" i="5"/>
  <c r="I13" i="5"/>
  <c r="E36" i="5"/>
  <c r="E37" i="5" s="1"/>
  <c r="E38" i="5" s="1"/>
  <c r="E39" i="5" s="1"/>
  <c r="J36" i="5"/>
  <c r="I36" i="5"/>
  <c r="H36" i="5"/>
  <c r="K36" i="5"/>
  <c r="K29" i="5"/>
  <c r="J29" i="5"/>
  <c r="I29" i="5"/>
  <c r="H29" i="5"/>
  <c r="J33" i="5"/>
  <c r="H33" i="5"/>
  <c r="K33" i="5"/>
  <c r="I33" i="5"/>
  <c r="K14" i="5"/>
  <c r="J14" i="5"/>
  <c r="I14" i="5"/>
  <c r="H14" i="5"/>
  <c r="K37" i="5"/>
  <c r="J37" i="5"/>
  <c r="I37" i="5"/>
  <c r="H37" i="5"/>
  <c r="E21" i="5"/>
  <c r="E22" i="5" s="1"/>
  <c r="E23" i="5" s="1"/>
  <c r="E24" i="5" s="1"/>
  <c r="H21" i="5"/>
  <c r="K21" i="5"/>
  <c r="J21" i="5"/>
  <c r="I21" i="5"/>
  <c r="J23" i="5"/>
  <c r="I23" i="5"/>
  <c r="H23" i="5"/>
  <c r="K23" i="5"/>
  <c r="K24" i="5"/>
  <c r="J24" i="5"/>
  <c r="I24" i="5"/>
  <c r="H24" i="5"/>
  <c r="I18" i="5"/>
  <c r="H18" i="5"/>
  <c r="K18" i="5"/>
  <c r="J18" i="5"/>
  <c r="E31" i="5"/>
  <c r="E32" i="5" s="1"/>
  <c r="E33" i="5" s="1"/>
  <c r="E34" i="5" s="1"/>
  <c r="J31" i="5"/>
  <c r="H31" i="5"/>
  <c r="K31" i="5"/>
  <c r="I31" i="5"/>
  <c r="E11" i="5"/>
  <c r="E12" i="5" s="1"/>
  <c r="E13" i="5" s="1"/>
  <c r="E14" i="5" s="1"/>
  <c r="H11" i="5"/>
  <c r="K11" i="5"/>
  <c r="J11" i="5"/>
  <c r="I11" i="5"/>
  <c r="K34" i="5"/>
  <c r="J34" i="5"/>
  <c r="I34" i="5"/>
  <c r="H34" i="5"/>
  <c r="J28" i="5"/>
  <c r="I28" i="5"/>
  <c r="H28" i="5"/>
  <c r="K28" i="5"/>
  <c r="K12" i="5"/>
  <c r="J12" i="5"/>
  <c r="I12" i="5"/>
  <c r="H12" i="5"/>
  <c r="K27" i="5"/>
  <c r="J27" i="5"/>
  <c r="I27" i="5"/>
  <c r="H27" i="5"/>
  <c r="E16" i="5"/>
  <c r="E17" i="5" s="1"/>
  <c r="E18" i="5" s="1"/>
  <c r="E19" i="5" s="1"/>
  <c r="J16" i="5"/>
  <c r="H16" i="5"/>
  <c r="K16" i="5"/>
  <c r="I16" i="5"/>
  <c r="J38" i="5"/>
  <c r="H38" i="5"/>
  <c r="K38" i="5"/>
  <c r="I38" i="5"/>
  <c r="K22" i="5"/>
  <c r="J22" i="5"/>
  <c r="I22" i="5"/>
  <c r="H22" i="5"/>
  <c r="K17" i="5"/>
  <c r="J17" i="5"/>
  <c r="I17" i="5"/>
  <c r="H17" i="5"/>
  <c r="E26" i="5"/>
  <c r="E27" i="5" s="1"/>
  <c r="E28" i="5" s="1"/>
  <c r="E29" i="5" s="1"/>
  <c r="J26" i="5"/>
  <c r="H26" i="5"/>
  <c r="K26" i="5"/>
  <c r="I26" i="5"/>
  <c r="K19" i="5"/>
  <c r="J19" i="5"/>
  <c r="I19" i="5"/>
  <c r="H19" i="5"/>
  <c r="K32" i="5"/>
  <c r="J32" i="5"/>
  <c r="I32" i="5"/>
  <c r="H32" i="5"/>
  <c r="C37" i="5"/>
  <c r="F37" i="5"/>
  <c r="G37" i="5"/>
  <c r="B37" i="5"/>
  <c r="D37" i="5"/>
  <c r="B38" i="5"/>
  <c r="F38" i="5"/>
  <c r="G38" i="5"/>
  <c r="D38" i="5"/>
  <c r="C38" i="5"/>
  <c r="B33" i="5"/>
  <c r="C33" i="5"/>
  <c r="G33" i="5"/>
  <c r="F33" i="5"/>
  <c r="D33" i="5"/>
  <c r="D39" i="5"/>
  <c r="B39" i="5"/>
  <c r="C39" i="5"/>
  <c r="F39" i="5"/>
  <c r="G39" i="5"/>
  <c r="D36" i="5"/>
  <c r="B36" i="5"/>
  <c r="C36" i="5"/>
  <c r="F36" i="5"/>
  <c r="G36" i="5"/>
  <c r="C32" i="5"/>
  <c r="G32" i="5"/>
  <c r="D32" i="5"/>
  <c r="F32" i="5"/>
  <c r="B32" i="5"/>
  <c r="C34" i="5"/>
  <c r="G34" i="5"/>
  <c r="F34" i="5"/>
  <c r="B34" i="5"/>
  <c r="D34" i="5"/>
  <c r="D31" i="5"/>
  <c r="F31" i="5"/>
  <c r="B31" i="5"/>
  <c r="C31" i="5"/>
  <c r="G31" i="5"/>
  <c r="F23" i="5" l="1"/>
  <c r="C23" i="5"/>
  <c r="G23" i="5"/>
  <c r="D23" i="5"/>
  <c r="B23" i="5"/>
  <c r="G16" i="5"/>
  <c r="F16" i="5"/>
  <c r="D16" i="5"/>
  <c r="C16" i="5"/>
  <c r="B16" i="5"/>
  <c r="G21" i="5"/>
  <c r="F21" i="5"/>
  <c r="D21" i="5"/>
  <c r="C21" i="5"/>
  <c r="B21" i="5"/>
  <c r="G14" i="5"/>
  <c r="F14" i="5"/>
  <c r="D14" i="5"/>
  <c r="C14" i="5"/>
  <c r="B14" i="5"/>
  <c r="G29" i="5"/>
  <c r="F29" i="5"/>
  <c r="D29" i="5"/>
  <c r="C29" i="5"/>
  <c r="B29" i="5"/>
  <c r="G17" i="5"/>
  <c r="F17" i="5"/>
  <c r="D17" i="5"/>
  <c r="C17" i="5"/>
  <c r="B17" i="5"/>
  <c r="G11" i="5"/>
  <c r="F11" i="5"/>
  <c r="D11" i="5"/>
  <c r="C11" i="5"/>
  <c r="B11" i="5"/>
  <c r="F13" i="5"/>
  <c r="B13" i="5"/>
  <c r="C13" i="5"/>
  <c r="G13" i="5"/>
  <c r="D13" i="5"/>
  <c r="G18" i="5"/>
  <c r="F18" i="5"/>
  <c r="D18" i="5"/>
  <c r="C18" i="5"/>
  <c r="B18" i="5"/>
  <c r="F22" i="5"/>
  <c r="C22" i="5"/>
  <c r="G22" i="5"/>
  <c r="D22" i="5"/>
  <c r="B22" i="5"/>
  <c r="F24" i="5"/>
  <c r="G24" i="5"/>
  <c r="D24" i="5"/>
  <c r="C24" i="5"/>
  <c r="B24" i="5"/>
  <c r="G26" i="5"/>
  <c r="F26" i="5"/>
  <c r="D26" i="5"/>
  <c r="C26" i="5"/>
  <c r="B26" i="5"/>
  <c r="B12" i="5"/>
  <c r="C12" i="5"/>
  <c r="G12" i="5"/>
  <c r="D12" i="5"/>
  <c r="F12" i="5"/>
  <c r="G27" i="5"/>
  <c r="F27" i="5"/>
  <c r="D27" i="5"/>
  <c r="C27" i="5"/>
  <c r="B27" i="5"/>
  <c r="G28" i="5"/>
  <c r="F28" i="5"/>
  <c r="D28" i="5"/>
  <c r="C28" i="5"/>
  <c r="B28" i="5"/>
  <c r="G19" i="5"/>
  <c r="F19" i="5"/>
  <c r="D19" i="5"/>
  <c r="C19" i="5"/>
  <c r="B19" i="5"/>
</calcChain>
</file>

<file path=xl/sharedStrings.xml><?xml version="1.0" encoding="utf-8"?>
<sst xmlns="http://schemas.openxmlformats.org/spreadsheetml/2006/main" count="2922" uniqueCount="490">
  <si>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</si>
  <si>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</si>
  <si>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</si>
  <si>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</si>
  <si>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</si>
  <si>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</si>
  <si>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</si>
  <si>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</si>
  <si>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</si>
  <si>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</si>
  <si>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</si>
  <si>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Bachelor of Design</t>
  </si>
  <si>
    <t>Course version:</t>
  </si>
  <si>
    <t>Design Major:</t>
  </si>
  <si>
    <t>Advertising and Design Major</t>
  </si>
  <si>
    <t>Major version:</t>
  </si>
  <si>
    <t>Design Specialisation:</t>
  </si>
  <si>
    <t>Fashion Design Specialisation</t>
  </si>
  <si>
    <t>Specialisation version:</t>
  </si>
  <si>
    <t>Commencing:</t>
  </si>
  <si>
    <t>Semester 1 (February - June)</t>
  </si>
  <si>
    <t>Credits to Complete:</t>
  </si>
  <si>
    <t>2025 Availabilities</t>
  </si>
  <si>
    <t>Year 1</t>
  </si>
  <si>
    <t>Study Period</t>
  </si>
  <si>
    <t>Pre-Requisite(s)</t>
  </si>
  <si>
    <t>CP</t>
  </si>
  <si>
    <t>Sem1 BEN</t>
  </si>
  <si>
    <t>Sem1 FO</t>
  </si>
  <si>
    <t>Sem2 BEN</t>
  </si>
  <si>
    <t>Sem2 FO</t>
  </si>
  <si>
    <t>Notes / Progress</t>
  </si>
  <si>
    <t>Year 2</t>
  </si>
  <si>
    <t>Year 3</t>
  </si>
  <si>
    <t>Design Specialisation Units</t>
  </si>
  <si>
    <t>Major Alternate Core Units / B-Design Option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</si>
  <si>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</si>
  <si>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</si>
  <si>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</si>
  <si>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</si>
  <si>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TableCourses</t>
  </si>
  <si>
    <t>Lee Ingram</t>
  </si>
  <si>
    <t>RangeUnitSets</t>
  </si>
  <si>
    <t>B-DESIGNSem1</t>
  </si>
  <si>
    <t>B-DESIGNSem2</t>
  </si>
  <si>
    <t>MJRU-ADVDSSem1</t>
  </si>
  <si>
    <t>MJRU-ADVDSSem2</t>
  </si>
  <si>
    <t>MJRU-ANIGDSem1</t>
  </si>
  <si>
    <t>MJRU-ANIGDSem2</t>
  </si>
  <si>
    <t>MJRU-DIGDESem1</t>
  </si>
  <si>
    <t>MJRU-DIGDESem2</t>
  </si>
  <si>
    <t>MJRU-DINFBSem1</t>
  </si>
  <si>
    <t>MJRU-DINFBSem2</t>
  </si>
  <si>
    <t>MJRU-FASHNSem1</t>
  </si>
  <si>
    <t>MJRU-FASHNSem2</t>
  </si>
  <si>
    <t>MJRU-GRPDSSem1</t>
  </si>
  <si>
    <t>MJRU-GRPDSSem2</t>
  </si>
  <si>
    <t>MJRU-PHOTOSem1</t>
  </si>
  <si>
    <t>MJRU-PHOTOSem2</t>
  </si>
  <si>
    <t>Choose your Course</t>
  </si>
  <si>
    <t>Credit Points</t>
  </si>
  <si>
    <t>DropDownLists</t>
  </si>
  <si>
    <t>Y1Sem1</t>
  </si>
  <si>
    <t>GRDE1024</t>
  </si>
  <si>
    <t>Y1Sem2</t>
  </si>
  <si>
    <t>GRDE1004</t>
  </si>
  <si>
    <t>B-DESIGN</t>
  </si>
  <si>
    <t>v.5</t>
  </si>
  <si>
    <t>600 credit points required</t>
  </si>
  <si>
    <t>DDADVDS</t>
  </si>
  <si>
    <t>Choose your Design Specialisation (drop-down list)</t>
  </si>
  <si>
    <t>GRDE1006</t>
  </si>
  <si>
    <t>Opt-Y1</t>
  </si>
  <si>
    <t>Animation and Game Design Specialisation</t>
  </si>
  <si>
    <t>GRDE1016</t>
  </si>
  <si>
    <t>TableStudyPeriod</t>
  </si>
  <si>
    <t>Digital Design Specialisation</t>
  </si>
  <si>
    <t>GRDE1027</t>
  </si>
  <si>
    <t>GRDE1001</t>
  </si>
  <si>
    <t>GRDE1020</t>
  </si>
  <si>
    <t>SpecElect</t>
  </si>
  <si>
    <t>GRDE1018</t>
  </si>
  <si>
    <t>GRDE1003</t>
  </si>
  <si>
    <t>FASH1000</t>
  </si>
  <si>
    <t>GRDE1026</t>
  </si>
  <si>
    <t>GRDE1002</t>
  </si>
  <si>
    <t>Choose your commencing study period (drop-down list)</t>
  </si>
  <si>
    <t>START</t>
  </si>
  <si>
    <t>Next</t>
  </si>
  <si>
    <t>COMS1003</t>
  </si>
  <si>
    <t>Sem1</t>
  </si>
  <si>
    <t>Sem2</t>
  </si>
  <si>
    <t>Fashion Marketing Specialisation</t>
  </si>
  <si>
    <t>Semester 2 (July -  November)</t>
  </si>
  <si>
    <t>Graphic Design Specialisation</t>
  </si>
  <si>
    <t>DesSpec</t>
  </si>
  <si>
    <t>ICTE2002</t>
  </si>
  <si>
    <t>INAR2024</t>
  </si>
  <si>
    <t>FASH2000</t>
  </si>
  <si>
    <t>GRDE1005</t>
  </si>
  <si>
    <t>GRDE2027</t>
  </si>
  <si>
    <t>Illustration Specialisation</t>
  </si>
  <si>
    <t>Spec2Elect</t>
  </si>
  <si>
    <t>GRDE2035</t>
  </si>
  <si>
    <t>GRDE2011</t>
  </si>
  <si>
    <t>GRDE2003</t>
  </si>
  <si>
    <t>FASH2002</t>
  </si>
  <si>
    <t>TableMajors</t>
  </si>
  <si>
    <t>Photography Specialisation</t>
  </si>
  <si>
    <t>Y2Sem1</t>
  </si>
  <si>
    <t>GRDE2044</t>
  </si>
  <si>
    <t>Y2Sem2</t>
  </si>
  <si>
    <t>MKTG2000</t>
  </si>
  <si>
    <t>GRDE2009</t>
  </si>
  <si>
    <t>GRDE2001</t>
  </si>
  <si>
    <t>Choose your Design Major (drop-down list)</t>
  </si>
  <si>
    <t>Column1</t>
  </si>
  <si>
    <t>DDANIGD</t>
  </si>
  <si>
    <t>GRDE2034</t>
  </si>
  <si>
    <t>AC-ADVDS</t>
  </si>
  <si>
    <t>GRDE2037</t>
  </si>
  <si>
    <t>GRDE2014</t>
  </si>
  <si>
    <t>GRDE2040</t>
  </si>
  <si>
    <t>GRDE2006</t>
  </si>
  <si>
    <t>FASH2001</t>
  </si>
  <si>
    <t>GRDE2026</t>
  </si>
  <si>
    <t>GRDE2016</t>
  </si>
  <si>
    <t>GRDE2025</t>
  </si>
  <si>
    <t>MJRU-ADVDS</t>
  </si>
  <si>
    <t>v.1</t>
  </si>
  <si>
    <t>200 CP</t>
  </si>
  <si>
    <t>Daniel McKeating</t>
  </si>
  <si>
    <t>Creative Advertising Design Specialisation</t>
  </si>
  <si>
    <t>GRDE2038</t>
  </si>
  <si>
    <t>GRDE2013</t>
  </si>
  <si>
    <t>GRDE2004</t>
  </si>
  <si>
    <t>FASH2003</t>
  </si>
  <si>
    <t>Animation and Game Design Major</t>
  </si>
  <si>
    <t>MJRU-ANIGD</t>
  </si>
  <si>
    <t>v.2</t>
  </si>
  <si>
    <t>Jonathan Pillai</t>
  </si>
  <si>
    <t>Design Innovation and Fabrication Major</t>
  </si>
  <si>
    <t>MJRU-DINFB</t>
  </si>
  <si>
    <t>Qassim Saad</t>
  </si>
  <si>
    <t>GRDE3005</t>
  </si>
  <si>
    <t>FASH3000</t>
  </si>
  <si>
    <t>Digital Experience and Interaction Design Major</t>
  </si>
  <si>
    <t>MJRU-DIGDE</t>
  </si>
  <si>
    <t>v.4</t>
  </si>
  <si>
    <t>Harriet Perryer</t>
  </si>
  <si>
    <t>GRDE3014</t>
  </si>
  <si>
    <t>GRDE3006</t>
  </si>
  <si>
    <t>FASH3001</t>
  </si>
  <si>
    <t>GRDE2007</t>
  </si>
  <si>
    <t>VISA3018</t>
  </si>
  <si>
    <t>Fashion Design Major</t>
  </si>
  <si>
    <t>MJRU-FASHN</t>
  </si>
  <si>
    <t>Graphic Design Major</t>
  </si>
  <si>
    <t>MJRU-GRPDS</t>
  </si>
  <si>
    <t>Photography Major</t>
  </si>
  <si>
    <t>MJRU-PHOTO</t>
  </si>
  <si>
    <t>Toni Wilkinson</t>
  </si>
  <si>
    <t>Y3Sem1</t>
  </si>
  <si>
    <t>Opt-Y3</t>
  </si>
  <si>
    <t>Y3Sem2</t>
  </si>
  <si>
    <t>MKTG3002</t>
  </si>
  <si>
    <t>GRDE3034</t>
  </si>
  <si>
    <t>GRDE3009</t>
  </si>
  <si>
    <t>VISA3019</t>
  </si>
  <si>
    <t>DDDIGDE</t>
  </si>
  <si>
    <t>GRDE3011</t>
  </si>
  <si>
    <t>GRDE3013</t>
  </si>
  <si>
    <t>GRDE3015</t>
  </si>
  <si>
    <t>GRDE3016</t>
  </si>
  <si>
    <t>GRDE3007</t>
  </si>
  <si>
    <t>FASH3002</t>
  </si>
  <si>
    <t>GRDE3001</t>
  </si>
  <si>
    <t>GRDE3036</t>
  </si>
  <si>
    <t>GRDE3031</t>
  </si>
  <si>
    <t>TableSpecialisations</t>
  </si>
  <si>
    <t>GRDE3029</t>
  </si>
  <si>
    <t>SPUC-ANIGD</t>
  </si>
  <si>
    <t>100 CP</t>
  </si>
  <si>
    <t>SPUC-CADES</t>
  </si>
  <si>
    <t>GRDE3010</t>
  </si>
  <si>
    <t>SPUC-DIGDE</t>
  </si>
  <si>
    <t>SPUC-FASHN</t>
  </si>
  <si>
    <t>SPUC-FSHMK</t>
  </si>
  <si>
    <t>DM Supplied Jan 2024</t>
  </si>
  <si>
    <t>JP confirmed Feb 2024</t>
  </si>
  <si>
    <t>HP Supplied Nov 2023</t>
  </si>
  <si>
    <t>QS Supplied Sept 25</t>
  </si>
  <si>
    <t>SH Supplied Jan 2024</t>
  </si>
  <si>
    <t>MK Juggled Sem1</t>
  </si>
  <si>
    <t>TW Supplied Jan 2024</t>
  </si>
  <si>
    <t>TW phone Jan 2024</t>
  </si>
  <si>
    <t>SPUC-GRPDS</t>
  </si>
  <si>
    <t>DDDINFB</t>
  </si>
  <si>
    <t>SPUC-ILLUS</t>
  </si>
  <si>
    <t>RangeSpecialisations</t>
  </si>
  <si>
    <t>SPUC-PHOTO</t>
  </si>
  <si>
    <t>Spec1</t>
  </si>
  <si>
    <t>-3-</t>
  </si>
  <si>
    <t>-4-</t>
  </si>
  <si>
    <t>-2-</t>
  </si>
  <si>
    <t>Spec2</t>
  </si>
  <si>
    <t>MKTG1000</t>
  </si>
  <si>
    <t>GRDE1015</t>
  </si>
  <si>
    <t>Spec3</t>
  </si>
  <si>
    <t>FASH3003</t>
  </si>
  <si>
    <t>MKTG2001</t>
  </si>
  <si>
    <t>GRDE2031</t>
  </si>
  <si>
    <t>Spec4</t>
  </si>
  <si>
    <t>AND</t>
  </si>
  <si>
    <t>GRDE2017</t>
  </si>
  <si>
    <t>1)      Update high level course / component &amp; study period details (Unitsets Tab)</t>
  </si>
  <si>
    <t>Spec5</t>
  </si>
  <si>
    <t>GRDE2033</t>
  </si>
  <si>
    <t>Opt-FASHN</t>
  </si>
  <si>
    <t>GRDE3018</t>
  </si>
  <si>
    <t>2)      Update Planner page(s) to reference year of planner e.g. “2025” (Planner Tab)</t>
  </si>
  <si>
    <t>Spec6</t>
  </si>
  <si>
    <t>AC-ANIGD</t>
  </si>
  <si>
    <t>FASH1001</t>
  </si>
  <si>
    <t>AC-GRPDS</t>
  </si>
  <si>
    <t>3)      Update structures (Structures Tab)</t>
  </si>
  <si>
    <t>DDFASHN</t>
  </si>
  <si>
    <t>Spec7</t>
  </si>
  <si>
    <t>GRDE3030</t>
  </si>
  <si>
    <t>FASH2004</t>
  </si>
  <si>
    <t>Opt-FSHMK</t>
  </si>
  <si>
    <t>GRDE2008</t>
  </si>
  <si>
    <t>4)      Update Handbook unit list from updated structures (Handbook Tab)</t>
  </si>
  <si>
    <t>Spec8</t>
  </si>
  <si>
    <t>WORK3000</t>
  </si>
  <si>
    <t>GRDE2021</t>
  </si>
  <si>
    <t>5)      Update Availabilities using updated Handbook unit list (Availabilities Tab)</t>
  </si>
  <si>
    <t>Spec9</t>
  </si>
  <si>
    <t>6)      Update Pre Requisites (Handbook Tab)</t>
  </si>
  <si>
    <t>Spec10</t>
  </si>
  <si>
    <t>FASH3004</t>
  </si>
  <si>
    <t>7)      Update sequences for courses / components (Unitsets Tab)</t>
  </si>
  <si>
    <t>Spec11</t>
  </si>
  <si>
    <t>MKTG2004</t>
  </si>
  <si>
    <t>8)      Review Handbook Tab for obvious issues / errors and enter notes (Handbook Tab)</t>
  </si>
  <si>
    <t>Spec12</t>
  </si>
  <si>
    <t>9)      Review Planner Tab(s) for obvious issues / errors (Planner Tab)</t>
  </si>
  <si>
    <t>Spec13</t>
  </si>
  <si>
    <t>RangeMajorOptions</t>
  </si>
  <si>
    <t>DDGRPDS</t>
  </si>
  <si>
    <t>AC1</t>
  </si>
  <si>
    <t>AC2</t>
  </si>
  <si>
    <t>Opt-Rec</t>
  </si>
  <si>
    <t>AC3</t>
  </si>
  <si>
    <t>OY1.1</t>
  </si>
  <si>
    <t>GRDE1023</t>
  </si>
  <si>
    <t xml:space="preserve"> </t>
  </si>
  <si>
    <t>or</t>
  </si>
  <si>
    <t>OY1.2</t>
  </si>
  <si>
    <t>OY1.3</t>
  </si>
  <si>
    <t>OY1.4</t>
  </si>
  <si>
    <t>OY1.5</t>
  </si>
  <si>
    <t>DDPHOTO</t>
  </si>
  <si>
    <t>OY1.6</t>
  </si>
  <si>
    <t>OY1.7</t>
  </si>
  <si>
    <t>OY3.1</t>
  </si>
  <si>
    <t>GRDE3025</t>
  </si>
  <si>
    <t>OY3.2</t>
  </si>
  <si>
    <t>OY3.3</t>
  </si>
  <si>
    <t>MKTG3009</t>
  </si>
  <si>
    <t>OY3.4</t>
  </si>
  <si>
    <t>OY3.5</t>
  </si>
  <si>
    <t>XINO3000</t>
  </si>
  <si>
    <t>GRDE1008</t>
  </si>
  <si>
    <t>Title</t>
  </si>
  <si>
    <t>S1INT</t>
  </si>
  <si>
    <t>S1FO</t>
  </si>
  <si>
    <t>S2INT</t>
  </si>
  <si>
    <t>S2FO</t>
  </si>
  <si>
    <t>Notes</t>
  </si>
  <si>
    <t>Study both:</t>
  </si>
  <si>
    <t>Study all three of:</t>
  </si>
  <si>
    <t>Study all four of:</t>
  </si>
  <si>
    <t>Study either GRDE2033 or MKTG2001 (see below)</t>
  </si>
  <si>
    <t>See below</t>
  </si>
  <si>
    <t>Culture to Cultures</t>
  </si>
  <si>
    <t>None</t>
  </si>
  <si>
    <t>Study a Design Specialisation unit (see below)</t>
  </si>
  <si>
    <t>Form and Structure</t>
  </si>
  <si>
    <t>Style Hunting</t>
  </si>
  <si>
    <t>Garment and The Body</t>
  </si>
  <si>
    <t>Culture and Dress</t>
  </si>
  <si>
    <t>Sustainable Fashion</t>
  </si>
  <si>
    <t>Pre Req - S.M. has (FASH1000 or GRDE1003), GRDE1003 removed 1/01/2023, no version change.</t>
  </si>
  <si>
    <t>Technology and Dress</t>
  </si>
  <si>
    <t>Pre Req - S.M. has (FASH1000 or FASH2000 or FASH2002), Level 2 units removed 1/01/2023, no version change.</t>
  </si>
  <si>
    <t>Fashion Design and Illustration</t>
  </si>
  <si>
    <t>Language of Dress</t>
  </si>
  <si>
    <t>Fit, Form and Function</t>
  </si>
  <si>
    <t>Pre Req - S.M. has (FASH2001 or FASH2002), removed 1/01/2023, no version change.</t>
  </si>
  <si>
    <t>Collection Development</t>
  </si>
  <si>
    <t>Clothing in Context -The Business of Fashion</t>
  </si>
  <si>
    <t>Fashion Merchandising</t>
  </si>
  <si>
    <t>Animation Design Introduction</t>
  </si>
  <si>
    <t>Photography Core Principles</t>
  </si>
  <si>
    <t>3D Design Practice</t>
  </si>
  <si>
    <t>Phasing Out</t>
  </si>
  <si>
    <t>Design Computing</t>
  </si>
  <si>
    <t>Typography</t>
  </si>
  <si>
    <t>Design Principles and Process</t>
  </si>
  <si>
    <t>Art and Design Fundamentals</t>
  </si>
  <si>
    <t>Illustration Fundamentals</t>
  </si>
  <si>
    <t>Digital Design 1</t>
  </si>
  <si>
    <t>UX Design 1</t>
  </si>
  <si>
    <t>Game Design Introduction</t>
  </si>
  <si>
    <t>Photomedia</t>
  </si>
  <si>
    <t>Design Theory in Practice</t>
  </si>
  <si>
    <t>Start Design Thinking</t>
  </si>
  <si>
    <t>Advertising Design 1</t>
  </si>
  <si>
    <t>Graphic Design 1</t>
  </si>
  <si>
    <t>Design Technology and User Experience</t>
  </si>
  <si>
    <t>3D Modelling and Digital Fabrication</t>
  </si>
  <si>
    <t>ARCH1016 or GRDE2003</t>
  </si>
  <si>
    <t>Design Innovation and Smart Technology</t>
  </si>
  <si>
    <t>Graphic Design 2</t>
  </si>
  <si>
    <t>Design Thinking and Visual Narrative</t>
  </si>
  <si>
    <t>Advertising Design 2</t>
  </si>
  <si>
    <t>Web Design 1</t>
  </si>
  <si>
    <t>GRDE1016 or GRDE1018</t>
  </si>
  <si>
    <t>Web Design 2</t>
  </si>
  <si>
    <t>Animation and Game Texture Design</t>
  </si>
  <si>
    <t>Image Design Culture</t>
  </si>
  <si>
    <t>Illustration Concepts and Processes</t>
  </si>
  <si>
    <t>Pre Req - S.M. has (GRDE1002 or GRDE1015), Akari GRDE1015 only.</t>
  </si>
  <si>
    <t>Surface Design</t>
  </si>
  <si>
    <t>Photography Studio Processes</t>
  </si>
  <si>
    <t>Creative Design Studio</t>
  </si>
  <si>
    <t>GRDE1004 + GRDE1005</t>
  </si>
  <si>
    <t>Photography Contexts and Practice</t>
  </si>
  <si>
    <t>Digital Illustration Production</t>
  </si>
  <si>
    <t>Copywriting for Design and Advertising</t>
  </si>
  <si>
    <t>Art Direction in Design and Advertising</t>
  </si>
  <si>
    <t>Introduction to 3D Modelling and Rendering</t>
  </si>
  <si>
    <t>GRDE1001 or GRDE1004 or GRDE1020</t>
  </si>
  <si>
    <t>3D Level Design</t>
  </si>
  <si>
    <t>GRDE1001 or GRDE1020</t>
  </si>
  <si>
    <t>Animation and Special Effects Compositing</t>
  </si>
  <si>
    <t>GRDE2010 or GRDE2035 or SPRO1000</t>
  </si>
  <si>
    <t>Multimodal Design 1</t>
  </si>
  <si>
    <t>Design History and Culture</t>
  </si>
  <si>
    <t>Graphic Design 3</t>
  </si>
  <si>
    <t>Visual Communication</t>
  </si>
  <si>
    <t>Graphic Design 4</t>
  </si>
  <si>
    <t>DigEx Major Project 1</t>
  </si>
  <si>
    <t>ICTE2002 + GRDE2013</t>
  </si>
  <si>
    <t>Advanced Animation</t>
  </si>
  <si>
    <t>GRDE2014 or GRDE2038</t>
  </si>
  <si>
    <t>DigEx Major Project 2</t>
  </si>
  <si>
    <t>Illustration and Visual Development</t>
  </si>
  <si>
    <t>GRDE2017 or GRDE2019</t>
  </si>
  <si>
    <t>Creative Design Project (with approval)</t>
  </si>
  <si>
    <t>See Handbook</t>
  </si>
  <si>
    <t>Visual Narrative Studio</t>
  </si>
  <si>
    <t>GRDE2014 or GRDE2037 or GRDE2038</t>
  </si>
  <si>
    <t>Industry Project Development</t>
  </si>
  <si>
    <t>GRDE3001 or GRDE3014 or GRDE3015 or GRDE3029</t>
  </si>
  <si>
    <t>Image Concepts</t>
  </si>
  <si>
    <t>Design Capstone Project</t>
  </si>
  <si>
    <t>Photography Project</t>
  </si>
  <si>
    <t>UX Design 2</t>
  </si>
  <si>
    <t>Design Fabrication</t>
  </si>
  <si>
    <t>Major</t>
  </si>
  <si>
    <t>Choose a Design Major</t>
  </si>
  <si>
    <t>-</t>
  </si>
  <si>
    <t>Discovering Marketing</t>
  </si>
  <si>
    <t>Integrated Marketing Communications</t>
  </si>
  <si>
    <t>Brand Management</t>
  </si>
  <si>
    <t>Consumer Behaviour</t>
  </si>
  <si>
    <t>Account Management</t>
  </si>
  <si>
    <t>Business Internship (with approval)</t>
  </si>
  <si>
    <t>300CP + Interview</t>
  </si>
  <si>
    <t>Study two Option units from:</t>
  </si>
  <si>
    <t>Recommended Y1 Option</t>
  </si>
  <si>
    <t>Study a First Year Option unit (see list below)</t>
  </si>
  <si>
    <t>Study a Third Year Option unit (see list below)</t>
  </si>
  <si>
    <t>Study a 2nd Specialisation OR Elective Unit</t>
  </si>
  <si>
    <t>See below or Handbook</t>
  </si>
  <si>
    <t>Specialisation</t>
  </si>
  <si>
    <t>Choose a Design Specialisation</t>
  </si>
  <si>
    <t>Photography Professional Practices 1</t>
  </si>
  <si>
    <t>Photography Professional Practices 2</t>
  </si>
  <si>
    <t>Work Based Project (with approval)</t>
  </si>
  <si>
    <t>International Study Tour (with approval)</t>
  </si>
  <si>
    <t>Effective:</t>
  </si>
  <si>
    <t>Downloaded:</t>
  </si>
  <si>
    <t>CheckTables</t>
  </si>
  <si>
    <t>V</t>
  </si>
  <si>
    <t>OUA Code</t>
  </si>
  <si>
    <t>CPs</t>
  </si>
  <si>
    <t>No.</t>
  </si>
  <si>
    <t>Component Type</t>
  </si>
  <si>
    <t>Year Level</t>
  </si>
  <si>
    <t>Study Package Code</t>
  </si>
  <si>
    <t>Structure Line</t>
  </si>
  <si>
    <t>Effective</t>
  </si>
  <si>
    <t>Discont.</t>
  </si>
  <si>
    <t>Column2</t>
  </si>
  <si>
    <t>Core</t>
  </si>
  <si>
    <t>NA</t>
  </si>
  <si>
    <t>Option</t>
  </si>
  <si>
    <t>OptionY1</t>
  </si>
  <si>
    <t>Choose First Year Options</t>
  </si>
  <si>
    <t>Elective</t>
  </si>
  <si>
    <t>Personalise your degree</t>
  </si>
  <si>
    <t>AltCore</t>
  </si>
  <si>
    <t>OptionY3</t>
  </si>
  <si>
    <t>Choose Third Year Options</t>
  </si>
  <si>
    <t>Creative Design Project</t>
  </si>
  <si>
    <t>Business Internship</t>
  </si>
  <si>
    <t>Work Based Project</t>
  </si>
  <si>
    <t>International Study Tour</t>
  </si>
  <si>
    <t>Advertising Design 3</t>
  </si>
  <si>
    <t>Advertising Design 4</t>
  </si>
  <si>
    <t>AltCoreMJADVDS</t>
  </si>
  <si>
    <t>Choose GRDE2033 or MKTG2001</t>
  </si>
  <si>
    <t>Advanced 3D Modelling and Digital Fabrication</t>
  </si>
  <si>
    <t>Design Innovation Futures</t>
  </si>
  <si>
    <t>3D Digital Production</t>
  </si>
  <si>
    <t>AltCoreSPANIGD</t>
  </si>
  <si>
    <t>Choose GRDE3030 or WORK3000</t>
  </si>
  <si>
    <t>OptionSPFASHN</t>
  </si>
  <si>
    <t>Choose an Option</t>
  </si>
  <si>
    <t>AltCoreSPFSHMK</t>
  </si>
  <si>
    <t>OptionSPFSHMK</t>
  </si>
  <si>
    <t>Fashion Specialisation Optional List</t>
  </si>
  <si>
    <t>AltCoreSPGRPDS</t>
  </si>
  <si>
    <t>Choose GRDE2008 or GRDE2026</t>
  </si>
  <si>
    <t>Row Labels</t>
  </si>
  <si>
    <t>Sem1 Internal</t>
  </si>
  <si>
    <t>Sem1 Online</t>
  </si>
  <si>
    <t>Sem2 Internal</t>
  </si>
  <si>
    <t>Sem2 Online</t>
  </si>
  <si>
    <t>Date</t>
  </si>
  <si>
    <t>Issue</t>
  </si>
  <si>
    <t>Action</t>
  </si>
  <si>
    <t xml:space="preserve">Availabilities - Only JETA availabilities since 2021. Do we need to remove from Y1 Options List? </t>
  </si>
  <si>
    <t>Pre Reqs - S.M. has (GRDE1002 or GRDE1015), Akari GRDE1015 only.</t>
  </si>
  <si>
    <t>Pre Reqs - Y3 Option and many students will not be able to study any of the Pre Reqs (GRDE3001 or GRDE3014 or GRDE3015 or GRDE3029)</t>
  </si>
  <si>
    <t>SM Version</t>
  </si>
  <si>
    <t>SM Effective Date</t>
  </si>
  <si>
    <t>Akari Effective Date</t>
  </si>
  <si>
    <t>SM Availabilities</t>
  </si>
  <si>
    <t>Column12</t>
  </si>
  <si>
    <t>Emily Wills</t>
  </si>
  <si>
    <t>INT &amp; Maur - Sem1; Sem2</t>
  </si>
  <si>
    <t>Akari Itn</t>
  </si>
  <si>
    <t>Contemporary Advertising Practice</t>
  </si>
  <si>
    <t>MKTG2002</t>
  </si>
  <si>
    <t>Marketing Across Borders</t>
  </si>
  <si>
    <t>GRDE1018.PO</t>
  </si>
  <si>
    <t>ICTE2002.PO</t>
  </si>
  <si>
    <t>New Version 2025</t>
  </si>
  <si>
    <t>MKTG3002.PO</t>
  </si>
  <si>
    <t>SPUC-FSHMK.PO</t>
  </si>
  <si>
    <t>400CP</t>
  </si>
  <si>
    <t>300CP</t>
  </si>
  <si>
    <t>150CP</t>
  </si>
  <si>
    <t>200CP</t>
  </si>
  <si>
    <t>Pre-reqs (5/11/2024)</t>
  </si>
  <si>
    <t>2025 OK</t>
  </si>
  <si>
    <t>Note: Provided you meet any pre requisites, and units are available, you may study SPECIALISATION units in any order.</t>
  </si>
  <si>
    <t>Pre Req: Sequencing Issue for Sem2 starters</t>
  </si>
  <si>
    <t>2025 INAR2024 Pre Req Issue</t>
  </si>
  <si>
    <t>INAR2024 Pre Req: Sequencing Issue for Sem2 starters</t>
  </si>
  <si>
    <t>Not presented to students in Planner.</t>
  </si>
  <si>
    <t>150CP added in 2025, however sits in Y1 for Sem2 starters in MJRU-DINFB</t>
  </si>
  <si>
    <t>Heading Only</t>
  </si>
  <si>
    <t>Study either GRDE3030 or WORK3000</t>
  </si>
  <si>
    <t>Study either GRDE2008 or GRDE2026</t>
  </si>
  <si>
    <t>Major Alternate Core &amp; Course Option Units</t>
  </si>
  <si>
    <t>This major is two years full-time or equivalent part-time study. Some units may be available via external study and some units may not be available in every semester. This major is available to international students studying in Australia on a study visa.</t>
  </si>
  <si>
    <t>Mid year entry to this major is by CRL or part-time only.</t>
  </si>
  <si>
    <t>Duration and Availability</t>
  </si>
  <si>
    <t>Mid-year entry by CRL or part-time only</t>
  </si>
  <si>
    <t>This major is two years full-time or equivalent part-time study. Some units may be available via external study and some units may not be available in every semester. This major is available to international students studying in Australia on as study visa.</t>
  </si>
  <si>
    <t>This major is two years full-time or equivalent part-time study. Some units may be available via external study and some units may not be available in every semester. This major is available to international students studying in Australia on as study visa. The Photography Major (MJRU-PHOTO) cannot be taken with the Photography Minor (MINU-PHOTO).</t>
  </si>
  <si>
    <t>Nat Beard happy to manage with waivers at the moment.</t>
  </si>
  <si>
    <t>AVAIL - Only JETA availabilities since 2021. Not presented in Options List. Emailed HumPCs 12/01/2024</t>
  </si>
  <si>
    <t>LI Supplied Nov 2024</t>
  </si>
  <si>
    <t>Design Specialisation (see below) OR 2nd Specialisation OR Elective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</si>
</sst>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FF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b/>
      <sz val="9"/>
      <name val="Segoe UI"/>
      <family val="2"/>
    </font>
    <font>
      <b/>
      <i/>
      <sz val="12"/>
      <color rgb="FFC00000"/>
      <name val="Calibri"/>
      <family val="2"/>
      <scheme val="minor"/>
    </font>
    <font>
      <b/>
      <i/>
      <sz val="12"/>
      <color theme="0" tint="-0.499984740745262"/>
      <name val="Calibri"/>
      <family val="2"/>
      <scheme val="minor"/>
    </font>
    <font>
      <b/>
      <sz val="18"/>
      <color theme="1"/>
      <name val="Segoe UI"/>
      <family val="2"/>
    </font>
    <font>
      <b/>
      <sz val="9"/>
      <color rgb="FFFF0000"/>
      <name val="Segoe UI"/>
      <family val="2"/>
    </font>
    <font>
      <b/>
      <sz val="10"/>
      <color theme="0"/>
      <name val="Segoe UI"/>
      <family val="2"/>
    </font>
    <font>
      <b/>
      <i/>
      <sz val="10"/>
      <color theme="0" tint="-0.499984740745262"/>
      <name val="Arial"/>
      <family val="2"/>
    </font>
    <font>
      <sz val="12"/>
      <name val="Calibri"/>
      <family val="2"/>
      <scheme val="minor"/>
    </font>
    <font>
      <b/>
      <sz val="8"/>
      <name val="Segoe UI"/>
      <family val="2"/>
    </font>
    <font>
      <i/>
      <sz val="8"/>
      <color theme="0" tint="-0.34998626667073579"/>
      <name val="Arial"/>
      <family val="2"/>
    </font>
    <font>
      <b/>
      <i/>
      <sz val="8"/>
      <color theme="0" tint="-0.499984740745262"/>
      <name val="Arial"/>
      <family val="2"/>
    </font>
    <font>
      <b/>
      <i/>
      <sz val="14"/>
      <name val="Segoe UI"/>
      <family val="2"/>
    </font>
    <font>
      <b/>
      <sz val="10"/>
      <name val="Segoe UI"/>
      <family val="2"/>
    </font>
    <font>
      <sz val="12"/>
      <color rgb="FFFF0000"/>
      <name val="Calibri"/>
      <family val="2"/>
      <scheme val="minor"/>
    </font>
    <font>
      <b/>
      <sz val="10"/>
      <color theme="8"/>
      <name val="Segoe UI"/>
      <family val="2"/>
    </font>
    <font>
      <b/>
      <sz val="8"/>
      <name val="Arial"/>
      <family val="2"/>
    </font>
    <font>
      <sz val="11"/>
      <color rgb="FF006100"/>
      <name val="Calibri"/>
      <family val="2"/>
      <scheme val="minor"/>
    </font>
    <font>
      <sz val="10"/>
      <color theme="1"/>
      <name val="Arial"/>
      <family val="2"/>
    </font>
    <font>
      <sz val="10"/>
      <color rgb="FF00B050"/>
      <name val="Arial"/>
      <family val="2"/>
    </font>
    <font>
      <b/>
      <i/>
      <sz val="12"/>
      <color rgb="FF00B050"/>
      <name val="Calibri"/>
      <family val="2"/>
      <scheme val="minor"/>
    </font>
    <font>
      <sz val="12"/>
      <color rgb="FF00B050"/>
      <name val="Calibri"/>
      <family val="2"/>
      <scheme val="minor"/>
    </font>
    <font>
      <sz val="12"/>
      <color theme="5"/>
      <name val="Calibri"/>
      <family val="2"/>
      <scheme val="minor"/>
    </font>
    <font>
      <sz val="8"/>
      <color rgb="FF00B050"/>
      <name val="Arial"/>
      <family val="2"/>
    </font>
  </fonts>
  <fills count="13">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C6EFCE"/>
      </patternFill>
    </fill>
  </fills>
  <borders count="38">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rgb="FF000000"/>
      </left>
      <right/>
      <top/>
      <bottom/>
      <diagonal/>
    </border>
    <border>
      <left/>
      <right style="thin">
        <color indexed="64"/>
      </right>
      <top style="thin">
        <color rgb="FF000000"/>
      </top>
      <bottom/>
      <diagonal/>
    </border>
    <border>
      <left style="thin">
        <color theme="0" tint="-0.14993743705557422"/>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style="double">
        <color auto="1"/>
      </right>
      <top style="thin">
        <color auto="1"/>
      </top>
      <bottom style="thin">
        <color indexed="64"/>
      </bottom>
      <diagonal/>
    </border>
    <border>
      <left/>
      <right style="double">
        <color auto="1"/>
      </right>
      <top style="thin">
        <color auto="1"/>
      </top>
      <bottom/>
      <diagonal/>
    </border>
    <border>
      <left/>
      <right style="double">
        <color auto="1"/>
      </right>
      <top/>
      <bottom style="thin">
        <color indexed="64"/>
      </bottom>
      <diagonal/>
    </border>
    <border>
      <left/>
      <right style="thin">
        <color theme="0" tint="-0.14990691854609822"/>
      </right>
      <top style="thin">
        <color theme="0" tint="-0.14993743705557422"/>
      </top>
      <bottom/>
      <diagonal/>
    </border>
    <border>
      <left style="thin">
        <color theme="0" tint="-0.14990691854609822"/>
      </left>
      <right/>
      <top style="thin">
        <color theme="0" tint="-0.14993743705557422"/>
      </top>
      <bottom/>
      <diagonal/>
    </border>
  </borders>
  <cellStyleXfs count="4">
    <xf numFmtId="0" fontId="0" fillId="0" borderId="0"/>
    <xf numFmtId="0" fontId="1" fillId="0" borderId="0"/>
    <xf numFmtId="0" fontId="24" fillId="0" borderId="0" applyNumberFormat="0" applyFill="0" applyBorder="0" applyAlignment="0" applyProtection="0"/>
    <xf numFmtId="0" fontId="55" fillId="12" borderId="0" applyNumberFormat="0" applyBorder="0" applyAlignment="0" applyProtection="0"/>
  </cellStyleXfs>
  <cellXfs count="244">
    <xf numFmtId="0" fontId="0" fillId="0" borderId="0" xfId="0"/>
    <xf numFmtId="0" fontId="3" fillId="0" borderId="0" xfId="0" applyFont="1" applyAlignment="1">
      <alignment horizontal="center" vertical="center"/>
    </xf>
    <xf numFmtId="0" fontId="0" fillId="0" borderId="0" xfId="0" applyAlignment="1">
      <alignment horizontal="center"/>
    </xf>
    <xf numFmtId="0" fontId="8" fillId="0" borderId="0" xfId="0" applyFont="1"/>
    <xf numFmtId="0" fontId="5" fillId="0" borderId="0" xfId="0" applyFont="1" applyAlignment="1">
      <alignment horizontal="right"/>
    </xf>
    <xf numFmtId="0" fontId="8" fillId="0" borderId="0" xfId="0" applyFont="1" applyAlignment="1">
      <alignment horizontal="left"/>
    </xf>
    <xf numFmtId="0" fontId="12" fillId="0" borderId="0" xfId="0" applyFont="1" applyAlignment="1">
      <alignment horizontal="left"/>
    </xf>
    <xf numFmtId="0" fontId="10" fillId="0" borderId="0" xfId="0" applyFont="1"/>
    <xf numFmtId="0" fontId="11" fillId="0" borderId="0" xfId="0" applyFont="1"/>
    <xf numFmtId="0" fontId="9" fillId="0" borderId="0" xfId="0" applyFont="1" applyAlignment="1">
      <alignment horizontal="center" vertical="center"/>
    </xf>
    <xf numFmtId="0" fontId="14" fillId="0" borderId="0" xfId="0" applyFont="1" applyAlignment="1">
      <alignment horizontal="center"/>
    </xf>
    <xf numFmtId="0" fontId="18" fillId="2" borderId="15" xfId="1" applyFont="1" applyFill="1" applyBorder="1" applyAlignment="1" applyProtection="1">
      <alignment horizontal="center" vertical="center" wrapText="1"/>
      <protection locked="0"/>
    </xf>
    <xf numFmtId="0" fontId="18" fillId="0" borderId="15" xfId="1" applyFont="1" applyBorder="1" applyAlignment="1" applyProtection="1">
      <alignment horizontal="center" vertical="center" wrapText="1"/>
      <protection locked="0"/>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40" fillId="0" borderId="0" xfId="0" applyFont="1"/>
    <xf numFmtId="0" fontId="40" fillId="0" borderId="0" xfId="0" applyFont="1" applyAlignment="1">
      <alignment horizontal="right"/>
    </xf>
    <xf numFmtId="0" fontId="0" fillId="0" borderId="19" xfId="0" applyBorder="1" applyAlignment="1">
      <alignment horizontal="center"/>
    </xf>
    <xf numFmtId="0" fontId="4" fillId="0" borderId="5" xfId="0" applyFont="1" applyBorder="1" applyAlignment="1">
      <alignment horizontal="center" vertical="center"/>
    </xf>
    <xf numFmtId="0" fontId="40" fillId="0" borderId="0" xfId="0" applyFont="1" applyAlignment="1">
      <alignment horizontal="left"/>
    </xf>
    <xf numFmtId="0" fontId="41" fillId="0" borderId="0" xfId="0" applyFont="1"/>
    <xf numFmtId="14" fontId="0" fillId="0" borderId="0" xfId="0" applyNumberFormat="1"/>
    <xf numFmtId="14" fontId="40" fillId="0" borderId="0" xfId="0" applyNumberFormat="1" applyFont="1" applyAlignment="1">
      <alignment horizontal="right"/>
    </xf>
    <xf numFmtId="0" fontId="0" fillId="0" borderId="0" xfId="0" applyAlignment="1">
      <alignment horizontal="left"/>
    </xf>
    <xf numFmtId="0" fontId="25" fillId="7" borderId="0" xfId="2" applyFont="1" applyFill="1" applyAlignment="1" applyProtection="1">
      <alignment vertical="center"/>
    </xf>
    <xf numFmtId="0" fontId="24" fillId="7" borderId="0" xfId="2" applyFill="1" applyAlignment="1" applyProtection="1">
      <alignment vertical="center"/>
    </xf>
    <xf numFmtId="0" fontId="0" fillId="0" borderId="24" xfId="0" applyBorder="1"/>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2" fillId="3" borderId="23" xfId="0" applyFont="1" applyFill="1" applyBorder="1" applyAlignment="1">
      <alignment horizontal="right" vertical="center"/>
    </xf>
    <xf numFmtId="0" fontId="2" fillId="3" borderId="24" xfId="0" applyFont="1" applyFill="1" applyBorder="1" applyAlignment="1">
      <alignment horizontal="right" vertical="center"/>
    </xf>
    <xf numFmtId="0" fontId="2" fillId="3" borderId="25" xfId="0" applyFont="1" applyFill="1" applyBorder="1" applyAlignment="1">
      <alignment horizontal="right" vertical="center"/>
    </xf>
    <xf numFmtId="0" fontId="45" fillId="0" borderId="0" xfId="0" applyFont="1" applyAlignment="1">
      <alignment horizontal="right"/>
    </xf>
    <xf numFmtId="0" fontId="45" fillId="0" borderId="0" xfId="0" applyFont="1" applyAlignment="1">
      <alignment horizontal="left"/>
    </xf>
    <xf numFmtId="0" fontId="4" fillId="0" borderId="2" xfId="0" applyFont="1" applyBorder="1" applyAlignment="1">
      <alignment horizontal="center" vertical="center"/>
    </xf>
    <xf numFmtId="0" fontId="3" fillId="0" borderId="3" xfId="0" applyFont="1" applyBorder="1" applyAlignment="1">
      <alignment horizontal="center" vertical="center"/>
    </xf>
    <xf numFmtId="0" fontId="0" fillId="6" borderId="0" xfId="0" applyFill="1" applyAlignment="1">
      <alignment horizontal="right"/>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0" fillId="4" borderId="0" xfId="0" applyFill="1"/>
    <xf numFmtId="0" fontId="0" fillId="9" borderId="0" xfId="0" applyFill="1"/>
    <xf numFmtId="0" fontId="4" fillId="9" borderId="2"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2" xfId="0" applyFont="1" applyFill="1" applyBorder="1" applyAlignment="1">
      <alignment horizontal="center" vertical="center"/>
    </xf>
    <xf numFmtId="0" fontId="48" fillId="0" borderId="25" xfId="0" applyFont="1" applyBorder="1" applyAlignment="1">
      <alignment horizontal="center" vertical="center"/>
    </xf>
    <xf numFmtId="0" fontId="48" fillId="0" borderId="2" xfId="0" applyFont="1" applyBorder="1" applyAlignment="1">
      <alignment horizontal="center" vertical="center"/>
    </xf>
    <xf numFmtId="0" fontId="48" fillId="0" borderId="23" xfId="0" applyFont="1" applyBorder="1" applyAlignment="1">
      <alignment horizontal="center" vertical="center"/>
    </xf>
    <xf numFmtId="0" fontId="48" fillId="0" borderId="1" xfId="0" applyFont="1" applyBorder="1" applyAlignment="1">
      <alignment horizontal="center" vertical="center"/>
    </xf>
    <xf numFmtId="0" fontId="48" fillId="0" borderId="4" xfId="0" applyFont="1" applyBorder="1" applyAlignment="1">
      <alignment horizontal="center" vertical="center"/>
    </xf>
    <xf numFmtId="0" fontId="48" fillId="0" borderId="3" xfId="0" applyFont="1" applyBorder="1" applyAlignment="1">
      <alignment horizontal="center" vertical="center"/>
    </xf>
    <xf numFmtId="0" fontId="3" fillId="0" borderId="26" xfId="0" applyFont="1" applyBorder="1" applyAlignment="1">
      <alignment horizontal="center" vertical="center"/>
    </xf>
    <xf numFmtId="0" fontId="4" fillId="0" borderId="26" xfId="0" applyFont="1" applyBorder="1" applyAlignment="1">
      <alignment horizontal="center" vertical="center"/>
    </xf>
    <xf numFmtId="0" fontId="4" fillId="9" borderId="27" xfId="0" applyFont="1" applyFill="1" applyBorder="1" applyAlignment="1">
      <alignment horizontal="center" vertical="center"/>
    </xf>
    <xf numFmtId="0" fontId="4" fillId="9" borderId="25" xfId="0" applyFont="1" applyFill="1" applyBorder="1" applyAlignment="1">
      <alignment horizontal="center" vertical="center"/>
    </xf>
    <xf numFmtId="0" fontId="4" fillId="5" borderId="27" xfId="0" applyFont="1" applyFill="1" applyBorder="1" applyAlignment="1">
      <alignment horizontal="center" vertical="center"/>
    </xf>
    <xf numFmtId="14" fontId="8" fillId="10" borderId="0" xfId="0" applyNumberFormat="1" applyFont="1" applyFill="1" applyAlignment="1">
      <alignment horizontal="center"/>
    </xf>
    <xf numFmtId="0" fontId="8" fillId="10" borderId="0" xfId="0" applyFont="1" applyFill="1" applyAlignment="1">
      <alignment horizontal="center"/>
    </xf>
    <xf numFmtId="14" fontId="0" fillId="6" borderId="0" xfId="0" applyNumberFormat="1" applyFill="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3" fillId="4" borderId="3" xfId="0" applyFont="1" applyFill="1" applyBorder="1" applyAlignment="1">
      <alignment horizontal="center" vertical="center"/>
    </xf>
    <xf numFmtId="0" fontId="46" fillId="0" borderId="0" xfId="0" applyFont="1"/>
    <xf numFmtId="0" fontId="49" fillId="0" borderId="0" xfId="0" applyFont="1" applyAlignment="1" applyProtection="1">
      <alignment horizontal="left"/>
      <protection locked="0"/>
    </xf>
    <xf numFmtId="0" fontId="9" fillId="0" borderId="23" xfId="0" applyFont="1" applyBorder="1" applyProtection="1">
      <protection locked="0"/>
    </xf>
    <xf numFmtId="0" fontId="3" fillId="0" borderId="25" xfId="0" applyFont="1" applyBorder="1" applyProtection="1">
      <protection locked="0"/>
    </xf>
    <xf numFmtId="0" fontId="9" fillId="0" borderId="1" xfId="0" applyFont="1" applyBorder="1" applyProtection="1">
      <protection locked="0"/>
    </xf>
    <xf numFmtId="0" fontId="3" fillId="0" borderId="2" xfId="0" applyFont="1" applyBorder="1" applyProtection="1">
      <protection locked="0"/>
    </xf>
    <xf numFmtId="0" fontId="9" fillId="0" borderId="4" xfId="0" applyFont="1" applyBorder="1" applyProtection="1">
      <protection locked="0"/>
    </xf>
    <xf numFmtId="0" fontId="3" fillId="0" borderId="3" xfId="0" applyFont="1" applyBorder="1" applyProtection="1">
      <protection locked="0"/>
    </xf>
    <xf numFmtId="14" fontId="8" fillId="0" borderId="0" xfId="0" applyNumberFormat="1" applyFont="1"/>
    <xf numFmtId="0" fontId="3" fillId="0" borderId="24" xfId="0" applyFont="1" applyBorder="1" applyAlignment="1">
      <alignment horizontal="center" vertical="center"/>
    </xf>
    <xf numFmtId="0" fontId="4" fillId="0" borderId="0" xfId="0" applyFont="1" applyAlignment="1">
      <alignment horizontal="center" vertical="center"/>
    </xf>
    <xf numFmtId="0" fontId="2" fillId="3" borderId="33" xfId="0" applyFont="1" applyFill="1" applyBorder="1" applyAlignment="1">
      <alignment horizontal="right" vertical="center"/>
    </xf>
    <xf numFmtId="0" fontId="4" fillId="5" borderId="19" xfId="0" applyFont="1" applyFill="1" applyBorder="1" applyAlignment="1">
      <alignment horizontal="center" vertical="center"/>
    </xf>
    <xf numFmtId="0" fontId="4" fillId="0" borderId="19" xfId="0" applyFont="1" applyBorder="1" applyAlignment="1">
      <alignment horizontal="center" vertical="center"/>
    </xf>
    <xf numFmtId="0" fontId="4" fillId="5" borderId="34" xfId="0" applyFont="1" applyFill="1" applyBorder="1" applyAlignment="1">
      <alignment horizontal="center" vertical="center"/>
    </xf>
    <xf numFmtId="0" fontId="3" fillId="0" borderId="35" xfId="0" applyFont="1" applyBorder="1" applyAlignment="1">
      <alignment horizontal="center" vertical="center"/>
    </xf>
    <xf numFmtId="0" fontId="4" fillId="5" borderId="0" xfId="0" applyFont="1" applyFill="1" applyAlignment="1">
      <alignment horizontal="center" vertical="center"/>
    </xf>
    <xf numFmtId="0" fontId="4" fillId="9" borderId="0" xfId="0" applyFont="1" applyFill="1" applyAlignment="1">
      <alignment horizontal="center" vertical="center"/>
    </xf>
    <xf numFmtId="0" fontId="4" fillId="9" borderId="24" xfId="0" applyFont="1" applyFill="1" applyBorder="1" applyAlignment="1">
      <alignment horizontal="center" vertical="center"/>
    </xf>
    <xf numFmtId="0" fontId="4" fillId="5" borderId="24" xfId="0" applyFont="1" applyFill="1" applyBorder="1" applyAlignment="1">
      <alignment horizontal="center" vertical="center"/>
    </xf>
    <xf numFmtId="0" fontId="39" fillId="4" borderId="0" xfId="1" applyFont="1" applyFill="1" applyAlignment="1" applyProtection="1">
      <alignment vertical="center"/>
      <protection locked="0"/>
    </xf>
    <xf numFmtId="0" fontId="16" fillId="2" borderId="0" xfId="1" applyFont="1" applyFill="1" applyAlignment="1" applyProtection="1">
      <alignment vertical="center"/>
      <protection locked="0"/>
    </xf>
    <xf numFmtId="0" fontId="52" fillId="0" borderId="0" xfId="0" applyFont="1"/>
    <xf numFmtId="0" fontId="3" fillId="0" borderId="25" xfId="0" quotePrefix="1" applyFont="1" applyBorder="1" applyAlignment="1">
      <alignment horizontal="center" vertical="center"/>
    </xf>
    <xf numFmtId="0" fontId="51" fillId="9" borderId="0" xfId="1" applyFont="1" applyFill="1" applyAlignment="1" applyProtection="1">
      <alignment vertical="center"/>
      <protection locked="0"/>
    </xf>
    <xf numFmtId="14" fontId="0" fillId="0" borderId="0" xfId="0" applyNumberFormat="1" applyAlignment="1">
      <alignment vertical="top"/>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8" fillId="0" borderId="12" xfId="1" applyFont="1" applyBorder="1" applyAlignment="1" applyProtection="1">
      <alignment horizontal="center" vertical="center" wrapText="1"/>
      <protection locked="0"/>
    </xf>
    <xf numFmtId="0" fontId="54" fillId="3" borderId="21" xfId="0" applyFont="1" applyFill="1" applyBorder="1" applyAlignment="1">
      <alignment horizontal="right" vertical="center"/>
    </xf>
    <xf numFmtId="0" fontId="54" fillId="3" borderId="20" xfId="0" applyFont="1" applyFill="1" applyBorder="1" applyAlignment="1">
      <alignment horizontal="right" vertical="center"/>
    </xf>
    <xf numFmtId="0" fontId="54" fillId="3" borderId="22" xfId="0" applyFont="1" applyFill="1" applyBorder="1" applyAlignment="1">
      <alignment horizontal="right" vertical="center"/>
    </xf>
    <xf numFmtId="0" fontId="0" fillId="4" borderId="0" xfId="0" applyFill="1" applyAlignment="1">
      <alignment horizontal="center"/>
    </xf>
    <xf numFmtId="14" fontId="0" fillId="4" borderId="0" xfId="0" applyNumberFormat="1" applyFill="1"/>
    <xf numFmtId="14" fontId="46" fillId="0" borderId="0" xfId="0" applyNumberFormat="1" applyFont="1" applyAlignment="1">
      <alignment horizontal="right"/>
    </xf>
    <xf numFmtId="0" fontId="0" fillId="9" borderId="0" xfId="0" applyFill="1" applyAlignment="1">
      <alignment horizontal="center"/>
    </xf>
    <xf numFmtId="14" fontId="0" fillId="9" borderId="0" xfId="0" applyNumberFormat="1" applyFill="1"/>
    <xf numFmtId="0" fontId="0" fillId="0" borderId="0" xfId="0" applyAlignment="1">
      <alignment horizontal="left" textRotation="90"/>
    </xf>
    <xf numFmtId="0" fontId="52" fillId="0" borderId="0" xfId="0" applyFont="1" applyAlignment="1">
      <alignment horizontal="center"/>
    </xf>
    <xf numFmtId="0" fontId="0" fillId="5" borderId="0" xfId="0" applyFill="1"/>
    <xf numFmtId="0" fontId="8" fillId="0" borderId="0" xfId="0" applyFont="1" applyAlignment="1">
      <alignment horizontal="center"/>
    </xf>
    <xf numFmtId="0" fontId="11" fillId="0" borderId="0" xfId="0" applyFont="1" applyAlignment="1">
      <alignment horizontal="left"/>
    </xf>
    <xf numFmtId="0" fontId="13" fillId="0" borderId="0" xfId="0" applyFont="1"/>
    <xf numFmtId="0" fontId="56" fillId="0" borderId="0" xfId="0" applyFont="1"/>
    <xf numFmtId="0" fontId="56" fillId="0" borderId="0" xfId="0" applyFont="1" applyAlignment="1">
      <alignment horizontal="center"/>
    </xf>
    <xf numFmtId="0" fontId="57" fillId="0" borderId="0" xfId="0" applyFont="1" applyAlignment="1">
      <alignment horizontal="center"/>
    </xf>
    <xf numFmtId="14" fontId="57" fillId="0" borderId="0" xfId="0" applyNumberFormat="1" applyFont="1" applyAlignment="1">
      <alignment horizontal="center"/>
    </xf>
    <xf numFmtId="14" fontId="58" fillId="0" borderId="0" xfId="0" applyNumberFormat="1" applyFont="1"/>
    <xf numFmtId="0" fontId="58" fillId="0" borderId="0" xfId="0" applyFont="1" applyAlignment="1">
      <alignment horizontal="left"/>
    </xf>
    <xf numFmtId="0" fontId="58" fillId="0" borderId="0" xfId="0" applyFont="1" applyAlignment="1">
      <alignment horizontal="center"/>
    </xf>
    <xf numFmtId="14" fontId="55" fillId="12" borderId="0" xfId="3" applyNumberFormat="1" applyAlignment="1">
      <alignment horizontal="center"/>
    </xf>
    <xf numFmtId="14" fontId="40" fillId="10" borderId="0" xfId="0" applyNumberFormat="1" applyFont="1" applyFill="1"/>
    <xf numFmtId="0" fontId="40" fillId="10" borderId="0" xfId="0" applyFont="1" applyFill="1" applyAlignment="1">
      <alignment horizontal="center"/>
    </xf>
    <xf numFmtId="0" fontId="0" fillId="0" borderId="0" xfId="0" applyAlignment="1">
      <alignment wrapText="1"/>
    </xf>
    <xf numFmtId="0" fontId="0" fillId="9" borderId="1" xfId="0" applyFill="1" applyBorder="1" applyAlignment="1">
      <alignment horizontal="center"/>
    </xf>
    <xf numFmtId="0" fontId="59" fillId="0" borderId="0" xfId="0" applyFont="1" applyAlignment="1">
      <alignment horizontal="center"/>
    </xf>
    <xf numFmtId="0" fontId="3" fillId="9" borderId="2" xfId="0" applyFont="1" applyFill="1" applyBorder="1" applyAlignment="1">
      <alignment horizontal="center" vertical="center"/>
    </xf>
    <xf numFmtId="0" fontId="4" fillId="0" borderId="3" xfId="0" applyFont="1" applyBorder="1" applyAlignment="1">
      <alignment horizontal="center" vertical="center"/>
    </xf>
    <xf numFmtId="0" fontId="52" fillId="6" borderId="0" xfId="0" applyFont="1" applyFill="1" applyAlignment="1">
      <alignment wrapText="1"/>
    </xf>
    <xf numFmtId="0" fontId="60" fillId="6" borderId="0" xfId="0" applyFont="1" applyFill="1" applyAlignment="1">
      <alignment horizontal="center"/>
    </xf>
    <xf numFmtId="0" fontId="3" fillId="0" borderId="5" xfId="0" applyFont="1" applyBorder="1" applyAlignment="1">
      <alignment horizontal="center" vertical="center"/>
    </xf>
    <xf numFmtId="0" fontId="6" fillId="6" borderId="0" xfId="0" applyFont="1" applyFill="1" applyAlignment="1">
      <alignment horizontal="left"/>
    </xf>
    <xf numFmtId="0" fontId="55" fillId="12" borderId="0" xfId="3" applyAlignment="1">
      <alignment vertical="top" wrapText="1"/>
    </xf>
    <xf numFmtId="0" fontId="46" fillId="0" borderId="0" xfId="0" applyFont="1" applyAlignment="1">
      <alignment wrapText="1"/>
    </xf>
    <xf numFmtId="0" fontId="61" fillId="0" borderId="0" xfId="0" applyFont="1" applyAlignment="1">
      <alignment horizontal="center" vertical="center"/>
    </xf>
    <xf numFmtId="0" fontId="14" fillId="0" borderId="6" xfId="1" applyFont="1" applyBorder="1" applyAlignment="1" applyProtection="1">
      <alignment horizontal="center"/>
    </xf>
    <xf numFmtId="0" fontId="14" fillId="0" borderId="7" xfId="1" applyFont="1" applyBorder="1" applyAlignment="1" applyProtection="1">
      <alignment horizontal="center"/>
    </xf>
    <xf numFmtId="0" fontId="14" fillId="0" borderId="7" xfId="1" applyFont="1" applyBorder="1" applyProtection="1"/>
    <xf numFmtId="0" fontId="14" fillId="0" borderId="8" xfId="1" applyFont="1" applyBorder="1" applyProtection="1"/>
    <xf numFmtId="0" fontId="1" fillId="0" borderId="0" xfId="1" applyProtection="1"/>
    <xf numFmtId="0" fontId="14" fillId="0" borderId="0" xfId="1" applyFont="1" applyAlignment="1" applyProtection="1">
      <alignment horizontal="center"/>
    </xf>
    <xf numFmtId="0" fontId="7" fillId="0" borderId="0" xfId="1" applyFont="1" applyAlignment="1" applyProtection="1">
      <alignment horizontal="center"/>
    </xf>
    <xf numFmtId="0" fontId="14" fillId="0" borderId="0" xfId="1" applyFont="1" applyProtection="1"/>
    <xf numFmtId="0" fontId="35" fillId="8" borderId="9" xfId="1" applyFont="1" applyFill="1" applyBorder="1" applyAlignment="1" applyProtection="1">
      <alignment horizontal="left" vertical="center" wrapText="1"/>
    </xf>
    <xf numFmtId="0" fontId="35" fillId="8" borderId="0" xfId="1" applyFont="1" applyFill="1" applyAlignment="1" applyProtection="1">
      <alignment vertical="center" wrapText="1"/>
    </xf>
    <xf numFmtId="0" fontId="15" fillId="11" borderId="10" xfId="1" applyFont="1" applyFill="1" applyBorder="1" applyAlignment="1" applyProtection="1">
      <alignment vertical="center"/>
    </xf>
    <xf numFmtId="0" fontId="15" fillId="11" borderId="11" xfId="1" applyFont="1" applyFill="1" applyBorder="1" applyAlignment="1" applyProtection="1">
      <alignment vertical="center"/>
    </xf>
    <xf numFmtId="0" fontId="15" fillId="11" borderId="11" xfId="1" applyFont="1" applyFill="1" applyBorder="1" applyAlignment="1" applyProtection="1">
      <alignment horizontal="right" vertical="center"/>
    </xf>
    <xf numFmtId="0" fontId="42" fillId="11" borderId="11" xfId="1" applyFont="1" applyFill="1" applyBorder="1" applyAlignment="1" applyProtection="1">
      <alignment horizontal="center" vertical="center"/>
    </xf>
    <xf numFmtId="0" fontId="38" fillId="11" borderId="11" xfId="1" applyFont="1" applyFill="1" applyBorder="1" applyAlignment="1" applyProtection="1">
      <alignment vertical="center"/>
    </xf>
    <xf numFmtId="0" fontId="1" fillId="0" borderId="0" xfId="1" applyAlignment="1" applyProtection="1">
      <alignment horizontal="center"/>
    </xf>
    <xf numFmtId="0" fontId="16" fillId="2" borderId="0" xfId="1" applyFont="1" applyFill="1" applyAlignment="1" applyProtection="1">
      <alignment horizontal="right" vertical="center" indent="1"/>
    </xf>
    <xf numFmtId="0" fontId="18" fillId="2" borderId="0" xfId="1" applyFont="1" applyFill="1" applyAlignment="1" applyProtection="1">
      <alignment horizontal="right" vertical="center" indent="1"/>
    </xf>
    <xf numFmtId="0" fontId="26" fillId="0" borderId="0" xfId="1" applyFont="1" applyAlignment="1" applyProtection="1">
      <alignment vertical="center"/>
    </xf>
    <xf numFmtId="0" fontId="16" fillId="2" borderId="0" xfId="1" applyFont="1" applyFill="1" applyAlignment="1" applyProtection="1">
      <alignment vertical="center"/>
    </xf>
    <xf numFmtId="14" fontId="34" fillId="2" borderId="0" xfId="1" applyNumberFormat="1" applyFont="1" applyFill="1" applyAlignment="1" applyProtection="1">
      <alignment horizontal="right" vertical="center"/>
    </xf>
    <xf numFmtId="0" fontId="16" fillId="2" borderId="0" xfId="1" applyFont="1" applyFill="1" applyAlignment="1" applyProtection="1">
      <alignment horizontal="left" vertical="center"/>
    </xf>
    <xf numFmtId="0" fontId="16" fillId="2" borderId="0" xfId="1" applyFont="1" applyFill="1" applyAlignment="1" applyProtection="1">
      <alignment horizontal="left" vertical="center" indent="1"/>
    </xf>
    <xf numFmtId="0" fontId="18" fillId="2" borderId="0" xfId="1" applyFont="1" applyFill="1" applyAlignment="1" applyProtection="1">
      <alignment horizontal="left" vertical="center" wrapText="1"/>
    </xf>
    <xf numFmtId="0" fontId="18" fillId="0" borderId="0" xfId="1" applyFont="1" applyAlignment="1" applyProtection="1">
      <alignment vertical="top" wrapText="1"/>
    </xf>
    <xf numFmtId="0" fontId="19" fillId="8" borderId="0" xfId="1" applyFont="1" applyFill="1" applyAlignment="1" applyProtection="1">
      <alignment horizontal="center" vertical="center"/>
    </xf>
    <xf numFmtId="0" fontId="19" fillId="8" borderId="0" xfId="1" applyFont="1" applyFill="1" applyAlignment="1" applyProtection="1">
      <alignment horizontal="left" vertical="center" indent="1"/>
    </xf>
    <xf numFmtId="0" fontId="19" fillId="8" borderId="0" xfId="1" applyFont="1" applyFill="1" applyAlignment="1" applyProtection="1">
      <alignment vertical="center"/>
    </xf>
    <xf numFmtId="0" fontId="19" fillId="8" borderId="16" xfId="1" applyFont="1" applyFill="1" applyBorder="1" applyAlignment="1" applyProtection="1">
      <alignment horizontal="left" vertical="center"/>
    </xf>
    <xf numFmtId="0" fontId="19" fillId="8" borderId="0" xfId="1" applyFont="1" applyFill="1" applyAlignment="1" applyProtection="1">
      <alignment horizontal="left" vertical="center"/>
    </xf>
    <xf numFmtId="0" fontId="19" fillId="8" borderId="12" xfId="1" applyFont="1" applyFill="1" applyBorder="1" applyAlignment="1" applyProtection="1">
      <alignment horizontal="left" vertical="center"/>
    </xf>
    <xf numFmtId="0" fontId="20" fillId="2" borderId="0" xfId="1" applyFont="1" applyFill="1" applyAlignment="1" applyProtection="1">
      <alignment vertical="center"/>
    </xf>
    <xf numFmtId="0" fontId="21" fillId="2" borderId="0" xfId="1" applyFont="1" applyFill="1" applyAlignment="1" applyProtection="1">
      <alignment vertical="center"/>
    </xf>
    <xf numFmtId="0" fontId="19" fillId="8" borderId="0" xfId="1" applyFont="1" applyFill="1" applyAlignment="1" applyProtection="1">
      <alignment horizontal="center" vertical="center" wrapText="1"/>
    </xf>
    <xf numFmtId="0" fontId="19" fillId="8" borderId="16" xfId="1" applyFont="1" applyFill="1" applyBorder="1" applyAlignment="1" applyProtection="1">
      <alignment horizontal="center" vertical="center" wrapText="1"/>
    </xf>
    <xf numFmtId="0" fontId="19" fillId="8" borderId="12" xfId="1" applyFont="1" applyFill="1" applyBorder="1" applyAlignment="1" applyProtection="1">
      <alignment horizontal="center" vertical="center" wrapText="1"/>
    </xf>
    <xf numFmtId="0" fontId="18" fillId="9" borderId="13" xfId="1" applyFont="1" applyFill="1" applyBorder="1" applyAlignment="1" applyProtection="1">
      <alignment horizontal="center" vertical="center" wrapText="1"/>
    </xf>
    <xf numFmtId="0" fontId="18" fillId="9" borderId="14" xfId="1" applyFont="1" applyFill="1" applyBorder="1" applyAlignment="1" applyProtection="1">
      <alignment horizontal="center" vertical="center" wrapText="1"/>
    </xf>
    <xf numFmtId="0" fontId="18" fillId="9" borderId="14" xfId="1" applyFont="1" applyFill="1" applyBorder="1" applyAlignment="1" applyProtection="1">
      <alignment vertical="center" wrapText="1"/>
    </xf>
    <xf numFmtId="0" fontId="21" fillId="9" borderId="14" xfId="1" applyFont="1" applyFill="1" applyBorder="1" applyAlignment="1" applyProtection="1">
      <alignment horizontal="center" vertical="center" wrapText="1"/>
    </xf>
    <xf numFmtId="0" fontId="18" fillId="0" borderId="17" xfId="1" applyFont="1" applyBorder="1" applyAlignment="1" applyProtection="1">
      <alignment horizontal="center" vertical="center" wrapText="1"/>
    </xf>
    <xf numFmtId="0" fontId="18" fillId="0" borderId="18" xfId="1" applyFont="1" applyBorder="1" applyAlignment="1" applyProtection="1">
      <alignment horizontal="center" vertical="center" wrapText="1"/>
    </xf>
    <xf numFmtId="0" fontId="22" fillId="0" borderId="0" xfId="1" applyFont="1" applyAlignment="1" applyProtection="1">
      <alignment horizontal="center" vertical="center" wrapText="1"/>
    </xf>
    <xf numFmtId="0" fontId="20" fillId="2" borderId="0" xfId="1" applyFont="1" applyFill="1" applyAlignment="1" applyProtection="1">
      <alignment wrapText="1"/>
    </xf>
    <xf numFmtId="0" fontId="21" fillId="2" borderId="0" xfId="1" applyFont="1" applyFill="1" applyAlignment="1" applyProtection="1">
      <alignment wrapText="1"/>
    </xf>
    <xf numFmtId="0" fontId="18" fillId="11" borderId="8" xfId="1" applyFont="1" applyFill="1" applyBorder="1" applyAlignment="1" applyProtection="1">
      <alignment horizontal="center" vertical="center" wrapText="1"/>
    </xf>
    <xf numFmtId="0" fontId="18" fillId="11" borderId="0" xfId="1" applyFont="1" applyFill="1" applyAlignment="1" applyProtection="1">
      <alignment horizontal="center" vertical="center" wrapText="1"/>
    </xf>
    <xf numFmtId="0" fontId="18" fillId="11" borderId="0" xfId="1" applyFont="1" applyFill="1" applyAlignment="1" applyProtection="1">
      <alignment vertical="center" wrapText="1"/>
    </xf>
    <xf numFmtId="0" fontId="21" fillId="11" borderId="0" xfId="1" applyFont="1" applyFill="1" applyAlignment="1" applyProtection="1">
      <alignment horizontal="left" vertical="center" wrapText="1"/>
    </xf>
    <xf numFmtId="0" fontId="18" fillId="0" borderId="16" xfId="1" applyFont="1" applyBorder="1" applyAlignment="1" applyProtection="1">
      <alignment horizontal="center" vertical="center" wrapText="1"/>
    </xf>
    <xf numFmtId="0" fontId="18" fillId="0" borderId="12" xfId="1" applyFont="1" applyBorder="1" applyAlignment="1" applyProtection="1">
      <alignment horizontal="center" vertical="center" wrapText="1"/>
    </xf>
    <xf numFmtId="0" fontId="20" fillId="2" borderId="0" xfId="1" applyFont="1" applyFill="1" applyProtection="1"/>
    <xf numFmtId="0" fontId="21" fillId="2" borderId="0" xfId="1" applyFont="1" applyFill="1" applyProtection="1"/>
    <xf numFmtId="0" fontId="18" fillId="9" borderId="14" xfId="1" applyFont="1" applyFill="1" applyBorder="1" applyAlignment="1" applyProtection="1">
      <alignment horizontal="left" vertical="center" wrapText="1"/>
    </xf>
    <xf numFmtId="0" fontId="19" fillId="8" borderId="0" xfId="1" applyFont="1" applyFill="1" applyAlignment="1" applyProtection="1">
      <alignment horizontal="left" vertical="center" wrapText="1"/>
    </xf>
    <xf numFmtId="0" fontId="20" fillId="2" borderId="0" xfId="1" applyFont="1" applyFill="1" applyAlignment="1" applyProtection="1">
      <alignment horizontal="center" vertical="center"/>
    </xf>
    <xf numFmtId="0" fontId="29" fillId="2" borderId="0" xfId="1" applyFont="1" applyFill="1" applyAlignment="1" applyProtection="1">
      <alignment horizontal="left" vertical="center" wrapText="1"/>
    </xf>
    <xf numFmtId="0" fontId="30" fillId="2" borderId="0" xfId="1" applyFont="1" applyFill="1" applyAlignment="1" applyProtection="1">
      <alignment horizontal="left" vertical="center" wrapText="1"/>
    </xf>
    <xf numFmtId="0" fontId="31" fillId="2" borderId="0" xfId="1" applyFont="1" applyFill="1" applyAlignment="1" applyProtection="1">
      <alignment vertical="center" wrapText="1"/>
    </xf>
    <xf numFmtId="0" fontId="31" fillId="2" borderId="0" xfId="1" applyFont="1" applyFill="1" applyAlignment="1" applyProtection="1">
      <alignment vertical="center"/>
    </xf>
    <xf numFmtId="0" fontId="32" fillId="2" borderId="0" xfId="1" applyFont="1" applyFill="1" applyProtection="1"/>
    <xf numFmtId="0" fontId="10" fillId="2" borderId="0" xfId="1" applyFont="1" applyFill="1" applyProtection="1"/>
    <xf numFmtId="0" fontId="50" fillId="9" borderId="28" xfId="1" applyFont="1" applyFill="1" applyBorder="1" applyAlignment="1" applyProtection="1">
      <alignment horizontal="left" vertical="center" readingOrder="1"/>
    </xf>
    <xf numFmtId="0" fontId="34" fillId="9" borderId="29" xfId="1" applyFont="1" applyFill="1" applyBorder="1" applyAlignment="1" applyProtection="1">
      <alignment horizontal="left" vertical="center" readingOrder="1"/>
    </xf>
    <xf numFmtId="0" fontId="17" fillId="9" borderId="29" xfId="1" applyFont="1" applyFill="1" applyBorder="1" applyAlignment="1" applyProtection="1">
      <alignment horizontal="left" vertical="center" readingOrder="1"/>
    </xf>
    <xf numFmtId="0" fontId="37" fillId="9" borderId="29" xfId="1" applyFont="1" applyFill="1" applyBorder="1" applyAlignment="1" applyProtection="1">
      <alignment horizontal="center" vertical="center" readingOrder="1"/>
    </xf>
    <xf numFmtId="0" fontId="37" fillId="9" borderId="29" xfId="1" applyFont="1" applyFill="1" applyBorder="1" applyAlignment="1" applyProtection="1">
      <alignment horizontal="center" vertical="center" wrapText="1"/>
    </xf>
    <xf numFmtId="0" fontId="47" fillId="9" borderId="30" xfId="1" applyFont="1" applyFill="1" applyBorder="1" applyAlignment="1" applyProtection="1">
      <alignment vertical="center" readingOrder="1"/>
    </xf>
    <xf numFmtId="0" fontId="19" fillId="9" borderId="29" xfId="1" applyFont="1" applyFill="1" applyBorder="1" applyAlignment="1" applyProtection="1">
      <alignment vertical="center" readingOrder="1"/>
    </xf>
    <xf numFmtId="0" fontId="37" fillId="9" borderId="29" xfId="1" applyFont="1" applyFill="1" applyBorder="1" applyAlignment="1" applyProtection="1">
      <alignment vertical="center" readingOrder="1"/>
    </xf>
    <xf numFmtId="0" fontId="37" fillId="9" borderId="31" xfId="1" applyFont="1" applyFill="1" applyBorder="1" applyAlignment="1" applyProtection="1">
      <alignment vertical="center" readingOrder="1"/>
    </xf>
    <xf numFmtId="0" fontId="43" fillId="9" borderId="32" xfId="1" applyFont="1" applyFill="1" applyBorder="1" applyAlignment="1" applyProtection="1">
      <alignment horizontal="right" vertical="center" readingOrder="1"/>
    </xf>
    <xf numFmtId="0" fontId="44" fillId="8" borderId="0" xfId="1" applyFont="1" applyFill="1" applyAlignment="1" applyProtection="1">
      <alignment horizontal="left" vertical="center"/>
    </xf>
    <xf numFmtId="0" fontId="34" fillId="8" borderId="0" xfId="1" applyFont="1" applyFill="1" applyAlignment="1" applyProtection="1">
      <alignment horizontal="left" vertical="center"/>
    </xf>
    <xf numFmtId="0" fontId="17" fillId="8" borderId="0" xfId="1" applyFont="1" applyFill="1" applyAlignment="1" applyProtection="1">
      <alignment horizontal="left" vertical="center"/>
    </xf>
    <xf numFmtId="0" fontId="34" fillId="8" borderId="0" xfId="1" applyFont="1" applyFill="1" applyAlignment="1" applyProtection="1">
      <alignment horizontal="center" vertical="center"/>
    </xf>
    <xf numFmtId="0" fontId="19" fillId="8" borderId="0" xfId="1" applyFont="1" applyFill="1" applyAlignment="1" applyProtection="1">
      <alignment horizontal="center" vertical="center" shrinkToFit="1"/>
    </xf>
    <xf numFmtId="0" fontId="19" fillId="8" borderId="36" xfId="1" applyFont="1" applyFill="1" applyBorder="1" applyAlignment="1" applyProtection="1">
      <alignment horizontal="center" vertical="center" wrapText="1"/>
    </xf>
    <xf numFmtId="0" fontId="19" fillId="8" borderId="37" xfId="1" applyFont="1" applyFill="1" applyBorder="1" applyAlignment="1" applyProtection="1">
      <alignment horizontal="center" vertical="center" wrapText="1"/>
    </xf>
    <xf numFmtId="0" fontId="1" fillId="0" borderId="0" xfId="1" applyAlignment="1" applyProtection="1">
      <alignment horizontal="center" vertical="top"/>
    </xf>
    <xf numFmtId="0" fontId="33" fillId="0" borderId="13" xfId="1" applyFont="1" applyBorder="1" applyAlignment="1" applyProtection="1">
      <alignment horizontal="center" vertical="center"/>
    </xf>
    <xf numFmtId="0" fontId="33" fillId="0" borderId="14" xfId="1" applyFont="1" applyBorder="1" applyAlignment="1" applyProtection="1">
      <alignment horizontal="center" vertical="center"/>
    </xf>
    <xf numFmtId="0" fontId="33" fillId="0" borderId="14" xfId="1" applyFont="1" applyBorder="1" applyAlignment="1" applyProtection="1">
      <alignment vertical="center"/>
    </xf>
    <xf numFmtId="0" fontId="33" fillId="0" borderId="14" xfId="1" applyFont="1" applyBorder="1" applyAlignment="1" applyProtection="1">
      <alignment vertical="center" wrapText="1"/>
    </xf>
    <xf numFmtId="0" fontId="21" fillId="2" borderId="14" xfId="1" applyFont="1" applyFill="1" applyBorder="1" applyAlignment="1" applyProtection="1">
      <alignment horizontal="center" vertical="center" shrinkToFit="1"/>
    </xf>
    <xf numFmtId="0" fontId="33" fillId="0" borderId="14" xfId="1" applyFont="1" applyBorder="1" applyAlignment="1" applyProtection="1">
      <alignment horizontal="center" vertical="center" wrapText="1"/>
    </xf>
    <xf numFmtId="0" fontId="18" fillId="2" borderId="17" xfId="1" applyFont="1" applyFill="1" applyBorder="1" applyAlignment="1" applyProtection="1">
      <alignment horizontal="center" vertical="center"/>
    </xf>
    <xf numFmtId="0" fontId="18" fillId="2" borderId="18" xfId="1" applyFont="1" applyFill="1" applyBorder="1" applyAlignment="1" applyProtection="1">
      <alignment horizontal="center" vertical="center"/>
    </xf>
    <xf numFmtId="0" fontId="50" fillId="4" borderId="0" xfId="1" applyFont="1" applyFill="1" applyAlignment="1" applyProtection="1">
      <alignment horizontal="left" vertical="center" readingOrder="1"/>
    </xf>
    <xf numFmtId="0" fontId="34" fillId="4" borderId="0" xfId="1" applyFont="1" applyFill="1" applyAlignment="1" applyProtection="1">
      <alignment horizontal="left" vertical="center" readingOrder="1"/>
    </xf>
    <xf numFmtId="0" fontId="17" fillId="4" borderId="0" xfId="1" applyFont="1" applyFill="1" applyAlignment="1" applyProtection="1">
      <alignment horizontal="left" vertical="center" readingOrder="1"/>
    </xf>
    <xf numFmtId="0" fontId="37" fillId="4" borderId="0" xfId="1" applyFont="1" applyFill="1" applyAlignment="1" applyProtection="1">
      <alignment horizontal="center" vertical="center" readingOrder="1"/>
    </xf>
    <xf numFmtId="0" fontId="37" fillId="4" borderId="0" xfId="1" applyFont="1" applyFill="1" applyAlignment="1" applyProtection="1">
      <alignment horizontal="center" vertical="center" wrapText="1"/>
    </xf>
    <xf numFmtId="0" fontId="47" fillId="4" borderId="16" xfId="1" applyFont="1" applyFill="1" applyBorder="1" applyAlignment="1" applyProtection="1">
      <alignment vertical="center" readingOrder="1"/>
    </xf>
    <xf numFmtId="0" fontId="19" fillId="4" borderId="0" xfId="1" applyFont="1" applyFill="1" applyAlignment="1" applyProtection="1">
      <alignment vertical="center" readingOrder="1"/>
    </xf>
    <xf numFmtId="0" fontId="37" fillId="4" borderId="0" xfId="1" applyFont="1" applyFill="1" applyAlignment="1" applyProtection="1">
      <alignment vertical="center" readingOrder="1"/>
    </xf>
    <xf numFmtId="0" fontId="37" fillId="4" borderId="12" xfId="1" applyFont="1" applyFill="1" applyBorder="1" applyAlignment="1" applyProtection="1">
      <alignment vertical="center" readingOrder="1"/>
    </xf>
    <xf numFmtId="0" fontId="43" fillId="4" borderId="0" xfId="1" applyFont="1" applyFill="1" applyAlignment="1" applyProtection="1">
      <alignment horizontal="right" vertical="center" readingOrder="1"/>
    </xf>
    <xf numFmtId="0" fontId="53" fillId="0" borderId="0" xfId="1" applyFont="1" applyAlignment="1" applyProtection="1">
      <alignment horizontal="left" vertical="center"/>
    </xf>
    <xf numFmtId="0" fontId="39" fillId="0" borderId="0" xfId="1" applyFont="1" applyAlignment="1" applyProtection="1">
      <alignment horizontal="left" vertical="center"/>
    </xf>
    <xf numFmtId="0" fontId="33" fillId="0" borderId="0" xfId="1" applyFont="1" applyAlignment="1" applyProtection="1">
      <alignment horizontal="left" vertical="center"/>
    </xf>
    <xf numFmtId="0" fontId="39" fillId="0" borderId="0" xfId="1" applyFont="1" applyAlignment="1" applyProtection="1">
      <alignment horizontal="center" vertical="center"/>
    </xf>
    <xf numFmtId="0" fontId="47" fillId="0" borderId="16" xfId="1" applyFont="1" applyBorder="1" applyAlignment="1" applyProtection="1">
      <alignment horizontal="center" vertical="center" wrapText="1"/>
    </xf>
    <xf numFmtId="0" fontId="47" fillId="0" borderId="12" xfId="1" applyFont="1" applyBorder="1" applyAlignment="1" applyProtection="1">
      <alignment horizontal="center" vertical="center" wrapText="1"/>
    </xf>
    <xf numFmtId="0" fontId="0" fillId="0" borderId="0" xfId="0" applyProtection="1"/>
    <xf numFmtId="0" fontId="23" fillId="2" borderId="0" xfId="1" applyFont="1" applyFill="1" applyAlignment="1" applyProtection="1">
      <alignment horizontal="center" vertical="center" wrapText="1"/>
    </xf>
    <xf numFmtId="0" fontId="27" fillId="2" borderId="0" xfId="1" applyFont="1" applyFill="1" applyProtection="1"/>
    <xf numFmtId="0" fontId="28" fillId="2" borderId="0" xfId="1" applyFont="1" applyFill="1" applyProtection="1"/>
    <xf numFmtId="0" fontId="29" fillId="2" borderId="0" xfId="1" applyFont="1" applyFill="1" applyAlignment="1" applyProtection="1">
      <alignment vertical="center"/>
    </xf>
    <xf numFmtId="0" fontId="10" fillId="2" borderId="0" xfId="1" applyFont="1" applyFill="1" applyAlignment="1" applyProtection="1">
      <alignment vertical="center"/>
    </xf>
    <xf numFmtId="0" fontId="31" fillId="2" borderId="0" xfId="1" applyFont="1" applyFill="1" applyAlignment="1" applyProtection="1">
      <alignment horizontal="right" vertical="center"/>
    </xf>
    <xf numFmtId="0" fontId="47" fillId="0" borderId="12" xfId="1" applyFont="1" applyBorder="1" applyAlignment="1" applyProtection="1">
      <alignment horizontal="center" vertical="center" wrapText="1"/>
      <protection locked="0"/>
    </xf>
  </cellXfs>
  <cellStyles count="4">
    <cellStyle name="Good" xfId="3" builtinId="26"/>
    <cellStyle name="Hyperlink" xfId="2" builtinId="8"/>
    <cellStyle name="Normal" xfId="0" builtinId="0"/>
    <cellStyle name="Normal 2" xfId="1" xr:uid="{00000000-0005-0000-0000-000002000000}"/>
  </cellStyles>
  <dxfs count="25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ill>
        <patternFill patternType="none">
          <bgColor auto="1"/>
        </patternFill>
      </fill>
    </dxf>
    <dxf>
      <font>
        <b val="0"/>
        <i/>
      </font>
      <fill>
        <patternFill>
          <bgColor theme="4" tint="0.79998168889431442"/>
        </patternFill>
      </fill>
    </dxf>
    <dxf>
      <fill>
        <patternFill patternType="none">
          <bgColor auto="1"/>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numFmt numFmtId="0" formatCode="General"/>
      <alignment horizontal="center" vertical="top" textRotation="0" wrapText="0" indent="0" justifyLastLine="0" shrinkToFit="0" readingOrder="0"/>
    </dxf>
    <dxf>
      <numFmt numFmtId="19" formatCode="d/mm/yyyy"/>
      <alignment horizontal="general" vertical="top" textRotation="0" indent="0" justifyLastLine="0" shrinkToFit="0" readingOrder="0"/>
    </dxf>
    <dxf>
      <numFmt numFmtId="19" formatCode="d/mm/yyyy"/>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alignment horizontal="general" vertical="bottom" textRotation="0" wrapText="1"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wrapText="0" indent="0" justifyLastLine="0" shrinkToFit="0" readingOrder="0"/>
    </dxf>
    <dxf>
      <font>
        <strike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19" formatCode="d/mm/yyyy"/>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Arial"/>
        <family val="2"/>
        <scheme val="none"/>
      </font>
      <numFmt numFmtId="19" formatCode="d/mm/yyyy"/>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none">
          <fgColor indexed="64"/>
          <bgColor auto="1"/>
        </patternFill>
      </fill>
    </dxf>
    <dxf>
      <font>
        <strike val="0"/>
        <outline val="0"/>
        <shadow val="0"/>
        <u val="none"/>
        <vertAlign val="baseline"/>
        <sz val="10"/>
        <color theme="1"/>
        <name val="Arial"/>
        <scheme val="none"/>
      </font>
      <fill>
        <patternFill patternType="none">
          <fgColor indexed="64"/>
          <bgColor auto="1"/>
        </patternFill>
      </fill>
    </dxf>
    <dxf>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family val="2"/>
        <scheme val="none"/>
      </font>
      <numFmt numFmtId="19" formatCode="d/mm/yyyy"/>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rgb="FF00B05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19" formatCode="d/mm/yyyy"/>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numFmt numFmtId="19" formatCode="d/mm/yyyy"/>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family val="2"/>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285751</xdr:colOff>
      <xdr:row>3</xdr:row>
      <xdr:rowOff>38101</xdr:rowOff>
    </xdr:from>
    <xdr:ext cx="5534024" cy="5713102"/>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839451" y="542926"/>
          <a:ext cx="5534024" cy="571310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Bachelor of Design</a:t>
          </a:r>
        </a:p>
        <a:p>
          <a:pPr rtl="0" fontAlgn="base"/>
          <a:endParaRPr lang="en-AU">
            <a:effectLst/>
          </a:endParaRPr>
        </a:p>
        <a:p>
          <a:pPr algn="ctr" rtl="0" fontAlgn="base"/>
          <a:r>
            <a:rPr lang="en-AU" sz="1100" b="0" i="1">
              <a:solidFill>
                <a:schemeClr val="dk1"/>
              </a:solidFill>
              <a:effectLst/>
              <a:latin typeface="+mn-lt"/>
              <a:ea typeface="+mn-ea"/>
              <a:cs typeface="+mn-cs"/>
            </a:rPr>
            <a:t>Use the drop-down lists to select your </a:t>
          </a:r>
          <a:r>
            <a:rPr lang="en-AU" sz="1100" b="1" i="1">
              <a:solidFill>
                <a:schemeClr val="dk1"/>
              </a:solidFill>
              <a:effectLst/>
              <a:latin typeface="+mn-lt"/>
              <a:ea typeface="+mn-ea"/>
              <a:cs typeface="+mn-cs"/>
            </a:rPr>
            <a:t>Design Major</a:t>
          </a:r>
          <a:r>
            <a:rPr lang="en-AU" sz="1100" b="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Design </a:t>
          </a:r>
          <a:r>
            <a:rPr lang="en-AU" sz="1100" b="1" i="1">
              <a:solidFill>
                <a:schemeClr val="dk1"/>
              </a:solidFill>
              <a:effectLst/>
              <a:latin typeface="+mn-lt"/>
              <a:ea typeface="+mn-ea"/>
              <a:cs typeface="+mn-cs"/>
            </a:rPr>
            <a:t>Specialisation </a:t>
          </a:r>
          <a:r>
            <a:rPr lang="en-AU" sz="1100" b="0" i="1">
              <a:solidFill>
                <a:schemeClr val="dk1"/>
              </a:solidFill>
              <a:effectLst/>
              <a:latin typeface="+mn-lt"/>
              <a:ea typeface="+mn-ea"/>
              <a:cs typeface="+mn-cs"/>
            </a:rPr>
            <a:t>and your </a:t>
          </a:r>
          <a:r>
            <a:rPr lang="en-AU" sz="1100" b="1" i="1">
              <a:solidFill>
                <a:schemeClr val="dk1"/>
              </a:solidFill>
              <a:effectLst/>
              <a:latin typeface="+mn-lt"/>
              <a:ea typeface="+mn-ea"/>
              <a:cs typeface="+mn-cs"/>
            </a:rPr>
            <a:t>Commencing Study Period</a:t>
          </a:r>
          <a:r>
            <a:rPr lang="en-AU" sz="1100" b="0" i="1" baseline="0">
              <a:solidFill>
                <a:schemeClr val="dk1"/>
              </a:solidFill>
              <a:effectLst/>
              <a:latin typeface="+mn-lt"/>
              <a:ea typeface="+mn-ea"/>
              <a:cs typeface="+mn-cs"/>
            </a:rPr>
            <a:t>.</a:t>
          </a:r>
          <a:endParaRPr lang="en-AU">
            <a:effectLst/>
          </a:endParaRPr>
        </a:p>
        <a:p>
          <a:pPr algn="ctr" rtl="0" fontAlgn="base"/>
          <a:endParaRPr lang="en-AU" sz="1100" b="1"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0">
              <a:solidFill>
                <a:schemeClr val="dk1"/>
              </a:solidFill>
              <a:effectLst/>
              <a:latin typeface="+mn-lt"/>
              <a:ea typeface="+mn-ea"/>
              <a:cs typeface="+mn-cs"/>
            </a:rPr>
            <a:t>100 credit points </a:t>
          </a:r>
          <a:r>
            <a:rPr lang="en-AU" sz="1100" b="0" i="0">
              <a:solidFill>
                <a:schemeClr val="dk1"/>
              </a:solidFill>
              <a:effectLst/>
              <a:latin typeface="+mn-lt"/>
              <a:ea typeface="+mn-ea"/>
              <a:cs typeface="+mn-cs"/>
            </a:rPr>
            <a:t>per semester. Units may not be offered in every study period and may not be available at the time that you wish to study them. Your progression in the degree may be impacted if you do not follow the </a:t>
          </a:r>
          <a:r>
            <a:rPr lang="en-AU" sz="1100" b="0" i="0">
              <a:solidFill>
                <a:sysClr val="windowText" lastClr="000000"/>
              </a:solidFill>
              <a:effectLst/>
              <a:latin typeface="+mn-lt"/>
              <a:ea typeface="+mn-ea"/>
              <a:cs typeface="+mn-cs"/>
            </a:rPr>
            <a:t>recommended sequence of enrolment.</a:t>
          </a:r>
        </a:p>
        <a:p>
          <a:pPr rtl="0" fontAlgn="base"/>
          <a:endParaRPr lang="en-AU">
            <a:solidFill>
              <a:sysClr val="windowText" lastClr="000000"/>
            </a:solidFill>
            <a:effectLst/>
          </a:endParaRPr>
        </a:p>
        <a:p>
          <a:pPr rtl="0" fontAlgn="base"/>
          <a:r>
            <a:rPr lang="en-AU" sz="1100" b="0" i="0">
              <a:solidFill>
                <a:sysClr val="windowText" lastClr="000000"/>
              </a:solidFill>
              <a:effectLst/>
              <a:latin typeface="+mn-lt"/>
              <a:ea typeface="+mn-ea"/>
              <a:cs typeface="+mn-cs"/>
            </a:rPr>
            <a:t>If you wish to enrol in a part-time load, </a:t>
          </a:r>
          <a:r>
            <a:rPr lang="en-AU" sz="1100" b="0" i="0" baseline="0">
              <a:solidFill>
                <a:sysClr val="windowText" lastClr="000000"/>
              </a:solidFill>
              <a:effectLst/>
              <a:latin typeface="+mn-lt"/>
              <a:ea typeface="+mn-ea"/>
              <a:cs typeface="+mn-cs"/>
            </a:rPr>
            <a:t>please contact your Course Coordinator (Email - design@curtin.edu.au) to develop an ad hoc study plan OR please select one or two units from the four listed for each study period.</a:t>
          </a:r>
          <a:endParaRPr lang="en-AU">
            <a:solidFill>
              <a:sysClr val="windowText" lastClr="000000"/>
            </a:solidFill>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endParaRPr lang="en-AU">
            <a:effectLst/>
          </a:endParaRPr>
        </a:p>
        <a:p>
          <a:pPr rtl="0" fontAlgn="base"/>
          <a:endParaRPr lang="en-AU" sz="1100" b="1" i="0">
            <a:solidFill>
              <a:schemeClr val="dk1"/>
            </a:solidFill>
            <a:effectLst/>
            <a:latin typeface="+mn-lt"/>
            <a:ea typeface="+mn-ea"/>
            <a:cs typeface="+mn-cs"/>
          </a:endParaRPr>
        </a:p>
        <a:p>
          <a:r>
            <a:rPr lang="en-AU" sz="1100" b="1">
              <a:solidFill>
                <a:sysClr val="windowText" lastClr="000000"/>
              </a:solidFill>
              <a:effectLst/>
              <a:latin typeface="+mn-lt"/>
              <a:ea typeface="+mn-ea"/>
              <a:cs typeface="+mn-cs"/>
            </a:rPr>
            <a:t>Pre-requisites</a:t>
          </a:r>
          <a:endParaRPr lang="en-AU">
            <a:solidFill>
              <a:sysClr val="windowText" lastClr="000000"/>
            </a:solidFill>
            <a:effectLst/>
          </a:endParaRPr>
        </a:p>
        <a:p>
          <a:r>
            <a:rPr lang="en-AU" sz="1100">
              <a:solidFill>
                <a:schemeClr val="dk1"/>
              </a:solidFill>
              <a:effectLst/>
              <a:latin typeface="+mn-lt"/>
              <a:ea typeface="+mn-ea"/>
              <a:cs typeface="+mn-cs"/>
            </a:rPr>
            <a:t>Pre-requisite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p>
        <a:p>
          <a:endParaRPr lang="en-AU" b="1"/>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a:effectLst/>
          </a:endParaRPr>
        </a:p>
        <a:p>
          <a:pP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657225</xdr:colOff>
      <xdr:row>2</xdr:row>
      <xdr:rowOff>200025</xdr:rowOff>
    </xdr:from>
    <xdr:to>
      <xdr:col>21</xdr:col>
      <xdr:colOff>333375</xdr:colOff>
      <xdr:row>3</xdr:row>
      <xdr:rowOff>38495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954125" y="20002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5" totalsRowShown="0" headerRowDxfId="249">
  <autoFilter ref="A4:H5" xr:uid="{00000000-0009-0000-0100-000003000000}"/>
  <tableColumns count="8">
    <tableColumn id="3" xr3:uid="{00000000-0010-0000-0000-000003000000}" name="Choose your Course" dataDxfId="248"/>
    <tableColumn id="1" xr3:uid="{00000000-0010-0000-0000-000001000000}" name="UDC" dataDxfId="247"/>
    <tableColumn id="2" xr3:uid="{00000000-0010-0000-0000-000002000000}" name="SM Version" dataDxfId="246"/>
    <tableColumn id="5" xr3:uid="{00000000-0010-0000-0000-000005000000}" name="SM Effective Date" dataDxfId="245"/>
    <tableColumn id="4" xr3:uid="{00000000-0010-0000-0000-000004000000}" name="Akari Itn" dataDxfId="244"/>
    <tableColumn id="6" xr3:uid="{00000000-0010-0000-0000-000006000000}" name="Akari Effective Date" dataDxfId="243"/>
    <tableColumn id="7" xr3:uid="{00000000-0010-0000-0000-000007000000}" name="Credit Points" dataDxfId="242"/>
    <tableColumn id="9" xr3:uid="{87558AC6-E5C1-48CD-B116-FE57DA6E4364}" name="SM Availabilities" dataDxfId="2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9000000}" name="TableMJRUDINFB" displayName="TableMJRUDINFB" ref="A76:O84" totalsRowShown="0">
  <autoFilter ref="A76:O84" xr:uid="{00000000-0009-0000-0100-000018000000}"/>
  <sortState xmlns:xlrd2="http://schemas.microsoft.com/office/spreadsheetml/2017/richdata2" ref="A80:R87">
    <sortCondition ref="N10:N18"/>
  </sortState>
  <tableColumns count="15">
    <tableColumn id="1" xr3:uid="{00000000-0010-0000-0900-000001000000}" name="UDC" dataDxfId="168">
      <calculatedColumnFormula>TableMJRUDINFB[[#This Row],[Study Package Code]]</calculatedColumnFormula>
    </tableColumn>
    <tableColumn id="9" xr3:uid="{00000000-0010-0000-0900-000009000000}" name="V" dataDxfId="167">
      <calculatedColumnFormula>TableMJRUDINFB[[#This Row],[Ver]]</calculatedColumnFormula>
    </tableColumn>
    <tableColumn id="10" xr3:uid="{00000000-0010-0000-0900-00000A000000}" name="OUA Code"/>
    <tableColumn id="11" xr3:uid="{00000000-0010-0000-0900-00000B000000}" name="Unit Title" dataDxfId="166">
      <calculatedColumnFormula>TableMJRUDINFB[[#This Row],[Structure Line]]</calculatedColumnFormula>
    </tableColumn>
    <tableColumn id="12" xr3:uid="{00000000-0010-0000-0900-00000C000000}" name="CPs" dataDxfId="165">
      <calculatedColumnFormula>TableMJRUDINFB[[#This Row],[Credit Points]]</calculatedColumnFormula>
    </tableColumn>
    <tableColumn id="13" xr3:uid="{00000000-0010-0000-0900-00000D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164"/>
    <tableColumn id="15" xr3:uid="{00000000-0010-0000-0900-00000F000000}" name="Discont." dataDxfId="163"/>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A000000}" name="TableMJRUFASHN" displayName="TableMJRUFASHN" ref="A86:O94" totalsRowShown="0">
  <autoFilter ref="A86:O94" xr:uid="{00000000-0009-0000-0100-000019000000}"/>
  <sortState xmlns:xlrd2="http://schemas.microsoft.com/office/spreadsheetml/2017/richdata2" ref="A90:R97">
    <sortCondition ref="N10:N18"/>
  </sortState>
  <tableColumns count="15">
    <tableColumn id="1" xr3:uid="{00000000-0010-0000-0A00-000001000000}" name="UDC" dataDxfId="162">
      <calculatedColumnFormula>TableMJRUFASHN[[#This Row],[Study Package Code]]</calculatedColumnFormula>
    </tableColumn>
    <tableColumn id="9" xr3:uid="{00000000-0010-0000-0A00-000009000000}" name="V" dataDxfId="161">
      <calculatedColumnFormula>TableMJRUFASHN[[#This Row],[Ver]]</calculatedColumnFormula>
    </tableColumn>
    <tableColumn id="10" xr3:uid="{00000000-0010-0000-0A00-00000A000000}" name="OUA Code"/>
    <tableColumn id="11" xr3:uid="{00000000-0010-0000-0A00-00000B000000}" name="Unit Title" dataDxfId="160">
      <calculatedColumnFormula>TableMJRUFASHN[[#This Row],[Structure Line]]</calculatedColumnFormula>
    </tableColumn>
    <tableColumn id="12" xr3:uid="{00000000-0010-0000-0A00-00000C000000}" name="CPs" dataDxfId="159">
      <calculatedColumnFormula>TableMJRUFASHN[[#This Row],[Credit Points]]</calculatedColumnFormula>
    </tableColumn>
    <tableColumn id="13" xr3:uid="{00000000-0010-0000-0A00-00000D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4" xr3:uid="{00000000-0010-0000-0A00-00000E000000}" name="Effective" dataDxfId="158"/>
    <tableColumn id="15" xr3:uid="{00000000-0010-0000-0A00-00000F000000}" name="Discont." dataDxfId="157"/>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B000000}" name="TableMJRUGRPDS" displayName="TableMJRUGRPDS" ref="A96:O104" totalsRowShown="0">
  <autoFilter ref="A96:O104" xr:uid="{00000000-0009-0000-0100-00001A000000}"/>
  <sortState xmlns:xlrd2="http://schemas.microsoft.com/office/spreadsheetml/2017/richdata2" ref="A100:R107">
    <sortCondition ref="N10:N18"/>
  </sortState>
  <tableColumns count="15">
    <tableColumn id="1" xr3:uid="{00000000-0010-0000-0B00-000001000000}" name="UDC" dataDxfId="156">
      <calculatedColumnFormula>TableMJRUGRPDS[[#This Row],[Study Package Code]]</calculatedColumnFormula>
    </tableColumn>
    <tableColumn id="9" xr3:uid="{00000000-0010-0000-0B00-000009000000}" name="V" dataDxfId="155">
      <calculatedColumnFormula>TableMJRUGRPDS[[#This Row],[Ver]]</calculatedColumnFormula>
    </tableColumn>
    <tableColumn id="10" xr3:uid="{00000000-0010-0000-0B00-00000A000000}" name="OUA Code"/>
    <tableColumn id="11" xr3:uid="{00000000-0010-0000-0B00-00000B000000}" name="Unit Title" dataDxfId="154">
      <calculatedColumnFormula>TableMJRUGRPDS[[#This Row],[Structure Line]]</calculatedColumnFormula>
    </tableColumn>
    <tableColumn id="12" xr3:uid="{00000000-0010-0000-0B00-00000C000000}" name="CPs" dataDxfId="153">
      <calculatedColumnFormula>TableMJRUGRPDS[[#This Row],[Credit Points]]</calculatedColumnFormula>
    </tableColumn>
    <tableColumn id="13" xr3:uid="{00000000-0010-0000-0B00-00000D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tableColumn id="14" xr3:uid="{00000000-0010-0000-0B00-00000E000000}" name="Effective" dataDxfId="152"/>
    <tableColumn id="15" xr3:uid="{00000000-0010-0000-0B00-00000F000000}" name="Discont." dataDxfId="15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C000000}" name="TableMJRUPHOTO" displayName="TableMJRUPHOTO" ref="A106:O114" totalsRowShown="0">
  <autoFilter ref="A106:O114" xr:uid="{00000000-0009-0000-0100-00001B000000}"/>
  <sortState xmlns:xlrd2="http://schemas.microsoft.com/office/spreadsheetml/2017/richdata2" ref="A110:R117">
    <sortCondition ref="N10:N18"/>
  </sortState>
  <tableColumns count="15">
    <tableColumn id="1" xr3:uid="{00000000-0010-0000-0C00-000001000000}" name="UDC" dataDxfId="150">
      <calculatedColumnFormula>TableMJRUPHOTO[[#This Row],[Study Package Code]]</calculatedColumnFormula>
    </tableColumn>
    <tableColumn id="9" xr3:uid="{00000000-0010-0000-0C00-000009000000}" name="V" dataDxfId="149">
      <calculatedColumnFormula>TableMJRUPHOTO[[#This Row],[Ver]]</calculatedColumnFormula>
    </tableColumn>
    <tableColumn id="10" xr3:uid="{00000000-0010-0000-0C00-00000A000000}" name="OUA Code"/>
    <tableColumn id="11" xr3:uid="{00000000-0010-0000-0C00-00000B000000}" name="Unit Title" dataDxfId="148">
      <calculatedColumnFormula>TableMJRUPHOTO[[#This Row],[Structure Line]]</calculatedColumnFormula>
    </tableColumn>
    <tableColumn id="12" xr3:uid="{00000000-0010-0000-0C00-00000C000000}" name="CPs" dataDxfId="147">
      <calculatedColumnFormula>TableMJRUPHOTO[[#This Row],[Credit Points]]</calculatedColumnFormula>
    </tableColumn>
    <tableColumn id="13" xr3:uid="{00000000-0010-0000-0C00-00000D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146"/>
    <tableColumn id="15" xr3:uid="{00000000-0010-0000-0C00-00000F000000}" name="Discont." dataDxfId="145"/>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D000000}" name="TableSPUCANIGD" displayName="TableSPUCANIGD" ref="A117:O123" totalsRowShown="0">
  <autoFilter ref="A117:O123" xr:uid="{00000000-0009-0000-0100-00001C000000}"/>
  <sortState xmlns:xlrd2="http://schemas.microsoft.com/office/spreadsheetml/2017/richdata2" ref="A120:R127">
    <sortCondition ref="N10:N18"/>
  </sortState>
  <tableColumns count="15">
    <tableColumn id="1" xr3:uid="{00000000-0010-0000-0D00-000001000000}" name="UDC" dataDxfId="144">
      <calculatedColumnFormula>TableSPUCANIGD[[#This Row],[Study Package Code]]</calculatedColumnFormula>
    </tableColumn>
    <tableColumn id="9" xr3:uid="{00000000-0010-0000-0D00-000009000000}" name="V" dataDxfId="143">
      <calculatedColumnFormula>TableSPUCANIGD[[#This Row],[Ver]]</calculatedColumnFormula>
    </tableColumn>
    <tableColumn id="10" xr3:uid="{00000000-0010-0000-0D00-00000A000000}" name="OUA Code"/>
    <tableColumn id="11" xr3:uid="{00000000-0010-0000-0D00-00000B000000}" name="Unit Title" dataDxfId="142">
      <calculatedColumnFormula>TableSPUCANIGD[[#This Row],[Structure Line]]</calculatedColumnFormula>
    </tableColumn>
    <tableColumn id="12" xr3:uid="{00000000-0010-0000-0D00-00000C000000}" name="CPs" dataDxfId="141">
      <calculatedColumnFormula>TableSPUCANIGD[[#This Row],[Credit Points]]</calculatedColumnFormula>
    </tableColumn>
    <tableColumn id="13" xr3:uid="{00000000-0010-0000-0D00-00000D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140"/>
    <tableColumn id="15" xr3:uid="{00000000-0010-0000-0D00-00000F000000}" name="Discont." dataDxfId="1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E000000}" name="TableSPUCCADES" displayName="TableSPUCCADES" ref="A125:O129" totalsRowShown="0">
  <autoFilter ref="A125:O129" xr:uid="{00000000-0009-0000-0100-00001D000000}"/>
  <sortState xmlns:xlrd2="http://schemas.microsoft.com/office/spreadsheetml/2017/richdata2" ref="A130:R137">
    <sortCondition ref="N10:N18"/>
  </sortState>
  <tableColumns count="15">
    <tableColumn id="1" xr3:uid="{00000000-0010-0000-0E00-000001000000}" name="UDC" dataDxfId="138">
      <calculatedColumnFormula>TableSPUCCADES[[#This Row],[Study Package Code]]</calculatedColumnFormula>
    </tableColumn>
    <tableColumn id="9" xr3:uid="{00000000-0010-0000-0E00-000009000000}" name="V" dataDxfId="137">
      <calculatedColumnFormula>TableSPUCCADES[[#This Row],[Ver]]</calculatedColumnFormula>
    </tableColumn>
    <tableColumn id="10" xr3:uid="{00000000-0010-0000-0E00-00000A000000}" name="OUA Code"/>
    <tableColumn id="11" xr3:uid="{00000000-0010-0000-0E00-00000B000000}" name="Unit Title" dataDxfId="136">
      <calculatedColumnFormula>TableSPUCCADES[[#This Row],[Structure Line]]</calculatedColumnFormula>
    </tableColumn>
    <tableColumn id="12" xr3:uid="{00000000-0010-0000-0E00-00000C000000}" name="CPs" dataDxfId="135">
      <calculatedColumnFormula>TableSPUCCADES[[#This Row],[Credit Points]]</calculatedColumnFormula>
    </tableColumn>
    <tableColumn id="13" xr3:uid="{00000000-0010-0000-0E00-00000D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tableColumn id="7" xr3:uid="{00000000-0010-0000-0E00-000007000000}" name="Structure Line"/>
    <tableColumn id="8" xr3:uid="{00000000-0010-0000-0E00-000008000000}" name="Credit Points"/>
    <tableColumn id="14" xr3:uid="{00000000-0010-0000-0E00-00000E000000}" name="Effective" dataDxfId="134"/>
    <tableColumn id="15" xr3:uid="{00000000-0010-0000-0E00-00000F000000}" name="Discont." dataDxfId="13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F000000}" name="TableSPUCDIGDE" displayName="TableSPUCDIGDE" ref="A131:O135" totalsRowShown="0">
  <autoFilter ref="A131:O135" xr:uid="{00000000-0009-0000-0100-00001E000000}"/>
  <sortState xmlns:xlrd2="http://schemas.microsoft.com/office/spreadsheetml/2017/richdata2" ref="A138:R145">
    <sortCondition ref="N10:N18"/>
  </sortState>
  <tableColumns count="15">
    <tableColumn id="1" xr3:uid="{00000000-0010-0000-0F00-000001000000}" name="UDC" dataDxfId="132">
      <calculatedColumnFormula>TableSPUCDIGDE[[#This Row],[Study Package Code]]</calculatedColumnFormula>
    </tableColumn>
    <tableColumn id="9" xr3:uid="{00000000-0010-0000-0F00-000009000000}" name="V" dataDxfId="131">
      <calculatedColumnFormula>TableSPUCDIGDE[[#This Row],[Ver]]</calculatedColumnFormula>
    </tableColumn>
    <tableColumn id="10" xr3:uid="{00000000-0010-0000-0F00-00000A000000}" name="OUA Code"/>
    <tableColumn id="11" xr3:uid="{00000000-0010-0000-0F00-00000B000000}" name="Unit Title" dataDxfId="130">
      <calculatedColumnFormula>TableSPUCDIGDE[[#This Row],[Structure Line]]</calculatedColumnFormula>
    </tableColumn>
    <tableColumn id="12" xr3:uid="{00000000-0010-0000-0F00-00000C000000}" name="CPs" dataDxfId="129">
      <calculatedColumnFormula>TableSPUCDIGDE[[#This Row],[Credit Points]]</calculatedColumnFormula>
    </tableColumn>
    <tableColumn id="13" xr3:uid="{00000000-0010-0000-0F00-00000D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tableColumn id="7" xr3:uid="{00000000-0010-0000-0F00-000007000000}" name="Structure Line"/>
    <tableColumn id="8" xr3:uid="{00000000-0010-0000-0F00-000008000000}" name="Credit Points"/>
    <tableColumn id="14" xr3:uid="{00000000-0010-0000-0F00-00000E000000}" name="Effective" dataDxfId="128"/>
    <tableColumn id="15" xr3:uid="{00000000-0010-0000-0F00-00000F000000}" name="Discont." dataDxfId="12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0000000}" name="TableSPUCFASHN" displayName="TableSPUCFASHN" ref="A137:O145" totalsRowShown="0">
  <autoFilter ref="A137:O145" xr:uid="{00000000-0009-0000-0100-00001F000000}"/>
  <sortState xmlns:xlrd2="http://schemas.microsoft.com/office/spreadsheetml/2017/richdata2" ref="A144:R151">
    <sortCondition ref="N10:N18"/>
  </sortState>
  <tableColumns count="15">
    <tableColumn id="1" xr3:uid="{00000000-0010-0000-1000-000001000000}" name="UDC" dataDxfId="126">
      <calculatedColumnFormula>TableSPUCFASHN[[#This Row],[Study Package Code]]</calculatedColumnFormula>
    </tableColumn>
    <tableColumn id="9" xr3:uid="{00000000-0010-0000-1000-000009000000}" name="V" dataDxfId="125">
      <calculatedColumnFormula>TableSPUCFASHN[[#This Row],[Ver]]</calculatedColumnFormula>
    </tableColumn>
    <tableColumn id="10" xr3:uid="{00000000-0010-0000-1000-00000A000000}" name="OUA Code"/>
    <tableColumn id="11" xr3:uid="{00000000-0010-0000-1000-00000B000000}" name="Unit Title" dataDxfId="124">
      <calculatedColumnFormula>TableSPUCFASHN[[#This Row],[Structure Line]]</calculatedColumnFormula>
    </tableColumn>
    <tableColumn id="12" xr3:uid="{00000000-0010-0000-1000-00000C000000}" name="CPs" dataDxfId="123">
      <calculatedColumnFormula>TableSPUCFASHN[[#This Row],[Credit Points]]</calculatedColumnFormula>
    </tableColumn>
    <tableColumn id="13" xr3:uid="{00000000-0010-0000-1000-00000D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tableColumn id="7" xr3:uid="{00000000-0010-0000-1000-000007000000}" name="Structure Line"/>
    <tableColumn id="8" xr3:uid="{00000000-0010-0000-1000-000008000000}" name="Credit Points"/>
    <tableColumn id="14" xr3:uid="{00000000-0010-0000-1000-00000E000000}" name="Effective" dataDxfId="122"/>
    <tableColumn id="15" xr3:uid="{00000000-0010-0000-1000-00000F000000}" name="Discont." dataDxfId="121"/>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1000000}" name="TableSPUCFSHMK" displayName="TableSPUCFSHMK" ref="A147:O158" totalsRowShown="0">
  <autoFilter ref="A147:O158" xr:uid="{00000000-0009-0000-0100-000020000000}"/>
  <sortState xmlns:xlrd2="http://schemas.microsoft.com/office/spreadsheetml/2017/richdata2" ref="A150:R157">
    <sortCondition ref="N10:N18"/>
  </sortState>
  <tableColumns count="15">
    <tableColumn id="1" xr3:uid="{00000000-0010-0000-1100-000001000000}" name="UDC" dataDxfId="120">
      <calculatedColumnFormula>TableSPUCFSHMK[[#This Row],[Study Package Code]]</calculatedColumnFormula>
    </tableColumn>
    <tableColumn id="9" xr3:uid="{00000000-0010-0000-1100-000009000000}" name="V" dataDxfId="119">
      <calculatedColumnFormula>TableSPUCFSHMK[[#This Row],[Ver]]</calculatedColumnFormula>
    </tableColumn>
    <tableColumn id="10" xr3:uid="{00000000-0010-0000-1100-00000A000000}" name="OUA Code"/>
    <tableColumn id="11" xr3:uid="{00000000-0010-0000-1100-00000B000000}" name="Unit Title" dataDxfId="118">
      <calculatedColumnFormula>TableSPUCFSHMK[[#This Row],[Structure Line]]</calculatedColumnFormula>
    </tableColumn>
    <tableColumn id="12" xr3:uid="{00000000-0010-0000-1100-00000C000000}" name="CPs" dataDxfId="117">
      <calculatedColumnFormula>TableSPUCFSHMK[[#This Row],[Credit Points]]</calculatedColumnFormula>
    </tableColumn>
    <tableColumn id="13" xr3:uid="{00000000-0010-0000-1100-00000D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116"/>
    <tableColumn id="15" xr3:uid="{00000000-0010-0000-1100-00000F000000}" name="Discont." dataDxfId="11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2000000}" name="TableSPUCGRPDS" displayName="TableSPUCGRPDS" ref="A160:O166" totalsRowShown="0">
  <autoFilter ref="A160:O166" xr:uid="{00000000-0009-0000-0100-000021000000}"/>
  <sortState xmlns:xlrd2="http://schemas.microsoft.com/office/spreadsheetml/2017/richdata2" ref="A160:R167">
    <sortCondition ref="N10:N18"/>
  </sortState>
  <tableColumns count="15">
    <tableColumn id="1" xr3:uid="{00000000-0010-0000-1200-000001000000}" name="UDC" dataDxfId="114">
      <calculatedColumnFormula>TableSPUCGRPDS[[#This Row],[Study Package Code]]</calculatedColumnFormula>
    </tableColumn>
    <tableColumn id="9" xr3:uid="{00000000-0010-0000-1200-000009000000}" name="V" dataDxfId="113">
      <calculatedColumnFormula>TableSPUCGRPDS[[#This Row],[Ver]]</calculatedColumnFormula>
    </tableColumn>
    <tableColumn id="10" xr3:uid="{00000000-0010-0000-1200-00000A000000}" name="OUA Code"/>
    <tableColumn id="11" xr3:uid="{00000000-0010-0000-1200-00000B000000}" name="Unit Title" dataDxfId="112">
      <calculatedColumnFormula>TableSPUCGRPDS[[#This Row],[Structure Line]]</calculatedColumnFormula>
    </tableColumn>
    <tableColumn id="12" xr3:uid="{00000000-0010-0000-1200-00000C000000}" name="CPs" dataDxfId="111">
      <calculatedColumnFormula>TableSPUCGRPDS[[#This Row],[Credit Points]]</calculatedColumnFormula>
    </tableColumn>
    <tableColumn id="13" xr3:uid="{00000000-0010-0000-1200-00000D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tableColumn id="7" xr3:uid="{00000000-0010-0000-1200-000007000000}" name="Structure Line"/>
    <tableColumn id="8" xr3:uid="{00000000-0010-0000-1200-000008000000}" name="Credit Points"/>
    <tableColumn id="14" xr3:uid="{00000000-0010-0000-1200-00000E000000}" name="Effective" dataDxfId="110"/>
    <tableColumn id="15" xr3:uid="{00000000-0010-0000-1200-00000F000000}" name="Discont." dataDxfId="109"/>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8:C10" totalsRowShown="0" headerRowDxfId="240" dataDxfId="239">
  <autoFilter ref="A8:C10" xr:uid="{00000000-0009-0000-0100-000004000000}"/>
  <tableColumns count="3">
    <tableColumn id="1" xr3:uid="{00000000-0010-0000-0100-000001000000}" name="Choose your commencing study period (drop-down list)" dataDxfId="238"/>
    <tableColumn id="2" xr3:uid="{00000000-0010-0000-0100-000002000000}" name="START" dataDxfId="237"/>
    <tableColumn id="3" xr3:uid="{00000000-0010-0000-0100-000003000000}" name="Next" dataDxfId="236"/>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3000000}" name="TableSPUCILLUS" displayName="TableSPUCILLUS" ref="A168:O172" totalsRowShown="0">
  <autoFilter ref="A168:O172" xr:uid="{00000000-0009-0000-0100-000022000000}"/>
  <sortState xmlns:xlrd2="http://schemas.microsoft.com/office/spreadsheetml/2017/richdata2" ref="A172:R179">
    <sortCondition ref="N10:N18"/>
  </sortState>
  <tableColumns count="15">
    <tableColumn id="1" xr3:uid="{00000000-0010-0000-1300-000001000000}" name="UDC" dataDxfId="108">
      <calculatedColumnFormula>TableSPUCILLUS[[#This Row],[Study Package Code]]</calculatedColumnFormula>
    </tableColumn>
    <tableColumn id="9" xr3:uid="{00000000-0010-0000-1300-000009000000}" name="V" dataDxfId="107">
      <calculatedColumnFormula>TableSPUCILLUS[[#This Row],[Ver]]</calculatedColumnFormula>
    </tableColumn>
    <tableColumn id="10" xr3:uid="{00000000-0010-0000-1300-00000A000000}" name="OUA Code"/>
    <tableColumn id="11" xr3:uid="{00000000-0010-0000-1300-00000B000000}" name="Unit Title" dataDxfId="106">
      <calculatedColumnFormula>TableSPUCILLUS[[#This Row],[Structure Line]]</calculatedColumnFormula>
    </tableColumn>
    <tableColumn id="12" xr3:uid="{00000000-0010-0000-1300-00000C000000}" name="CPs" dataDxfId="105">
      <calculatedColumnFormula>TableSPUCILLUS[[#This Row],[Credit Points]]</calculatedColumnFormula>
    </tableColumn>
    <tableColumn id="13" xr3:uid="{00000000-0010-0000-1300-00000D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tableColumn id="7" xr3:uid="{00000000-0010-0000-1300-000007000000}" name="Structure Line"/>
    <tableColumn id="8" xr3:uid="{00000000-0010-0000-1300-000008000000}" name="Credit Points"/>
    <tableColumn id="14" xr3:uid="{00000000-0010-0000-1300-00000E000000}" name="Effective" dataDxfId="104"/>
    <tableColumn id="15" xr3:uid="{00000000-0010-0000-1300-00000F000000}" name="Discont." dataDxfId="103"/>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4000000}" name="TableSPUCPHOTO" displayName="TableSPUCPHOTO" ref="A174:O178" totalsRowShown="0">
  <autoFilter ref="A174:O178" xr:uid="{00000000-0009-0000-0100-000023000000}"/>
  <sortState xmlns:xlrd2="http://schemas.microsoft.com/office/spreadsheetml/2017/richdata2" ref="A180:R187">
    <sortCondition ref="N10:N18"/>
  </sortState>
  <tableColumns count="15">
    <tableColumn id="1" xr3:uid="{00000000-0010-0000-1400-000001000000}" name="UDC" dataDxfId="102">
      <calculatedColumnFormula>TableSPUCPHOTO[[#This Row],[Study Package Code]]</calculatedColumnFormula>
    </tableColumn>
    <tableColumn id="9" xr3:uid="{00000000-0010-0000-1400-000009000000}" name="V" dataDxfId="101">
      <calculatedColumnFormula>TableSPUCPHOTO[[#This Row],[Ver]]</calculatedColumnFormula>
    </tableColumn>
    <tableColumn id="10" xr3:uid="{00000000-0010-0000-1400-00000A000000}" name="OUA Code"/>
    <tableColumn id="11" xr3:uid="{00000000-0010-0000-1400-00000B000000}" name="Unit Title" dataDxfId="100">
      <calculatedColumnFormula>TableSPUCPHOTO[[#This Row],[Structure Line]]</calculatedColumnFormula>
    </tableColumn>
    <tableColumn id="12" xr3:uid="{00000000-0010-0000-1400-00000C000000}" name="CPs" dataDxfId="99">
      <calculatedColumnFormula>TableSPUCPHOTO[[#This Row],[Credit Points]]</calculatedColumnFormula>
    </tableColumn>
    <tableColumn id="13" xr3:uid="{00000000-0010-0000-1400-00000D000000}" name="No."/>
    <tableColumn id="2" xr3:uid="{00000000-0010-0000-1400-000002000000}" name="Component Type"/>
    <tableColumn id="3" xr3:uid="{00000000-0010-0000-1400-000003000000}" name="Year Level"/>
    <tableColumn id="4" xr3:uid="{00000000-0010-0000-1400-000004000000}" name="Study Period"/>
    <tableColumn id="5" xr3:uid="{00000000-0010-0000-1400-000005000000}" name="Study Package Code"/>
    <tableColumn id="6" xr3:uid="{00000000-0010-0000-1400-000006000000}" name="Ver"/>
    <tableColumn id="7" xr3:uid="{00000000-0010-0000-1400-000007000000}" name="Structure Line"/>
    <tableColumn id="8" xr3:uid="{00000000-0010-0000-1400-000008000000}" name="Credit Points"/>
    <tableColumn id="14" xr3:uid="{00000000-0010-0000-1400-00000E000000}" name="Effective" dataDxfId="98"/>
    <tableColumn id="15" xr3:uid="{00000000-0010-0000-1400-00000F000000}" name="Discont." dataDxfId="97"/>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5000000}" name="Table5356575438" displayName="Table5356575438" ref="Q2:R41" totalsRowShown="0">
  <autoFilter ref="Q2:R41" xr:uid="{00000000-0009-0000-0100-000007000000}"/>
  <tableColumns count="2">
    <tableColumn id="1" xr3:uid="{00000000-0010-0000-1500-000001000000}" name="Column1"/>
    <tableColumn id="2" xr3:uid="{00000000-0010-0000-1500-000002000000}" name="Column2"/>
  </tableColumns>
  <tableStyleInfo name="TableStyleLight4"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6000000}" name="Table53565754389" displayName="Table53565754389" ref="Q44:R54" totalsRowShown="0">
  <autoFilter ref="Q44:R54" xr:uid="{00000000-0009-0000-0100-000008000000}"/>
  <tableColumns count="2">
    <tableColumn id="1" xr3:uid="{00000000-0010-0000-1600-000001000000}" name="Column1"/>
    <tableColumn id="2" xr3:uid="{00000000-0010-0000-1600-000002000000}" name="Column2"/>
  </tableColumns>
  <tableStyleInfo name="TableStyleLight4"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5356575438910" displayName="Table5356575438910" ref="Q56:R64" totalsRowShown="0">
  <autoFilter ref="Q56:R64" xr:uid="{00000000-0009-0000-0100-000009000000}"/>
  <tableColumns count="2">
    <tableColumn id="1" xr3:uid="{00000000-0010-0000-1700-000001000000}" name="Column1"/>
    <tableColumn id="2" xr3:uid="{00000000-0010-0000-1700-000002000000}" name="Column2"/>
  </tableColumns>
  <tableStyleInfo name="TableStyleLight4"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Table5356575438911" displayName="Table5356575438911" ref="Q66:R74" totalsRowShown="0">
  <autoFilter ref="Q66:R74" xr:uid="{00000000-0009-0000-0100-00000A000000}"/>
  <tableColumns count="2">
    <tableColumn id="1" xr3:uid="{00000000-0010-0000-1800-000001000000}" name="Column1"/>
    <tableColumn id="2" xr3:uid="{00000000-0010-0000-1800-000002000000}" name="Column2"/>
  </tableColumns>
  <tableStyleInfo name="TableStyleLight4"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9000000}" name="Table5356575438912" displayName="Table5356575438912" ref="Q76:R84" totalsRowShown="0">
  <autoFilter ref="Q76:R84" xr:uid="{00000000-0009-0000-0100-00000B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A000000}" name="Table5356575438913" displayName="Table5356575438913" ref="Q86:R94" totalsRowShown="0">
  <autoFilter ref="Q86:R94" xr:uid="{00000000-0009-0000-0100-00000C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B000000}" name="Table5356575438915" displayName="Table5356575438915" ref="Q96:R104" totalsRowShown="0">
  <autoFilter ref="Q96:R104" xr:uid="{00000000-0009-0000-0100-00000E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C000000}" name="Table5356575438916" displayName="Table5356575438916" ref="Q106:R114" totalsRowShown="0">
  <autoFilter ref="Q106:R114" xr:uid="{00000000-0009-0000-0100-00000F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Majors" displayName="TableMajors" ref="A13:H20" totalsRowShown="0" dataDxfId="235">
  <autoFilter ref="A13:H20" xr:uid="{00000000-0009-0000-0100-000005000000}"/>
  <tableColumns count="8">
    <tableColumn id="1" xr3:uid="{00000000-0010-0000-0200-000001000000}" name="Choose your Design Major (drop-down list)" dataDxfId="234"/>
    <tableColumn id="2" xr3:uid="{00000000-0010-0000-0200-000002000000}" name="UDC" dataDxfId="233"/>
    <tableColumn id="3" xr3:uid="{00000000-0010-0000-0200-000003000000}" name="SM Version" dataDxfId="232"/>
    <tableColumn id="4" xr3:uid="{00000000-0010-0000-0200-000004000000}" name="SM Effective Date" dataDxfId="231"/>
    <tableColumn id="5" xr3:uid="{00000000-0010-0000-0200-000005000000}" name="Akari Itn" dataDxfId="230"/>
    <tableColumn id="6" xr3:uid="{00000000-0010-0000-0200-000006000000}" name="Akari Effective Date" dataDxfId="229"/>
    <tableColumn id="7" xr3:uid="{00000000-0010-0000-0200-000007000000}" name="Credit Points" dataDxfId="228"/>
    <tableColumn id="8" xr3:uid="{E9EA63EC-2AF4-47FE-874C-7E5E21D1DE74}" name="Column12" dataDxfId="227"/>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D000000}" name="Table5356575438917" displayName="Table5356575438917" ref="Q117:R123" totalsRowShown="0">
  <autoFilter ref="Q117:R123" xr:uid="{00000000-0009-0000-0100-000010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E000000}" name="Table5356575438918" displayName="Table5356575438918" ref="Q125:R129" totalsRowShown="0">
  <autoFilter ref="Q125:R129" xr:uid="{00000000-0009-0000-0100-000011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F000000}" name="Table5356575438919" displayName="Table5356575438919" ref="Q131:R135" totalsRowShown="0">
  <autoFilter ref="Q131:R135" xr:uid="{00000000-0009-0000-0100-000012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20000000}" name="Table5356575438920" displayName="Table5356575438920" ref="Q137:R145" totalsRowShown="0">
  <autoFilter ref="Q137:R145" xr:uid="{00000000-0009-0000-0100-000013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21000000}" name="Table5356575438923" displayName="Table5356575438923" ref="Q147:R158" totalsRowShown="0">
  <autoFilter ref="Q147:R158" xr:uid="{00000000-0009-0000-0100-000016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2000000}" name="Table5356575438937" displayName="Table5356575438937" ref="Q160:R166" totalsRowShown="0">
  <autoFilter ref="Q160:R166" xr:uid="{00000000-0009-0000-0100-000024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3000000}" name="Table5356575438938" displayName="Table5356575438938" ref="Q168:R172" totalsRowShown="0">
  <autoFilter ref="Q168:R172" xr:uid="{00000000-0009-0000-0100-000025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5356575438939" displayName="Table5356575438939" ref="Q174:R178" totalsRowShown="0">
  <autoFilter ref="Q174:R178" xr:uid="{00000000-0009-0000-0100-000026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5000000}" name="TableAvailabilities" displayName="TableAvailabilities" ref="A2:E83" totalsRowShown="0">
  <autoFilter ref="A2:E83" xr:uid="{00000000-0009-0000-0100-00000D000000}"/>
  <tableColumns count="5">
    <tableColumn id="1" xr3:uid="{00000000-0010-0000-2500-000001000000}" name="Row Labels"/>
    <tableColumn id="2" xr3:uid="{00000000-0010-0000-2500-000002000000}" name="Sem1 Internal" dataDxfId="96"/>
    <tableColumn id="3" xr3:uid="{00000000-0010-0000-2500-000003000000}" name="Sem1 Online" dataDxfId="95"/>
    <tableColumn id="4" xr3:uid="{00000000-0010-0000-2500-000004000000}" name="Sem2 Internal" dataDxfId="94"/>
    <tableColumn id="5" xr3:uid="{00000000-0010-0000-2500-000005000000}" name="Sem2 Online" dataDxfId="93"/>
  </tableColumns>
  <tableStyleInfo name="TableStyleLight7"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39" displayName="Table39" ref="A1:G5" totalsRowShown="0" headerRowDxfId="92" dataDxfId="91">
  <autoFilter ref="A1:G5" xr:uid="{00000000-0009-0000-0100-000027000000}"/>
  <sortState xmlns:xlrd2="http://schemas.microsoft.com/office/spreadsheetml/2017/richdata2" ref="A2:G4">
    <sortCondition ref="A2:A4"/>
    <sortCondition ref="B2:B4"/>
  </sortState>
  <tableColumns count="7">
    <tableColumn id="1" xr3:uid="{00000000-0010-0000-2600-000001000000}" name="Date" dataDxfId="90"/>
    <tableColumn id="6" xr3:uid="{00000000-0010-0000-2600-000006000000}" name="UDC" dataDxfId="89"/>
    <tableColumn id="7" xr3:uid="{00000000-0010-0000-2600-000007000000}" name="Ver" dataDxfId="88"/>
    <tableColumn id="2" xr3:uid="{00000000-0010-0000-2600-000002000000}" name="OUA Cd" dataDxfId="87"/>
    <tableColumn id="3" xr3:uid="{00000000-0010-0000-2600-000003000000}" name="Title" dataDxfId="86"/>
    <tableColumn id="4" xr3:uid="{00000000-0010-0000-2600-000004000000}" name="Issue" dataDxfId="85"/>
    <tableColumn id="5" xr3:uid="{00000000-0010-0000-2600-000005000000}" name="Action" dataDxfId="8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Specialisations" displayName="TableSpecialisations" ref="A23:G31" totalsRowShown="0" headerRowDxfId="226" dataDxfId="225">
  <autoFilter ref="A23:G31" xr:uid="{00000000-0009-0000-0100-000014000000}"/>
  <tableColumns count="7">
    <tableColumn id="1" xr3:uid="{00000000-0010-0000-0300-000001000000}" name="Choose your Design Specialisation (drop-down list)" dataDxfId="224"/>
    <tableColumn id="2" xr3:uid="{00000000-0010-0000-0300-000002000000}" name="UDC" dataDxfId="223"/>
    <tableColumn id="3" xr3:uid="{00000000-0010-0000-0300-000003000000}" name="SM Version" dataDxfId="222"/>
    <tableColumn id="4" xr3:uid="{00000000-0010-0000-0300-000004000000}" name="SM Effective Date" dataDxfId="221"/>
    <tableColumn id="5" xr3:uid="{00000000-0010-0000-0300-000005000000}" name="Akari Itn" dataDxfId="220"/>
    <tableColumn id="6" xr3:uid="{00000000-0010-0000-0300-000006000000}" name="Akari Effective Date" dataDxfId="219"/>
    <tableColumn id="7" xr3:uid="{AF3ACDCC-9A94-46FB-9E8F-E46C33F0DD9A}" name="Credit Points" dataDxfId="218"/>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AA120" totalsRowShown="0" headerRowDxfId="217">
  <autoFilter ref="A2:AA120" xr:uid="{00000000-0009-0000-0100-000002000000}"/>
  <sortState xmlns:xlrd2="http://schemas.microsoft.com/office/spreadsheetml/2017/richdata2" ref="A3:AA120">
    <sortCondition ref="A2:A120"/>
  </sortState>
  <tableColumns count="27">
    <tableColumn id="1" xr3:uid="{00000000-0010-0000-0400-000001000000}" name="UDC"/>
    <tableColumn id="2" xr3:uid="{00000000-0010-0000-0400-000002000000}" name="Ver" dataDxfId="216"/>
    <tableColumn id="3" xr3:uid="{00000000-0010-0000-0400-000003000000}" name="OUA Cd"/>
    <tableColumn id="4" xr3:uid="{00000000-0010-0000-0400-000004000000}" name="Title"/>
    <tableColumn id="5" xr3:uid="{00000000-0010-0000-0400-000005000000}" name="Credits" dataDxfId="215"/>
    <tableColumn id="6" xr3:uid="{00000000-0010-0000-0400-000006000000}" name="Pre-reqs (5/11/2024)" dataDxfId="214"/>
    <tableColumn id="12" xr3:uid="{00000000-0010-0000-0400-00000C000000}" name="S1INT" dataDxfId="213">
      <calculatedColumnFormula>IFERROR(IF(VLOOKUP(TableHandbook[[#This Row],[UDC]],TableAvailabilities[],2,FALSE)&gt;0,"Y",""),"")</calculatedColumnFormula>
    </tableColumn>
    <tableColumn id="13" xr3:uid="{00000000-0010-0000-0400-00000D000000}" name="S1FO" dataDxfId="212">
      <calculatedColumnFormula>IFERROR(IF(VLOOKUP(TableHandbook[[#This Row],[UDC]],TableAvailabilities[],3,FALSE)&gt;0,"Y",""),"")</calculatedColumnFormula>
    </tableColumn>
    <tableColumn id="14" xr3:uid="{00000000-0010-0000-0400-00000E000000}" name="S2INT" dataDxfId="211">
      <calculatedColumnFormula>IFERROR(IF(VLOOKUP(TableHandbook[[#This Row],[UDC]],TableAvailabilities[],4,FALSE)&gt;0,"Y",""),"")</calculatedColumnFormula>
    </tableColumn>
    <tableColumn id="15" xr3:uid="{00000000-0010-0000-0400-00000F000000}" name="S2FO" dataDxfId="210">
      <calculatedColumnFormula>IFERROR(IF(VLOOKUP(TableHandbook[[#This Row],[UDC]],TableAvailabilities[],5,FALSE)&gt;0,"Y",""),"")</calculatedColumnFormula>
    </tableColumn>
    <tableColumn id="16" xr3:uid="{00000000-0010-0000-0400-000010000000}" name="Notes" dataDxfId="209"/>
    <tableColumn id="8" xr3:uid="{00000000-0010-0000-0400-000008000000}" name="B-DESIGN" dataDxfId="208">
      <calculatedColumnFormula>IFERROR(VLOOKUP(TableHandbook[[#This Row],[UDC]],TableBDESIGN[],7,FALSE),"")</calculatedColumnFormula>
    </tableColumn>
    <tableColumn id="9" xr3:uid="{00000000-0010-0000-0400-000009000000}" name="MJRU-ADVDS" dataDxfId="207">
      <calculatedColumnFormula>IFERROR(VLOOKUP(TableHandbook[[#This Row],[UDC]],TableMJRUADVDS[],7,FALSE),"")</calculatedColumnFormula>
    </tableColumn>
    <tableColumn id="10" xr3:uid="{00000000-0010-0000-0400-00000A000000}" name="MJRU-ANIGD" dataDxfId="206">
      <calculatedColumnFormula>IFERROR(VLOOKUP(TableHandbook[[#This Row],[UDC]],TableMJRUANIGD[],7,FALSE),"")</calculatedColumnFormula>
    </tableColumn>
    <tableColumn id="20" xr3:uid="{00000000-0010-0000-0400-000014000000}" name="MJRU-DIGDE" dataDxfId="205">
      <calculatedColumnFormula>IFERROR(VLOOKUP(TableHandbook[[#This Row],[UDC]],TableMJRUDIGDE[],7,FALSE),"")</calculatedColumnFormula>
    </tableColumn>
    <tableColumn id="21" xr3:uid="{00000000-0010-0000-0400-000015000000}" name="MJRU-DINFB" dataDxfId="204">
      <calculatedColumnFormula>IFERROR(VLOOKUP(TableHandbook[[#This Row],[UDC]],TableMJRUDINFB[],7,FALSE),"")</calculatedColumnFormula>
    </tableColumn>
    <tableColumn id="17" xr3:uid="{00000000-0010-0000-0400-000011000000}" name="MJRU-FASHN" dataDxfId="203">
      <calculatedColumnFormula>IFERROR(VLOOKUP(TableHandbook[[#This Row],[UDC]],TableMJRUFASHN[],7,FALSE),"")</calculatedColumnFormula>
    </tableColumn>
    <tableColumn id="11" xr3:uid="{00000000-0010-0000-0400-00000B000000}" name="MJRU-GRPDS" dataDxfId="202">
      <calculatedColumnFormula>IFERROR(VLOOKUP(TableHandbook[[#This Row],[UDC]],TableMJRUGRPDS[],7,FALSE),"")</calculatedColumnFormula>
    </tableColumn>
    <tableColumn id="7" xr3:uid="{00000000-0010-0000-0400-000007000000}" name="MJRU-PHOTO" dataDxfId="201">
      <calculatedColumnFormula>IFERROR(VLOOKUP(TableHandbook[[#This Row],[UDC]],TableMJRUPHOTO[],7,FALSE),"")</calculatedColumnFormula>
    </tableColumn>
    <tableColumn id="18" xr3:uid="{00000000-0010-0000-0400-000012000000}" name="SPUC-ANIGD" dataDxfId="200">
      <calculatedColumnFormula>IFERROR(VLOOKUP(TableHandbook[[#This Row],[UDC]],TableSPUCANIGD[],7,FALSE),"")</calculatedColumnFormula>
    </tableColumn>
    <tableColumn id="19" xr3:uid="{00000000-0010-0000-0400-000013000000}" name="SPUC-CADES" dataDxfId="199">
      <calculatedColumnFormula>IFERROR(VLOOKUP(TableHandbook[[#This Row],[UDC]],TableSPUCCADES[],7,FALSE),"")</calculatedColumnFormula>
    </tableColumn>
    <tableColumn id="22" xr3:uid="{00000000-0010-0000-0400-000016000000}" name="SPUC-DIGDE" dataDxfId="198">
      <calculatedColumnFormula>IFERROR(VLOOKUP(TableHandbook[[#This Row],[UDC]],TableSPUCDIGDE[],7,FALSE),"")</calculatedColumnFormula>
    </tableColumn>
    <tableColumn id="23" xr3:uid="{00000000-0010-0000-0400-000017000000}" name="SPUC-FASHN" dataDxfId="197">
      <calculatedColumnFormula>IFERROR(VLOOKUP(TableHandbook[[#This Row],[UDC]],TableSPUCFASHN[],7,FALSE),"")</calculatedColumnFormula>
    </tableColumn>
    <tableColumn id="24" xr3:uid="{00000000-0010-0000-0400-000018000000}" name="SPUC-FSHMK" dataDxfId="196">
      <calculatedColumnFormula>IFERROR(VLOOKUP(TableHandbook[[#This Row],[UDC]],TableSPUCFSHMK[],7,FALSE),"")</calculatedColumnFormula>
    </tableColumn>
    <tableColumn id="25" xr3:uid="{00000000-0010-0000-0400-000019000000}" name="SPUC-GRPDS" dataDxfId="195">
      <calculatedColumnFormula>IFERROR(VLOOKUP(TableHandbook[[#This Row],[UDC]],TableSPUCGRPDS[],7,FALSE),"")</calculatedColumnFormula>
    </tableColumn>
    <tableColumn id="26" xr3:uid="{00000000-0010-0000-0400-00001A000000}" name="SPUC-ILLUS" dataDxfId="194">
      <calculatedColumnFormula>IFERROR(VLOOKUP(TableHandbook[[#This Row],[UDC]],TableSPUCILLUS[],7,FALSE),"")</calculatedColumnFormula>
    </tableColumn>
    <tableColumn id="27" xr3:uid="{00000000-0010-0000-0400-00001B000000}" name="SPUC-PHOTO" dataDxfId="193">
      <calculatedColumnFormula>IFERROR(VLOOKUP(TableHandbook[[#This Row],[UDC]],TableSPUCPHOTO[],7,FALSE),"")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BDESIGN" displayName="TableBDESIGN" ref="A2:O41" totalsRowShown="0">
  <autoFilter ref="A2:O41" xr:uid="{00000000-0009-0000-0100-000001000000}">
    <filterColumn colId="7">
      <filters>
        <filter val="1"/>
      </filters>
    </filterColumn>
  </autoFilter>
  <sortState xmlns:xlrd2="http://schemas.microsoft.com/office/spreadsheetml/2017/richdata2" ref="AE3:AV6">
    <sortCondition ref="AS2:AS6"/>
  </sortState>
  <tableColumns count="15">
    <tableColumn id="1" xr3:uid="{00000000-0010-0000-0500-000001000000}" name="UDC" dataDxfId="192">
      <calculatedColumnFormula>TableBDESIGN[[#This Row],[Study Package Code]]</calculatedColumnFormula>
    </tableColumn>
    <tableColumn id="9" xr3:uid="{00000000-0010-0000-0500-000009000000}" name="V" dataDxfId="191">
      <calculatedColumnFormula>TableBDESIGN[[#This Row],[Ver]]</calculatedColumnFormula>
    </tableColumn>
    <tableColumn id="10" xr3:uid="{00000000-0010-0000-0500-00000A000000}" name="OUA Code"/>
    <tableColumn id="11" xr3:uid="{00000000-0010-0000-0500-00000B000000}" name="Unit Title" dataDxfId="190">
      <calculatedColumnFormula>TableBDESIGN[[#This Row],[Structure Line]]</calculatedColumnFormula>
    </tableColumn>
    <tableColumn id="12" xr3:uid="{00000000-0010-0000-0500-00000C000000}" name="CPs" dataDxfId="189">
      <calculatedColumnFormula>TableBDESIGN[[#This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188"/>
    <tableColumn id="15" xr3:uid="{00000000-0010-0000-0500-00000F000000}" name="Discont." dataDxfId="18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MJRUADVDS" displayName="TableMJRUADVDS" ref="A44:O54" totalsRowShown="0">
  <autoFilter ref="A44:O54" xr:uid="{00000000-0009-0000-0100-000006000000}"/>
  <sortState xmlns:xlrd2="http://schemas.microsoft.com/office/spreadsheetml/2017/richdata2" ref="AE11:AV18">
    <sortCondition ref="AR10:AR18"/>
  </sortState>
  <tableColumns count="15">
    <tableColumn id="1" xr3:uid="{00000000-0010-0000-0600-000001000000}" name="UDC" dataDxfId="186">
      <calculatedColumnFormula>TableMJRUADVDS[[#This Row],[Study Package Code]]</calculatedColumnFormula>
    </tableColumn>
    <tableColumn id="9" xr3:uid="{00000000-0010-0000-0600-000009000000}" name="V" dataDxfId="185">
      <calculatedColumnFormula>TableMJRUADVDS[[#This Row],[Ver]]</calculatedColumnFormula>
    </tableColumn>
    <tableColumn id="10" xr3:uid="{00000000-0010-0000-0600-00000A000000}" name="OUA Code"/>
    <tableColumn id="11" xr3:uid="{00000000-0010-0000-0600-00000B000000}" name="Unit Title" dataDxfId="184">
      <calculatedColumnFormula>TableMJRUADVDS[[#This Row],[Structure Line]]</calculatedColumnFormula>
    </tableColumn>
    <tableColumn id="12" xr3:uid="{00000000-0010-0000-0600-00000C000000}" name="CPs" dataDxfId="183">
      <calculatedColumnFormula>TableMJRUADVDS[[#This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182"/>
    <tableColumn id="15" xr3:uid="{00000000-0010-0000-0600-00000F000000}" name="Discont." dataDxfId="18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7000000}" name="TableMJRUANIGD" displayName="TableMJRUANIGD" ref="A56:O64" totalsRowShown="0">
  <autoFilter ref="A56:O64" xr:uid="{00000000-0009-0000-0100-000015000000}"/>
  <sortState xmlns:xlrd2="http://schemas.microsoft.com/office/spreadsheetml/2017/richdata2" ref="A60:R67">
    <sortCondition ref="N10:N18"/>
  </sortState>
  <tableColumns count="15">
    <tableColumn id="1" xr3:uid="{00000000-0010-0000-0700-000001000000}" name="UDC" dataDxfId="180">
      <calculatedColumnFormula>TableMJRUANIGD[[#This Row],[Study Package Code]]</calculatedColumnFormula>
    </tableColumn>
    <tableColumn id="9" xr3:uid="{00000000-0010-0000-0700-000009000000}" name="V" dataDxfId="179">
      <calculatedColumnFormula>TableMJRUANIGD[[#This Row],[Ver]]</calculatedColumnFormula>
    </tableColumn>
    <tableColumn id="10" xr3:uid="{00000000-0010-0000-0700-00000A000000}" name="OUA Code"/>
    <tableColumn id="11" xr3:uid="{00000000-0010-0000-0700-00000B000000}" name="Unit Title" dataDxfId="178">
      <calculatedColumnFormula>TableMJRUANIGD[[#This Row],[Structure Line]]</calculatedColumnFormula>
    </tableColumn>
    <tableColumn id="12" xr3:uid="{00000000-0010-0000-0700-00000C000000}" name="CPs" dataDxfId="177">
      <calculatedColumnFormula>TableMJRUANIGD[[#This Row],[Credit Points]]</calculatedColumnFormula>
    </tableColumn>
    <tableColumn id="13" xr3:uid="{00000000-0010-0000-0700-00000D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14" xr3:uid="{00000000-0010-0000-0700-00000E000000}" name="Effective" dataDxfId="176"/>
    <tableColumn id="15" xr3:uid="{00000000-0010-0000-0700-00000F000000}" name="Discont." dataDxfId="17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8000000}" name="TableMJRUDIGDE" displayName="TableMJRUDIGDE" ref="A66:O74" totalsRowShown="0">
  <autoFilter ref="A66:O74" xr:uid="{00000000-0009-0000-0100-000017000000}"/>
  <sortState xmlns:xlrd2="http://schemas.microsoft.com/office/spreadsheetml/2017/richdata2" ref="A70:R77">
    <sortCondition ref="N10:N18"/>
  </sortState>
  <tableColumns count="15">
    <tableColumn id="1" xr3:uid="{00000000-0010-0000-0800-000001000000}" name="UDC" dataDxfId="174">
      <calculatedColumnFormula>TableMJRUDIGDE[[#This Row],[Study Package Code]]</calculatedColumnFormula>
    </tableColumn>
    <tableColumn id="9" xr3:uid="{00000000-0010-0000-0800-000009000000}" name="V" dataDxfId="173">
      <calculatedColumnFormula>TableMJRUDIGDE[[#This Row],[Ver]]</calculatedColumnFormula>
    </tableColumn>
    <tableColumn id="10" xr3:uid="{00000000-0010-0000-0800-00000A000000}" name="OUA Code"/>
    <tableColumn id="11" xr3:uid="{00000000-0010-0000-0800-00000B000000}" name="Unit Title" dataDxfId="172">
      <calculatedColumnFormula>TableMJRUDIGDE[[#This Row],[Structure Line]]</calculatedColumnFormula>
    </tableColumn>
    <tableColumn id="12" xr3:uid="{00000000-0010-0000-0800-00000C000000}" name="CPs" dataDxfId="171">
      <calculatedColumnFormula>TableMJRUDIGDE[[#This Row],[Credit Points]]</calculatedColumnFormula>
    </tableColumn>
    <tableColumn id="13" xr3:uid="{00000000-0010-0000-0800-00000D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170"/>
    <tableColumn id="15" xr3:uid="{00000000-0010-0000-0800-00000F000000}" name="Discont." dataDxfId="16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table" Target="../tables/table17.xml"/><Relationship Id="rId18" Type="http://schemas.openxmlformats.org/officeDocument/2006/relationships/table" Target="../tables/table22.xml"/><Relationship Id="rId26" Type="http://schemas.openxmlformats.org/officeDocument/2006/relationships/table" Target="../tables/table30.xml"/><Relationship Id="rId3" Type="http://schemas.openxmlformats.org/officeDocument/2006/relationships/table" Target="../tables/table7.xml"/><Relationship Id="rId21" Type="http://schemas.openxmlformats.org/officeDocument/2006/relationships/table" Target="../tables/table25.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5" Type="http://schemas.openxmlformats.org/officeDocument/2006/relationships/table" Target="../tables/table29.xml"/><Relationship Id="rId33" Type="http://schemas.openxmlformats.org/officeDocument/2006/relationships/table" Target="../tables/table37.xml"/><Relationship Id="rId2" Type="http://schemas.openxmlformats.org/officeDocument/2006/relationships/table" Target="../tables/table6.xml"/><Relationship Id="rId16" Type="http://schemas.openxmlformats.org/officeDocument/2006/relationships/table" Target="../tables/table20.xml"/><Relationship Id="rId20" Type="http://schemas.openxmlformats.org/officeDocument/2006/relationships/table" Target="../tables/table24.xml"/><Relationship Id="rId29" Type="http://schemas.openxmlformats.org/officeDocument/2006/relationships/table" Target="../tables/table33.xml"/><Relationship Id="rId1" Type="http://schemas.openxmlformats.org/officeDocument/2006/relationships/printerSettings" Target="../printerSettings/printerSettings4.bin"/><Relationship Id="rId6" Type="http://schemas.openxmlformats.org/officeDocument/2006/relationships/table" Target="../tables/table10.xml"/><Relationship Id="rId11" Type="http://schemas.openxmlformats.org/officeDocument/2006/relationships/table" Target="../tables/table15.xml"/><Relationship Id="rId24" Type="http://schemas.openxmlformats.org/officeDocument/2006/relationships/table" Target="../tables/table28.xml"/><Relationship Id="rId32" Type="http://schemas.openxmlformats.org/officeDocument/2006/relationships/table" Target="../tables/table36.xml"/><Relationship Id="rId5" Type="http://schemas.openxmlformats.org/officeDocument/2006/relationships/table" Target="../tables/table9.xml"/><Relationship Id="rId15" Type="http://schemas.openxmlformats.org/officeDocument/2006/relationships/table" Target="../tables/table19.xml"/><Relationship Id="rId23" Type="http://schemas.openxmlformats.org/officeDocument/2006/relationships/table" Target="../tables/table27.xml"/><Relationship Id="rId28" Type="http://schemas.openxmlformats.org/officeDocument/2006/relationships/table" Target="../tables/table32.xml"/><Relationship Id="rId10" Type="http://schemas.openxmlformats.org/officeDocument/2006/relationships/table" Target="../tables/table14.xml"/><Relationship Id="rId19" Type="http://schemas.openxmlformats.org/officeDocument/2006/relationships/table" Target="../tables/table23.xml"/><Relationship Id="rId31" Type="http://schemas.openxmlformats.org/officeDocument/2006/relationships/table" Target="../tables/table35.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 Id="rId22" Type="http://schemas.openxmlformats.org/officeDocument/2006/relationships/table" Target="../tables/table26.xml"/><Relationship Id="rId27" Type="http://schemas.openxmlformats.org/officeDocument/2006/relationships/table" Target="../tables/table31.xml"/><Relationship Id="rId30" Type="http://schemas.openxmlformats.org/officeDocument/2006/relationships/table" Target="../tables/table34.xml"/><Relationship Id="rId8"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83"/>
  <sheetViews>
    <sheetView showGridLines="0" tabSelected="1" topLeftCell="A3" zoomScaleNormal="100" workbookViewId="0">
      <selection activeCell="D6" sqref="D6"/>
    </sheetView>
  </sheetViews>
  <sheetFormatPr defaultRowHeight="15" x14ac:dyDescent="0.25"/>
  <cols>
    <col min="1" max="1" width="11.75" style="147" customWidth="1"/>
    <col min="2" max="2" width="3.25" style="147" customWidth="1"/>
    <col min="3" max="3" width="2.125" style="147" customWidth="1"/>
    <col min="4" max="4" width="53.125" style="136" bestFit="1" customWidth="1"/>
    <col min="5" max="5" width="6" style="136" customWidth="1"/>
    <col min="6" max="6" width="29.875" style="136" customWidth="1"/>
    <col min="7" max="7" width="5.625" style="136" customWidth="1"/>
    <col min="8" max="8" width="4.625" style="136" customWidth="1"/>
    <col min="9" max="11" width="4.375" style="136" bestFit="1" customWidth="1"/>
    <col min="12" max="12" width="18.625" style="136" customWidth="1"/>
    <col min="13" max="13" width="2.5" style="136" hidden="1" customWidth="1"/>
    <col min="14" max="16384" width="9" style="136"/>
  </cols>
  <sheetData>
    <row r="1" spans="1:16" hidden="1" x14ac:dyDescent="0.25">
      <c r="A1" s="132" t="s">
        <v>0</v>
      </c>
      <c r="B1" s="133" t="s">
        <v>1</v>
      </c>
      <c r="C1" s="133" t="s">
        <v>2</v>
      </c>
      <c r="D1" s="134" t="s">
        <v>3</v>
      </c>
      <c r="E1" s="134"/>
      <c r="F1" s="134" t="s">
        <v>4</v>
      </c>
      <c r="G1" s="134" t="s">
        <v>5</v>
      </c>
      <c r="H1" s="135" t="s">
        <v>6</v>
      </c>
      <c r="I1" s="134"/>
      <c r="J1" s="134"/>
      <c r="K1" s="134"/>
      <c r="L1" s="134" t="s">
        <v>7</v>
      </c>
    </row>
    <row r="2" spans="1:16" hidden="1" x14ac:dyDescent="0.25">
      <c r="A2" s="137"/>
      <c r="B2" s="138">
        <v>2</v>
      </c>
      <c r="C2" s="138">
        <v>3</v>
      </c>
      <c r="D2" s="138">
        <v>4</v>
      </c>
      <c r="E2" s="138"/>
      <c r="F2" s="138">
        <v>6</v>
      </c>
      <c r="G2" s="138">
        <v>5</v>
      </c>
      <c r="H2" s="138">
        <v>7</v>
      </c>
      <c r="I2" s="138">
        <v>8</v>
      </c>
      <c r="J2" s="138">
        <v>9</v>
      </c>
      <c r="K2" s="138">
        <v>10</v>
      </c>
      <c r="L2" s="139"/>
    </row>
    <row r="3" spans="1:16" ht="39.950000000000003" customHeight="1" x14ac:dyDescent="0.25">
      <c r="A3" s="140" t="s">
        <v>8</v>
      </c>
      <c r="B3" s="140"/>
      <c r="C3" s="140"/>
      <c r="D3" s="140"/>
      <c r="E3" s="141"/>
      <c r="F3" s="141"/>
      <c r="G3" s="141"/>
      <c r="H3" s="141"/>
      <c r="I3" s="141"/>
      <c r="J3" s="141"/>
      <c r="K3" s="141"/>
      <c r="L3" s="141"/>
    </row>
    <row r="4" spans="1:16" ht="26.25" x14ac:dyDescent="0.25">
      <c r="A4" s="142"/>
      <c r="B4" s="143"/>
      <c r="C4" s="143"/>
      <c r="D4" s="144"/>
      <c r="E4" s="145" t="s">
        <v>9</v>
      </c>
      <c r="F4" s="143"/>
      <c r="G4" s="146"/>
      <c r="H4" s="146"/>
      <c r="I4" s="146"/>
      <c r="J4" s="146"/>
      <c r="K4" s="146"/>
      <c r="L4" s="146"/>
    </row>
    <row r="5" spans="1:16" ht="20.100000000000001" customHeight="1" x14ac:dyDescent="0.25">
      <c r="B5" s="148"/>
      <c r="C5" s="149" t="s">
        <v>10</v>
      </c>
      <c r="D5" s="150" t="s">
        <v>11</v>
      </c>
      <c r="E5" s="151"/>
      <c r="F5" s="149" t="s">
        <v>12</v>
      </c>
      <c r="G5" s="151" t="str">
        <f>IFERROR(CONCATENATE(VLOOKUP(D5,TableCourses[],2,FALSE)," ",VLOOKUP(D5,TableCourses[],3,FALSE)),"")</f>
        <v>B-DESIGN v.5</v>
      </c>
      <c r="H5" s="151"/>
      <c r="I5" s="151"/>
      <c r="J5" s="151"/>
      <c r="K5" s="151"/>
      <c r="L5" s="152" t="e">
        <f>CONCATENATE(VLOOKUP(D6,TableMajors[],2,FALSE),VLOOKUP(D8,TableStudyPeriod[],2,FALSE))</f>
        <v>#N/A</v>
      </c>
    </row>
    <row r="6" spans="1:16" ht="20.100000000000001" customHeight="1" x14ac:dyDescent="0.25">
      <c r="B6" s="148"/>
      <c r="C6" s="149" t="s">
        <v>13</v>
      </c>
      <c r="D6" s="90" t="s">
        <v>115</v>
      </c>
      <c r="E6" s="151"/>
      <c r="F6" s="149" t="s">
        <v>15</v>
      </c>
      <c r="G6" s="151" t="str">
        <f>IFERROR(CONCATENATE(VLOOKUP(D6,TableMajors[],2,FALSE)," ",VLOOKUP(D6,TableMajors[],3,FALSE)),"")</f>
        <v/>
      </c>
      <c r="H6" s="151"/>
      <c r="I6" s="151"/>
      <c r="J6" s="151"/>
      <c r="K6" s="151"/>
      <c r="L6" s="152" t="e">
        <f>VLOOKUP($D$6,TableMajors[],2,FALSE)</f>
        <v>#N/A</v>
      </c>
    </row>
    <row r="7" spans="1:16" ht="20.100000000000001" customHeight="1" x14ac:dyDescent="0.25">
      <c r="B7" s="148"/>
      <c r="C7" s="149" t="s">
        <v>16</v>
      </c>
      <c r="D7" s="86" t="s">
        <v>70</v>
      </c>
      <c r="E7" s="151"/>
      <c r="F7" s="149" t="s">
        <v>18</v>
      </c>
      <c r="G7" s="151" t="str">
        <f>IFERROR(CONCATENATE(VLOOKUP(D7,TableSpecialisations[],2,FALSE)," ",VLOOKUP(D7,TableSpecialisations[],3,FALSE)),"")</f>
        <v/>
      </c>
      <c r="H7" s="151"/>
      <c r="I7" s="151"/>
      <c r="J7" s="151"/>
      <c r="K7" s="151"/>
      <c r="L7" s="152" t="e">
        <f>VLOOKUP($D$7,TableSpecialisations[],2,FALSE)</f>
        <v>#N/A</v>
      </c>
    </row>
    <row r="8" spans="1:16" ht="20.100000000000001" customHeight="1" x14ac:dyDescent="0.25">
      <c r="A8" s="153"/>
      <c r="B8" s="154"/>
      <c r="C8" s="149" t="s">
        <v>19</v>
      </c>
      <c r="D8" s="87" t="s">
        <v>86</v>
      </c>
      <c r="E8" s="155"/>
      <c r="F8" s="149" t="s">
        <v>21</v>
      </c>
      <c r="G8" s="151" t="str">
        <f>IFERROR(VLOOKUP($D$5,TableCourses[],7,FALSE),"")</f>
        <v>600 credit points required</v>
      </c>
      <c r="H8" s="156"/>
      <c r="I8" s="156"/>
      <c r="J8" s="156"/>
      <c r="K8" s="156"/>
      <c r="L8" s="152" t="e">
        <f>CONCATENATE("DD",RIGHT(L6,5))</f>
        <v>#N/A</v>
      </c>
    </row>
    <row r="9" spans="1:16" s="164" customFormat="1" ht="14.1" customHeight="1" x14ac:dyDescent="0.25">
      <c r="A9" s="157"/>
      <c r="B9" s="157"/>
      <c r="C9" s="157"/>
      <c r="D9" s="158"/>
      <c r="E9" s="159"/>
      <c r="F9" s="157"/>
      <c r="G9" s="157"/>
      <c r="H9" s="160" t="s">
        <v>22</v>
      </c>
      <c r="I9" s="161"/>
      <c r="J9" s="161"/>
      <c r="K9" s="162"/>
      <c r="L9" s="159"/>
      <c r="M9" s="163"/>
      <c r="N9" s="163"/>
      <c r="O9" s="163"/>
    </row>
    <row r="10" spans="1:16" s="164" customFormat="1" ht="21" x14ac:dyDescent="0.25">
      <c r="A10" s="157" t="s">
        <v>23</v>
      </c>
      <c r="B10" s="157"/>
      <c r="C10" s="157"/>
      <c r="D10" s="158" t="s">
        <v>3</v>
      </c>
      <c r="E10" s="165" t="s">
        <v>24</v>
      </c>
      <c r="F10" s="165" t="s">
        <v>25</v>
      </c>
      <c r="G10" s="157" t="s">
        <v>26</v>
      </c>
      <c r="H10" s="166" t="s">
        <v>27</v>
      </c>
      <c r="I10" s="167" t="s">
        <v>28</v>
      </c>
      <c r="J10" s="166" t="s">
        <v>29</v>
      </c>
      <c r="K10" s="167" t="s">
        <v>30</v>
      </c>
      <c r="L10" s="157" t="s">
        <v>31</v>
      </c>
      <c r="M10" s="163"/>
      <c r="N10" s="163"/>
      <c r="O10" s="163"/>
    </row>
    <row r="11" spans="1:16" s="176" customFormat="1" ht="20.100000000000001" customHeight="1" x14ac:dyDescent="0.15">
      <c r="A11" s="168" t="str">
        <f>IFERROR(IF(HLOOKUP($L$5,RangeUnitsets,M11,FALSE)=0,"",HLOOKUP($L$5,RangeUnitsets,M11,FALSE)),"")</f>
        <v/>
      </c>
      <c r="B11" s="169" t="str">
        <f>IFERROR(IF(VLOOKUP($A11,TableHandbook[],2,FALSE)=0,"",VLOOKUP($A11,TableHandbook[],2,FALSE)),"")</f>
        <v/>
      </c>
      <c r="C11" s="169" t="str">
        <f>IFERROR(IF(VLOOKUP($A11,TableHandbook[],3,FALSE)=0,"",VLOOKUP($A11,TableHandbook[],3,FALSE)),"")</f>
        <v/>
      </c>
      <c r="D11" s="170" t="str">
        <f>IFERROR(IF(VLOOKUP($A11,TableHandbook[],4,FALSE)=0,"",VLOOKUP($A11,TableHandbook[],4,FALSE)),"")</f>
        <v/>
      </c>
      <c r="E11" s="169" t="str">
        <f>IF(A11="","",VLOOKUP($D$8,TableStudyPeriod[],2,FALSE))</f>
        <v/>
      </c>
      <c r="F11" s="171" t="str">
        <f>IFERROR(IF(VLOOKUP($A11,TableHandbook[],6,FALSE)=0,"",VLOOKUP($A11,TableHandbook[],6,FALSE)),"")</f>
        <v/>
      </c>
      <c r="G11" s="169" t="str">
        <f>IFERROR(IF(VLOOKUP($A11,TableHandbook[],5,FALSE)=0,"",VLOOKUP($A11,TableHandbook[],5,FALSE)),"")</f>
        <v/>
      </c>
      <c r="H11" s="172" t="str">
        <f>IFERROR(VLOOKUP($A11,TableHandbook[],H$2,FALSE),"")</f>
        <v/>
      </c>
      <c r="I11" s="173" t="str">
        <f>IFERROR(VLOOKUP($A11,TableHandbook[],I$2,FALSE),"")</f>
        <v/>
      </c>
      <c r="J11" s="172" t="str">
        <f>IFERROR(VLOOKUP($A11,TableHandbook[],J$2,FALSE),"")</f>
        <v/>
      </c>
      <c r="K11" s="173" t="str">
        <f>IFERROR(VLOOKUP($A11,TableHandbook[],K$2,FALSE),"")</f>
        <v/>
      </c>
      <c r="L11" s="12"/>
      <c r="M11" s="174">
        <v>2</v>
      </c>
      <c r="N11" s="175"/>
      <c r="O11" s="175"/>
    </row>
    <row r="12" spans="1:16" s="176" customFormat="1" ht="20.100000000000001" customHeight="1" x14ac:dyDescent="0.15">
      <c r="A12" s="168" t="str">
        <f>IFERROR(IF(HLOOKUP($L$5,RangeUnitsets,M12,FALSE)=0,"",HLOOKUP($L$5,RangeUnitsets,M12,FALSE)),"")</f>
        <v/>
      </c>
      <c r="B12" s="169" t="str">
        <f>IFERROR(IF(VLOOKUP($A12,TableHandbook[],2,FALSE)=0,"",VLOOKUP($A12,TableHandbook[],2,FALSE)),"")</f>
        <v/>
      </c>
      <c r="C12" s="169" t="str">
        <f>IFERROR(IF(VLOOKUP($A12,TableHandbook[],3,FALSE)=0,"",VLOOKUP($A12,TableHandbook[],3,FALSE)),"")</f>
        <v/>
      </c>
      <c r="D12" s="170" t="str">
        <f>IFERROR(IF(VLOOKUP($A12,TableHandbook[],4,FALSE)=0,"",VLOOKUP($A12,TableHandbook[],4,FALSE)),"")</f>
        <v/>
      </c>
      <c r="E12" s="169" t="str">
        <f>IF(A12="","",E11)</f>
        <v/>
      </c>
      <c r="F12" s="171" t="str">
        <f>IFERROR(IF(VLOOKUP($A12,TableHandbook[],6,FALSE)=0,"",VLOOKUP($A12,TableHandbook[],6,FALSE)),"")</f>
        <v/>
      </c>
      <c r="G12" s="169" t="str">
        <f>IFERROR(IF(VLOOKUP($A12,TableHandbook[],5,FALSE)=0,"",VLOOKUP($A12,TableHandbook[],5,FALSE)),"")</f>
        <v/>
      </c>
      <c r="H12" s="172" t="str">
        <f>IFERROR(VLOOKUP($A12,TableHandbook[],H$2,FALSE),"")</f>
        <v/>
      </c>
      <c r="I12" s="173" t="str">
        <f>IFERROR(VLOOKUP($A12,TableHandbook[],I$2,FALSE),"")</f>
        <v/>
      </c>
      <c r="J12" s="172" t="str">
        <f>IFERROR(VLOOKUP($A12,TableHandbook[],J$2,FALSE),"")</f>
        <v/>
      </c>
      <c r="K12" s="173" t="str">
        <f>IFERROR(VLOOKUP($A12,TableHandbook[],K$2,FALSE),"")</f>
        <v/>
      </c>
      <c r="L12" s="12"/>
      <c r="M12" s="174">
        <v>3</v>
      </c>
      <c r="N12" s="175"/>
      <c r="O12" s="175"/>
    </row>
    <row r="13" spans="1:16" s="176" customFormat="1" ht="20.100000000000001" customHeight="1" x14ac:dyDescent="0.15">
      <c r="A13" s="168" t="str">
        <f>IFERROR(IF(HLOOKUP($L$5,RangeUnitsets,M13,FALSE)=0,"",HLOOKUP($L$5,RangeUnitsets,M13,FALSE)),"")</f>
        <v/>
      </c>
      <c r="B13" s="169" t="str">
        <f>IFERROR(IF(VLOOKUP($A13,TableHandbook[],2,FALSE)=0,"",VLOOKUP($A13,TableHandbook[],2,FALSE)),"")</f>
        <v/>
      </c>
      <c r="C13" s="169" t="str">
        <f>IFERROR(IF(VLOOKUP($A13,TableHandbook[],3,FALSE)=0,"",VLOOKUP($A13,TableHandbook[],3,FALSE)),"")</f>
        <v/>
      </c>
      <c r="D13" s="170" t="str">
        <f>IFERROR(IF(VLOOKUP($A13,TableHandbook[],4,FALSE)=0,"",VLOOKUP($A13,TableHandbook[],4,FALSE)),"")</f>
        <v/>
      </c>
      <c r="E13" s="169" t="str">
        <f t="shared" ref="E13:E14" si="0">IF(A13="","",E12)</f>
        <v/>
      </c>
      <c r="F13" s="171" t="str">
        <f>IFERROR(IF(VLOOKUP($A13,TableHandbook[],6,FALSE)=0,"",VLOOKUP($A13,TableHandbook[],6,FALSE)),"")</f>
        <v/>
      </c>
      <c r="G13" s="169" t="str">
        <f>IFERROR(IF(VLOOKUP($A13,TableHandbook[],5,FALSE)=0,"",VLOOKUP($A13,TableHandbook[],5,FALSE)),"")</f>
        <v/>
      </c>
      <c r="H13" s="172" t="str">
        <f>IFERROR(VLOOKUP($A13,TableHandbook[],H$2,FALSE),"")</f>
        <v/>
      </c>
      <c r="I13" s="173" t="str">
        <f>IFERROR(VLOOKUP($A13,TableHandbook[],I$2,FALSE),"")</f>
        <v/>
      </c>
      <c r="J13" s="172" t="str">
        <f>IFERROR(VLOOKUP($A13,TableHandbook[],J$2,FALSE),"")</f>
        <v/>
      </c>
      <c r="K13" s="173" t="str">
        <f>IFERROR(VLOOKUP($A13,TableHandbook[],K$2,FALSE),"")</f>
        <v/>
      </c>
      <c r="L13" s="12"/>
      <c r="M13" s="174">
        <v>4</v>
      </c>
      <c r="N13" s="175"/>
      <c r="O13" s="175"/>
    </row>
    <row r="14" spans="1:16" s="176" customFormat="1" ht="20.100000000000001" customHeight="1" x14ac:dyDescent="0.15">
      <c r="A14" s="168" t="str">
        <f>IFERROR(IF(HLOOKUP($L$5,RangeUnitsets,M14,FALSE)=0,"",HLOOKUP($L$5,RangeUnitsets,M14,FALSE)),"")</f>
        <v/>
      </c>
      <c r="B14" s="169" t="str">
        <f>IFERROR(IF(VLOOKUP($A14,TableHandbook[],2,FALSE)=0,"",VLOOKUP($A14,TableHandbook[],2,FALSE)),"")</f>
        <v/>
      </c>
      <c r="C14" s="169" t="str">
        <f>IFERROR(IF(VLOOKUP($A14,TableHandbook[],3,FALSE)=0,"",VLOOKUP($A14,TableHandbook[],3,FALSE)),"")</f>
        <v/>
      </c>
      <c r="D14" s="170" t="str">
        <f>IFERROR(IF(VLOOKUP($A14,TableHandbook[],4,FALSE)=0,"",VLOOKUP($A14,TableHandbook[],4,FALSE)),"")</f>
        <v/>
      </c>
      <c r="E14" s="169" t="str">
        <f t="shared" si="0"/>
        <v/>
      </c>
      <c r="F14" s="171" t="str">
        <f>IFERROR(IF(VLOOKUP($A14,TableHandbook[],6,FALSE)=0,"",VLOOKUP($A14,TableHandbook[],6,FALSE)),"")</f>
        <v/>
      </c>
      <c r="G14" s="169" t="str">
        <f>IFERROR(IF(VLOOKUP($A14,TableHandbook[],5,FALSE)=0,"",VLOOKUP($A14,TableHandbook[],5,FALSE)),"")</f>
        <v/>
      </c>
      <c r="H14" s="172" t="str">
        <f>IFERROR(VLOOKUP($A14,TableHandbook[],H$2,FALSE),"")</f>
        <v/>
      </c>
      <c r="I14" s="173" t="str">
        <f>IFERROR(VLOOKUP($A14,TableHandbook[],I$2,FALSE),"")</f>
        <v/>
      </c>
      <c r="J14" s="172" t="str">
        <f>IFERROR(VLOOKUP($A14,TableHandbook[],J$2,FALSE),"")</f>
        <v/>
      </c>
      <c r="K14" s="173" t="str">
        <f>IFERROR(VLOOKUP($A14,TableHandbook[],K$2,FALSE),"")</f>
        <v/>
      </c>
      <c r="L14" s="12"/>
      <c r="M14" s="174">
        <v>5</v>
      </c>
      <c r="N14" s="175"/>
      <c r="O14" s="175"/>
    </row>
    <row r="15" spans="1:16" s="176" customFormat="1" ht="5.0999999999999996" customHeight="1" x14ac:dyDescent="0.15">
      <c r="A15" s="177"/>
      <c r="B15" s="178"/>
      <c r="C15" s="178"/>
      <c r="D15" s="179"/>
      <c r="E15" s="178"/>
      <c r="F15" s="180"/>
      <c r="G15" s="178"/>
      <c r="H15" s="181"/>
      <c r="I15" s="182"/>
      <c r="J15" s="181"/>
      <c r="K15" s="182"/>
      <c r="L15" s="95"/>
      <c r="M15" s="174"/>
      <c r="N15" s="175"/>
      <c r="O15" s="175"/>
      <c r="P15" s="175"/>
    </row>
    <row r="16" spans="1:16" s="176" customFormat="1" ht="20.100000000000001" customHeight="1" x14ac:dyDescent="0.15">
      <c r="A16" s="168" t="str">
        <f>IFERROR(IF(HLOOKUP($L$5,RangeUnitsets,M16,FALSE)=0,"",HLOOKUP($L$5,RangeUnitsets,M16,FALSE)),"")</f>
        <v/>
      </c>
      <c r="B16" s="169" t="str">
        <f>IFERROR(IF(VLOOKUP($A16,TableHandbook[],2,FALSE)=0,"",VLOOKUP($A16,TableHandbook[],2,FALSE)),"")</f>
        <v/>
      </c>
      <c r="C16" s="169" t="str">
        <f>IFERROR(IF(VLOOKUP($A16,TableHandbook[],3,FALSE)=0,"",VLOOKUP($A16,TableHandbook[],3,FALSE)),"")</f>
        <v/>
      </c>
      <c r="D16" s="170" t="str">
        <f>IFERROR(IF(VLOOKUP($A16,TableHandbook[],4,FALSE)=0,"",VLOOKUP($A16,TableHandbook[],4,FALSE)),"")</f>
        <v/>
      </c>
      <c r="E16" s="169" t="str">
        <f>IF(A16="","",VLOOKUP($D$8,TableStudyPeriod[],3,FALSE))</f>
        <v/>
      </c>
      <c r="F16" s="171" t="str">
        <f>IFERROR(IF(VLOOKUP($A16,TableHandbook[],6,FALSE)=0,"",VLOOKUP($A16,TableHandbook[],6,FALSE)),"")</f>
        <v/>
      </c>
      <c r="G16" s="169" t="str">
        <f>IFERROR(IF(VLOOKUP($A16,TableHandbook[],5,FALSE)=0,"",VLOOKUP($A16,TableHandbook[],5,FALSE)),"")</f>
        <v/>
      </c>
      <c r="H16" s="172" t="str">
        <f>IFERROR(VLOOKUP($A16,TableHandbook[],H$2,FALSE),"")</f>
        <v/>
      </c>
      <c r="I16" s="173" t="str">
        <f>IFERROR(VLOOKUP($A16,TableHandbook[],I$2,FALSE),"")</f>
        <v/>
      </c>
      <c r="J16" s="172" t="str">
        <f>IFERROR(VLOOKUP($A16,TableHandbook[],J$2,FALSE),"")</f>
        <v/>
      </c>
      <c r="K16" s="173" t="str">
        <f>IFERROR(VLOOKUP($A16,TableHandbook[],K$2,FALSE),"")</f>
        <v/>
      </c>
      <c r="L16" s="12"/>
      <c r="M16" s="174">
        <v>6</v>
      </c>
      <c r="N16" s="175"/>
      <c r="O16" s="175"/>
    </row>
    <row r="17" spans="1:16" s="184" customFormat="1" ht="20.100000000000001" customHeight="1" x14ac:dyDescent="0.15">
      <c r="A17" s="168" t="str">
        <f>IFERROR(IF(HLOOKUP($L$5,RangeUnitsets,M17,FALSE)=0,"",HLOOKUP($L$5,RangeUnitsets,M17,FALSE)),"")</f>
        <v/>
      </c>
      <c r="B17" s="169" t="str">
        <f>IFERROR(IF(VLOOKUP($A17,TableHandbook[],2,FALSE)=0,"",VLOOKUP($A17,TableHandbook[],2,FALSE)),"")</f>
        <v/>
      </c>
      <c r="C17" s="169" t="str">
        <f>IFERROR(IF(VLOOKUP($A17,TableHandbook[],3,FALSE)=0,"",VLOOKUP($A17,TableHandbook[],3,FALSE)),"")</f>
        <v/>
      </c>
      <c r="D17" s="170" t="str">
        <f>IFERROR(IF(VLOOKUP($A17,TableHandbook[],4,FALSE)=0,"",VLOOKUP($A17,TableHandbook[],4,FALSE)),"")</f>
        <v/>
      </c>
      <c r="E17" s="169" t="str">
        <f>IF(A17="","",E16)</f>
        <v/>
      </c>
      <c r="F17" s="171" t="str">
        <f>IFERROR(IF(VLOOKUP($A17,TableHandbook[],6,FALSE)=0,"",VLOOKUP($A17,TableHandbook[],6,FALSE)),"")</f>
        <v/>
      </c>
      <c r="G17" s="169" t="str">
        <f>IFERROR(IF(VLOOKUP($A17,TableHandbook[],5,FALSE)=0,"",VLOOKUP($A17,TableHandbook[],5,FALSE)),"")</f>
        <v/>
      </c>
      <c r="H17" s="172" t="str">
        <f>IFERROR(VLOOKUP($A17,TableHandbook[],H$2,FALSE),"")</f>
        <v/>
      </c>
      <c r="I17" s="173" t="str">
        <f>IFERROR(VLOOKUP($A17,TableHandbook[],I$2,FALSE),"")</f>
        <v/>
      </c>
      <c r="J17" s="172" t="str">
        <f>IFERROR(VLOOKUP($A17,TableHandbook[],J$2,FALSE),"")</f>
        <v/>
      </c>
      <c r="K17" s="173" t="str">
        <f>IFERROR(VLOOKUP($A17,TableHandbook[],K$2,FALSE),"")</f>
        <v/>
      </c>
      <c r="L17" s="12"/>
      <c r="M17" s="174">
        <v>7</v>
      </c>
      <c r="N17" s="183"/>
      <c r="O17" s="183"/>
    </row>
    <row r="18" spans="1:16" s="184" customFormat="1" ht="20.100000000000001" customHeight="1" x14ac:dyDescent="0.15">
      <c r="A18" s="168" t="str">
        <f>IFERROR(IF(HLOOKUP($L$5,RangeUnitsets,M18,FALSE)=0,"",HLOOKUP($L$5,RangeUnitsets,M18,FALSE)),"")</f>
        <v/>
      </c>
      <c r="B18" s="169" t="str">
        <f>IFERROR(IF(VLOOKUP($A18,TableHandbook[],2,FALSE)=0,"",VLOOKUP($A18,TableHandbook[],2,FALSE)),"")</f>
        <v/>
      </c>
      <c r="C18" s="169" t="str">
        <f>IFERROR(IF(VLOOKUP($A18,TableHandbook[],3,FALSE)=0,"",VLOOKUP($A18,TableHandbook[],3,FALSE)),"")</f>
        <v/>
      </c>
      <c r="D18" s="170" t="str">
        <f>IFERROR(IF(VLOOKUP($A18,TableHandbook[],4,FALSE)=0,"",VLOOKUP($A18,TableHandbook[],4,FALSE)),"")</f>
        <v/>
      </c>
      <c r="E18" s="169" t="str">
        <f t="shared" ref="E18:E19" si="1">IF(A18="","",E17)</f>
        <v/>
      </c>
      <c r="F18" s="171" t="str">
        <f>IFERROR(IF(VLOOKUP($A18,TableHandbook[],6,FALSE)=0,"",VLOOKUP($A18,TableHandbook[],6,FALSE)),"")</f>
        <v/>
      </c>
      <c r="G18" s="169" t="str">
        <f>IFERROR(IF(VLOOKUP($A18,TableHandbook[],5,FALSE)=0,"",VLOOKUP($A18,TableHandbook[],5,FALSE)),"")</f>
        <v/>
      </c>
      <c r="H18" s="172" t="str">
        <f>IFERROR(VLOOKUP($A18,TableHandbook[],H$2,FALSE),"")</f>
        <v/>
      </c>
      <c r="I18" s="173" t="str">
        <f>IFERROR(VLOOKUP($A18,TableHandbook[],I$2,FALSE),"")</f>
        <v/>
      </c>
      <c r="J18" s="172" t="str">
        <f>IFERROR(VLOOKUP($A18,TableHandbook[],J$2,FALSE),"")</f>
        <v/>
      </c>
      <c r="K18" s="173" t="str">
        <f>IFERROR(VLOOKUP($A18,TableHandbook[],K$2,FALSE),"")</f>
        <v/>
      </c>
      <c r="L18" s="12"/>
      <c r="M18" s="174">
        <v>8</v>
      </c>
      <c r="N18" s="183"/>
      <c r="O18" s="183"/>
    </row>
    <row r="19" spans="1:16" s="184" customFormat="1" ht="20.100000000000001" customHeight="1" x14ac:dyDescent="0.15">
      <c r="A19" s="168" t="str">
        <f>IFERROR(IF(HLOOKUP($L$5,RangeUnitsets,M19,FALSE)=0,"",HLOOKUP($L$5,RangeUnitsets,M19,FALSE)),"")</f>
        <v/>
      </c>
      <c r="B19" s="169" t="str">
        <f>IFERROR(IF(VLOOKUP($A19,TableHandbook[],2,FALSE)=0,"",VLOOKUP($A19,TableHandbook[],2,FALSE)),"")</f>
        <v/>
      </c>
      <c r="C19" s="169" t="str">
        <f>IFERROR(IF(VLOOKUP($A19,TableHandbook[],3,FALSE)=0,"",VLOOKUP($A19,TableHandbook[],3,FALSE)),"")</f>
        <v/>
      </c>
      <c r="D19" s="185" t="str">
        <f>IFERROR(IF(VLOOKUP($A19,TableHandbook[],4,FALSE)=0,"",VLOOKUP($A19,TableHandbook[],4,FALSE)),"")</f>
        <v/>
      </c>
      <c r="E19" s="169" t="str">
        <f t="shared" si="1"/>
        <v/>
      </c>
      <c r="F19" s="171" t="str">
        <f>IFERROR(IF(VLOOKUP($A19,TableHandbook[],6,FALSE)=0,"",VLOOKUP($A19,TableHandbook[],6,FALSE)),"")</f>
        <v/>
      </c>
      <c r="G19" s="169" t="str">
        <f>IFERROR(IF(VLOOKUP($A19,TableHandbook[],5,FALSE)=0,"",VLOOKUP($A19,TableHandbook[],5,FALSE)),"")</f>
        <v/>
      </c>
      <c r="H19" s="172" t="str">
        <f>IFERROR(VLOOKUP($A19,TableHandbook[],H$2,FALSE),"")</f>
        <v/>
      </c>
      <c r="I19" s="173" t="str">
        <f>IFERROR(VLOOKUP($A19,TableHandbook[],I$2,FALSE),"")</f>
        <v/>
      </c>
      <c r="J19" s="172" t="str">
        <f>IFERROR(VLOOKUP($A19,TableHandbook[],J$2,FALSE),"")</f>
        <v/>
      </c>
      <c r="K19" s="173" t="str">
        <f>IFERROR(VLOOKUP($A19,TableHandbook[],K$2,FALSE),"")</f>
        <v/>
      </c>
      <c r="L19" s="12"/>
      <c r="M19" s="174">
        <v>9</v>
      </c>
      <c r="N19" s="183"/>
      <c r="O19" s="183"/>
    </row>
    <row r="20" spans="1:16" s="164" customFormat="1" ht="21" x14ac:dyDescent="0.25">
      <c r="A20" s="157" t="s">
        <v>32</v>
      </c>
      <c r="B20" s="157"/>
      <c r="C20" s="157"/>
      <c r="D20" s="186" t="s">
        <v>3</v>
      </c>
      <c r="E20" s="165" t="s">
        <v>24</v>
      </c>
      <c r="F20" s="165" t="s">
        <v>25</v>
      </c>
      <c r="G20" s="157" t="s">
        <v>26</v>
      </c>
      <c r="H20" s="166" t="str">
        <f>H$10</f>
        <v>Sem1 BEN</v>
      </c>
      <c r="I20" s="167" t="str">
        <f t="shared" ref="I20:L20" si="2">I$10</f>
        <v>Sem1 FO</v>
      </c>
      <c r="J20" s="166" t="str">
        <f t="shared" si="2"/>
        <v>Sem2 BEN</v>
      </c>
      <c r="K20" s="167" t="str">
        <f t="shared" si="2"/>
        <v>Sem2 FO</v>
      </c>
      <c r="L20" s="157" t="str">
        <f t="shared" si="2"/>
        <v>Notes / Progress</v>
      </c>
      <c r="M20" s="187"/>
      <c r="N20" s="163"/>
      <c r="O20" s="163"/>
    </row>
    <row r="21" spans="1:16" s="176" customFormat="1" ht="20.100000000000001" customHeight="1" x14ac:dyDescent="0.15">
      <c r="A21" s="168" t="str">
        <f>IFERROR(IF(HLOOKUP($L$5,RangeUnitsets,M21,FALSE)=0,"",HLOOKUP($L$5,RangeUnitsets,M21,FALSE)),"")</f>
        <v/>
      </c>
      <c r="B21" s="169" t="str">
        <f>IFERROR(IF(VLOOKUP($A21,TableHandbook[],2,FALSE)=0,"",VLOOKUP($A21,TableHandbook[],2,FALSE)),"")</f>
        <v/>
      </c>
      <c r="C21" s="169" t="str">
        <f>IFERROR(IF(VLOOKUP($A21,TableHandbook[],3,FALSE)=0,"",VLOOKUP($A21,TableHandbook[],3,FALSE)),"")</f>
        <v/>
      </c>
      <c r="D21" s="170" t="str">
        <f>IFERROR(IF(VLOOKUP($A21,TableHandbook[],4,FALSE)=0,"",VLOOKUP($A21,TableHandbook[],4,FALSE)),"")</f>
        <v/>
      </c>
      <c r="E21" s="169" t="str">
        <f>IF(A21="","",VLOOKUP($D$8,TableStudyPeriod[],2,FALSE))</f>
        <v/>
      </c>
      <c r="F21" s="171" t="str">
        <f>IFERROR(IF(VLOOKUP($A21,TableHandbook[],6,FALSE)=0,"",VLOOKUP($A21,TableHandbook[],6,FALSE)),"")</f>
        <v/>
      </c>
      <c r="G21" s="169" t="str">
        <f>IFERROR(IF(VLOOKUP($A21,TableHandbook[],5,FALSE)=0,"",VLOOKUP($A21,TableHandbook[],5,FALSE)),"")</f>
        <v/>
      </c>
      <c r="H21" s="172" t="str">
        <f>IFERROR(VLOOKUP($A21,TableHandbook[],H$2,FALSE),"")</f>
        <v/>
      </c>
      <c r="I21" s="173" t="str">
        <f>IFERROR(VLOOKUP($A21,TableHandbook[],I$2,FALSE),"")</f>
        <v/>
      </c>
      <c r="J21" s="172" t="str">
        <f>IFERROR(VLOOKUP($A21,TableHandbook[],J$2,FALSE),"")</f>
        <v/>
      </c>
      <c r="K21" s="173" t="str">
        <f>IFERROR(VLOOKUP($A21,TableHandbook[],K$2,FALSE),"")</f>
        <v/>
      </c>
      <c r="L21" s="12"/>
      <c r="M21" s="174">
        <v>10</v>
      </c>
      <c r="N21" s="175"/>
      <c r="O21" s="175"/>
    </row>
    <row r="22" spans="1:16" s="176" customFormat="1" ht="20.100000000000001" customHeight="1" x14ac:dyDescent="0.15">
      <c r="A22" s="168" t="str">
        <f>IFERROR(IF(HLOOKUP($L$5,RangeUnitsets,M22,FALSE)=0,"",HLOOKUP($L$5,RangeUnitsets,M22,FALSE)),"")</f>
        <v/>
      </c>
      <c r="B22" s="169" t="str">
        <f>IFERROR(IF(VLOOKUP($A22,TableHandbook[],2,FALSE)=0,"",VLOOKUP($A22,TableHandbook[],2,FALSE)),"")</f>
        <v/>
      </c>
      <c r="C22" s="169" t="str">
        <f>IFERROR(IF(VLOOKUP($A22,TableHandbook[],3,FALSE)=0,"",VLOOKUP($A22,TableHandbook[],3,FALSE)),"")</f>
        <v/>
      </c>
      <c r="D22" s="185" t="str">
        <f>IFERROR(IF(VLOOKUP($A22,TableHandbook[],4,FALSE)=0,"",VLOOKUP($A22,TableHandbook[],4,FALSE)),"")</f>
        <v/>
      </c>
      <c r="E22" s="169" t="str">
        <f>IF(A22="","",E21)</f>
        <v/>
      </c>
      <c r="F22" s="171" t="str">
        <f>IFERROR(IF(VLOOKUP($A22,TableHandbook[],6,FALSE)=0,"",VLOOKUP($A22,TableHandbook[],6,FALSE)),"")</f>
        <v/>
      </c>
      <c r="G22" s="169" t="str">
        <f>IFERROR(IF(VLOOKUP($A22,TableHandbook[],5,FALSE)=0,"",VLOOKUP($A22,TableHandbook[],5,FALSE)),"")</f>
        <v/>
      </c>
      <c r="H22" s="172" t="str">
        <f>IFERROR(VLOOKUP($A22,TableHandbook[],H$2,FALSE),"")</f>
        <v/>
      </c>
      <c r="I22" s="173" t="str">
        <f>IFERROR(VLOOKUP($A22,TableHandbook[],I$2,FALSE),"")</f>
        <v/>
      </c>
      <c r="J22" s="172" t="str">
        <f>IFERROR(VLOOKUP($A22,TableHandbook[],J$2,FALSE),"")</f>
        <v/>
      </c>
      <c r="K22" s="173" t="str">
        <f>IFERROR(VLOOKUP($A22,TableHandbook[],K$2,FALSE),"")</f>
        <v/>
      </c>
      <c r="L22" s="12"/>
      <c r="M22" s="174">
        <v>11</v>
      </c>
      <c r="N22" s="175"/>
      <c r="O22" s="175"/>
    </row>
    <row r="23" spans="1:16" s="176" customFormat="1" ht="20.100000000000001" customHeight="1" x14ac:dyDescent="0.15">
      <c r="A23" s="168" t="str">
        <f>IFERROR(IF(HLOOKUP($L$5,RangeUnitsets,M23,FALSE)=0,"",HLOOKUP($L$5,RangeUnitsets,M23,FALSE)),"")</f>
        <v/>
      </c>
      <c r="B23" s="169" t="str">
        <f>IFERROR(IF(VLOOKUP($A23,TableHandbook[],2,FALSE)=0,"",VLOOKUP($A23,TableHandbook[],2,FALSE)),"")</f>
        <v/>
      </c>
      <c r="C23" s="169" t="str">
        <f>IFERROR(IF(VLOOKUP($A23,TableHandbook[],3,FALSE)=0,"",VLOOKUP($A23,TableHandbook[],3,FALSE)),"")</f>
        <v/>
      </c>
      <c r="D23" s="185" t="str">
        <f>IFERROR(IF(VLOOKUP($A23,TableHandbook[],4,FALSE)=0,"",VLOOKUP($A23,TableHandbook[],4,FALSE)),"")</f>
        <v/>
      </c>
      <c r="E23" s="169" t="str">
        <f t="shared" ref="E23:E24" si="3">IF(A23="","",E22)</f>
        <v/>
      </c>
      <c r="F23" s="171" t="str">
        <f>IFERROR(IF(VLOOKUP($A23,TableHandbook[],6,FALSE)=0,"",VLOOKUP($A23,TableHandbook[],6,FALSE)),"")</f>
        <v/>
      </c>
      <c r="G23" s="169" t="str">
        <f>IFERROR(IF(VLOOKUP($A23,TableHandbook[],5,FALSE)=0,"",VLOOKUP($A23,TableHandbook[],5,FALSE)),"")</f>
        <v/>
      </c>
      <c r="H23" s="172" t="str">
        <f>IFERROR(VLOOKUP($A23,TableHandbook[],H$2,FALSE),"")</f>
        <v/>
      </c>
      <c r="I23" s="173" t="str">
        <f>IFERROR(VLOOKUP($A23,TableHandbook[],I$2,FALSE),"")</f>
        <v/>
      </c>
      <c r="J23" s="172" t="str">
        <f>IFERROR(VLOOKUP($A23,TableHandbook[],J$2,FALSE),"")</f>
        <v/>
      </c>
      <c r="K23" s="173" t="str">
        <f>IFERROR(VLOOKUP($A23,TableHandbook[],K$2,FALSE),"")</f>
        <v/>
      </c>
      <c r="L23" s="12"/>
      <c r="M23" s="174">
        <v>12</v>
      </c>
      <c r="N23" s="175"/>
      <c r="O23" s="175"/>
    </row>
    <row r="24" spans="1:16" s="176" customFormat="1" ht="20.100000000000001" customHeight="1" x14ac:dyDescent="0.15">
      <c r="A24" s="168" t="str">
        <f>IFERROR(IF(HLOOKUP($L$5,RangeUnitsets,M24,FALSE)=0,"",HLOOKUP($L$5,RangeUnitsets,M24,FALSE)),"")</f>
        <v/>
      </c>
      <c r="B24" s="169" t="str">
        <f>IFERROR(IF(VLOOKUP($A24,TableHandbook[],2,FALSE)=0,"",VLOOKUP($A24,TableHandbook[],2,FALSE)),"")</f>
        <v/>
      </c>
      <c r="C24" s="169" t="str">
        <f>IFERROR(IF(VLOOKUP($A24,TableHandbook[],3,FALSE)=0,"",VLOOKUP($A24,TableHandbook[],3,FALSE)),"")</f>
        <v/>
      </c>
      <c r="D24" s="185" t="str">
        <f>IFERROR(IF(VLOOKUP($A24,TableHandbook[],4,FALSE)=0,"",VLOOKUP($A24,TableHandbook[],4,FALSE)),"")</f>
        <v/>
      </c>
      <c r="E24" s="169" t="str">
        <f t="shared" si="3"/>
        <v/>
      </c>
      <c r="F24" s="171" t="str">
        <f>IFERROR(IF(VLOOKUP($A24,TableHandbook[],6,FALSE)=0,"",VLOOKUP($A24,TableHandbook[],6,FALSE)),"")</f>
        <v/>
      </c>
      <c r="G24" s="169" t="str">
        <f>IFERROR(IF(VLOOKUP($A24,TableHandbook[],5,FALSE)=0,"",VLOOKUP($A24,TableHandbook[],5,FALSE)),"")</f>
        <v/>
      </c>
      <c r="H24" s="172" t="str">
        <f>IFERROR(VLOOKUP($A24,TableHandbook[],H$2,FALSE),"")</f>
        <v/>
      </c>
      <c r="I24" s="173" t="str">
        <f>IFERROR(VLOOKUP($A24,TableHandbook[],I$2,FALSE),"")</f>
        <v/>
      </c>
      <c r="J24" s="172" t="str">
        <f>IFERROR(VLOOKUP($A24,TableHandbook[],J$2,FALSE),"")</f>
        <v/>
      </c>
      <c r="K24" s="173" t="str">
        <f>IFERROR(VLOOKUP($A24,TableHandbook[],K$2,FALSE),"")</f>
        <v/>
      </c>
      <c r="L24" s="12"/>
      <c r="M24" s="174">
        <v>13</v>
      </c>
      <c r="N24" s="175"/>
      <c r="O24" s="175"/>
    </row>
    <row r="25" spans="1:16" s="176" customFormat="1" ht="5.0999999999999996" customHeight="1" x14ac:dyDescent="0.15">
      <c r="A25" s="177"/>
      <c r="B25" s="178"/>
      <c r="C25" s="178"/>
      <c r="D25" s="179"/>
      <c r="E25" s="178"/>
      <c r="F25" s="180"/>
      <c r="G25" s="178"/>
      <c r="H25" s="181"/>
      <c r="I25" s="182"/>
      <c r="J25" s="181"/>
      <c r="K25" s="182"/>
      <c r="L25" s="95"/>
      <c r="M25" s="174"/>
      <c r="N25" s="175"/>
      <c r="O25" s="175"/>
      <c r="P25" s="175"/>
    </row>
    <row r="26" spans="1:16" s="176" customFormat="1" ht="20.100000000000001" customHeight="1" x14ac:dyDescent="0.15">
      <c r="A26" s="168" t="str">
        <f>IFERROR(IF(HLOOKUP($L$5,RangeUnitsets,M26,FALSE)=0,"",HLOOKUP($L$5,RangeUnitsets,M26,FALSE)),"")</f>
        <v/>
      </c>
      <c r="B26" s="169" t="str">
        <f>IFERROR(IF(VLOOKUP($A26,TableHandbook[],2,FALSE)=0,"",VLOOKUP($A26,TableHandbook[],2,FALSE)),"")</f>
        <v/>
      </c>
      <c r="C26" s="169" t="str">
        <f>IFERROR(IF(VLOOKUP($A26,TableHandbook[],3,FALSE)=0,"",VLOOKUP($A26,TableHandbook[],3,FALSE)),"")</f>
        <v/>
      </c>
      <c r="D26" s="185" t="str">
        <f>IFERROR(IF(VLOOKUP($A26,TableHandbook[],4,FALSE)=0,"",VLOOKUP($A26,TableHandbook[],4,FALSE)),"")</f>
        <v/>
      </c>
      <c r="E26" s="169" t="str">
        <f>IF(A26="","",VLOOKUP($D$8,TableStudyPeriod[],3,FALSE))</f>
        <v/>
      </c>
      <c r="F26" s="171" t="str">
        <f>IFERROR(IF(VLOOKUP($A26,TableHandbook[],6,FALSE)=0,"",VLOOKUP($A26,TableHandbook[],6,FALSE)),"")</f>
        <v/>
      </c>
      <c r="G26" s="169" t="str">
        <f>IFERROR(IF(VLOOKUP($A26,TableHandbook[],5,FALSE)=0,"",VLOOKUP($A26,TableHandbook[],5,FALSE)),"")</f>
        <v/>
      </c>
      <c r="H26" s="172" t="str">
        <f>IFERROR(VLOOKUP($A26,TableHandbook[],H$2,FALSE),"")</f>
        <v/>
      </c>
      <c r="I26" s="173" t="str">
        <f>IFERROR(VLOOKUP($A26,TableHandbook[],I$2,FALSE),"")</f>
        <v/>
      </c>
      <c r="J26" s="172" t="str">
        <f>IFERROR(VLOOKUP($A26,TableHandbook[],J$2,FALSE),"")</f>
        <v/>
      </c>
      <c r="K26" s="173" t="str">
        <f>IFERROR(VLOOKUP($A26,TableHandbook[],K$2,FALSE),"")</f>
        <v/>
      </c>
      <c r="L26" s="12"/>
      <c r="M26" s="174">
        <v>14</v>
      </c>
      <c r="N26" s="175"/>
      <c r="O26" s="175"/>
    </row>
    <row r="27" spans="1:16" s="176" customFormat="1" ht="20.100000000000001" customHeight="1" x14ac:dyDescent="0.15">
      <c r="A27" s="168" t="str">
        <f>IFERROR(IF(HLOOKUP($L$5,RangeUnitsets,M27,FALSE)=0,"",HLOOKUP($L$5,RangeUnitsets,M27,FALSE)),"")</f>
        <v/>
      </c>
      <c r="B27" s="169" t="str">
        <f>IFERROR(IF(VLOOKUP($A27,TableHandbook[],2,FALSE)=0,"",VLOOKUP($A27,TableHandbook[],2,FALSE)),"")</f>
        <v/>
      </c>
      <c r="C27" s="169" t="str">
        <f>IFERROR(IF(VLOOKUP($A27,TableHandbook[],3,FALSE)=0,"",VLOOKUP($A27,TableHandbook[],3,FALSE)),"")</f>
        <v/>
      </c>
      <c r="D27" s="185" t="str">
        <f>IFERROR(IF(VLOOKUP($A27,TableHandbook[],4,FALSE)=0,"",VLOOKUP($A27,TableHandbook[],4,FALSE)),"")</f>
        <v/>
      </c>
      <c r="E27" s="169" t="str">
        <f>IF(A27="","",E26)</f>
        <v/>
      </c>
      <c r="F27" s="171" t="str">
        <f>IFERROR(IF(VLOOKUP($A27,TableHandbook[],6,FALSE)=0,"",VLOOKUP($A27,TableHandbook[],6,FALSE)),"")</f>
        <v/>
      </c>
      <c r="G27" s="169" t="str">
        <f>IFERROR(IF(VLOOKUP($A27,TableHandbook[],5,FALSE)=0,"",VLOOKUP($A27,TableHandbook[],5,FALSE)),"")</f>
        <v/>
      </c>
      <c r="H27" s="172" t="str">
        <f>IFERROR(VLOOKUP($A27,TableHandbook[],H$2,FALSE),"")</f>
        <v/>
      </c>
      <c r="I27" s="173" t="str">
        <f>IFERROR(VLOOKUP($A27,TableHandbook[],I$2,FALSE),"")</f>
        <v/>
      </c>
      <c r="J27" s="172" t="str">
        <f>IFERROR(VLOOKUP($A27,TableHandbook[],J$2,FALSE),"")</f>
        <v/>
      </c>
      <c r="K27" s="173" t="str">
        <f>IFERROR(VLOOKUP($A27,TableHandbook[],K$2,FALSE),"")</f>
        <v/>
      </c>
      <c r="L27" s="12"/>
      <c r="M27" s="174">
        <v>15</v>
      </c>
      <c r="N27" s="175"/>
      <c r="O27" s="175"/>
    </row>
    <row r="28" spans="1:16" s="184" customFormat="1" ht="20.100000000000001" customHeight="1" x14ac:dyDescent="0.15">
      <c r="A28" s="168" t="str">
        <f>IFERROR(IF(HLOOKUP($L$5,RangeUnitsets,M28,FALSE)=0,"",HLOOKUP($L$5,RangeUnitsets,M28,FALSE)),"")</f>
        <v/>
      </c>
      <c r="B28" s="169" t="str">
        <f>IFERROR(IF(VLOOKUP($A28,TableHandbook[],2,FALSE)=0,"",VLOOKUP($A28,TableHandbook[],2,FALSE)),"")</f>
        <v/>
      </c>
      <c r="C28" s="169" t="str">
        <f>IFERROR(IF(VLOOKUP($A28,TableHandbook[],3,FALSE)=0,"",VLOOKUP($A28,TableHandbook[],3,FALSE)),"")</f>
        <v/>
      </c>
      <c r="D28" s="185" t="str">
        <f>IFERROR(IF(VLOOKUP($A28,TableHandbook[],4,FALSE)=0,"",VLOOKUP($A28,TableHandbook[],4,FALSE)),"")</f>
        <v/>
      </c>
      <c r="E28" s="169" t="str">
        <f t="shared" ref="E28:E29" si="4">IF(A28="","",E27)</f>
        <v/>
      </c>
      <c r="F28" s="171" t="str">
        <f>IFERROR(IF(VLOOKUP($A28,TableHandbook[],6,FALSE)=0,"",VLOOKUP($A28,TableHandbook[],6,FALSE)),"")</f>
        <v/>
      </c>
      <c r="G28" s="169" t="str">
        <f>IFERROR(IF(VLOOKUP($A28,TableHandbook[],5,FALSE)=0,"",VLOOKUP($A28,TableHandbook[],5,FALSE)),"")</f>
        <v/>
      </c>
      <c r="H28" s="172" t="str">
        <f>IFERROR(VLOOKUP($A28,TableHandbook[],H$2,FALSE),"")</f>
        <v/>
      </c>
      <c r="I28" s="173" t="str">
        <f>IFERROR(VLOOKUP($A28,TableHandbook[],I$2,FALSE),"")</f>
        <v/>
      </c>
      <c r="J28" s="172" t="str">
        <f>IFERROR(VLOOKUP($A28,TableHandbook[],J$2,FALSE),"")</f>
        <v/>
      </c>
      <c r="K28" s="173" t="str">
        <f>IFERROR(VLOOKUP($A28,TableHandbook[],K$2,FALSE),"")</f>
        <v/>
      </c>
      <c r="L28" s="12"/>
      <c r="M28" s="174">
        <v>16</v>
      </c>
      <c r="N28" s="183"/>
      <c r="O28" s="183"/>
    </row>
    <row r="29" spans="1:16" s="184" customFormat="1" ht="20.100000000000001" customHeight="1" x14ac:dyDescent="0.15">
      <c r="A29" s="168" t="str">
        <f>IFERROR(IF(HLOOKUP($L$5,RangeUnitsets,M29,FALSE)=0,"",HLOOKUP($L$5,RangeUnitsets,M29,FALSE)),"")</f>
        <v/>
      </c>
      <c r="B29" s="169" t="str">
        <f>IFERROR(IF(VLOOKUP($A29,TableHandbook[],2,FALSE)=0,"",VLOOKUP($A29,TableHandbook[],2,FALSE)),"")</f>
        <v/>
      </c>
      <c r="C29" s="169" t="str">
        <f>IFERROR(IF(VLOOKUP($A29,TableHandbook[],3,FALSE)=0,"",VLOOKUP($A29,TableHandbook[],3,FALSE)),"")</f>
        <v/>
      </c>
      <c r="D29" s="185" t="str">
        <f>IFERROR(IF(VLOOKUP($A29,TableHandbook[],4,FALSE)=0,"",VLOOKUP($A29,TableHandbook[],4,FALSE)),"")</f>
        <v/>
      </c>
      <c r="E29" s="169" t="str">
        <f t="shared" si="4"/>
        <v/>
      </c>
      <c r="F29" s="171" t="str">
        <f>IFERROR(IF(VLOOKUP($A29,TableHandbook[],6,FALSE)=0,"",VLOOKUP($A29,TableHandbook[],6,FALSE)),"")</f>
        <v/>
      </c>
      <c r="G29" s="169" t="str">
        <f>IFERROR(IF(VLOOKUP($A29,TableHandbook[],5,FALSE)=0,"",VLOOKUP($A29,TableHandbook[],5,FALSE)),"")</f>
        <v/>
      </c>
      <c r="H29" s="172" t="str">
        <f>IFERROR(VLOOKUP($A29,TableHandbook[],H$2,FALSE),"")</f>
        <v/>
      </c>
      <c r="I29" s="173" t="str">
        <f>IFERROR(VLOOKUP($A29,TableHandbook[],I$2,FALSE),"")</f>
        <v/>
      </c>
      <c r="J29" s="172" t="str">
        <f>IFERROR(VLOOKUP($A29,TableHandbook[],J$2,FALSE),"")</f>
        <v/>
      </c>
      <c r="K29" s="173" t="str">
        <f>IFERROR(VLOOKUP($A29,TableHandbook[],K$2,FALSE),"")</f>
        <v/>
      </c>
      <c r="L29" s="12"/>
      <c r="M29" s="174">
        <v>17</v>
      </c>
      <c r="N29" s="183"/>
      <c r="O29" s="183"/>
    </row>
    <row r="30" spans="1:16" s="164" customFormat="1" ht="21" x14ac:dyDescent="0.25">
      <c r="A30" s="157" t="s">
        <v>33</v>
      </c>
      <c r="B30" s="157"/>
      <c r="C30" s="157"/>
      <c r="D30" s="186" t="s">
        <v>3</v>
      </c>
      <c r="E30" s="165" t="s">
        <v>24</v>
      </c>
      <c r="F30" s="165" t="s">
        <v>25</v>
      </c>
      <c r="G30" s="157" t="s">
        <v>26</v>
      </c>
      <c r="H30" s="166" t="str">
        <f>H$10</f>
        <v>Sem1 BEN</v>
      </c>
      <c r="I30" s="167" t="str">
        <f t="shared" ref="I30:L30" si="5">I$10</f>
        <v>Sem1 FO</v>
      </c>
      <c r="J30" s="166" t="str">
        <f t="shared" si="5"/>
        <v>Sem2 BEN</v>
      </c>
      <c r="K30" s="167" t="str">
        <f t="shared" si="5"/>
        <v>Sem2 FO</v>
      </c>
      <c r="L30" s="157" t="str">
        <f t="shared" si="5"/>
        <v>Notes / Progress</v>
      </c>
      <c r="M30" s="187"/>
      <c r="N30" s="163"/>
      <c r="O30" s="163"/>
    </row>
    <row r="31" spans="1:16" s="176" customFormat="1" ht="20.100000000000001" customHeight="1" x14ac:dyDescent="0.15">
      <c r="A31" s="168" t="str">
        <f>IFERROR(IF(HLOOKUP($L$5,RangeUnitsets,M31,FALSE)=0,"",HLOOKUP($L$5,RangeUnitsets,M31,FALSE)),"")</f>
        <v/>
      </c>
      <c r="B31" s="169" t="str">
        <f>IFERROR(IF(VLOOKUP($A31,TableHandbook[],2,FALSE)=0,"",VLOOKUP($A31,TableHandbook[],2,FALSE)),"")</f>
        <v/>
      </c>
      <c r="C31" s="169" t="str">
        <f>IFERROR(IF(VLOOKUP($A31,TableHandbook[],3,FALSE)=0,"",VLOOKUP($A31,TableHandbook[],3,FALSE)),"")</f>
        <v/>
      </c>
      <c r="D31" s="170" t="str">
        <f>IFERROR(IF(VLOOKUP($A31,TableHandbook[],4,FALSE)=0,"",VLOOKUP($A31,TableHandbook[],4,FALSE)),"")</f>
        <v/>
      </c>
      <c r="E31" s="169" t="str">
        <f>IF(A31="","",VLOOKUP($D$8,TableStudyPeriod[],2,FALSE))</f>
        <v/>
      </c>
      <c r="F31" s="171" t="str">
        <f>IFERROR(IF(VLOOKUP($A31,TableHandbook[],6,FALSE)=0,"",VLOOKUP($A31,TableHandbook[],6,FALSE)),"")</f>
        <v/>
      </c>
      <c r="G31" s="169" t="str">
        <f>IFERROR(IF(VLOOKUP($A31,TableHandbook[],5,FALSE)=0,"",VLOOKUP($A31,TableHandbook[],5,FALSE)),"")</f>
        <v/>
      </c>
      <c r="H31" s="172" t="str">
        <f>IFERROR(VLOOKUP($A31,TableHandbook[],H$2,FALSE),"")</f>
        <v/>
      </c>
      <c r="I31" s="173" t="str">
        <f>IFERROR(VLOOKUP($A31,TableHandbook[],I$2,FALSE),"")</f>
        <v/>
      </c>
      <c r="J31" s="172" t="str">
        <f>IFERROR(VLOOKUP($A31,TableHandbook[],J$2,FALSE),"")</f>
        <v/>
      </c>
      <c r="K31" s="173" t="str">
        <f>IFERROR(VLOOKUP($A31,TableHandbook[],K$2,FALSE),"")</f>
        <v/>
      </c>
      <c r="L31" s="12"/>
      <c r="M31" s="174">
        <v>18</v>
      </c>
      <c r="N31" s="175"/>
      <c r="O31" s="175"/>
    </row>
    <row r="32" spans="1:16" s="176" customFormat="1" ht="20.100000000000001" customHeight="1" x14ac:dyDescent="0.15">
      <c r="A32" s="168" t="str">
        <f>IFERROR(IF(HLOOKUP($L$5,RangeUnitsets,M32,FALSE)=0,"",HLOOKUP($L$5,RangeUnitsets,M32,FALSE)),"")</f>
        <v/>
      </c>
      <c r="B32" s="169" t="str">
        <f>IFERROR(IF(VLOOKUP($A32,TableHandbook[],2,FALSE)=0,"",VLOOKUP($A32,TableHandbook[],2,FALSE)),"")</f>
        <v/>
      </c>
      <c r="C32" s="169" t="str">
        <f>IFERROR(IF(VLOOKUP($A32,TableHandbook[],3,FALSE)=0,"",VLOOKUP($A32,TableHandbook[],3,FALSE)),"")</f>
        <v/>
      </c>
      <c r="D32" s="185" t="str">
        <f>IFERROR(IF(VLOOKUP($A32,TableHandbook[],4,FALSE)=0,"",VLOOKUP($A32,TableHandbook[],4,FALSE)),"")</f>
        <v/>
      </c>
      <c r="E32" s="169" t="str">
        <f>IF(A32="","",E31)</f>
        <v/>
      </c>
      <c r="F32" s="171" t="str">
        <f>IFERROR(IF(VLOOKUP($A32,TableHandbook[],6,FALSE)=0,"",VLOOKUP($A32,TableHandbook[],6,FALSE)),"")</f>
        <v/>
      </c>
      <c r="G32" s="169" t="str">
        <f>IFERROR(IF(VLOOKUP($A32,TableHandbook[],5,FALSE)=0,"",VLOOKUP($A32,TableHandbook[],5,FALSE)),"")</f>
        <v/>
      </c>
      <c r="H32" s="172" t="str">
        <f>IFERROR(VLOOKUP($A32,TableHandbook[],H$2,FALSE),"")</f>
        <v/>
      </c>
      <c r="I32" s="173" t="str">
        <f>IFERROR(VLOOKUP($A32,TableHandbook[],I$2,FALSE),"")</f>
        <v/>
      </c>
      <c r="J32" s="172" t="str">
        <f>IFERROR(VLOOKUP($A32,TableHandbook[],J$2,FALSE),"")</f>
        <v/>
      </c>
      <c r="K32" s="173" t="str">
        <f>IFERROR(VLOOKUP($A32,TableHandbook[],K$2,FALSE),"")</f>
        <v/>
      </c>
      <c r="L32" s="12"/>
      <c r="M32" s="174">
        <v>19</v>
      </c>
      <c r="N32" s="175"/>
      <c r="O32" s="175"/>
    </row>
    <row r="33" spans="1:16" s="176" customFormat="1" ht="20.100000000000001" customHeight="1" x14ac:dyDescent="0.15">
      <c r="A33" s="168" t="str">
        <f>IFERROR(IF(HLOOKUP($L$5,RangeUnitsets,M33,FALSE)=0,"",HLOOKUP($L$5,RangeUnitsets,M33,FALSE)),"")</f>
        <v/>
      </c>
      <c r="B33" s="169" t="str">
        <f>IFERROR(IF(VLOOKUP($A33,TableHandbook[],2,FALSE)=0,"",VLOOKUP($A33,TableHandbook[],2,FALSE)),"")</f>
        <v/>
      </c>
      <c r="C33" s="169" t="str">
        <f>IFERROR(IF(VLOOKUP($A33,TableHandbook[],3,FALSE)=0,"",VLOOKUP($A33,TableHandbook[],3,FALSE)),"")</f>
        <v/>
      </c>
      <c r="D33" s="185" t="str">
        <f>IFERROR(IF(VLOOKUP($A33,TableHandbook[],4,FALSE)=0,"",VLOOKUP($A33,TableHandbook[],4,FALSE)),"")</f>
        <v/>
      </c>
      <c r="E33" s="169" t="str">
        <f t="shared" ref="E33:E34" si="6">IF(A33="","",E32)</f>
        <v/>
      </c>
      <c r="F33" s="171" t="str">
        <f>IFERROR(IF(VLOOKUP($A33,TableHandbook[],6,FALSE)=0,"",VLOOKUP($A33,TableHandbook[],6,FALSE)),"")</f>
        <v/>
      </c>
      <c r="G33" s="169" t="str">
        <f>IFERROR(IF(VLOOKUP($A33,TableHandbook[],5,FALSE)=0,"",VLOOKUP($A33,TableHandbook[],5,FALSE)),"")</f>
        <v/>
      </c>
      <c r="H33" s="172" t="str">
        <f>IFERROR(VLOOKUP($A33,TableHandbook[],H$2,FALSE),"")</f>
        <v/>
      </c>
      <c r="I33" s="173" t="str">
        <f>IFERROR(VLOOKUP($A33,TableHandbook[],I$2,FALSE),"")</f>
        <v/>
      </c>
      <c r="J33" s="172" t="str">
        <f>IFERROR(VLOOKUP($A33,TableHandbook[],J$2,FALSE),"")</f>
        <v/>
      </c>
      <c r="K33" s="173" t="str">
        <f>IFERROR(VLOOKUP($A33,TableHandbook[],K$2,FALSE),"")</f>
        <v/>
      </c>
      <c r="L33" s="12"/>
      <c r="M33" s="174">
        <v>20</v>
      </c>
      <c r="N33" s="175"/>
      <c r="O33" s="175"/>
    </row>
    <row r="34" spans="1:16" s="176" customFormat="1" ht="20.100000000000001" customHeight="1" x14ac:dyDescent="0.15">
      <c r="A34" s="168" t="str">
        <f>IFERROR(IF(HLOOKUP($L$5,RangeUnitsets,M34,FALSE)=0,"",HLOOKUP($L$5,RangeUnitsets,M34,FALSE)),"")</f>
        <v/>
      </c>
      <c r="B34" s="169" t="str">
        <f>IFERROR(IF(VLOOKUP($A34,TableHandbook[],2,FALSE)=0,"",VLOOKUP($A34,TableHandbook[],2,FALSE)),"")</f>
        <v/>
      </c>
      <c r="C34" s="169" t="str">
        <f>IFERROR(IF(VLOOKUP($A34,TableHandbook[],3,FALSE)=0,"",VLOOKUP($A34,TableHandbook[],3,FALSE)),"")</f>
        <v/>
      </c>
      <c r="D34" s="185" t="str">
        <f>IFERROR(IF(VLOOKUP($A34,TableHandbook[],4,FALSE)=0,"",VLOOKUP($A34,TableHandbook[],4,FALSE)),"")</f>
        <v/>
      </c>
      <c r="E34" s="169" t="str">
        <f t="shared" si="6"/>
        <v/>
      </c>
      <c r="F34" s="171" t="str">
        <f>IFERROR(IF(VLOOKUP($A34,TableHandbook[],6,FALSE)=0,"",VLOOKUP($A34,TableHandbook[],6,FALSE)),"")</f>
        <v/>
      </c>
      <c r="G34" s="169" t="str">
        <f>IFERROR(IF(VLOOKUP($A34,TableHandbook[],5,FALSE)=0,"",VLOOKUP($A34,TableHandbook[],5,FALSE)),"")</f>
        <v/>
      </c>
      <c r="H34" s="172" t="str">
        <f>IFERROR(VLOOKUP($A34,TableHandbook[],H$2,FALSE),"")</f>
        <v/>
      </c>
      <c r="I34" s="173" t="str">
        <f>IFERROR(VLOOKUP($A34,TableHandbook[],I$2,FALSE),"")</f>
        <v/>
      </c>
      <c r="J34" s="172" t="str">
        <f>IFERROR(VLOOKUP($A34,TableHandbook[],J$2,FALSE),"")</f>
        <v/>
      </c>
      <c r="K34" s="173" t="str">
        <f>IFERROR(VLOOKUP($A34,TableHandbook[],K$2,FALSE),"")</f>
        <v/>
      </c>
      <c r="L34" s="12"/>
      <c r="M34" s="174">
        <v>21</v>
      </c>
      <c r="N34" s="175"/>
      <c r="O34" s="175"/>
    </row>
    <row r="35" spans="1:16" s="176" customFormat="1" ht="5.0999999999999996" customHeight="1" x14ac:dyDescent="0.15">
      <c r="A35" s="177"/>
      <c r="B35" s="178"/>
      <c r="C35" s="178"/>
      <c r="D35" s="179"/>
      <c r="E35" s="178"/>
      <c r="F35" s="180"/>
      <c r="G35" s="178"/>
      <c r="H35" s="181"/>
      <c r="I35" s="182"/>
      <c r="J35" s="181"/>
      <c r="K35" s="182"/>
      <c r="L35" s="95"/>
      <c r="M35" s="174"/>
      <c r="N35" s="175"/>
      <c r="O35" s="175"/>
      <c r="P35" s="175"/>
    </row>
    <row r="36" spans="1:16" s="176" customFormat="1" ht="20.100000000000001" customHeight="1" x14ac:dyDescent="0.15">
      <c r="A36" s="168" t="str">
        <f>IFERROR(IF(HLOOKUP($L$5,RangeUnitsets,M36,FALSE)=0,"",HLOOKUP($L$5,RangeUnitsets,M36,FALSE)),"")</f>
        <v/>
      </c>
      <c r="B36" s="169" t="str">
        <f>IFERROR(IF(VLOOKUP($A36,TableHandbook[],2,FALSE)=0,"",VLOOKUP($A36,TableHandbook[],2,FALSE)),"")</f>
        <v/>
      </c>
      <c r="C36" s="169" t="str">
        <f>IFERROR(IF(VLOOKUP($A36,TableHandbook[],3,FALSE)=0,"",VLOOKUP($A36,TableHandbook[],3,FALSE)),"")</f>
        <v/>
      </c>
      <c r="D36" s="185" t="str">
        <f>IFERROR(IF(VLOOKUP($A36,TableHandbook[],4,FALSE)=0,"",VLOOKUP($A36,TableHandbook[],4,FALSE)),"")</f>
        <v/>
      </c>
      <c r="E36" s="169" t="str">
        <f>IF(A36="","",VLOOKUP($D$8,TableStudyPeriod[],3,FALSE))</f>
        <v/>
      </c>
      <c r="F36" s="171" t="str">
        <f>IFERROR(IF(VLOOKUP($A36,TableHandbook[],6,FALSE)=0,"",VLOOKUP($A36,TableHandbook[],6,FALSE)),"")</f>
        <v/>
      </c>
      <c r="G36" s="169" t="str">
        <f>IFERROR(IF(VLOOKUP($A36,TableHandbook[],5,FALSE)=0,"",VLOOKUP($A36,TableHandbook[],5,FALSE)),"")</f>
        <v/>
      </c>
      <c r="H36" s="172" t="str">
        <f>IFERROR(VLOOKUP($A36,TableHandbook[],H$2,FALSE),"")</f>
        <v/>
      </c>
      <c r="I36" s="173" t="str">
        <f>IFERROR(VLOOKUP($A36,TableHandbook[],I$2,FALSE),"")</f>
        <v/>
      </c>
      <c r="J36" s="172" t="str">
        <f>IFERROR(VLOOKUP($A36,TableHandbook[],J$2,FALSE),"")</f>
        <v/>
      </c>
      <c r="K36" s="173" t="str">
        <f>IFERROR(VLOOKUP($A36,TableHandbook[],K$2,FALSE),"")</f>
        <v/>
      </c>
      <c r="L36" s="12"/>
      <c r="M36" s="174">
        <v>22</v>
      </c>
      <c r="N36" s="175"/>
      <c r="O36" s="175"/>
    </row>
    <row r="37" spans="1:16" s="176" customFormat="1" ht="20.100000000000001" customHeight="1" x14ac:dyDescent="0.15">
      <c r="A37" s="168" t="str">
        <f>IFERROR(IF(HLOOKUP($L$5,RangeUnitsets,M37,FALSE)=0,"",HLOOKUP($L$5,RangeUnitsets,M37,FALSE)),"")</f>
        <v/>
      </c>
      <c r="B37" s="169" t="str">
        <f>IFERROR(IF(VLOOKUP($A37,TableHandbook[],2,FALSE)=0,"",VLOOKUP($A37,TableHandbook[],2,FALSE)),"")</f>
        <v/>
      </c>
      <c r="C37" s="169" t="str">
        <f>IFERROR(IF(VLOOKUP($A37,TableHandbook[],3,FALSE)=0,"",VLOOKUP($A37,TableHandbook[],3,FALSE)),"")</f>
        <v/>
      </c>
      <c r="D37" s="185" t="str">
        <f>IFERROR(IF(VLOOKUP($A37,TableHandbook[],4,FALSE)=0,"",VLOOKUP($A37,TableHandbook[],4,FALSE)),"")</f>
        <v/>
      </c>
      <c r="E37" s="169" t="str">
        <f>IF(A37="","",E36)</f>
        <v/>
      </c>
      <c r="F37" s="171" t="str">
        <f>IFERROR(IF(VLOOKUP($A37,TableHandbook[],6,FALSE)=0,"",VLOOKUP($A37,TableHandbook[],6,FALSE)),"")</f>
        <v/>
      </c>
      <c r="G37" s="169" t="str">
        <f>IFERROR(IF(VLOOKUP($A37,TableHandbook[],5,FALSE)=0,"",VLOOKUP($A37,TableHandbook[],5,FALSE)),"")</f>
        <v/>
      </c>
      <c r="H37" s="172" t="str">
        <f>IFERROR(VLOOKUP($A37,TableHandbook[],H$2,FALSE),"")</f>
        <v/>
      </c>
      <c r="I37" s="173" t="str">
        <f>IFERROR(VLOOKUP($A37,TableHandbook[],I$2,FALSE),"")</f>
        <v/>
      </c>
      <c r="J37" s="172" t="str">
        <f>IFERROR(VLOOKUP($A37,TableHandbook[],J$2,FALSE),"")</f>
        <v/>
      </c>
      <c r="K37" s="173" t="str">
        <f>IFERROR(VLOOKUP($A37,TableHandbook[],K$2,FALSE),"")</f>
        <v/>
      </c>
      <c r="L37" s="12"/>
      <c r="M37" s="174">
        <v>23</v>
      </c>
      <c r="N37" s="175"/>
      <c r="O37" s="175"/>
    </row>
    <row r="38" spans="1:16" s="184" customFormat="1" ht="20.100000000000001" customHeight="1" x14ac:dyDescent="0.15">
      <c r="A38" s="168" t="str">
        <f>IFERROR(IF(HLOOKUP($L$5,RangeUnitsets,M38,FALSE)=0,"",HLOOKUP($L$5,RangeUnitsets,M38,FALSE)),"")</f>
        <v/>
      </c>
      <c r="B38" s="169" t="str">
        <f>IFERROR(IF(VLOOKUP($A38,TableHandbook[],2,FALSE)=0,"",VLOOKUP($A38,TableHandbook[],2,FALSE)),"")</f>
        <v/>
      </c>
      <c r="C38" s="169" t="str">
        <f>IFERROR(IF(VLOOKUP($A38,TableHandbook[],3,FALSE)=0,"",VLOOKUP($A38,TableHandbook[],3,FALSE)),"")</f>
        <v/>
      </c>
      <c r="D38" s="185" t="str">
        <f>IFERROR(IF(VLOOKUP($A38,TableHandbook[],4,FALSE)=0,"",VLOOKUP($A38,TableHandbook[],4,FALSE)),"")</f>
        <v/>
      </c>
      <c r="E38" s="169" t="str">
        <f t="shared" ref="E38:E39" si="7">IF(A38="","",E37)</f>
        <v/>
      </c>
      <c r="F38" s="171" t="str">
        <f>IFERROR(IF(VLOOKUP($A38,TableHandbook[],6,FALSE)=0,"",VLOOKUP($A38,TableHandbook[],6,FALSE)),"")</f>
        <v/>
      </c>
      <c r="G38" s="169" t="str">
        <f>IFERROR(IF(VLOOKUP($A38,TableHandbook[],5,FALSE)=0,"",VLOOKUP($A38,TableHandbook[],5,FALSE)),"")</f>
        <v/>
      </c>
      <c r="H38" s="172" t="str">
        <f>IFERROR(VLOOKUP($A38,TableHandbook[],H$2,FALSE),"")</f>
        <v/>
      </c>
      <c r="I38" s="173" t="str">
        <f>IFERROR(VLOOKUP($A38,TableHandbook[],I$2,FALSE),"")</f>
        <v/>
      </c>
      <c r="J38" s="172" t="str">
        <f>IFERROR(VLOOKUP($A38,TableHandbook[],J$2,FALSE),"")</f>
        <v/>
      </c>
      <c r="K38" s="173" t="str">
        <f>IFERROR(VLOOKUP($A38,TableHandbook[],K$2,FALSE),"")</f>
        <v/>
      </c>
      <c r="L38" s="12"/>
      <c r="M38" s="174">
        <v>24</v>
      </c>
      <c r="N38" s="183"/>
      <c r="O38" s="183"/>
    </row>
    <row r="39" spans="1:16" s="184" customFormat="1" ht="20.100000000000001" customHeight="1" x14ac:dyDescent="0.15">
      <c r="A39" s="168" t="str">
        <f>IFERROR(IF(HLOOKUP($L$5,RangeUnitsets,M39,FALSE)=0,"",HLOOKUP($L$5,RangeUnitsets,M39,FALSE)),"")</f>
        <v/>
      </c>
      <c r="B39" s="169" t="str">
        <f>IFERROR(IF(VLOOKUP($A39,TableHandbook[],2,FALSE)=0,"",VLOOKUP($A39,TableHandbook[],2,FALSE)),"")</f>
        <v/>
      </c>
      <c r="C39" s="169" t="str">
        <f>IFERROR(IF(VLOOKUP($A39,TableHandbook[],3,FALSE)=0,"",VLOOKUP($A39,TableHandbook[],3,FALSE)),"")</f>
        <v/>
      </c>
      <c r="D39" s="185" t="str">
        <f>IFERROR(IF(VLOOKUP($A39,TableHandbook[],4,FALSE)=0,"",VLOOKUP($A39,TableHandbook[],4,FALSE)),"")</f>
        <v/>
      </c>
      <c r="E39" s="169" t="str">
        <f t="shared" si="7"/>
        <v/>
      </c>
      <c r="F39" s="171" t="str">
        <f>IFERROR(IF(VLOOKUP($A39,TableHandbook[],6,FALSE)=0,"",VLOOKUP($A39,TableHandbook[],6,FALSE)),"")</f>
        <v/>
      </c>
      <c r="G39" s="169" t="str">
        <f>IFERROR(IF(VLOOKUP($A39,TableHandbook[],5,FALSE)=0,"",VLOOKUP($A39,TableHandbook[],5,FALSE)),"")</f>
        <v/>
      </c>
      <c r="H39" s="172" t="str">
        <f>IFERROR(VLOOKUP($A39,TableHandbook[],H$2,FALSE),"")</f>
        <v/>
      </c>
      <c r="I39" s="173" t="str">
        <f>IFERROR(VLOOKUP($A39,TableHandbook[],I$2,FALSE),"")</f>
        <v/>
      </c>
      <c r="J39" s="172" t="str">
        <f>IFERROR(VLOOKUP($A39,TableHandbook[],J$2,FALSE),"")</f>
        <v/>
      </c>
      <c r="K39" s="173" t="str">
        <f>IFERROR(VLOOKUP($A39,TableHandbook[],K$2,FALSE),"")</f>
        <v/>
      </c>
      <c r="L39" s="12"/>
      <c r="M39" s="174">
        <v>25</v>
      </c>
      <c r="N39" s="183"/>
      <c r="O39" s="183"/>
    </row>
    <row r="40" spans="1:16" s="193" customFormat="1" ht="13.9" customHeight="1" x14ac:dyDescent="0.2">
      <c r="A40" s="188"/>
      <c r="B40" s="188"/>
      <c r="C40" s="188"/>
      <c r="D40" s="189"/>
      <c r="E40" s="189"/>
      <c r="F40" s="190"/>
      <c r="G40" s="191"/>
      <c r="H40" s="191"/>
      <c r="I40" s="191"/>
      <c r="J40" s="191"/>
      <c r="K40" s="191"/>
      <c r="L40" s="191"/>
      <c r="M40" s="192"/>
      <c r="N40" s="192"/>
      <c r="O40" s="192"/>
    </row>
    <row r="41" spans="1:16" ht="20.25" x14ac:dyDescent="0.25">
      <c r="A41" s="194" t="s">
        <v>479</v>
      </c>
      <c r="B41" s="195"/>
      <c r="C41" s="195"/>
      <c r="D41" s="196"/>
      <c r="E41" s="197"/>
      <c r="F41" s="198"/>
      <c r="G41" s="197"/>
      <c r="H41" s="199" t="str">
        <f>H$9</f>
        <v>2025 Availabilities</v>
      </c>
      <c r="I41" s="200"/>
      <c r="J41" s="201"/>
      <c r="K41" s="202"/>
      <c r="L41" s="203"/>
    </row>
    <row r="42" spans="1:16" s="211" customFormat="1" ht="21" x14ac:dyDescent="0.25">
      <c r="A42" s="204" t="s">
        <v>35</v>
      </c>
      <c r="B42" s="205"/>
      <c r="C42" s="205"/>
      <c r="D42" s="206"/>
      <c r="E42" s="207"/>
      <c r="F42" s="208" t="s">
        <v>25</v>
      </c>
      <c r="G42" s="157" t="s">
        <v>26</v>
      </c>
      <c r="H42" s="166" t="str">
        <f>H$10</f>
        <v>Sem1 BEN</v>
      </c>
      <c r="I42" s="209" t="str">
        <f t="shared" ref="I42:L42" si="8">I$10</f>
        <v>Sem1 FO</v>
      </c>
      <c r="J42" s="210" t="str">
        <f t="shared" si="8"/>
        <v>Sem2 BEN</v>
      </c>
      <c r="K42" s="167" t="str">
        <f t="shared" si="8"/>
        <v>Sem2 FO</v>
      </c>
      <c r="L42" s="208" t="str">
        <f t="shared" si="8"/>
        <v>Notes / Progress</v>
      </c>
    </row>
    <row r="43" spans="1:16" x14ac:dyDescent="0.25">
      <c r="A43" s="212" t="str">
        <f t="shared" ref="A43:A62" si="9">IFERROR(IF(HLOOKUP($L$6,RangeMajorOptions,M43,FALSE)=0,"",HLOOKUP($L$6,RangeMajorOptions,M43,FALSE)),"")</f>
        <v/>
      </c>
      <c r="B43" s="213" t="str">
        <f>IFERROR(IF(VLOOKUP($A43,TableHandbook[],2,FALSE)=0,"",VLOOKUP($A43,TableHandbook[],2,FALSE)),"")</f>
        <v/>
      </c>
      <c r="C43" s="214" t="str">
        <f>IFERROR(IF(VLOOKUP($A43,TableHandbook[],3,FALSE)=0,"",VLOOKUP($A43,TableHandbook[],3,FALSE)),"")</f>
        <v/>
      </c>
      <c r="D43" s="214" t="str">
        <f>IFERROR(IF(VLOOKUP($A43,TableHandbook[],4,FALSE)=0,"",VLOOKUP($A43,TableHandbook[],4,FALSE)),"")</f>
        <v/>
      </c>
      <c r="E43" s="215"/>
      <c r="F43" s="216" t="str">
        <f>IFERROR(IF(VLOOKUP($A43,TableHandbook[],6,FALSE)=0,"",VLOOKUP($A43,TableHandbook[],6,FALSE)),"")</f>
        <v/>
      </c>
      <c r="G43" s="217" t="str">
        <f>IFERROR(IF(VLOOKUP($A43,TableHandbook[],5,FALSE)=0,"",VLOOKUP($A43,TableHandbook[],5,FALSE)),"")</f>
        <v/>
      </c>
      <c r="H43" s="218" t="str">
        <f>IFERROR(VLOOKUP($A43,TableHandbook[],H$2,FALSE),"")</f>
        <v/>
      </c>
      <c r="I43" s="219" t="str">
        <f>IFERROR(VLOOKUP($A43,TableHandbook[],I$2,FALSE),"")</f>
        <v/>
      </c>
      <c r="J43" s="218" t="str">
        <f>IFERROR(VLOOKUP($A43,TableHandbook[],J$2,FALSE),"")</f>
        <v/>
      </c>
      <c r="K43" s="219" t="str">
        <f>IFERROR(VLOOKUP($A43,TableHandbook[],K$2,FALSE),"")</f>
        <v/>
      </c>
      <c r="L43" s="12"/>
      <c r="M43" s="174">
        <v>2</v>
      </c>
    </row>
    <row r="44" spans="1:16" x14ac:dyDescent="0.25">
      <c r="A44" s="212" t="str">
        <f t="shared" si="9"/>
        <v/>
      </c>
      <c r="B44" s="213" t="str">
        <f>IFERROR(IF(VLOOKUP($A44,TableHandbook[],2,FALSE)=0,"",VLOOKUP($A44,TableHandbook[],2,FALSE)),"")</f>
        <v/>
      </c>
      <c r="C44" s="214" t="str">
        <f>IFERROR(IF(VLOOKUP($A44,TableHandbook[],3,FALSE)=0,"",VLOOKUP($A44,TableHandbook[],3,FALSE)),"")</f>
        <v/>
      </c>
      <c r="D44" s="214" t="str">
        <f>IFERROR(IF(VLOOKUP($A44,TableHandbook[],4,FALSE)=0,"",VLOOKUP($A44,TableHandbook[],4,FALSE)),"")</f>
        <v/>
      </c>
      <c r="E44" s="215"/>
      <c r="F44" s="216" t="str">
        <f>IFERROR(IF(VLOOKUP($A44,TableHandbook[],6,FALSE)=0,"",VLOOKUP($A44,TableHandbook[],6,FALSE)),"")</f>
        <v/>
      </c>
      <c r="G44" s="217" t="str">
        <f>IFERROR(IF(VLOOKUP($A44,TableHandbook[],5,FALSE)=0,"",VLOOKUP($A44,TableHandbook[],5,FALSE)),"")</f>
        <v/>
      </c>
      <c r="H44" s="218" t="str">
        <f>IFERROR(VLOOKUP($A44,TableHandbook[],H$2,FALSE),"")</f>
        <v/>
      </c>
      <c r="I44" s="219" t="str">
        <f>IFERROR(VLOOKUP($A44,TableHandbook[],I$2,FALSE),"")</f>
        <v/>
      </c>
      <c r="J44" s="218" t="str">
        <f>IFERROR(VLOOKUP($A44,TableHandbook[],J$2,FALSE),"")</f>
        <v/>
      </c>
      <c r="K44" s="219" t="str">
        <f>IFERROR(VLOOKUP($A44,TableHandbook[],K$2,FALSE),"")</f>
        <v/>
      </c>
      <c r="L44" s="12"/>
      <c r="M44" s="174">
        <v>3</v>
      </c>
    </row>
    <row r="45" spans="1:16" x14ac:dyDescent="0.25">
      <c r="A45" s="212" t="str">
        <f t="shared" si="9"/>
        <v/>
      </c>
      <c r="B45" s="213" t="str">
        <f>IFERROR(IF(VLOOKUP($A45,TableHandbook[],2,FALSE)=0,"",VLOOKUP($A45,TableHandbook[],2,FALSE)),"")</f>
        <v/>
      </c>
      <c r="C45" s="214" t="str">
        <f>IFERROR(IF(VLOOKUP($A45,TableHandbook[],3,FALSE)=0,"",VLOOKUP($A45,TableHandbook[],3,FALSE)),"")</f>
        <v/>
      </c>
      <c r="D45" s="214" t="str">
        <f>IFERROR(IF(VLOOKUP($A45,TableHandbook[],4,FALSE)=0,"",VLOOKUP($A45,TableHandbook[],4,FALSE)),"")</f>
        <v/>
      </c>
      <c r="E45" s="215"/>
      <c r="F45" s="216" t="str">
        <f>IFERROR(IF(VLOOKUP($A45,TableHandbook[],6,FALSE)=0,"",VLOOKUP($A45,TableHandbook[],6,FALSE)),"")</f>
        <v/>
      </c>
      <c r="G45" s="217" t="str">
        <f>IFERROR(IF(VLOOKUP($A45,TableHandbook[],5,FALSE)=0,"",VLOOKUP($A45,TableHandbook[],5,FALSE)),"")</f>
        <v/>
      </c>
      <c r="H45" s="218" t="str">
        <f>IFERROR(VLOOKUP($A45,TableHandbook[],H$2,FALSE),"")</f>
        <v/>
      </c>
      <c r="I45" s="219" t="str">
        <f>IFERROR(VLOOKUP($A45,TableHandbook[],I$2,FALSE),"")</f>
        <v/>
      </c>
      <c r="J45" s="218" t="str">
        <f>IFERROR(VLOOKUP($A45,TableHandbook[],J$2,FALSE),"")</f>
        <v/>
      </c>
      <c r="K45" s="219" t="str">
        <f>IFERROR(VLOOKUP($A45,TableHandbook[],K$2,FALSE),"")</f>
        <v/>
      </c>
      <c r="L45" s="12"/>
      <c r="M45" s="174">
        <v>4</v>
      </c>
    </row>
    <row r="46" spans="1:16" x14ac:dyDescent="0.25">
      <c r="A46" s="212" t="str">
        <f t="shared" si="9"/>
        <v/>
      </c>
      <c r="B46" s="213" t="str">
        <f>IFERROR(IF(VLOOKUP($A46,TableHandbook[],2,FALSE)=0,"",VLOOKUP($A46,TableHandbook[],2,FALSE)),"")</f>
        <v/>
      </c>
      <c r="C46" s="214" t="str">
        <f>IFERROR(IF(VLOOKUP($A46,TableHandbook[],3,FALSE)=0,"",VLOOKUP($A46,TableHandbook[],3,FALSE)),"")</f>
        <v/>
      </c>
      <c r="D46" s="214" t="str">
        <f>IFERROR(IF(VLOOKUP($A46,TableHandbook[],4,FALSE)=0,"",VLOOKUP($A46,TableHandbook[],4,FALSE)),"")</f>
        <v/>
      </c>
      <c r="E46" s="215"/>
      <c r="F46" s="216" t="str">
        <f>IFERROR(IF(VLOOKUP($A46,TableHandbook[],6,FALSE)=0,"",VLOOKUP($A46,TableHandbook[],6,FALSE)),"")</f>
        <v/>
      </c>
      <c r="G46" s="217" t="str">
        <f>IFERROR(IF(VLOOKUP($A46,TableHandbook[],5,FALSE)=0,"",VLOOKUP($A46,TableHandbook[],5,FALSE)),"")</f>
        <v/>
      </c>
      <c r="H46" s="218" t="str">
        <f>IFERROR(VLOOKUP($A46,TableHandbook[],H$2,FALSE),"")</f>
        <v/>
      </c>
      <c r="I46" s="219" t="str">
        <f>IFERROR(VLOOKUP($A46,TableHandbook[],I$2,FALSE),"")</f>
        <v/>
      </c>
      <c r="J46" s="218" t="str">
        <f>IFERROR(VLOOKUP($A46,TableHandbook[],J$2,FALSE),"")</f>
        <v/>
      </c>
      <c r="K46" s="219" t="str">
        <f>IFERROR(VLOOKUP($A46,TableHandbook[],K$2,FALSE),"")</f>
        <v/>
      </c>
      <c r="L46" s="12"/>
      <c r="M46" s="174">
        <v>5</v>
      </c>
    </row>
    <row r="47" spans="1:16" x14ac:dyDescent="0.25">
      <c r="A47" s="212" t="str">
        <f t="shared" si="9"/>
        <v/>
      </c>
      <c r="B47" s="213" t="str">
        <f>IFERROR(IF(VLOOKUP($A47,TableHandbook[],2,FALSE)=0,"",VLOOKUP($A47,TableHandbook[],2,FALSE)),"")</f>
        <v/>
      </c>
      <c r="C47" s="214" t="str">
        <f>IFERROR(IF(VLOOKUP($A47,TableHandbook[],3,FALSE)=0,"",VLOOKUP($A47,TableHandbook[],3,FALSE)),"")</f>
        <v/>
      </c>
      <c r="D47" s="214" t="str">
        <f>IFERROR(IF(VLOOKUP($A47,TableHandbook[],4,FALSE)=0,"",VLOOKUP($A47,TableHandbook[],4,FALSE)),"")</f>
        <v/>
      </c>
      <c r="E47" s="215"/>
      <c r="F47" s="216" t="str">
        <f>IFERROR(IF(VLOOKUP($A47,TableHandbook[],6,FALSE)=0,"",VLOOKUP($A47,TableHandbook[],6,FALSE)),"")</f>
        <v/>
      </c>
      <c r="G47" s="217" t="str">
        <f>IFERROR(IF(VLOOKUP($A47,TableHandbook[],5,FALSE)=0,"",VLOOKUP($A47,TableHandbook[],5,FALSE)),"")</f>
        <v/>
      </c>
      <c r="H47" s="218" t="str">
        <f>IFERROR(VLOOKUP($A47,TableHandbook[],H$2,FALSE),"")</f>
        <v/>
      </c>
      <c r="I47" s="219" t="str">
        <f>IFERROR(VLOOKUP($A47,TableHandbook[],I$2,FALSE),"")</f>
        <v/>
      </c>
      <c r="J47" s="218" t="str">
        <f>IFERROR(VLOOKUP($A47,TableHandbook[],J$2,FALSE),"")</f>
        <v/>
      </c>
      <c r="K47" s="219" t="str">
        <f>IFERROR(VLOOKUP($A47,TableHandbook[],K$2,FALSE),"")</f>
        <v/>
      </c>
      <c r="L47" s="12"/>
      <c r="M47" s="174">
        <v>6</v>
      </c>
    </row>
    <row r="48" spans="1:16" x14ac:dyDescent="0.25">
      <c r="A48" s="212" t="str">
        <f t="shared" si="9"/>
        <v/>
      </c>
      <c r="B48" s="213" t="str">
        <f>IFERROR(IF(VLOOKUP($A48,TableHandbook[],2,FALSE)=0,"",VLOOKUP($A48,TableHandbook[],2,FALSE)),"")</f>
        <v/>
      </c>
      <c r="C48" s="214" t="str">
        <f>IFERROR(IF(VLOOKUP($A48,TableHandbook[],3,FALSE)=0,"",VLOOKUP($A48,TableHandbook[],3,FALSE)),"")</f>
        <v/>
      </c>
      <c r="D48" s="214" t="str">
        <f>IFERROR(IF(VLOOKUP($A48,TableHandbook[],4,FALSE)=0,"",VLOOKUP($A48,TableHandbook[],4,FALSE)),"")</f>
        <v/>
      </c>
      <c r="E48" s="215"/>
      <c r="F48" s="216" t="str">
        <f>IFERROR(IF(VLOOKUP($A48,TableHandbook[],6,FALSE)=0,"",VLOOKUP($A48,TableHandbook[],6,FALSE)),"")</f>
        <v/>
      </c>
      <c r="G48" s="217" t="str">
        <f>IFERROR(IF(VLOOKUP($A48,TableHandbook[],5,FALSE)=0,"",VLOOKUP($A48,TableHandbook[],5,FALSE)),"")</f>
        <v/>
      </c>
      <c r="H48" s="218" t="str">
        <f>IFERROR(VLOOKUP($A48,TableHandbook[],H$2,FALSE),"")</f>
        <v/>
      </c>
      <c r="I48" s="219" t="str">
        <f>IFERROR(VLOOKUP($A48,TableHandbook[],I$2,FALSE),"")</f>
        <v/>
      </c>
      <c r="J48" s="218" t="str">
        <f>IFERROR(VLOOKUP($A48,TableHandbook[],J$2,FALSE),"")</f>
        <v/>
      </c>
      <c r="K48" s="219" t="str">
        <f>IFERROR(VLOOKUP($A48,TableHandbook[],K$2,FALSE),"")</f>
        <v/>
      </c>
      <c r="L48" s="12"/>
      <c r="M48" s="174">
        <v>7</v>
      </c>
    </row>
    <row r="49" spans="1:15" x14ac:dyDescent="0.25">
      <c r="A49" s="212" t="str">
        <f t="shared" si="9"/>
        <v/>
      </c>
      <c r="B49" s="213" t="str">
        <f>IFERROR(IF(VLOOKUP($A49,TableHandbook[],2,FALSE)=0,"",VLOOKUP($A49,TableHandbook[],2,FALSE)),"")</f>
        <v/>
      </c>
      <c r="C49" s="214" t="str">
        <f>IFERROR(IF(VLOOKUP($A49,TableHandbook[],3,FALSE)=0,"",VLOOKUP($A49,TableHandbook[],3,FALSE)),"")</f>
        <v/>
      </c>
      <c r="D49" s="214" t="str">
        <f>IFERROR(IF(VLOOKUP($A49,TableHandbook[],4,FALSE)=0,"",VLOOKUP($A49,TableHandbook[],4,FALSE)),"")</f>
        <v/>
      </c>
      <c r="E49" s="215"/>
      <c r="F49" s="216" t="str">
        <f>IFERROR(IF(VLOOKUP($A49,TableHandbook[],6,FALSE)=0,"",VLOOKUP($A49,TableHandbook[],6,FALSE)),"")</f>
        <v/>
      </c>
      <c r="G49" s="217" t="str">
        <f>IFERROR(IF(VLOOKUP($A49,TableHandbook[],5,FALSE)=0,"",VLOOKUP($A49,TableHandbook[],5,FALSE)),"")</f>
        <v/>
      </c>
      <c r="H49" s="218" t="str">
        <f>IFERROR(VLOOKUP($A49,TableHandbook[],H$2,FALSE),"")</f>
        <v/>
      </c>
      <c r="I49" s="219" t="str">
        <f>IFERROR(VLOOKUP($A49,TableHandbook[],I$2,FALSE),"")</f>
        <v/>
      </c>
      <c r="J49" s="218" t="str">
        <f>IFERROR(VLOOKUP($A49,TableHandbook[],J$2,FALSE),"")</f>
        <v/>
      </c>
      <c r="K49" s="219" t="str">
        <f>IFERROR(VLOOKUP($A49,TableHandbook[],K$2,FALSE),"")</f>
        <v/>
      </c>
      <c r="L49" s="12"/>
      <c r="M49" s="174">
        <v>8</v>
      </c>
    </row>
    <row r="50" spans="1:15" x14ac:dyDescent="0.25">
      <c r="A50" s="212" t="str">
        <f t="shared" si="9"/>
        <v/>
      </c>
      <c r="B50" s="213" t="str">
        <f>IFERROR(IF(VLOOKUP($A50,TableHandbook[],2,FALSE)=0,"",VLOOKUP($A50,TableHandbook[],2,FALSE)),"")</f>
        <v/>
      </c>
      <c r="C50" s="214" t="str">
        <f>IFERROR(IF(VLOOKUP($A50,TableHandbook[],3,FALSE)=0,"",VLOOKUP($A50,TableHandbook[],3,FALSE)),"")</f>
        <v/>
      </c>
      <c r="D50" s="214" t="str">
        <f>IFERROR(IF(VLOOKUP($A50,TableHandbook[],4,FALSE)=0,"",VLOOKUP($A50,TableHandbook[],4,FALSE)),"")</f>
        <v/>
      </c>
      <c r="E50" s="215"/>
      <c r="F50" s="216" t="str">
        <f>IFERROR(IF(VLOOKUP($A50,TableHandbook[],6,FALSE)=0,"",VLOOKUP($A50,TableHandbook[],6,FALSE)),"")</f>
        <v/>
      </c>
      <c r="G50" s="217" t="str">
        <f>IFERROR(IF(VLOOKUP($A50,TableHandbook[],5,FALSE)=0,"",VLOOKUP($A50,TableHandbook[],5,FALSE)),"")</f>
        <v/>
      </c>
      <c r="H50" s="218" t="str">
        <f>IFERROR(VLOOKUP($A50,TableHandbook[],H$2,FALSE),"")</f>
        <v/>
      </c>
      <c r="I50" s="219" t="str">
        <f>IFERROR(VLOOKUP($A50,TableHandbook[],I$2,FALSE),"")</f>
        <v/>
      </c>
      <c r="J50" s="218" t="str">
        <f>IFERROR(VLOOKUP($A50,TableHandbook[],J$2,FALSE),"")</f>
        <v/>
      </c>
      <c r="K50" s="219" t="str">
        <f>IFERROR(VLOOKUP($A50,TableHandbook[],K$2,FALSE),"")</f>
        <v/>
      </c>
      <c r="L50" s="12"/>
      <c r="M50" s="174">
        <v>9</v>
      </c>
    </row>
    <row r="51" spans="1:15" x14ac:dyDescent="0.25">
      <c r="A51" s="212" t="str">
        <f t="shared" si="9"/>
        <v/>
      </c>
      <c r="B51" s="213" t="str">
        <f>IFERROR(IF(VLOOKUP($A51,TableHandbook[],2,FALSE)=0,"",VLOOKUP($A51,TableHandbook[],2,FALSE)),"")</f>
        <v/>
      </c>
      <c r="C51" s="214" t="str">
        <f>IFERROR(IF(VLOOKUP($A51,TableHandbook[],3,FALSE)=0,"",VLOOKUP($A51,TableHandbook[],3,FALSE)),"")</f>
        <v/>
      </c>
      <c r="D51" s="214" t="str">
        <f>IFERROR(IF(VLOOKUP($A51,TableHandbook[],4,FALSE)=0,"",VLOOKUP($A51,TableHandbook[],4,FALSE)),"")</f>
        <v/>
      </c>
      <c r="E51" s="215"/>
      <c r="F51" s="216" t="str">
        <f>IFERROR(IF(VLOOKUP($A51,TableHandbook[],6,FALSE)=0,"",VLOOKUP($A51,TableHandbook[],6,FALSE)),"")</f>
        <v/>
      </c>
      <c r="G51" s="217" t="str">
        <f>IFERROR(IF(VLOOKUP($A51,TableHandbook[],5,FALSE)=0,"",VLOOKUP($A51,TableHandbook[],5,FALSE)),"")</f>
        <v/>
      </c>
      <c r="H51" s="218" t="str">
        <f>IFERROR(VLOOKUP($A51,TableHandbook[],H$2,FALSE),"")</f>
        <v/>
      </c>
      <c r="I51" s="219" t="str">
        <f>IFERROR(VLOOKUP($A51,TableHandbook[],I$2,FALSE),"")</f>
        <v/>
      </c>
      <c r="J51" s="218" t="str">
        <f>IFERROR(VLOOKUP($A51,TableHandbook[],J$2,FALSE),"")</f>
        <v/>
      </c>
      <c r="K51" s="219" t="str">
        <f>IFERROR(VLOOKUP($A51,TableHandbook[],K$2,FALSE),"")</f>
        <v/>
      </c>
      <c r="L51" s="12"/>
      <c r="M51" s="174">
        <v>10</v>
      </c>
    </row>
    <row r="52" spans="1:15" x14ac:dyDescent="0.25">
      <c r="A52" s="212" t="str">
        <f t="shared" si="9"/>
        <v/>
      </c>
      <c r="B52" s="213" t="str">
        <f>IFERROR(IF(VLOOKUP($A52,TableHandbook[],2,FALSE)=0,"",VLOOKUP($A52,TableHandbook[],2,FALSE)),"")</f>
        <v/>
      </c>
      <c r="C52" s="214" t="str">
        <f>IFERROR(IF(VLOOKUP($A52,TableHandbook[],3,FALSE)=0,"",VLOOKUP($A52,TableHandbook[],3,FALSE)),"")</f>
        <v/>
      </c>
      <c r="D52" s="214" t="str">
        <f>IFERROR(IF(VLOOKUP($A52,TableHandbook[],4,FALSE)=0,"",VLOOKUP($A52,TableHandbook[],4,FALSE)),"")</f>
        <v/>
      </c>
      <c r="E52" s="215"/>
      <c r="F52" s="216" t="str">
        <f>IFERROR(IF(VLOOKUP($A52,TableHandbook[],6,FALSE)=0,"",VLOOKUP($A52,TableHandbook[],6,FALSE)),"")</f>
        <v/>
      </c>
      <c r="G52" s="217" t="str">
        <f>IFERROR(IF(VLOOKUP($A52,TableHandbook[],5,FALSE)=0,"",VLOOKUP($A52,TableHandbook[],5,FALSE)),"")</f>
        <v/>
      </c>
      <c r="H52" s="218" t="str">
        <f>IFERROR(VLOOKUP($A52,TableHandbook[],H$2,FALSE),"")</f>
        <v/>
      </c>
      <c r="I52" s="219" t="str">
        <f>IFERROR(VLOOKUP($A52,TableHandbook[],I$2,FALSE),"")</f>
        <v/>
      </c>
      <c r="J52" s="218" t="str">
        <f>IFERROR(VLOOKUP($A52,TableHandbook[],J$2,FALSE),"")</f>
        <v/>
      </c>
      <c r="K52" s="219" t="str">
        <f>IFERROR(VLOOKUP($A52,TableHandbook[],K$2,FALSE),"")</f>
        <v/>
      </c>
      <c r="L52" s="12"/>
      <c r="M52" s="174">
        <v>11</v>
      </c>
    </row>
    <row r="53" spans="1:15" x14ac:dyDescent="0.25">
      <c r="A53" s="212" t="str">
        <f t="shared" si="9"/>
        <v/>
      </c>
      <c r="B53" s="213" t="str">
        <f>IFERROR(IF(VLOOKUP($A53,TableHandbook[],2,FALSE)=0,"",VLOOKUP($A53,TableHandbook[],2,FALSE)),"")</f>
        <v/>
      </c>
      <c r="C53" s="214" t="str">
        <f>IFERROR(IF(VLOOKUP($A53,TableHandbook[],3,FALSE)=0,"",VLOOKUP($A53,TableHandbook[],3,FALSE)),"")</f>
        <v/>
      </c>
      <c r="D53" s="214" t="str">
        <f>IFERROR(IF(VLOOKUP($A53,TableHandbook[],4,FALSE)=0,"",VLOOKUP($A53,TableHandbook[],4,FALSE)),"")</f>
        <v/>
      </c>
      <c r="E53" s="215"/>
      <c r="F53" s="216" t="str">
        <f>IFERROR(IF(VLOOKUP($A53,TableHandbook[],6,FALSE)=0,"",VLOOKUP($A53,TableHandbook[],6,FALSE)),"")</f>
        <v/>
      </c>
      <c r="G53" s="217" t="str">
        <f>IFERROR(IF(VLOOKUP($A53,TableHandbook[],5,FALSE)=0,"",VLOOKUP($A53,TableHandbook[],5,FALSE)),"")</f>
        <v/>
      </c>
      <c r="H53" s="218" t="str">
        <f>IFERROR(VLOOKUP($A53,TableHandbook[],H$2,FALSE),"")</f>
        <v/>
      </c>
      <c r="I53" s="219" t="str">
        <f>IFERROR(VLOOKUP($A53,TableHandbook[],I$2,FALSE),"")</f>
        <v/>
      </c>
      <c r="J53" s="218" t="str">
        <f>IFERROR(VLOOKUP($A53,TableHandbook[],J$2,FALSE),"")</f>
        <v/>
      </c>
      <c r="K53" s="219" t="str">
        <f>IFERROR(VLOOKUP($A53,TableHandbook[],K$2,FALSE),"")</f>
        <v/>
      </c>
      <c r="L53" s="12"/>
      <c r="M53" s="174">
        <v>12</v>
      </c>
    </row>
    <row r="54" spans="1:15" x14ac:dyDescent="0.25">
      <c r="A54" s="212" t="str">
        <f t="shared" si="9"/>
        <v/>
      </c>
      <c r="B54" s="213" t="str">
        <f>IFERROR(IF(VLOOKUP($A54,TableHandbook[],2,FALSE)=0,"",VLOOKUP($A54,TableHandbook[],2,FALSE)),"")</f>
        <v/>
      </c>
      <c r="C54" s="214" t="str">
        <f>IFERROR(IF(VLOOKUP($A54,TableHandbook[],3,FALSE)=0,"",VLOOKUP($A54,TableHandbook[],3,FALSE)),"")</f>
        <v/>
      </c>
      <c r="D54" s="214" t="str">
        <f>IFERROR(IF(VLOOKUP($A54,TableHandbook[],4,FALSE)=0,"",VLOOKUP($A54,TableHandbook[],4,FALSE)),"")</f>
        <v/>
      </c>
      <c r="E54" s="215"/>
      <c r="F54" s="216" t="str">
        <f>IFERROR(IF(VLOOKUP($A54,TableHandbook[],6,FALSE)=0,"",VLOOKUP($A54,TableHandbook[],6,FALSE)),"")</f>
        <v/>
      </c>
      <c r="G54" s="217" t="str">
        <f>IFERROR(IF(VLOOKUP($A54,TableHandbook[],5,FALSE)=0,"",VLOOKUP($A54,TableHandbook[],5,FALSE)),"")</f>
        <v/>
      </c>
      <c r="H54" s="218" t="str">
        <f>IFERROR(VLOOKUP($A54,TableHandbook[],H$2,FALSE),"")</f>
        <v/>
      </c>
      <c r="I54" s="219" t="str">
        <f>IFERROR(VLOOKUP($A54,TableHandbook[],I$2,FALSE),"")</f>
        <v/>
      </c>
      <c r="J54" s="218" t="str">
        <f>IFERROR(VLOOKUP($A54,TableHandbook[],J$2,FALSE),"")</f>
        <v/>
      </c>
      <c r="K54" s="219" t="str">
        <f>IFERROR(VLOOKUP($A54,TableHandbook[],K$2,FALSE),"")</f>
        <v/>
      </c>
      <c r="L54" s="12"/>
      <c r="M54" s="174">
        <v>13</v>
      </c>
    </row>
    <row r="55" spans="1:15" x14ac:dyDescent="0.25">
      <c r="A55" s="212" t="str">
        <f t="shared" si="9"/>
        <v/>
      </c>
      <c r="B55" s="213" t="str">
        <f>IFERROR(IF(VLOOKUP($A55,TableHandbook[],2,FALSE)=0,"",VLOOKUP($A55,TableHandbook[],2,FALSE)),"")</f>
        <v/>
      </c>
      <c r="C55" s="214" t="str">
        <f>IFERROR(IF(VLOOKUP($A55,TableHandbook[],3,FALSE)=0,"",VLOOKUP($A55,TableHandbook[],3,FALSE)),"")</f>
        <v/>
      </c>
      <c r="D55" s="214" t="str">
        <f>IFERROR(IF(VLOOKUP($A55,TableHandbook[],4,FALSE)=0,"",VLOOKUP($A55,TableHandbook[],4,FALSE)),"")</f>
        <v/>
      </c>
      <c r="E55" s="215"/>
      <c r="F55" s="216" t="str">
        <f>IFERROR(IF(VLOOKUP($A55,TableHandbook[],6,FALSE)=0,"",VLOOKUP($A55,TableHandbook[],6,FALSE)),"")</f>
        <v/>
      </c>
      <c r="G55" s="217" t="str">
        <f>IFERROR(IF(VLOOKUP($A55,TableHandbook[],5,FALSE)=0,"",VLOOKUP($A55,TableHandbook[],5,FALSE)),"")</f>
        <v/>
      </c>
      <c r="H55" s="218" t="str">
        <f>IFERROR(VLOOKUP($A55,TableHandbook[],H$2,FALSE),"")</f>
        <v/>
      </c>
      <c r="I55" s="219" t="str">
        <f>IFERROR(VLOOKUP($A55,TableHandbook[],I$2,FALSE),"")</f>
        <v/>
      </c>
      <c r="J55" s="218" t="str">
        <f>IFERROR(VLOOKUP($A55,TableHandbook[],J$2,FALSE),"")</f>
        <v/>
      </c>
      <c r="K55" s="219" t="str">
        <f>IFERROR(VLOOKUP($A55,TableHandbook[],K$2,FALSE),"")</f>
        <v/>
      </c>
      <c r="L55" s="12"/>
      <c r="M55" s="174">
        <v>14</v>
      </c>
    </row>
    <row r="56" spans="1:15" x14ac:dyDescent="0.25">
      <c r="A56" s="212" t="str">
        <f t="shared" si="9"/>
        <v/>
      </c>
      <c r="B56" s="213" t="str">
        <f>IFERROR(IF(VLOOKUP($A56,TableHandbook[],2,FALSE)=0,"",VLOOKUP($A56,TableHandbook[],2,FALSE)),"")</f>
        <v/>
      </c>
      <c r="C56" s="214" t="str">
        <f>IFERROR(IF(VLOOKUP($A56,TableHandbook[],3,FALSE)=0,"",VLOOKUP($A56,TableHandbook[],3,FALSE)),"")</f>
        <v/>
      </c>
      <c r="D56" s="214" t="str">
        <f>IFERROR(IF(VLOOKUP($A56,TableHandbook[],4,FALSE)=0,"",VLOOKUP($A56,TableHandbook[],4,FALSE)),"")</f>
        <v/>
      </c>
      <c r="E56" s="215"/>
      <c r="F56" s="216" t="str">
        <f>IFERROR(IF(VLOOKUP($A56,TableHandbook[],6,FALSE)=0,"",VLOOKUP($A56,TableHandbook[],6,FALSE)),"")</f>
        <v/>
      </c>
      <c r="G56" s="217" t="str">
        <f>IFERROR(IF(VLOOKUP($A56,TableHandbook[],5,FALSE)=0,"",VLOOKUP($A56,TableHandbook[],5,FALSE)),"")</f>
        <v/>
      </c>
      <c r="H56" s="218" t="str">
        <f>IFERROR(VLOOKUP($A56,TableHandbook[],H$2,FALSE),"")</f>
        <v/>
      </c>
      <c r="I56" s="219" t="str">
        <f>IFERROR(VLOOKUP($A56,TableHandbook[],I$2,FALSE),"")</f>
        <v/>
      </c>
      <c r="J56" s="218" t="str">
        <f>IFERROR(VLOOKUP($A56,TableHandbook[],J$2,FALSE),"")</f>
        <v/>
      </c>
      <c r="K56" s="219" t="str">
        <f>IFERROR(VLOOKUP($A56,TableHandbook[],K$2,FALSE),"")</f>
        <v/>
      </c>
      <c r="L56" s="12"/>
      <c r="M56" s="174">
        <v>15</v>
      </c>
    </row>
    <row r="57" spans="1:15" x14ac:dyDescent="0.25">
      <c r="A57" s="212" t="str">
        <f t="shared" si="9"/>
        <v/>
      </c>
      <c r="B57" s="213" t="str">
        <f>IFERROR(IF(VLOOKUP($A57,TableHandbook[],2,FALSE)=0,"",VLOOKUP($A57,TableHandbook[],2,FALSE)),"")</f>
        <v/>
      </c>
      <c r="C57" s="214" t="str">
        <f>IFERROR(IF(VLOOKUP($A57,TableHandbook[],3,FALSE)=0,"",VLOOKUP($A57,TableHandbook[],3,FALSE)),"")</f>
        <v/>
      </c>
      <c r="D57" s="214" t="str">
        <f>IFERROR(IF(VLOOKUP($A57,TableHandbook[],4,FALSE)=0,"",VLOOKUP($A57,TableHandbook[],4,FALSE)),"")</f>
        <v/>
      </c>
      <c r="E57" s="215"/>
      <c r="F57" s="216" t="str">
        <f>IFERROR(IF(VLOOKUP($A57,TableHandbook[],6,FALSE)=0,"",VLOOKUP($A57,TableHandbook[],6,FALSE)),"")</f>
        <v/>
      </c>
      <c r="G57" s="217" t="str">
        <f>IFERROR(IF(VLOOKUP($A57,TableHandbook[],5,FALSE)=0,"",VLOOKUP($A57,TableHandbook[],5,FALSE)),"")</f>
        <v/>
      </c>
      <c r="H57" s="218" t="str">
        <f>IFERROR(VLOOKUP($A57,TableHandbook[],H$2,FALSE),"")</f>
        <v/>
      </c>
      <c r="I57" s="219" t="str">
        <f>IFERROR(VLOOKUP($A57,TableHandbook[],I$2,FALSE),"")</f>
        <v/>
      </c>
      <c r="J57" s="218" t="str">
        <f>IFERROR(VLOOKUP($A57,TableHandbook[],J$2,FALSE),"")</f>
        <v/>
      </c>
      <c r="K57" s="219" t="str">
        <f>IFERROR(VLOOKUP($A57,TableHandbook[],K$2,FALSE),"")</f>
        <v/>
      </c>
      <c r="L57" s="12"/>
      <c r="M57" s="174">
        <v>16</v>
      </c>
    </row>
    <row r="58" spans="1:15" x14ac:dyDescent="0.25">
      <c r="A58" s="212" t="str">
        <f t="shared" si="9"/>
        <v/>
      </c>
      <c r="B58" s="213" t="str">
        <f>IFERROR(IF(VLOOKUP($A58,TableHandbook[],2,FALSE)=0,"",VLOOKUP($A58,TableHandbook[],2,FALSE)),"")</f>
        <v/>
      </c>
      <c r="C58" s="214" t="str">
        <f>IFERROR(IF(VLOOKUP($A58,TableHandbook[],3,FALSE)=0,"",VLOOKUP($A58,TableHandbook[],3,FALSE)),"")</f>
        <v/>
      </c>
      <c r="D58" s="214" t="str">
        <f>IFERROR(IF(VLOOKUP($A58,TableHandbook[],4,FALSE)=0,"",VLOOKUP($A58,TableHandbook[],4,FALSE)),"")</f>
        <v/>
      </c>
      <c r="E58" s="215"/>
      <c r="F58" s="216" t="str">
        <f>IFERROR(IF(VLOOKUP($A58,TableHandbook[],6,FALSE)=0,"",VLOOKUP($A58,TableHandbook[],6,FALSE)),"")</f>
        <v/>
      </c>
      <c r="G58" s="217" t="str">
        <f>IFERROR(IF(VLOOKUP($A58,TableHandbook[],5,FALSE)=0,"",VLOOKUP($A58,TableHandbook[],5,FALSE)),"")</f>
        <v/>
      </c>
      <c r="H58" s="218" t="str">
        <f>IFERROR(VLOOKUP($A58,TableHandbook[],H$2,FALSE),"")</f>
        <v/>
      </c>
      <c r="I58" s="219" t="str">
        <f>IFERROR(VLOOKUP($A58,TableHandbook[],I$2,FALSE),"")</f>
        <v/>
      </c>
      <c r="J58" s="218" t="str">
        <f>IFERROR(VLOOKUP($A58,TableHandbook[],J$2,FALSE),"")</f>
        <v/>
      </c>
      <c r="K58" s="219" t="str">
        <f>IFERROR(VLOOKUP($A58,TableHandbook[],K$2,FALSE),"")</f>
        <v/>
      </c>
      <c r="L58" s="12"/>
      <c r="M58" s="174">
        <v>17</v>
      </c>
    </row>
    <row r="59" spans="1:15" x14ac:dyDescent="0.25">
      <c r="A59" s="212" t="str">
        <f t="shared" si="9"/>
        <v/>
      </c>
      <c r="B59" s="213" t="str">
        <f>IFERROR(IF(VLOOKUP($A59,TableHandbook[],2,FALSE)=0,"",VLOOKUP($A59,TableHandbook[],2,FALSE)),"")</f>
        <v/>
      </c>
      <c r="C59" s="214" t="str">
        <f>IFERROR(IF(VLOOKUP($A59,TableHandbook[],3,FALSE)=0,"",VLOOKUP($A59,TableHandbook[],3,FALSE)),"")</f>
        <v/>
      </c>
      <c r="D59" s="214" t="str">
        <f>IFERROR(IF(VLOOKUP($A59,TableHandbook[],4,FALSE)=0,"",VLOOKUP($A59,TableHandbook[],4,FALSE)),"")</f>
        <v/>
      </c>
      <c r="E59" s="215"/>
      <c r="F59" s="216" t="str">
        <f>IFERROR(IF(VLOOKUP($A59,TableHandbook[],6,FALSE)=0,"",VLOOKUP($A59,TableHandbook[],6,FALSE)),"")</f>
        <v/>
      </c>
      <c r="G59" s="217" t="str">
        <f>IFERROR(IF(VLOOKUP($A59,TableHandbook[],5,FALSE)=0,"",VLOOKUP($A59,TableHandbook[],5,FALSE)),"")</f>
        <v/>
      </c>
      <c r="H59" s="218" t="str">
        <f>IFERROR(VLOOKUP($A59,TableHandbook[],H$2,FALSE),"")</f>
        <v/>
      </c>
      <c r="I59" s="219" t="str">
        <f>IFERROR(VLOOKUP($A59,TableHandbook[],I$2,FALSE),"")</f>
        <v/>
      </c>
      <c r="J59" s="218" t="str">
        <f>IFERROR(VLOOKUP($A59,TableHandbook[],J$2,FALSE),"")</f>
        <v/>
      </c>
      <c r="K59" s="219" t="str">
        <f>IFERROR(VLOOKUP($A59,TableHandbook[],K$2,FALSE),"")</f>
        <v/>
      </c>
      <c r="L59" s="12"/>
      <c r="M59" s="174">
        <v>18</v>
      </c>
    </row>
    <row r="60" spans="1:15" x14ac:dyDescent="0.25">
      <c r="A60" s="212" t="str">
        <f t="shared" si="9"/>
        <v/>
      </c>
      <c r="B60" s="213" t="str">
        <f>IFERROR(IF(VLOOKUP($A60,TableHandbook[],2,FALSE)=0,"",VLOOKUP($A60,TableHandbook[],2,FALSE)),"")</f>
        <v/>
      </c>
      <c r="C60" s="214" t="str">
        <f>IFERROR(IF(VLOOKUP($A60,TableHandbook[],3,FALSE)=0,"",VLOOKUP($A60,TableHandbook[],3,FALSE)),"")</f>
        <v/>
      </c>
      <c r="D60" s="214" t="str">
        <f>IFERROR(IF(VLOOKUP($A60,TableHandbook[],4,FALSE)=0,"",VLOOKUP($A60,TableHandbook[],4,FALSE)),"")</f>
        <v/>
      </c>
      <c r="E60" s="215"/>
      <c r="F60" s="216" t="str">
        <f>IFERROR(IF(VLOOKUP($A60,TableHandbook[],6,FALSE)=0,"",VLOOKUP($A60,TableHandbook[],6,FALSE)),"")</f>
        <v/>
      </c>
      <c r="G60" s="217" t="str">
        <f>IFERROR(IF(VLOOKUP($A60,TableHandbook[],5,FALSE)=0,"",VLOOKUP($A60,TableHandbook[],5,FALSE)),"")</f>
        <v/>
      </c>
      <c r="H60" s="218" t="str">
        <f>IFERROR(VLOOKUP($A60,TableHandbook[],H$2,FALSE),"")</f>
        <v/>
      </c>
      <c r="I60" s="219" t="str">
        <f>IFERROR(VLOOKUP($A60,TableHandbook[],I$2,FALSE),"")</f>
        <v/>
      </c>
      <c r="J60" s="218" t="str">
        <f>IFERROR(VLOOKUP($A60,TableHandbook[],J$2,FALSE),"")</f>
        <v/>
      </c>
      <c r="K60" s="219" t="str">
        <f>IFERROR(VLOOKUP($A60,TableHandbook[],K$2,FALSE),"")</f>
        <v/>
      </c>
      <c r="L60" s="12"/>
      <c r="M60" s="174">
        <v>19</v>
      </c>
    </row>
    <row r="61" spans="1:15" x14ac:dyDescent="0.25">
      <c r="A61" s="212" t="str">
        <f t="shared" si="9"/>
        <v/>
      </c>
      <c r="B61" s="213" t="str">
        <f>IFERROR(IF(VLOOKUP($A61,TableHandbook[],2,FALSE)=0,"",VLOOKUP($A61,TableHandbook[],2,FALSE)),"")</f>
        <v/>
      </c>
      <c r="C61" s="214" t="str">
        <f>IFERROR(IF(VLOOKUP($A61,TableHandbook[],3,FALSE)=0,"",VLOOKUP($A61,TableHandbook[],3,FALSE)),"")</f>
        <v/>
      </c>
      <c r="D61" s="214" t="str">
        <f>IFERROR(IF(VLOOKUP($A61,TableHandbook[],4,FALSE)=0,"",VLOOKUP($A61,TableHandbook[],4,FALSE)),"")</f>
        <v/>
      </c>
      <c r="E61" s="215"/>
      <c r="F61" s="216" t="str">
        <f>IFERROR(IF(VLOOKUP($A61,TableHandbook[],6,FALSE)=0,"",VLOOKUP($A61,TableHandbook[],6,FALSE)),"")</f>
        <v/>
      </c>
      <c r="G61" s="217" t="str">
        <f>IFERROR(IF(VLOOKUP($A61,TableHandbook[],5,FALSE)=0,"",VLOOKUP($A61,TableHandbook[],5,FALSE)),"")</f>
        <v/>
      </c>
      <c r="H61" s="218" t="str">
        <f>IFERROR(VLOOKUP($A61,TableHandbook[],H$2,FALSE),"")</f>
        <v/>
      </c>
      <c r="I61" s="219" t="str">
        <f>IFERROR(VLOOKUP($A61,TableHandbook[],I$2,FALSE),"")</f>
        <v/>
      </c>
      <c r="J61" s="218" t="str">
        <f>IFERROR(VLOOKUP($A61,TableHandbook[],J$2,FALSE),"")</f>
        <v/>
      </c>
      <c r="K61" s="219" t="str">
        <f>IFERROR(VLOOKUP($A61,TableHandbook[],K$2,FALSE),"")</f>
        <v/>
      </c>
      <c r="L61" s="12"/>
      <c r="M61" s="174">
        <v>20</v>
      </c>
    </row>
    <row r="62" spans="1:15" x14ac:dyDescent="0.25">
      <c r="A62" s="212" t="str">
        <f t="shared" si="9"/>
        <v/>
      </c>
      <c r="B62" s="213" t="str">
        <f>IFERROR(IF(VLOOKUP($A62,TableHandbook[],2,FALSE)=0,"",VLOOKUP($A62,TableHandbook[],2,FALSE)),"")</f>
        <v/>
      </c>
      <c r="C62" s="214" t="str">
        <f>IFERROR(IF(VLOOKUP($A62,TableHandbook[],3,FALSE)=0,"",VLOOKUP($A62,TableHandbook[],3,FALSE)),"")</f>
        <v/>
      </c>
      <c r="D62" s="214" t="str">
        <f>IFERROR(IF(VLOOKUP($A62,TableHandbook[],4,FALSE)=0,"",VLOOKUP($A62,TableHandbook[],4,FALSE)),"")</f>
        <v/>
      </c>
      <c r="E62" s="214"/>
      <c r="F62" s="216" t="str">
        <f>IFERROR(IF(VLOOKUP($A62,TableHandbook[],6,FALSE)=0,"",VLOOKUP($A62,TableHandbook[],6,FALSE)),"")</f>
        <v/>
      </c>
      <c r="G62" s="213" t="str">
        <f>IFERROR(IF(VLOOKUP($A62,TableHandbook[],5,FALSE)=0,"",VLOOKUP($A62,TableHandbook[],5,FALSE)),"")</f>
        <v/>
      </c>
      <c r="H62" s="218" t="str">
        <f>IFERROR(VLOOKUP($A62,TableHandbook[],H$2,FALSE),"")</f>
        <v/>
      </c>
      <c r="I62" s="219" t="str">
        <f>IFERROR(VLOOKUP($A62,TableHandbook[],I$2,FALSE),"")</f>
        <v/>
      </c>
      <c r="J62" s="218" t="str">
        <f>IFERROR(VLOOKUP($A62,TableHandbook[],J$2,FALSE),"")</f>
        <v/>
      </c>
      <c r="K62" s="219" t="str">
        <f>IFERROR(VLOOKUP($A62,TableHandbook[],K$2,FALSE),"")</f>
        <v/>
      </c>
      <c r="L62" s="11"/>
      <c r="M62" s="174">
        <v>21</v>
      </c>
    </row>
    <row r="63" spans="1:15" s="193" customFormat="1" ht="13.9" customHeight="1" x14ac:dyDescent="0.2">
      <c r="A63" s="188"/>
      <c r="B63" s="188"/>
      <c r="C63" s="188"/>
      <c r="D63" s="189"/>
      <c r="E63" s="189"/>
      <c r="F63" s="190"/>
      <c r="G63" s="191"/>
      <c r="H63" s="191"/>
      <c r="I63" s="191"/>
      <c r="J63" s="191"/>
      <c r="K63" s="191"/>
      <c r="L63" s="191"/>
      <c r="M63" s="192"/>
      <c r="N63" s="192"/>
      <c r="O63" s="192"/>
    </row>
    <row r="64" spans="1:15" ht="20.25" x14ac:dyDescent="0.25">
      <c r="A64" s="220" t="s">
        <v>34</v>
      </c>
      <c r="B64" s="221"/>
      <c r="C64" s="221"/>
      <c r="D64" s="222"/>
      <c r="E64" s="223"/>
      <c r="F64" s="224"/>
      <c r="G64" s="223"/>
      <c r="H64" s="225" t="str">
        <f>H$9</f>
        <v>2025 Availabilities</v>
      </c>
      <c r="I64" s="226"/>
      <c r="J64" s="227"/>
      <c r="K64" s="228"/>
      <c r="L64" s="229"/>
    </row>
    <row r="65" spans="1:13" s="211" customFormat="1" ht="21" x14ac:dyDescent="0.25">
      <c r="A65" s="204" t="str">
        <f>D7</f>
        <v>Choose your Design Specialisation (drop-down list)</v>
      </c>
      <c r="B65" s="205"/>
      <c r="C65" s="205"/>
      <c r="D65" s="206"/>
      <c r="E65" s="207"/>
      <c r="F65" s="208" t="s">
        <v>25</v>
      </c>
      <c r="G65" s="157" t="s">
        <v>26</v>
      </c>
      <c r="H65" s="166" t="str">
        <f>H$10</f>
        <v>Sem1 BEN</v>
      </c>
      <c r="I65" s="167" t="str">
        <f t="shared" ref="I65:L65" si="10">I$10</f>
        <v>Sem1 FO</v>
      </c>
      <c r="J65" s="166" t="str">
        <f t="shared" si="10"/>
        <v>Sem2 BEN</v>
      </c>
      <c r="K65" s="167" t="str">
        <f t="shared" si="10"/>
        <v>Sem2 FO</v>
      </c>
      <c r="L65" s="208" t="str">
        <f t="shared" si="10"/>
        <v>Notes / Progress</v>
      </c>
    </row>
    <row r="66" spans="1:13" s="211" customFormat="1" ht="20.100000000000001" customHeight="1" x14ac:dyDescent="0.25">
      <c r="A66" s="230" t="s">
        <v>470</v>
      </c>
      <c r="B66" s="231"/>
      <c r="C66" s="231"/>
      <c r="D66" s="232"/>
      <c r="E66" s="233"/>
      <c r="F66" s="233"/>
      <c r="G66" s="233"/>
      <c r="H66" s="234"/>
      <c r="I66" s="235"/>
      <c r="J66" s="234"/>
      <c r="K66" s="235"/>
      <c r="L66" s="243"/>
    </row>
    <row r="67" spans="1:13" x14ac:dyDescent="0.25">
      <c r="A67" s="212" t="str">
        <f t="shared" ref="A67:A73" si="11">IFERROR(IF(HLOOKUP($L$7,RangeSpecialisations,M67,FALSE)=0,"",HLOOKUP($L$7,RangeSpecialisations,M67,FALSE)),"")</f>
        <v/>
      </c>
      <c r="B67" s="213" t="str">
        <f>IFERROR(IF(VLOOKUP($A67,TableHandbook[],2,FALSE)=0,"",VLOOKUP($A67,TableHandbook[],2,FALSE)),"")</f>
        <v/>
      </c>
      <c r="C67" s="213" t="str">
        <f>IFERROR(IF(VLOOKUP($A67,TableHandbook[],3,FALSE)=0,"",VLOOKUP($A67,TableHandbook[],3,FALSE)),"")</f>
        <v/>
      </c>
      <c r="D67" s="214" t="str">
        <f>IFERROR(IF(VLOOKUP($A67,TableHandbook[],4,FALSE)=0,"",VLOOKUP($A67,TableHandbook[],4,FALSE)),"")</f>
        <v/>
      </c>
      <c r="E67" s="215"/>
      <c r="F67" s="216" t="str">
        <f>IFERROR(IF(VLOOKUP($A67,TableHandbook[],6,FALSE)=0,"",VLOOKUP($A67,TableHandbook[],6,FALSE)),"")</f>
        <v/>
      </c>
      <c r="G67" s="217" t="str">
        <f>IFERROR(IF(VLOOKUP($A67,TableHandbook[],5,FALSE)=0,"",VLOOKUP($A67,TableHandbook[],5,FALSE)),"")</f>
        <v/>
      </c>
      <c r="H67" s="218" t="str">
        <f>IFERROR(VLOOKUP($A67,TableHandbook[],H$2,FALSE),"")</f>
        <v/>
      </c>
      <c r="I67" s="219" t="str">
        <f>IFERROR(VLOOKUP($A67,TableHandbook[],I$2,FALSE),"")</f>
        <v/>
      </c>
      <c r="J67" s="218" t="str">
        <f>IFERROR(VLOOKUP($A67,TableHandbook[],J$2,FALSE),"")</f>
        <v/>
      </c>
      <c r="K67" s="219" t="str">
        <f>IFERROR(VLOOKUP($A67,TableHandbook[],K$2,FALSE),"")</f>
        <v/>
      </c>
      <c r="L67" s="12"/>
      <c r="M67" s="174">
        <v>2</v>
      </c>
    </row>
    <row r="68" spans="1:13" x14ac:dyDescent="0.25">
      <c r="A68" s="212" t="str">
        <f t="shared" si="11"/>
        <v/>
      </c>
      <c r="B68" s="213" t="str">
        <f>IFERROR(IF(VLOOKUP($A68,TableHandbook[],2,FALSE)=0,"",VLOOKUP($A68,TableHandbook[],2,FALSE)),"")</f>
        <v/>
      </c>
      <c r="C68" s="213" t="str">
        <f>IFERROR(IF(VLOOKUP($A68,TableHandbook[],3,FALSE)=0,"",VLOOKUP($A68,TableHandbook[],3,FALSE)),"")</f>
        <v/>
      </c>
      <c r="D68" s="214" t="str">
        <f>IFERROR(IF(VLOOKUP($A68,TableHandbook[],4,FALSE)=0,"",VLOOKUP($A68,TableHandbook[],4,FALSE)),"")</f>
        <v/>
      </c>
      <c r="E68" s="215"/>
      <c r="F68" s="216" t="str">
        <f>IFERROR(IF(VLOOKUP($A68,TableHandbook[],6,FALSE)=0,"",VLOOKUP($A68,TableHandbook[],6,FALSE)),"")</f>
        <v/>
      </c>
      <c r="G68" s="217" t="str">
        <f>IFERROR(IF(VLOOKUP($A68,TableHandbook[],5,FALSE)=0,"",VLOOKUP($A68,TableHandbook[],5,FALSE)),"")</f>
        <v/>
      </c>
      <c r="H68" s="218" t="str">
        <f>IFERROR(VLOOKUP($A68,TableHandbook[],H$2,FALSE),"")</f>
        <v/>
      </c>
      <c r="I68" s="219" t="str">
        <f>IFERROR(VLOOKUP($A68,TableHandbook[],I$2,FALSE),"")</f>
        <v/>
      </c>
      <c r="J68" s="218" t="str">
        <f>IFERROR(VLOOKUP($A68,TableHandbook[],J$2,FALSE),"")</f>
        <v/>
      </c>
      <c r="K68" s="219" t="str">
        <f>IFERROR(VLOOKUP($A68,TableHandbook[],K$2,FALSE),"")</f>
        <v/>
      </c>
      <c r="L68" s="12"/>
      <c r="M68" s="174">
        <v>3</v>
      </c>
    </row>
    <row r="69" spans="1:13" x14ac:dyDescent="0.25">
      <c r="A69" s="212" t="str">
        <f t="shared" si="11"/>
        <v/>
      </c>
      <c r="B69" s="213" t="str">
        <f>IFERROR(IF(VLOOKUP($A69,TableHandbook[],2,FALSE)=0,"",VLOOKUP($A69,TableHandbook[],2,FALSE)),"")</f>
        <v/>
      </c>
      <c r="C69" s="213" t="str">
        <f>IFERROR(IF(VLOOKUP($A69,TableHandbook[],3,FALSE)=0,"",VLOOKUP($A69,TableHandbook[],3,FALSE)),"")</f>
        <v/>
      </c>
      <c r="D69" s="214" t="str">
        <f>IFERROR(IF(VLOOKUP($A69,TableHandbook[],4,FALSE)=0,"",VLOOKUP($A69,TableHandbook[],4,FALSE)),"")</f>
        <v/>
      </c>
      <c r="E69" s="215"/>
      <c r="F69" s="216" t="str">
        <f>IFERROR(IF(VLOOKUP($A69,TableHandbook[],6,FALSE)=0,"",VLOOKUP($A69,TableHandbook[],6,FALSE)),"")</f>
        <v/>
      </c>
      <c r="G69" s="217" t="str">
        <f>IFERROR(IF(VLOOKUP($A69,TableHandbook[],5,FALSE)=0,"",VLOOKUP($A69,TableHandbook[],5,FALSE)),"")</f>
        <v/>
      </c>
      <c r="H69" s="218" t="str">
        <f>IFERROR(VLOOKUP($A69,TableHandbook[],H$2,FALSE),"")</f>
        <v/>
      </c>
      <c r="I69" s="219" t="str">
        <f>IFERROR(VLOOKUP($A69,TableHandbook[],I$2,FALSE),"")</f>
        <v/>
      </c>
      <c r="J69" s="218" t="str">
        <f>IFERROR(VLOOKUP($A69,TableHandbook[],J$2,FALSE),"")</f>
        <v/>
      </c>
      <c r="K69" s="219" t="str">
        <f>IFERROR(VLOOKUP($A69,TableHandbook[],K$2,FALSE),"")</f>
        <v/>
      </c>
      <c r="L69" s="12"/>
      <c r="M69" s="174">
        <v>4</v>
      </c>
    </row>
    <row r="70" spans="1:13" x14ac:dyDescent="0.25">
      <c r="A70" s="212" t="str">
        <f t="shared" si="11"/>
        <v/>
      </c>
      <c r="B70" s="213" t="str">
        <f>IFERROR(IF(VLOOKUP($A70,TableHandbook[],2,FALSE)=0,"",VLOOKUP($A70,TableHandbook[],2,FALSE)),"")</f>
        <v/>
      </c>
      <c r="C70" s="213" t="str">
        <f>IFERROR(IF(VLOOKUP($A70,TableHandbook[],3,FALSE)=0,"",VLOOKUP($A70,TableHandbook[],3,FALSE)),"")</f>
        <v/>
      </c>
      <c r="D70" s="214" t="str">
        <f>IFERROR(IF(VLOOKUP($A70,TableHandbook[],4,FALSE)=0,"",VLOOKUP($A70,TableHandbook[],4,FALSE)),"")</f>
        <v/>
      </c>
      <c r="E70" s="215"/>
      <c r="F70" s="216" t="str">
        <f>IFERROR(IF(VLOOKUP($A70,TableHandbook[],6,FALSE)=0,"",VLOOKUP($A70,TableHandbook[],6,FALSE)),"")</f>
        <v/>
      </c>
      <c r="G70" s="217" t="str">
        <f>IFERROR(IF(VLOOKUP($A70,TableHandbook[],5,FALSE)=0,"",VLOOKUP($A70,TableHandbook[],5,FALSE)),"")</f>
        <v/>
      </c>
      <c r="H70" s="218" t="str">
        <f>IFERROR(VLOOKUP($A70,TableHandbook[],H$2,FALSE),"")</f>
        <v/>
      </c>
      <c r="I70" s="219" t="str">
        <f>IFERROR(VLOOKUP($A70,TableHandbook[],I$2,FALSE),"")</f>
        <v/>
      </c>
      <c r="J70" s="218" t="str">
        <f>IFERROR(VLOOKUP($A70,TableHandbook[],J$2,FALSE),"")</f>
        <v/>
      </c>
      <c r="K70" s="219" t="str">
        <f>IFERROR(VLOOKUP($A70,TableHandbook[],K$2,FALSE),"")</f>
        <v/>
      </c>
      <c r="L70" s="12"/>
      <c r="M70" s="174">
        <v>5</v>
      </c>
    </row>
    <row r="71" spans="1:13" x14ac:dyDescent="0.25">
      <c r="A71" s="212" t="str">
        <f t="shared" si="11"/>
        <v/>
      </c>
      <c r="B71" s="213" t="str">
        <f>IFERROR(IF(VLOOKUP($A71,TableHandbook[],2,FALSE)=0,"",VLOOKUP($A71,TableHandbook[],2,FALSE)),"")</f>
        <v/>
      </c>
      <c r="C71" s="213" t="str">
        <f>IFERROR(IF(VLOOKUP($A71,TableHandbook[],3,FALSE)=0,"",VLOOKUP($A71,TableHandbook[],3,FALSE)),"")</f>
        <v/>
      </c>
      <c r="D71" s="214" t="str">
        <f>IFERROR(IF(VLOOKUP($A71,TableHandbook[],4,FALSE)=0,"",VLOOKUP($A71,TableHandbook[],4,FALSE)),"")</f>
        <v/>
      </c>
      <c r="E71" s="215"/>
      <c r="F71" s="216" t="str">
        <f>IFERROR(IF(VLOOKUP($A71,TableHandbook[],6,FALSE)=0,"",VLOOKUP($A71,TableHandbook[],6,FALSE)),"")</f>
        <v/>
      </c>
      <c r="G71" s="217" t="str">
        <f>IFERROR(IF(VLOOKUP($A71,TableHandbook[],5,FALSE)=0,"",VLOOKUP($A71,TableHandbook[],5,FALSE)),"")</f>
        <v/>
      </c>
      <c r="H71" s="218" t="str">
        <f>IFERROR(VLOOKUP($A71,TableHandbook[],H$2,FALSE),"")</f>
        <v/>
      </c>
      <c r="I71" s="219" t="str">
        <f>IFERROR(VLOOKUP($A71,TableHandbook[],I$2,FALSE),"")</f>
        <v/>
      </c>
      <c r="J71" s="218" t="str">
        <f>IFERROR(VLOOKUP($A71,TableHandbook[],J$2,FALSE),"")</f>
        <v/>
      </c>
      <c r="K71" s="219" t="str">
        <f>IFERROR(VLOOKUP($A71,TableHandbook[],K$2,FALSE),"")</f>
        <v/>
      </c>
      <c r="L71" s="12"/>
      <c r="M71" s="174">
        <v>6</v>
      </c>
    </row>
    <row r="72" spans="1:13" x14ac:dyDescent="0.25">
      <c r="A72" s="212" t="str">
        <f t="shared" si="11"/>
        <v/>
      </c>
      <c r="B72" s="213" t="str">
        <f>IFERROR(IF(VLOOKUP($A72,TableHandbook[],2,FALSE)=0,"",VLOOKUP($A72,TableHandbook[],2,FALSE)),"")</f>
        <v/>
      </c>
      <c r="C72" s="213" t="str">
        <f>IFERROR(IF(VLOOKUP($A72,TableHandbook[],3,FALSE)=0,"",VLOOKUP($A72,TableHandbook[],3,FALSE)),"")</f>
        <v/>
      </c>
      <c r="D72" s="214" t="str">
        <f>IFERROR(IF(VLOOKUP($A72,TableHandbook[],4,FALSE)=0,"",VLOOKUP($A72,TableHandbook[],4,FALSE)),"")</f>
        <v/>
      </c>
      <c r="E72" s="215"/>
      <c r="F72" s="216" t="str">
        <f>IFERROR(IF(VLOOKUP($A72,TableHandbook[],6,FALSE)=0,"",VLOOKUP($A72,TableHandbook[],6,FALSE)),"")</f>
        <v/>
      </c>
      <c r="G72" s="217" t="str">
        <f>IFERROR(IF(VLOOKUP($A72,TableHandbook[],5,FALSE)=0,"",VLOOKUP($A72,TableHandbook[],5,FALSE)),"")</f>
        <v/>
      </c>
      <c r="H72" s="218" t="str">
        <f>IFERROR(VLOOKUP($A72,TableHandbook[],H$2,FALSE),"")</f>
        <v/>
      </c>
      <c r="I72" s="219" t="str">
        <f>IFERROR(VLOOKUP($A72,TableHandbook[],I$2,FALSE),"")</f>
        <v/>
      </c>
      <c r="J72" s="218" t="str">
        <f>IFERROR(VLOOKUP($A72,TableHandbook[],J$2,FALSE),"")</f>
        <v/>
      </c>
      <c r="K72" s="219" t="str">
        <f>IFERROR(VLOOKUP($A72,TableHandbook[],K$2,FALSE),"")</f>
        <v/>
      </c>
      <c r="L72" s="12"/>
      <c r="M72" s="174">
        <v>7</v>
      </c>
    </row>
    <row r="73" spans="1:13" x14ac:dyDescent="0.25">
      <c r="A73" s="212" t="str">
        <f t="shared" si="11"/>
        <v/>
      </c>
      <c r="B73" s="213" t="str">
        <f>IFERROR(IF(VLOOKUP($A73,TableHandbook[],2,FALSE)=0,"",VLOOKUP($A73,TableHandbook[],2,FALSE)),"")</f>
        <v/>
      </c>
      <c r="C73" s="213" t="str">
        <f>IFERROR(IF(VLOOKUP($A73,TableHandbook[],3,FALSE)=0,"",VLOOKUP($A73,TableHandbook[],3,FALSE)),"")</f>
        <v/>
      </c>
      <c r="D73" s="214" t="str">
        <f>IFERROR(IF(VLOOKUP($A73,TableHandbook[],4,FALSE)=0,"",VLOOKUP($A73,TableHandbook[],4,FALSE)),"")</f>
        <v/>
      </c>
      <c r="E73" s="215"/>
      <c r="F73" s="216" t="str">
        <f>IFERROR(IF(VLOOKUP($A73,TableHandbook[],6,FALSE)=0,"",VLOOKUP($A73,TableHandbook[],6,FALSE)),"")</f>
        <v/>
      </c>
      <c r="G73" s="217" t="str">
        <f>IFERROR(IF(VLOOKUP($A73,TableHandbook[],5,FALSE)=0,"",VLOOKUP($A73,TableHandbook[],5,FALSE)),"")</f>
        <v/>
      </c>
      <c r="H73" s="218" t="str">
        <f>IFERROR(VLOOKUP($A73,TableHandbook[],H$2,FALSE),"")</f>
        <v/>
      </c>
      <c r="I73" s="219" t="str">
        <f>IFERROR(VLOOKUP($A73,TableHandbook[],I$2,FALSE),"")</f>
        <v/>
      </c>
      <c r="J73" s="218" t="str">
        <f>IFERROR(VLOOKUP($A73,TableHandbook[],J$2,FALSE),"")</f>
        <v/>
      </c>
      <c r="K73" s="219" t="str">
        <f>IFERROR(VLOOKUP($A73,TableHandbook[],K$2,FALSE),"")</f>
        <v/>
      </c>
      <c r="L73" s="12"/>
      <c r="M73" s="174">
        <v>8</v>
      </c>
    </row>
    <row r="74" spans="1:13" x14ac:dyDescent="0.25">
      <c r="A74" s="212" t="str">
        <f t="shared" ref="A74:A79" si="12">IFERROR(IF(HLOOKUP($L$7,RangeSpecialisations,M74,FALSE)=0,"",HLOOKUP($L$7,RangeSpecialisations,M74,FALSE)),"")</f>
        <v/>
      </c>
      <c r="B74" s="213" t="str">
        <f>IFERROR(IF(VLOOKUP($A74,TableHandbook[],2,FALSE)=0,"",VLOOKUP($A74,TableHandbook[],2,FALSE)),"")</f>
        <v/>
      </c>
      <c r="C74" s="213" t="str">
        <f>IFERROR(IF(VLOOKUP($A74,TableHandbook[],3,FALSE)=0,"",VLOOKUP($A74,TableHandbook[],3,FALSE)),"")</f>
        <v/>
      </c>
      <c r="D74" s="214" t="str">
        <f>IFERROR(IF(VLOOKUP($A74,TableHandbook[],4,FALSE)=0,"",VLOOKUP($A74,TableHandbook[],4,FALSE)),"")</f>
        <v/>
      </c>
      <c r="E74" s="215"/>
      <c r="F74" s="216" t="str">
        <f>IFERROR(IF(VLOOKUP($A74,TableHandbook[],6,FALSE)=0,"",VLOOKUP($A74,TableHandbook[],6,FALSE)),"")</f>
        <v/>
      </c>
      <c r="G74" s="217" t="str">
        <f>IFERROR(IF(VLOOKUP($A74,TableHandbook[],5,FALSE)=0,"",VLOOKUP($A74,TableHandbook[],5,FALSE)),"")</f>
        <v/>
      </c>
      <c r="H74" s="218" t="str">
        <f>IFERROR(VLOOKUP($A74,TableHandbook[],H$2,FALSE),"")</f>
        <v/>
      </c>
      <c r="I74" s="219" t="str">
        <f>IFERROR(VLOOKUP($A74,TableHandbook[],I$2,FALSE),"")</f>
        <v/>
      </c>
      <c r="J74" s="218" t="str">
        <f>IFERROR(VLOOKUP($A74,TableHandbook[],J$2,FALSE),"")</f>
        <v/>
      </c>
      <c r="K74" s="219" t="str">
        <f>IFERROR(VLOOKUP($A74,TableHandbook[],K$2,FALSE),"")</f>
        <v/>
      </c>
      <c r="L74" s="12"/>
      <c r="M74" s="174">
        <v>9</v>
      </c>
    </row>
    <row r="75" spans="1:13" x14ac:dyDescent="0.25">
      <c r="A75" s="212" t="str">
        <f t="shared" si="12"/>
        <v/>
      </c>
      <c r="B75" s="213" t="str">
        <f>IFERROR(IF(VLOOKUP($A75,TableHandbook[],2,FALSE)=0,"",VLOOKUP($A75,TableHandbook[],2,FALSE)),"")</f>
        <v/>
      </c>
      <c r="C75" s="213" t="str">
        <f>IFERROR(IF(VLOOKUP($A75,TableHandbook[],3,FALSE)=0,"",VLOOKUP($A75,TableHandbook[],3,FALSE)),"")</f>
        <v/>
      </c>
      <c r="D75" s="214" t="str">
        <f>IFERROR(IF(VLOOKUP($A75,TableHandbook[],4,FALSE)=0,"",VLOOKUP($A75,TableHandbook[],4,FALSE)),"")</f>
        <v/>
      </c>
      <c r="E75" s="215"/>
      <c r="F75" s="216" t="str">
        <f>IFERROR(IF(VLOOKUP($A75,TableHandbook[],6,FALSE)=0,"",VLOOKUP($A75,TableHandbook[],6,FALSE)),"")</f>
        <v/>
      </c>
      <c r="G75" s="217" t="str">
        <f>IFERROR(IF(VLOOKUP($A75,TableHandbook[],5,FALSE)=0,"",VLOOKUP($A75,TableHandbook[],5,FALSE)),"")</f>
        <v/>
      </c>
      <c r="H75" s="218" t="str">
        <f>IFERROR(VLOOKUP($A75,TableHandbook[],H$2,FALSE),"")</f>
        <v/>
      </c>
      <c r="I75" s="219" t="str">
        <f>IFERROR(VLOOKUP($A75,TableHandbook[],I$2,FALSE),"")</f>
        <v/>
      </c>
      <c r="J75" s="218" t="str">
        <f>IFERROR(VLOOKUP($A75,TableHandbook[],J$2,FALSE),"")</f>
        <v/>
      </c>
      <c r="K75" s="219" t="str">
        <f>IFERROR(VLOOKUP($A75,TableHandbook[],K$2,FALSE),"")</f>
        <v/>
      </c>
      <c r="L75" s="12"/>
      <c r="M75" s="174">
        <v>10</v>
      </c>
    </row>
    <row r="76" spans="1:13" x14ac:dyDescent="0.25">
      <c r="A76" s="212" t="str">
        <f t="shared" si="12"/>
        <v/>
      </c>
      <c r="B76" s="213" t="str">
        <f>IFERROR(IF(VLOOKUP($A76,TableHandbook[],2,FALSE)=0,"",VLOOKUP($A76,TableHandbook[],2,FALSE)),"")</f>
        <v/>
      </c>
      <c r="C76" s="213" t="str">
        <f>IFERROR(IF(VLOOKUP($A76,TableHandbook[],3,FALSE)=0,"",VLOOKUP($A76,TableHandbook[],3,FALSE)),"")</f>
        <v/>
      </c>
      <c r="D76" s="214" t="str">
        <f>IFERROR(IF(VLOOKUP($A76,TableHandbook[],4,FALSE)=0,"",VLOOKUP($A76,TableHandbook[],4,FALSE)),"")</f>
        <v/>
      </c>
      <c r="E76" s="215"/>
      <c r="F76" s="216" t="str">
        <f>IFERROR(IF(VLOOKUP($A76,TableHandbook[],6,FALSE)=0,"",VLOOKUP($A76,TableHandbook[],6,FALSE)),"")</f>
        <v/>
      </c>
      <c r="G76" s="217" t="str">
        <f>IFERROR(IF(VLOOKUP($A76,TableHandbook[],5,FALSE)=0,"",VLOOKUP($A76,TableHandbook[],5,FALSE)),"")</f>
        <v/>
      </c>
      <c r="H76" s="218" t="str">
        <f>IFERROR(VLOOKUP($A76,TableHandbook[],H$2,FALSE),"")</f>
        <v/>
      </c>
      <c r="I76" s="219" t="str">
        <f>IFERROR(VLOOKUP($A76,TableHandbook[],I$2,FALSE),"")</f>
        <v/>
      </c>
      <c r="J76" s="218" t="str">
        <f>IFERROR(VLOOKUP($A76,TableHandbook[],J$2,FALSE),"")</f>
        <v/>
      </c>
      <c r="K76" s="219" t="str">
        <f>IFERROR(VLOOKUP($A76,TableHandbook[],K$2,FALSE),"")</f>
        <v/>
      </c>
      <c r="L76" s="12"/>
      <c r="M76" s="174">
        <v>11</v>
      </c>
    </row>
    <row r="77" spans="1:13" x14ac:dyDescent="0.25">
      <c r="A77" s="212" t="str">
        <f t="shared" si="12"/>
        <v/>
      </c>
      <c r="B77" s="213" t="str">
        <f>IFERROR(IF(VLOOKUP($A77,TableHandbook[],2,FALSE)=0,"",VLOOKUP($A77,TableHandbook[],2,FALSE)),"")</f>
        <v/>
      </c>
      <c r="C77" s="213" t="str">
        <f>IFERROR(IF(VLOOKUP($A77,TableHandbook[],3,FALSE)=0,"",VLOOKUP($A77,TableHandbook[],3,FALSE)),"")</f>
        <v/>
      </c>
      <c r="D77" s="214" t="str">
        <f>IFERROR(IF(VLOOKUP($A77,TableHandbook[],4,FALSE)=0,"",VLOOKUP($A77,TableHandbook[],4,FALSE)),"")</f>
        <v/>
      </c>
      <c r="E77" s="215"/>
      <c r="F77" s="216" t="str">
        <f>IFERROR(IF(VLOOKUP($A77,TableHandbook[],6,FALSE)=0,"",VLOOKUP($A77,TableHandbook[],6,FALSE)),"")</f>
        <v/>
      </c>
      <c r="G77" s="217" t="str">
        <f>IFERROR(IF(VLOOKUP($A77,TableHandbook[],5,FALSE)=0,"",VLOOKUP($A77,TableHandbook[],5,FALSE)),"")</f>
        <v/>
      </c>
      <c r="H77" s="218" t="str">
        <f>IFERROR(VLOOKUP($A77,TableHandbook[],H$2,FALSE),"")</f>
        <v/>
      </c>
      <c r="I77" s="219" t="str">
        <f>IFERROR(VLOOKUP($A77,TableHandbook[],I$2,FALSE),"")</f>
        <v/>
      </c>
      <c r="J77" s="218" t="str">
        <f>IFERROR(VLOOKUP($A77,TableHandbook[],J$2,FALSE),"")</f>
        <v/>
      </c>
      <c r="K77" s="219" t="str">
        <f>IFERROR(VLOOKUP($A77,TableHandbook[],K$2,FALSE),"")</f>
        <v/>
      </c>
      <c r="L77" s="12"/>
      <c r="M77" s="174">
        <v>12</v>
      </c>
    </row>
    <row r="78" spans="1:13" x14ac:dyDescent="0.25">
      <c r="A78" s="212" t="str">
        <f t="shared" si="12"/>
        <v/>
      </c>
      <c r="B78" s="213" t="str">
        <f>IFERROR(IF(VLOOKUP($A78,TableHandbook[],2,FALSE)=0,"",VLOOKUP($A78,TableHandbook[],2,FALSE)),"")</f>
        <v/>
      </c>
      <c r="C78" s="213" t="str">
        <f>IFERROR(IF(VLOOKUP($A78,TableHandbook[],3,FALSE)=0,"",VLOOKUP($A78,TableHandbook[],3,FALSE)),"")</f>
        <v/>
      </c>
      <c r="D78" s="214" t="str">
        <f>IFERROR(IF(VLOOKUP($A78,TableHandbook[],4,FALSE)=0,"",VLOOKUP($A78,TableHandbook[],4,FALSE)),"")</f>
        <v/>
      </c>
      <c r="E78" s="215"/>
      <c r="F78" s="216" t="str">
        <f>IFERROR(IF(VLOOKUP($A78,TableHandbook[],6,FALSE)=0,"",VLOOKUP($A78,TableHandbook[],6,FALSE)),"")</f>
        <v/>
      </c>
      <c r="G78" s="217" t="str">
        <f>IFERROR(IF(VLOOKUP($A78,TableHandbook[],5,FALSE)=0,"",VLOOKUP($A78,TableHandbook[],5,FALSE)),"")</f>
        <v/>
      </c>
      <c r="H78" s="218" t="str">
        <f>IFERROR(VLOOKUP($A78,TableHandbook[],H$2,FALSE),"")</f>
        <v/>
      </c>
      <c r="I78" s="219" t="str">
        <f>IFERROR(VLOOKUP($A78,TableHandbook[],I$2,FALSE),"")</f>
        <v/>
      </c>
      <c r="J78" s="218" t="str">
        <f>IFERROR(VLOOKUP($A78,TableHandbook[],J$2,FALSE),"")</f>
        <v/>
      </c>
      <c r="K78" s="219" t="str">
        <f>IFERROR(VLOOKUP($A78,TableHandbook[],K$2,FALSE),"")</f>
        <v/>
      </c>
      <c r="L78" s="12"/>
      <c r="M78" s="174">
        <v>13</v>
      </c>
    </row>
    <row r="79" spans="1:13" x14ac:dyDescent="0.25">
      <c r="A79" s="212" t="str">
        <f t="shared" si="12"/>
        <v/>
      </c>
      <c r="B79" s="213" t="str">
        <f>IFERROR(IF(VLOOKUP($A79,TableHandbook[],2,FALSE)=0,"",VLOOKUP($A79,TableHandbook[],2,FALSE)),"")</f>
        <v/>
      </c>
      <c r="C79" s="213" t="str">
        <f>IFERROR(IF(VLOOKUP($A79,TableHandbook[],3,FALSE)=0,"",VLOOKUP($A79,TableHandbook[],3,FALSE)),"")</f>
        <v/>
      </c>
      <c r="D79" s="214" t="str">
        <f>IFERROR(IF(VLOOKUP($A79,TableHandbook[],4,FALSE)=0,"",VLOOKUP($A79,TableHandbook[],4,FALSE)),"")</f>
        <v/>
      </c>
      <c r="E79" s="215"/>
      <c r="F79" s="216" t="str">
        <f>IFERROR(IF(VLOOKUP($A79,TableHandbook[],6,FALSE)=0,"",VLOOKUP($A79,TableHandbook[],6,FALSE)),"")</f>
        <v/>
      </c>
      <c r="G79" s="217" t="str">
        <f>IFERROR(IF(VLOOKUP($A79,TableHandbook[],5,FALSE)=0,"",VLOOKUP($A79,TableHandbook[],5,FALSE)),"")</f>
        <v/>
      </c>
      <c r="H79" s="218" t="str">
        <f>IFERROR(VLOOKUP($A79,TableHandbook[],H$2,FALSE),"")</f>
        <v/>
      </c>
      <c r="I79" s="219" t="str">
        <f>IFERROR(VLOOKUP($A79,TableHandbook[],I$2,FALSE),"")</f>
        <v/>
      </c>
      <c r="J79" s="218" t="str">
        <f>IFERROR(VLOOKUP($A79,TableHandbook[],J$2,FALSE),"")</f>
        <v/>
      </c>
      <c r="K79" s="219" t="str">
        <f>IFERROR(VLOOKUP($A79,TableHandbook[],K$2,FALSE),"")</f>
        <v/>
      </c>
      <c r="L79" s="12"/>
      <c r="M79" s="174">
        <v>14</v>
      </c>
    </row>
    <row r="80" spans="1:13" ht="15.75" x14ac:dyDescent="0.25">
      <c r="A80" s="236"/>
      <c r="B80" s="236"/>
      <c r="C80" s="236"/>
      <c r="D80" s="236"/>
      <c r="E80" s="236"/>
      <c r="F80" s="236"/>
      <c r="G80" s="236"/>
      <c r="H80" s="236"/>
      <c r="I80" s="236"/>
      <c r="J80" s="236"/>
      <c r="K80" s="236"/>
      <c r="L80" s="236"/>
      <c r="M80" s="174"/>
    </row>
    <row r="81" spans="1:15" ht="32.25" customHeight="1" x14ac:dyDescent="0.25">
      <c r="A81" s="237" t="s">
        <v>36</v>
      </c>
      <c r="B81" s="237"/>
      <c r="C81" s="237"/>
      <c r="D81" s="237"/>
      <c r="E81" s="237"/>
      <c r="F81" s="237"/>
      <c r="G81" s="237"/>
      <c r="H81" s="237"/>
      <c r="I81" s="237"/>
      <c r="J81" s="237"/>
      <c r="K81" s="237"/>
      <c r="L81" s="237"/>
    </row>
    <row r="82" spans="1:15" s="239" customFormat="1" ht="24.95" customHeight="1" x14ac:dyDescent="0.3">
      <c r="A82" s="26" t="s">
        <v>37</v>
      </c>
      <c r="B82" s="26"/>
      <c r="C82" s="26"/>
      <c r="D82" s="27"/>
      <c r="E82" s="27"/>
      <c r="F82" s="27"/>
      <c r="G82" s="27"/>
      <c r="H82" s="27"/>
      <c r="I82" s="27"/>
      <c r="J82" s="27"/>
      <c r="K82" s="27"/>
      <c r="L82" s="27"/>
      <c r="M82" s="238"/>
      <c r="N82" s="238"/>
      <c r="O82" s="238"/>
    </row>
    <row r="83" spans="1:15" ht="15" customHeight="1" x14ac:dyDescent="0.25">
      <c r="A83" s="240" t="s">
        <v>38</v>
      </c>
      <c r="B83" s="240"/>
      <c r="C83" s="240"/>
      <c r="D83" s="240"/>
      <c r="E83" s="241"/>
      <c r="F83" s="191"/>
      <c r="G83" s="242"/>
      <c r="H83" s="242"/>
      <c r="I83" s="242"/>
      <c r="J83" s="242"/>
      <c r="K83" s="242"/>
      <c r="L83" s="242" t="s">
        <v>39</v>
      </c>
    </row>
  </sheetData>
  <sheetProtection algorithmName="SHA-512" hashValue="dGf8Q++1hP4Z9btOXIThcKdeANQ+goCIlUiH1Cbs+Reta1vLpJADOCrUem3fKwf6Fzfxp3MsI3Onb6q8T7RImg==" saltValue="x9m1FGfdFHGfOWsXbFUoTg==" spinCount="100000" sheet="1" objects="1" scenarios="1" formatCells="0" formatColumns="0" formatRows="0"/>
  <mergeCells count="2">
    <mergeCell ref="A3:D3"/>
    <mergeCell ref="A81:L81"/>
  </mergeCells>
  <conditionalFormatting sqref="A11:G19 A21:G29 A31:G39">
    <cfRule type="expression" dxfId="83" priority="2">
      <formula>OR($A11="Opt-Y1",$A11="Opt-Y3",$A11="COMS1003",$A11="GRDE1006",$A11="GRDE1024",$A11="GRDE1004",$A11="GRDE2044",$A11="GRDE3034")</formula>
    </cfRule>
    <cfRule type="expression" dxfId="82" priority="5">
      <formula>OR($A11="DesSpec",$A11="SpecElect")</formula>
    </cfRule>
  </conditionalFormatting>
  <conditionalFormatting sqref="A11:L19 A21:L29 A31:L39">
    <cfRule type="expression" dxfId="81" priority="6">
      <formula>$A11="Spec2Elect"</formula>
    </cfRule>
  </conditionalFormatting>
  <conditionalFormatting sqref="A11:L39 A43:L62 A67:L79">
    <cfRule type="expression" dxfId="80" priority="3">
      <formula>$A11=""</formula>
    </cfRule>
  </conditionalFormatting>
  <conditionalFormatting sqref="A43:L62 A67:L79">
    <cfRule type="expression" dxfId="79" priority="11">
      <formula>LEFT($D43,5)="Study"</formula>
    </cfRule>
  </conditionalFormatting>
  <conditionalFormatting sqref="D5:D8">
    <cfRule type="containsText" dxfId="78" priority="4" operator="containsText" text="Choose">
      <formula>NOT(ISERROR(SEARCH("Choose",D5)))</formula>
    </cfRule>
  </conditionalFormatting>
  <conditionalFormatting sqref="H11:K19 H21:K29 H31:K39">
    <cfRule type="expression" dxfId="77" priority="1">
      <formula>$E11=LEFT(H$10,4)</formula>
    </cfRule>
  </conditionalFormatting>
  <dataValidations count="2">
    <dataValidation type="list" allowBlank="1" showInputMessage="1" showErrorMessage="1" sqref="L25 L15 L35" xr:uid="{00000000-0002-0000-0000-000000000000}"/>
    <dataValidation type="list" showInputMessage="1" showErrorMessage="1" sqref="D7" xr:uid="{00000000-0002-0000-0000-000001000000}">
      <formula1>INDIRECT($L$8)</formula1>
    </dataValidation>
  </dataValidations>
  <hyperlinks>
    <hyperlink ref="A82:L82"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55" orientation="portrait" r:id="rId2"/>
  <rowBreaks count="1" manualBreakCount="1">
    <brk id="62" max="10" man="1"/>
  </rowBreaks>
  <ignoredErrors>
    <ignoredError sqref="M35" unlocked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Unitsets!$A$13:$A$20</xm:f>
          </x14:formula1>
          <xm:sqref>D6</xm:sqref>
        </x14:dataValidation>
        <x14:dataValidation type="list" allowBlank="1" showInputMessage="1" showErrorMessage="1" xr:uid="{00000000-0002-0000-0000-000003000000}">
          <x14:formula1>
            <xm:f>Unitsets!$A$8:$A$10</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T66"/>
  <sheetViews>
    <sheetView zoomScale="85" zoomScaleNormal="85" workbookViewId="0">
      <selection activeCell="A24" sqref="A24:A31"/>
    </sheetView>
  </sheetViews>
  <sheetFormatPr defaultRowHeight="15.75" x14ac:dyDescent="0.25"/>
  <cols>
    <col min="1" max="1" width="65.875" style="5" bestFit="1" customWidth="1"/>
    <col min="2" max="2" width="11.625" style="3" bestFit="1" customWidth="1"/>
    <col min="3" max="3" width="12.75" style="3" bestFit="1" customWidth="1"/>
    <col min="4" max="4" width="17.375" style="3" bestFit="1" customWidth="1"/>
    <col min="5" max="5" width="10.125" style="3" bestFit="1" customWidth="1"/>
    <col min="6" max="6" width="19.125" style="3" bestFit="1" customWidth="1"/>
    <col min="7" max="7" width="19.375" style="3" bestFit="1" customWidth="1"/>
    <col min="8" max="8" width="20.25" style="3" bestFit="1" customWidth="1"/>
    <col min="9" max="9" width="14.75" style="3" customWidth="1"/>
    <col min="10" max="10" width="14.375" style="3" bestFit="1" customWidth="1"/>
    <col min="11" max="11" width="40.25" style="3" bestFit="1" customWidth="1"/>
    <col min="12" max="12" width="19.375" style="3" bestFit="1" customWidth="1"/>
    <col min="13" max="13" width="2.5" bestFit="1" customWidth="1"/>
    <col min="14" max="14" width="6" customWidth="1"/>
    <col min="15" max="15" width="14" customWidth="1"/>
    <col min="16" max="16" width="6" customWidth="1"/>
    <col min="17" max="17" width="10.875" bestFit="1" customWidth="1"/>
    <col min="18" max="18" width="6" customWidth="1"/>
    <col min="19" max="19" width="14" customWidth="1"/>
    <col min="20" max="20" width="6" customWidth="1"/>
    <col min="21" max="21" width="13.75" customWidth="1"/>
    <col min="22" max="22" width="6" customWidth="1"/>
    <col min="23" max="23" width="13.25" bestFit="1" customWidth="1"/>
    <col min="24" max="24" width="6" bestFit="1" customWidth="1"/>
    <col min="25" max="25" width="13.75" bestFit="1" customWidth="1"/>
    <col min="26" max="26" width="6" customWidth="1"/>
    <col min="27" max="27" width="13.25" customWidth="1"/>
    <col min="28" max="28" width="6" customWidth="1"/>
    <col min="29" max="29" width="13.25" customWidth="1"/>
    <col min="30" max="30" width="7.875" customWidth="1"/>
    <col min="31" max="31" width="10.625" customWidth="1"/>
    <col min="32" max="32" width="7.875" customWidth="1"/>
    <col min="33" max="33" width="10.625" customWidth="1"/>
    <col min="34" max="34" width="7.875" customWidth="1"/>
    <col min="35" max="35" width="10.625" customWidth="1"/>
    <col min="36" max="36" width="7.875" customWidth="1"/>
    <col min="37" max="37" width="10.625" customWidth="1"/>
    <col min="38" max="38" width="7.875" customWidth="1"/>
    <col min="39" max="39" width="10.625" customWidth="1"/>
    <col min="40" max="40" width="7.875" customWidth="1"/>
    <col min="41" max="41" width="10.625" customWidth="1"/>
    <col min="42" max="42" width="7.875" customWidth="1"/>
    <col min="43" max="43" width="10.625" customWidth="1"/>
    <col min="44" max="44" width="7.875" customWidth="1"/>
    <col min="45" max="45" width="13.25" customWidth="1"/>
    <col min="46" max="46" width="7.875" customWidth="1"/>
  </cols>
  <sheetData>
    <row r="1" spans="1:46" x14ac:dyDescent="0.25">
      <c r="A1" s="6" t="s">
        <v>11</v>
      </c>
      <c r="B1" s="7"/>
      <c r="C1" s="7"/>
      <c r="D1" s="7"/>
    </row>
    <row r="2" spans="1:46" x14ac:dyDescent="0.25">
      <c r="S2" s="122" t="s">
        <v>469</v>
      </c>
      <c r="U2" s="122" t="s">
        <v>469</v>
      </c>
      <c r="W2" s="122" t="s">
        <v>469</v>
      </c>
      <c r="Y2" s="122" t="s">
        <v>469</v>
      </c>
      <c r="AA2" s="122" t="s">
        <v>469</v>
      </c>
      <c r="AC2" s="122" t="s">
        <v>469</v>
      </c>
      <c r="AE2" s="122" t="s">
        <v>469</v>
      </c>
      <c r="AG2" s="126" t="s">
        <v>472</v>
      </c>
      <c r="AI2" s="122" t="s">
        <v>469</v>
      </c>
      <c r="AK2" s="122" t="s">
        <v>469</v>
      </c>
      <c r="AM2" s="122" t="s">
        <v>469</v>
      </c>
      <c r="AO2" s="122" t="s">
        <v>469</v>
      </c>
      <c r="AQ2" s="122" t="s">
        <v>469</v>
      </c>
      <c r="AS2" s="122" t="s">
        <v>469</v>
      </c>
      <c r="AT2" s="4"/>
    </row>
    <row r="3" spans="1:46" x14ac:dyDescent="0.25">
      <c r="A3" s="38" t="s">
        <v>40</v>
      </c>
      <c r="G3" s="3" t="s">
        <v>41</v>
      </c>
      <c r="L3" s="37" t="s">
        <v>42</v>
      </c>
      <c r="M3" s="1">
        <v>1</v>
      </c>
      <c r="N3" s="29"/>
      <c r="O3" s="30" t="s">
        <v>43</v>
      </c>
      <c r="P3" s="29"/>
      <c r="Q3" s="77" t="s">
        <v>44</v>
      </c>
      <c r="R3" s="30"/>
      <c r="S3" s="96" t="s">
        <v>45</v>
      </c>
      <c r="T3" s="97"/>
      <c r="U3" s="98" t="s">
        <v>46</v>
      </c>
      <c r="V3" s="97"/>
      <c r="W3" s="96" t="s">
        <v>47</v>
      </c>
      <c r="X3" s="97"/>
      <c r="Y3" s="98" t="s">
        <v>48</v>
      </c>
      <c r="Z3" s="97"/>
      <c r="AA3" s="96" t="s">
        <v>49</v>
      </c>
      <c r="AB3" s="97"/>
      <c r="AC3" s="98" t="s">
        <v>50</v>
      </c>
      <c r="AD3" s="97"/>
      <c r="AE3" s="96" t="s">
        <v>51</v>
      </c>
      <c r="AF3" s="97"/>
      <c r="AG3" s="98" t="s">
        <v>52</v>
      </c>
      <c r="AH3" s="97"/>
      <c r="AI3" s="96" t="s">
        <v>53</v>
      </c>
      <c r="AJ3" s="97"/>
      <c r="AK3" s="98" t="s">
        <v>54</v>
      </c>
      <c r="AL3" s="97"/>
      <c r="AM3" s="96" t="s">
        <v>55</v>
      </c>
      <c r="AN3" s="97"/>
      <c r="AO3" s="96" t="s">
        <v>56</v>
      </c>
      <c r="AP3" s="97"/>
      <c r="AQ3" s="96" t="s">
        <v>57</v>
      </c>
      <c r="AR3" s="97"/>
      <c r="AS3" s="98" t="s">
        <v>58</v>
      </c>
    </row>
    <row r="4" spans="1:46" x14ac:dyDescent="0.25">
      <c r="A4" s="3" t="s">
        <v>59</v>
      </c>
      <c r="B4" s="5" t="s">
        <v>0</v>
      </c>
      <c r="C4" s="3" t="s">
        <v>448</v>
      </c>
      <c r="D4" s="3" t="s">
        <v>449</v>
      </c>
      <c r="E4" s="3" t="s">
        <v>455</v>
      </c>
      <c r="F4" s="3" t="s">
        <v>450</v>
      </c>
      <c r="G4" s="3" t="s">
        <v>60</v>
      </c>
      <c r="H4" s="110" t="s">
        <v>451</v>
      </c>
      <c r="J4" s="67" t="s">
        <v>61</v>
      </c>
      <c r="K4" s="67"/>
      <c r="M4" s="9">
        <v>2</v>
      </c>
      <c r="N4" s="31" t="s">
        <v>62</v>
      </c>
      <c r="O4" s="47" t="s">
        <v>63</v>
      </c>
      <c r="P4" s="31" t="s">
        <v>64</v>
      </c>
      <c r="Q4" s="80" t="s">
        <v>63</v>
      </c>
      <c r="R4" s="75" t="s">
        <v>62</v>
      </c>
      <c r="S4" s="47" t="s">
        <v>63</v>
      </c>
      <c r="T4" s="31" t="s">
        <v>64</v>
      </c>
      <c r="U4" s="47" t="s">
        <v>63</v>
      </c>
      <c r="V4" s="31" t="s">
        <v>62</v>
      </c>
      <c r="W4" s="47" t="s">
        <v>63</v>
      </c>
      <c r="X4" s="31" t="s">
        <v>64</v>
      </c>
      <c r="Y4" s="47" t="s">
        <v>63</v>
      </c>
      <c r="Z4" s="31" t="s">
        <v>62</v>
      </c>
      <c r="AA4" s="47" t="s">
        <v>63</v>
      </c>
      <c r="AB4" s="31" t="s">
        <v>64</v>
      </c>
      <c r="AC4" s="47" t="s">
        <v>65</v>
      </c>
      <c r="AD4" s="31" t="s">
        <v>62</v>
      </c>
      <c r="AE4" s="47" t="s">
        <v>63</v>
      </c>
      <c r="AF4" s="31" t="s">
        <v>64</v>
      </c>
      <c r="AG4" s="47" t="s">
        <v>63</v>
      </c>
      <c r="AH4" s="31" t="s">
        <v>62</v>
      </c>
      <c r="AI4" s="47" t="s">
        <v>65</v>
      </c>
      <c r="AJ4" s="31" t="s">
        <v>64</v>
      </c>
      <c r="AK4" s="47" t="s">
        <v>65</v>
      </c>
      <c r="AL4" s="31" t="s">
        <v>62</v>
      </c>
      <c r="AM4" s="47" t="s">
        <v>65</v>
      </c>
      <c r="AN4" s="31" t="s">
        <v>64</v>
      </c>
      <c r="AO4" s="85" t="s">
        <v>65</v>
      </c>
      <c r="AP4" s="31" t="s">
        <v>62</v>
      </c>
      <c r="AQ4" s="47" t="s">
        <v>63</v>
      </c>
      <c r="AR4" s="31" t="s">
        <v>64</v>
      </c>
      <c r="AS4" s="47" t="s">
        <v>63</v>
      </c>
    </row>
    <row r="5" spans="1:46" x14ac:dyDescent="0.25">
      <c r="A5" s="3" t="s">
        <v>11</v>
      </c>
      <c r="B5" s="107" t="s">
        <v>66</v>
      </c>
      <c r="C5" s="112" t="s">
        <v>67</v>
      </c>
      <c r="D5" s="113">
        <v>45292</v>
      </c>
      <c r="E5" s="112">
        <v>13</v>
      </c>
      <c r="F5" s="113">
        <v>45292</v>
      </c>
      <c r="G5" s="112" t="s">
        <v>68</v>
      </c>
      <c r="H5" s="112" t="s">
        <v>454</v>
      </c>
      <c r="J5" s="68" t="s">
        <v>69</v>
      </c>
      <c r="K5" s="69" t="s">
        <v>70</v>
      </c>
      <c r="M5" s="9">
        <v>3</v>
      </c>
      <c r="N5" s="13" t="s">
        <v>62</v>
      </c>
      <c r="O5" s="48" t="s">
        <v>71</v>
      </c>
      <c r="P5" s="13" t="s">
        <v>64</v>
      </c>
      <c r="Q5" s="78" t="s">
        <v>71</v>
      </c>
      <c r="R5" s="1" t="s">
        <v>62</v>
      </c>
      <c r="S5" s="48" t="s">
        <v>71</v>
      </c>
      <c r="T5" s="13" t="s">
        <v>64</v>
      </c>
      <c r="U5" s="48" t="s">
        <v>71</v>
      </c>
      <c r="V5" s="13" t="s">
        <v>62</v>
      </c>
      <c r="W5" s="48" t="s">
        <v>71</v>
      </c>
      <c r="X5" s="13" t="s">
        <v>64</v>
      </c>
      <c r="Y5" s="48" t="s">
        <v>71</v>
      </c>
      <c r="Z5" s="13" t="s">
        <v>62</v>
      </c>
      <c r="AA5" s="48" t="s">
        <v>71</v>
      </c>
      <c r="AB5" s="13" t="s">
        <v>64</v>
      </c>
      <c r="AC5" s="48" t="s">
        <v>72</v>
      </c>
      <c r="AD5" s="13" t="s">
        <v>62</v>
      </c>
      <c r="AE5" s="48" t="s">
        <v>71</v>
      </c>
      <c r="AF5" s="13" t="s">
        <v>64</v>
      </c>
      <c r="AG5" s="48" t="s">
        <v>71</v>
      </c>
      <c r="AH5" s="13" t="s">
        <v>62</v>
      </c>
      <c r="AI5" s="48" t="s">
        <v>63</v>
      </c>
      <c r="AJ5" s="13" t="s">
        <v>64</v>
      </c>
      <c r="AK5" s="48" t="s">
        <v>63</v>
      </c>
      <c r="AL5" s="13" t="s">
        <v>62</v>
      </c>
      <c r="AM5" s="48" t="s">
        <v>63</v>
      </c>
      <c r="AN5" s="13" t="s">
        <v>64</v>
      </c>
      <c r="AO5" s="82" t="s">
        <v>63</v>
      </c>
      <c r="AP5" s="13" t="s">
        <v>62</v>
      </c>
      <c r="AQ5" s="48" t="s">
        <v>71</v>
      </c>
      <c r="AR5" s="13" t="s">
        <v>64</v>
      </c>
      <c r="AS5" s="48" t="s">
        <v>65</v>
      </c>
    </row>
    <row r="6" spans="1:46" x14ac:dyDescent="0.25">
      <c r="J6" s="70"/>
      <c r="K6" s="71" t="s">
        <v>73</v>
      </c>
      <c r="M6" s="9">
        <v>4</v>
      </c>
      <c r="N6" s="13" t="s">
        <v>62</v>
      </c>
      <c r="O6" s="48" t="s">
        <v>65</v>
      </c>
      <c r="P6" s="13" t="s">
        <v>64</v>
      </c>
      <c r="Q6" s="78" t="s">
        <v>65</v>
      </c>
      <c r="R6" s="1" t="s">
        <v>62</v>
      </c>
      <c r="S6" s="48" t="s">
        <v>65</v>
      </c>
      <c r="T6" s="13" t="s">
        <v>64</v>
      </c>
      <c r="U6" s="48" t="s">
        <v>65</v>
      </c>
      <c r="V6" s="13" t="s">
        <v>62</v>
      </c>
      <c r="W6" s="48" t="s">
        <v>65</v>
      </c>
      <c r="X6" s="13" t="s">
        <v>64</v>
      </c>
      <c r="Y6" s="48" t="s">
        <v>65</v>
      </c>
      <c r="Z6" s="13" t="s">
        <v>62</v>
      </c>
      <c r="AA6" s="46" t="s">
        <v>74</v>
      </c>
      <c r="AB6" s="13" t="s">
        <v>64</v>
      </c>
      <c r="AC6" s="46" t="s">
        <v>74</v>
      </c>
      <c r="AD6" s="13" t="s">
        <v>62</v>
      </c>
      <c r="AE6" s="82" t="s">
        <v>65</v>
      </c>
      <c r="AF6" s="13" t="s">
        <v>64</v>
      </c>
      <c r="AG6" s="48" t="s">
        <v>65</v>
      </c>
      <c r="AH6" s="13" t="s">
        <v>62</v>
      </c>
      <c r="AI6" s="48" t="s">
        <v>71</v>
      </c>
      <c r="AJ6" s="13" t="s">
        <v>64</v>
      </c>
      <c r="AK6" s="48" t="s">
        <v>71</v>
      </c>
      <c r="AL6" s="13" t="s">
        <v>62</v>
      </c>
      <c r="AM6" s="48" t="s">
        <v>71</v>
      </c>
      <c r="AN6" s="13" t="s">
        <v>64</v>
      </c>
      <c r="AO6" s="82" t="s">
        <v>71</v>
      </c>
      <c r="AP6" s="13" t="s">
        <v>62</v>
      </c>
      <c r="AQ6" s="48" t="s">
        <v>65</v>
      </c>
      <c r="AR6" s="13" t="s">
        <v>64</v>
      </c>
      <c r="AS6" s="48" t="s">
        <v>72</v>
      </c>
    </row>
    <row r="7" spans="1:46" x14ac:dyDescent="0.25">
      <c r="A7" s="38" t="s">
        <v>75</v>
      </c>
      <c r="J7" s="70"/>
      <c r="K7" s="71" t="s">
        <v>76</v>
      </c>
      <c r="M7" s="9">
        <v>5</v>
      </c>
      <c r="N7" s="13" t="s">
        <v>62</v>
      </c>
      <c r="O7" s="39"/>
      <c r="P7" s="13" t="s">
        <v>64</v>
      </c>
      <c r="Q7" s="79"/>
      <c r="R7" s="1" t="s">
        <v>62</v>
      </c>
      <c r="S7" s="46" t="s">
        <v>77</v>
      </c>
      <c r="T7" s="13" t="s">
        <v>64</v>
      </c>
      <c r="U7" s="46" t="s">
        <v>77</v>
      </c>
      <c r="V7" s="13" t="s">
        <v>62</v>
      </c>
      <c r="W7" s="46" t="s">
        <v>78</v>
      </c>
      <c r="X7" s="13" t="s">
        <v>64</v>
      </c>
      <c r="Y7" s="46" t="s">
        <v>79</v>
      </c>
      <c r="Z7" s="13" t="s">
        <v>62</v>
      </c>
      <c r="AA7" s="63" t="s">
        <v>80</v>
      </c>
      <c r="AB7" s="13" t="s">
        <v>64</v>
      </c>
      <c r="AC7" s="46" t="s">
        <v>81</v>
      </c>
      <c r="AD7" s="13" t="s">
        <v>62</v>
      </c>
      <c r="AE7" s="63" t="s">
        <v>80</v>
      </c>
      <c r="AF7" s="13" t="s">
        <v>64</v>
      </c>
      <c r="AG7" s="46" t="s">
        <v>82</v>
      </c>
      <c r="AH7" s="13" t="s">
        <v>62</v>
      </c>
      <c r="AI7" s="46" t="s">
        <v>83</v>
      </c>
      <c r="AJ7" s="13" t="s">
        <v>64</v>
      </c>
      <c r="AK7" s="46" t="s">
        <v>83</v>
      </c>
      <c r="AL7" s="13" t="s">
        <v>62</v>
      </c>
      <c r="AM7" s="46" t="s">
        <v>84</v>
      </c>
      <c r="AN7" s="13" t="s">
        <v>64</v>
      </c>
      <c r="AO7" s="83" t="s">
        <v>84</v>
      </c>
      <c r="AP7" s="13" t="s">
        <v>62</v>
      </c>
      <c r="AQ7" s="46" t="s">
        <v>85</v>
      </c>
      <c r="AR7" s="13" t="s">
        <v>64</v>
      </c>
      <c r="AS7" s="46" t="s">
        <v>85</v>
      </c>
    </row>
    <row r="8" spans="1:46" x14ac:dyDescent="0.25">
      <c r="A8" s="108" t="s">
        <v>86</v>
      </c>
      <c r="B8" s="109" t="s">
        <v>87</v>
      </c>
      <c r="C8" s="3" t="s">
        <v>88</v>
      </c>
      <c r="J8" s="70"/>
      <c r="K8" s="71" t="s">
        <v>17</v>
      </c>
      <c r="M8" s="9">
        <v>6</v>
      </c>
      <c r="N8" s="13" t="s">
        <v>64</v>
      </c>
      <c r="O8" s="82" t="s">
        <v>89</v>
      </c>
      <c r="P8" s="55" t="s">
        <v>62</v>
      </c>
      <c r="Q8" s="78" t="s">
        <v>89</v>
      </c>
      <c r="R8" s="1" t="s">
        <v>64</v>
      </c>
      <c r="S8" s="82" t="s">
        <v>89</v>
      </c>
      <c r="T8" s="13" t="s">
        <v>62</v>
      </c>
      <c r="U8" s="82" t="s">
        <v>89</v>
      </c>
      <c r="V8" s="13" t="s">
        <v>64</v>
      </c>
      <c r="W8" s="82" t="s">
        <v>89</v>
      </c>
      <c r="X8" s="13" t="s">
        <v>62</v>
      </c>
      <c r="Y8" s="82" t="s">
        <v>89</v>
      </c>
      <c r="Z8" s="55" t="s">
        <v>64</v>
      </c>
      <c r="AA8" s="48" t="s">
        <v>65</v>
      </c>
      <c r="AB8" s="13" t="s">
        <v>62</v>
      </c>
      <c r="AC8" s="48" t="s">
        <v>63</v>
      </c>
      <c r="AD8" s="13" t="s">
        <v>64</v>
      </c>
      <c r="AE8" s="48" t="s">
        <v>89</v>
      </c>
      <c r="AF8" s="13" t="s">
        <v>62</v>
      </c>
      <c r="AG8" s="82" t="s">
        <v>89</v>
      </c>
      <c r="AH8" s="13" t="s">
        <v>64</v>
      </c>
      <c r="AI8" s="82" t="s">
        <v>89</v>
      </c>
      <c r="AJ8" s="13" t="s">
        <v>62</v>
      </c>
      <c r="AK8" s="82" t="s">
        <v>89</v>
      </c>
      <c r="AL8" s="13" t="s">
        <v>64</v>
      </c>
      <c r="AM8" s="82" t="s">
        <v>89</v>
      </c>
      <c r="AN8" s="13" t="s">
        <v>62</v>
      </c>
      <c r="AO8" s="82" t="s">
        <v>89</v>
      </c>
      <c r="AP8" s="13" t="s">
        <v>64</v>
      </c>
      <c r="AQ8" s="82" t="s">
        <v>89</v>
      </c>
      <c r="AR8" s="13" t="s">
        <v>62</v>
      </c>
      <c r="AS8" s="48" t="s">
        <v>89</v>
      </c>
    </row>
    <row r="9" spans="1:46" x14ac:dyDescent="0.25">
      <c r="A9" s="3" t="s">
        <v>20</v>
      </c>
      <c r="B9" s="107" t="s">
        <v>90</v>
      </c>
      <c r="C9" s="107" t="s">
        <v>91</v>
      </c>
      <c r="J9" s="70"/>
      <c r="K9" s="71" t="s">
        <v>92</v>
      </c>
      <c r="M9" s="9">
        <v>7</v>
      </c>
      <c r="N9" s="13" t="s">
        <v>64</v>
      </c>
      <c r="O9" s="48" t="s">
        <v>72</v>
      </c>
      <c r="P9" s="13" t="s">
        <v>62</v>
      </c>
      <c r="Q9" s="48" t="s">
        <v>72</v>
      </c>
      <c r="R9" s="1" t="s">
        <v>64</v>
      </c>
      <c r="S9" s="48" t="s">
        <v>72</v>
      </c>
      <c r="T9" s="13" t="s">
        <v>62</v>
      </c>
      <c r="U9" s="48" t="s">
        <v>72</v>
      </c>
      <c r="V9" s="13" t="s">
        <v>64</v>
      </c>
      <c r="W9" s="48" t="s">
        <v>72</v>
      </c>
      <c r="X9" s="13" t="s">
        <v>62</v>
      </c>
      <c r="Y9" s="48" t="s">
        <v>72</v>
      </c>
      <c r="Z9" s="13" t="s">
        <v>64</v>
      </c>
      <c r="AA9" s="48" t="s">
        <v>72</v>
      </c>
      <c r="AB9" s="13" t="s">
        <v>62</v>
      </c>
      <c r="AC9" s="48" t="s">
        <v>71</v>
      </c>
      <c r="AD9" s="13" t="s">
        <v>64</v>
      </c>
      <c r="AE9" s="48" t="s">
        <v>72</v>
      </c>
      <c r="AF9" s="13" t="s">
        <v>62</v>
      </c>
      <c r="AG9" s="48" t="s">
        <v>72</v>
      </c>
      <c r="AH9" s="13" t="s">
        <v>64</v>
      </c>
      <c r="AI9" s="48" t="s">
        <v>72</v>
      </c>
      <c r="AJ9" s="13" t="s">
        <v>62</v>
      </c>
      <c r="AK9" s="48" t="s">
        <v>72</v>
      </c>
      <c r="AL9" s="13" t="s">
        <v>64</v>
      </c>
      <c r="AM9" s="48" t="s">
        <v>72</v>
      </c>
      <c r="AN9" s="13" t="s">
        <v>62</v>
      </c>
      <c r="AO9" s="48" t="s">
        <v>72</v>
      </c>
      <c r="AP9" s="13" t="s">
        <v>64</v>
      </c>
      <c r="AQ9" s="48" t="s">
        <v>72</v>
      </c>
      <c r="AR9" s="13" t="s">
        <v>62</v>
      </c>
      <c r="AS9" s="48" t="s">
        <v>71</v>
      </c>
    </row>
    <row r="10" spans="1:46" x14ac:dyDescent="0.25">
      <c r="A10" s="3" t="s">
        <v>93</v>
      </c>
      <c r="B10" s="107" t="s">
        <v>91</v>
      </c>
      <c r="C10" s="107" t="s">
        <v>90</v>
      </c>
      <c r="J10" s="70"/>
      <c r="K10" s="71" t="s">
        <v>94</v>
      </c>
      <c r="M10" s="9">
        <v>8</v>
      </c>
      <c r="N10" s="13" t="s">
        <v>64</v>
      </c>
      <c r="O10" s="39"/>
      <c r="P10" s="13" t="s">
        <v>62</v>
      </c>
      <c r="Q10" s="79"/>
      <c r="R10" s="1" t="s">
        <v>64</v>
      </c>
      <c r="S10" s="63" t="s">
        <v>80</v>
      </c>
      <c r="T10" s="13" t="s">
        <v>62</v>
      </c>
      <c r="U10" s="63" t="s">
        <v>80</v>
      </c>
      <c r="V10" s="13" t="s">
        <v>64</v>
      </c>
      <c r="W10" s="46" t="s">
        <v>79</v>
      </c>
      <c r="X10" s="13" t="s">
        <v>62</v>
      </c>
      <c r="Y10" s="46" t="s">
        <v>78</v>
      </c>
      <c r="Z10" s="13" t="s">
        <v>64</v>
      </c>
      <c r="AA10" s="46" t="s">
        <v>81</v>
      </c>
      <c r="AB10" s="13" t="s">
        <v>62</v>
      </c>
      <c r="AC10" s="46" t="s">
        <v>96</v>
      </c>
      <c r="AD10" s="13" t="s">
        <v>64</v>
      </c>
      <c r="AE10" s="46" t="s">
        <v>82</v>
      </c>
      <c r="AF10" s="13" t="s">
        <v>62</v>
      </c>
      <c r="AG10" s="46" t="s">
        <v>97</v>
      </c>
      <c r="AH10" s="13" t="s">
        <v>64</v>
      </c>
      <c r="AI10" s="39" t="s">
        <v>80</v>
      </c>
      <c r="AJ10" s="13" t="s">
        <v>62</v>
      </c>
      <c r="AK10" s="46" t="s">
        <v>98</v>
      </c>
      <c r="AL10" s="13" t="s">
        <v>64</v>
      </c>
      <c r="AM10" s="83" t="s">
        <v>99</v>
      </c>
      <c r="AN10" s="13" t="s">
        <v>62</v>
      </c>
      <c r="AO10" s="83" t="s">
        <v>99</v>
      </c>
      <c r="AP10" s="13" t="s">
        <v>64</v>
      </c>
      <c r="AQ10" s="63" t="s">
        <v>80</v>
      </c>
      <c r="AR10" s="13" t="s">
        <v>62</v>
      </c>
      <c r="AS10" s="46" t="s">
        <v>100</v>
      </c>
    </row>
    <row r="11" spans="1:46" x14ac:dyDescent="0.25">
      <c r="E11" s="8"/>
      <c r="J11" s="70"/>
      <c r="K11" s="71" t="s">
        <v>101</v>
      </c>
      <c r="M11" s="9">
        <v>9</v>
      </c>
      <c r="N11" s="13" t="s">
        <v>64</v>
      </c>
      <c r="O11" s="39"/>
      <c r="P11" s="16" t="s">
        <v>62</v>
      </c>
      <c r="Q11" s="79"/>
      <c r="R11" s="1" t="s">
        <v>64</v>
      </c>
      <c r="S11" s="65" t="s">
        <v>80</v>
      </c>
      <c r="T11" s="16" t="s">
        <v>62</v>
      </c>
      <c r="U11" s="65" t="s">
        <v>80</v>
      </c>
      <c r="V11" s="13" t="s">
        <v>64</v>
      </c>
      <c r="W11" s="39" t="s">
        <v>80</v>
      </c>
      <c r="X11" s="16" t="s">
        <v>62</v>
      </c>
      <c r="Y11" s="46" t="s">
        <v>103</v>
      </c>
      <c r="Z11" s="13" t="s">
        <v>64</v>
      </c>
      <c r="AA11" s="63" t="s">
        <v>80</v>
      </c>
      <c r="AB11" s="16" t="s">
        <v>62</v>
      </c>
      <c r="AC11" s="46" t="s">
        <v>104</v>
      </c>
      <c r="AD11" s="13" t="s">
        <v>64</v>
      </c>
      <c r="AE11" s="63" t="s">
        <v>80</v>
      </c>
      <c r="AF11" s="16" t="s">
        <v>62</v>
      </c>
      <c r="AG11" s="46" t="s">
        <v>105</v>
      </c>
      <c r="AH11" s="13" t="s">
        <v>64</v>
      </c>
      <c r="AI11" s="39" t="s">
        <v>80</v>
      </c>
      <c r="AJ11" s="16" t="s">
        <v>62</v>
      </c>
      <c r="AK11" s="46" t="s">
        <v>124</v>
      </c>
      <c r="AL11" s="13" t="s">
        <v>64</v>
      </c>
      <c r="AM11" s="39" t="s">
        <v>80</v>
      </c>
      <c r="AN11" s="16" t="s">
        <v>62</v>
      </c>
      <c r="AO11" s="39" t="s">
        <v>80</v>
      </c>
      <c r="AP11" s="13" t="s">
        <v>64</v>
      </c>
      <c r="AQ11" s="63" t="s">
        <v>80</v>
      </c>
      <c r="AR11" s="16" t="s">
        <v>62</v>
      </c>
      <c r="AS11" s="63" t="s">
        <v>80</v>
      </c>
    </row>
    <row r="12" spans="1:46" x14ac:dyDescent="0.25">
      <c r="A12" s="38" t="s">
        <v>107</v>
      </c>
      <c r="J12" s="72"/>
      <c r="K12" s="73" t="s">
        <v>108</v>
      </c>
      <c r="M12" s="9">
        <v>10</v>
      </c>
      <c r="N12" s="33" t="s">
        <v>109</v>
      </c>
      <c r="O12" s="47" t="s">
        <v>110</v>
      </c>
      <c r="P12" s="33" t="s">
        <v>111</v>
      </c>
      <c r="Q12" s="80" t="s">
        <v>110</v>
      </c>
      <c r="R12" s="32" t="s">
        <v>109</v>
      </c>
      <c r="S12" s="58" t="s">
        <v>112</v>
      </c>
      <c r="T12" s="33" t="s">
        <v>111</v>
      </c>
      <c r="U12" s="57" t="s">
        <v>113</v>
      </c>
      <c r="V12" s="33" t="s">
        <v>109</v>
      </c>
      <c r="W12" s="47" t="s">
        <v>110</v>
      </c>
      <c r="X12" s="33" t="s">
        <v>111</v>
      </c>
      <c r="Y12" s="47" t="s">
        <v>110</v>
      </c>
      <c r="Z12" s="33" t="s">
        <v>109</v>
      </c>
      <c r="AA12" s="47" t="s">
        <v>110</v>
      </c>
      <c r="AB12" s="33" t="s">
        <v>111</v>
      </c>
      <c r="AC12" s="47" t="s">
        <v>89</v>
      </c>
      <c r="AD12" s="33" t="s">
        <v>109</v>
      </c>
      <c r="AE12" s="47" t="s">
        <v>110</v>
      </c>
      <c r="AF12" s="33" t="s">
        <v>111</v>
      </c>
      <c r="AG12" s="47" t="s">
        <v>110</v>
      </c>
      <c r="AH12" s="33" t="s">
        <v>109</v>
      </c>
      <c r="AI12" s="47" t="s">
        <v>110</v>
      </c>
      <c r="AJ12" s="33" t="s">
        <v>111</v>
      </c>
      <c r="AK12" s="47" t="s">
        <v>110</v>
      </c>
      <c r="AL12" s="33" t="s">
        <v>109</v>
      </c>
      <c r="AM12" s="58" t="s">
        <v>114</v>
      </c>
      <c r="AN12" s="33" t="s">
        <v>111</v>
      </c>
      <c r="AO12" s="84" t="s">
        <v>114</v>
      </c>
      <c r="AP12" s="33" t="s">
        <v>109</v>
      </c>
      <c r="AQ12" s="59" t="s">
        <v>110</v>
      </c>
      <c r="AR12" s="33" t="s">
        <v>111</v>
      </c>
      <c r="AS12" s="59" t="s">
        <v>110</v>
      </c>
    </row>
    <row r="13" spans="1:46" x14ac:dyDescent="0.25">
      <c r="A13" s="3" t="s">
        <v>115</v>
      </c>
      <c r="B13" s="5" t="s">
        <v>0</v>
      </c>
      <c r="C13" s="3" t="s">
        <v>448</v>
      </c>
      <c r="D13" s="3" t="s">
        <v>449</v>
      </c>
      <c r="E13" s="3" t="s">
        <v>455</v>
      </c>
      <c r="F13" s="3" t="s">
        <v>450</v>
      </c>
      <c r="G13" s="3" t="s">
        <v>60</v>
      </c>
      <c r="H13" s="3" t="s">
        <v>452</v>
      </c>
      <c r="J13" s="68" t="s">
        <v>117</v>
      </c>
      <c r="K13" s="69" t="s">
        <v>70</v>
      </c>
      <c r="M13" s="9">
        <v>11</v>
      </c>
      <c r="N13" s="14" t="s">
        <v>109</v>
      </c>
      <c r="O13" s="39"/>
      <c r="P13" s="14" t="s">
        <v>111</v>
      </c>
      <c r="Q13" s="79"/>
      <c r="R13" s="76" t="s">
        <v>109</v>
      </c>
      <c r="S13" s="46" t="s">
        <v>118</v>
      </c>
      <c r="T13" s="14" t="s">
        <v>111</v>
      </c>
      <c r="U13" s="46" t="s">
        <v>119</v>
      </c>
      <c r="V13" s="14" t="s">
        <v>109</v>
      </c>
      <c r="W13" s="46" t="s">
        <v>120</v>
      </c>
      <c r="X13" s="14" t="s">
        <v>111</v>
      </c>
      <c r="Y13" s="46" t="s">
        <v>121</v>
      </c>
      <c r="Z13" s="14" t="s">
        <v>109</v>
      </c>
      <c r="AA13" s="46" t="s">
        <v>96</v>
      </c>
      <c r="AB13" s="14" t="s">
        <v>111</v>
      </c>
      <c r="AC13" s="46" t="s">
        <v>122</v>
      </c>
      <c r="AD13" s="14" t="s">
        <v>109</v>
      </c>
      <c r="AE13" s="46" t="s">
        <v>97</v>
      </c>
      <c r="AF13" s="14" t="s">
        <v>111</v>
      </c>
      <c r="AG13" s="46" t="s">
        <v>123</v>
      </c>
      <c r="AH13" s="14" t="s">
        <v>109</v>
      </c>
      <c r="AI13" s="46" t="s">
        <v>98</v>
      </c>
      <c r="AJ13" s="14" t="s">
        <v>111</v>
      </c>
      <c r="AK13" s="46" t="s">
        <v>106</v>
      </c>
      <c r="AL13" s="14" t="s">
        <v>109</v>
      </c>
      <c r="AM13" s="46" t="s">
        <v>125</v>
      </c>
      <c r="AN13" s="14" t="s">
        <v>111</v>
      </c>
      <c r="AO13" s="83" t="s">
        <v>125</v>
      </c>
      <c r="AP13" s="14" t="s">
        <v>109</v>
      </c>
      <c r="AQ13" s="83" t="s">
        <v>126</v>
      </c>
      <c r="AR13" s="56" t="s">
        <v>111</v>
      </c>
      <c r="AS13" s="46" t="s">
        <v>127</v>
      </c>
    </row>
    <row r="14" spans="1:46" x14ac:dyDescent="0.25">
      <c r="A14" s="3" t="s">
        <v>14</v>
      </c>
      <c r="B14" s="112" t="s">
        <v>128</v>
      </c>
      <c r="C14" s="112" t="s">
        <v>129</v>
      </c>
      <c r="D14" s="113">
        <v>44927</v>
      </c>
      <c r="E14" s="112">
        <v>1</v>
      </c>
      <c r="F14" s="113">
        <v>44927</v>
      </c>
      <c r="G14" s="107" t="s">
        <v>130</v>
      </c>
      <c r="H14" s="111" t="s">
        <v>131</v>
      </c>
      <c r="I14" s="8"/>
      <c r="J14" s="70"/>
      <c r="K14" s="71" t="s">
        <v>132</v>
      </c>
      <c r="M14" s="9">
        <v>12</v>
      </c>
      <c r="N14" s="14" t="s">
        <v>109</v>
      </c>
      <c r="O14" s="39"/>
      <c r="P14" s="14" t="s">
        <v>111</v>
      </c>
      <c r="Q14" s="79"/>
      <c r="R14" s="76" t="s">
        <v>109</v>
      </c>
      <c r="S14" s="63" t="s">
        <v>80</v>
      </c>
      <c r="T14" s="14" t="s">
        <v>111</v>
      </c>
      <c r="U14" s="63" t="s">
        <v>80</v>
      </c>
      <c r="V14" s="14" t="s">
        <v>109</v>
      </c>
      <c r="W14" s="46" t="s">
        <v>103</v>
      </c>
      <c r="X14" s="14" t="s">
        <v>111</v>
      </c>
      <c r="Y14" s="46" t="s">
        <v>133</v>
      </c>
      <c r="Z14" s="14" t="s">
        <v>109</v>
      </c>
      <c r="AA14" s="46" t="s">
        <v>104</v>
      </c>
      <c r="AB14" s="14" t="s">
        <v>111</v>
      </c>
      <c r="AC14" s="46" t="s">
        <v>134</v>
      </c>
      <c r="AD14" s="14" t="s">
        <v>109</v>
      </c>
      <c r="AE14" s="46" t="s">
        <v>105</v>
      </c>
      <c r="AF14" s="14" t="s">
        <v>111</v>
      </c>
      <c r="AG14" s="46" t="s">
        <v>135</v>
      </c>
      <c r="AH14" s="14" t="s">
        <v>109</v>
      </c>
      <c r="AI14" s="46" t="s">
        <v>124</v>
      </c>
      <c r="AJ14" s="14" t="s">
        <v>111</v>
      </c>
      <c r="AK14" s="46" t="s">
        <v>136</v>
      </c>
      <c r="AL14" s="14" t="s">
        <v>109</v>
      </c>
      <c r="AM14" s="39" t="s">
        <v>80</v>
      </c>
      <c r="AN14" s="14" t="s">
        <v>111</v>
      </c>
      <c r="AO14" s="76" t="s">
        <v>80</v>
      </c>
      <c r="AP14" s="14" t="s">
        <v>109</v>
      </c>
      <c r="AQ14" s="46" t="s">
        <v>100</v>
      </c>
      <c r="AR14" s="14" t="s">
        <v>111</v>
      </c>
      <c r="AS14" s="63" t="s">
        <v>80</v>
      </c>
    </row>
    <row r="15" spans="1:46" x14ac:dyDescent="0.25">
      <c r="A15" s="3" t="s">
        <v>137</v>
      </c>
      <c r="B15" s="112" t="s">
        <v>138</v>
      </c>
      <c r="C15" s="112" t="s">
        <v>139</v>
      </c>
      <c r="D15" s="113">
        <v>43466</v>
      </c>
      <c r="E15" s="112">
        <v>4</v>
      </c>
      <c r="F15" s="113">
        <v>43831</v>
      </c>
      <c r="G15" s="107" t="s">
        <v>130</v>
      </c>
      <c r="H15" s="111" t="s">
        <v>140</v>
      </c>
      <c r="J15" s="70"/>
      <c r="K15" s="71" t="s">
        <v>76</v>
      </c>
      <c r="M15" s="9">
        <v>13</v>
      </c>
      <c r="N15" s="14" t="s">
        <v>109</v>
      </c>
      <c r="O15" s="39"/>
      <c r="P15" s="14" t="s">
        <v>111</v>
      </c>
      <c r="Q15" s="79"/>
      <c r="R15" s="76" t="s">
        <v>109</v>
      </c>
      <c r="S15" s="63" t="s">
        <v>80</v>
      </c>
      <c r="T15" s="14" t="s">
        <v>111</v>
      </c>
      <c r="U15" s="63" t="s">
        <v>80</v>
      </c>
      <c r="V15" s="14" t="s">
        <v>109</v>
      </c>
      <c r="W15" s="39" t="s">
        <v>80</v>
      </c>
      <c r="X15" s="14" t="s">
        <v>111</v>
      </c>
      <c r="Y15" s="39" t="s">
        <v>80</v>
      </c>
      <c r="Z15" s="14" t="s">
        <v>109</v>
      </c>
      <c r="AA15" s="63" t="s">
        <v>80</v>
      </c>
      <c r="AB15" s="14" t="s">
        <v>111</v>
      </c>
      <c r="AC15" s="63" t="s">
        <v>80</v>
      </c>
      <c r="AD15" s="14" t="s">
        <v>109</v>
      </c>
      <c r="AE15" s="63" t="s">
        <v>80</v>
      </c>
      <c r="AF15" s="14" t="s">
        <v>111</v>
      </c>
      <c r="AG15" s="63" t="s">
        <v>80</v>
      </c>
      <c r="AH15" s="14" t="s">
        <v>109</v>
      </c>
      <c r="AI15" s="39" t="s">
        <v>80</v>
      </c>
      <c r="AJ15" s="14" t="s">
        <v>111</v>
      </c>
      <c r="AK15" s="39" t="s">
        <v>80</v>
      </c>
      <c r="AL15" s="14" t="s">
        <v>109</v>
      </c>
      <c r="AM15" s="39" t="s">
        <v>80</v>
      </c>
      <c r="AN15" s="14" t="s">
        <v>111</v>
      </c>
      <c r="AO15" s="76" t="s">
        <v>80</v>
      </c>
      <c r="AP15" s="14" t="s">
        <v>109</v>
      </c>
      <c r="AQ15" s="63" t="s">
        <v>80</v>
      </c>
      <c r="AR15" s="14" t="s">
        <v>111</v>
      </c>
      <c r="AS15" s="63" t="s">
        <v>80</v>
      </c>
    </row>
    <row r="16" spans="1:46" x14ac:dyDescent="0.25">
      <c r="A16" s="3" t="s">
        <v>141</v>
      </c>
      <c r="B16" s="112" t="s">
        <v>142</v>
      </c>
      <c r="C16" s="112" t="s">
        <v>139</v>
      </c>
      <c r="D16" s="113">
        <v>45292</v>
      </c>
      <c r="E16" s="112">
        <v>2</v>
      </c>
      <c r="F16" s="113">
        <v>45292</v>
      </c>
      <c r="G16" s="107" t="s">
        <v>130</v>
      </c>
      <c r="H16" s="111" t="s">
        <v>143</v>
      </c>
      <c r="J16" s="70"/>
      <c r="K16" s="71" t="s">
        <v>17</v>
      </c>
      <c r="M16" s="9">
        <v>14</v>
      </c>
      <c r="N16" s="14" t="s">
        <v>111</v>
      </c>
      <c r="O16" s="39"/>
      <c r="P16" s="14" t="s">
        <v>109</v>
      </c>
      <c r="Q16" s="79"/>
      <c r="R16" s="76" t="s">
        <v>111</v>
      </c>
      <c r="S16" s="82" t="s">
        <v>110</v>
      </c>
      <c r="T16" s="14" t="s">
        <v>109</v>
      </c>
      <c r="U16" s="82" t="s">
        <v>110</v>
      </c>
      <c r="V16" s="56" t="s">
        <v>111</v>
      </c>
      <c r="W16" s="46" t="s">
        <v>121</v>
      </c>
      <c r="X16" s="14" t="s">
        <v>109</v>
      </c>
      <c r="Y16" s="46" t="s">
        <v>120</v>
      </c>
      <c r="Z16" s="14" t="s">
        <v>111</v>
      </c>
      <c r="AA16" s="82" t="s">
        <v>89</v>
      </c>
      <c r="AB16" s="14" t="s">
        <v>109</v>
      </c>
      <c r="AC16" s="48" t="s">
        <v>110</v>
      </c>
      <c r="AD16" s="14" t="s">
        <v>111</v>
      </c>
      <c r="AE16" s="46" t="s">
        <v>123</v>
      </c>
      <c r="AF16" s="14" t="s">
        <v>109</v>
      </c>
      <c r="AG16" s="46" t="s">
        <v>144</v>
      </c>
      <c r="AH16" s="14" t="s">
        <v>111</v>
      </c>
      <c r="AI16" s="46" t="s">
        <v>136</v>
      </c>
      <c r="AJ16" s="14" t="s">
        <v>109</v>
      </c>
      <c r="AK16" s="46" t="s">
        <v>145</v>
      </c>
      <c r="AL16" s="14" t="s">
        <v>111</v>
      </c>
      <c r="AM16" s="48" t="s">
        <v>110</v>
      </c>
      <c r="AN16" s="14" t="s">
        <v>109</v>
      </c>
      <c r="AO16" s="82" t="s">
        <v>110</v>
      </c>
      <c r="AP16" s="14" t="s">
        <v>111</v>
      </c>
      <c r="AQ16" s="46" t="s">
        <v>127</v>
      </c>
      <c r="AR16" s="14" t="s">
        <v>109</v>
      </c>
      <c r="AS16" s="46" t="s">
        <v>126</v>
      </c>
    </row>
    <row r="17" spans="1:45" x14ac:dyDescent="0.25">
      <c r="A17" s="3" t="s">
        <v>146</v>
      </c>
      <c r="B17" s="112" t="s">
        <v>147</v>
      </c>
      <c r="C17" s="112" t="s">
        <v>148</v>
      </c>
      <c r="D17" s="113">
        <v>43831</v>
      </c>
      <c r="E17" s="112">
        <v>5</v>
      </c>
      <c r="F17" s="113">
        <v>43831</v>
      </c>
      <c r="G17" s="107" t="s">
        <v>130</v>
      </c>
      <c r="H17" s="111" t="s">
        <v>149</v>
      </c>
      <c r="J17" s="70"/>
      <c r="K17" s="71" t="s">
        <v>92</v>
      </c>
      <c r="M17" s="9">
        <v>15</v>
      </c>
      <c r="N17" s="14" t="s">
        <v>111</v>
      </c>
      <c r="O17" s="39"/>
      <c r="P17" s="14" t="s">
        <v>109</v>
      </c>
      <c r="Q17" s="79"/>
      <c r="R17" s="76" t="s">
        <v>111</v>
      </c>
      <c r="S17" s="46" t="s">
        <v>113</v>
      </c>
      <c r="T17" s="14" t="s">
        <v>109</v>
      </c>
      <c r="U17" s="46" t="s">
        <v>112</v>
      </c>
      <c r="V17" s="14" t="s">
        <v>111</v>
      </c>
      <c r="W17" s="46" t="s">
        <v>133</v>
      </c>
      <c r="X17" s="14" t="s">
        <v>109</v>
      </c>
      <c r="Y17" s="39" t="s">
        <v>80</v>
      </c>
      <c r="Z17" s="14" t="s">
        <v>111</v>
      </c>
      <c r="AA17" s="46" t="s">
        <v>122</v>
      </c>
      <c r="AB17" s="14" t="s">
        <v>109</v>
      </c>
      <c r="AC17" s="46" t="s">
        <v>150</v>
      </c>
      <c r="AD17" s="14" t="s">
        <v>111</v>
      </c>
      <c r="AE17" s="46" t="s">
        <v>135</v>
      </c>
      <c r="AF17" s="14" t="s">
        <v>109</v>
      </c>
      <c r="AG17" s="46" t="s">
        <v>151</v>
      </c>
      <c r="AH17" s="14" t="s">
        <v>111</v>
      </c>
      <c r="AI17" s="46" t="s">
        <v>106</v>
      </c>
      <c r="AJ17" s="14" t="s">
        <v>109</v>
      </c>
      <c r="AK17" s="46" t="s">
        <v>152</v>
      </c>
      <c r="AL17" s="14" t="s">
        <v>111</v>
      </c>
      <c r="AM17" s="46" t="s">
        <v>153</v>
      </c>
      <c r="AN17" s="14" t="s">
        <v>109</v>
      </c>
      <c r="AO17" s="83" t="s">
        <v>153</v>
      </c>
      <c r="AP17" s="14" t="s">
        <v>111</v>
      </c>
      <c r="AQ17" s="63" t="s">
        <v>80</v>
      </c>
      <c r="AR17" s="14" t="s">
        <v>109</v>
      </c>
      <c r="AS17" s="46" t="s">
        <v>154</v>
      </c>
    </row>
    <row r="18" spans="1:45" x14ac:dyDescent="0.25">
      <c r="A18" s="3" t="s">
        <v>155</v>
      </c>
      <c r="B18" s="112" t="s">
        <v>156</v>
      </c>
      <c r="C18" s="112" t="s">
        <v>139</v>
      </c>
      <c r="D18" s="113">
        <v>43466</v>
      </c>
      <c r="E18" s="112">
        <v>4</v>
      </c>
      <c r="F18" s="113">
        <v>43831</v>
      </c>
      <c r="G18" s="107" t="s">
        <v>130</v>
      </c>
      <c r="H18" s="111" t="s">
        <v>453</v>
      </c>
      <c r="J18" s="70"/>
      <c r="K18" s="71" t="s">
        <v>94</v>
      </c>
      <c r="M18" s="9">
        <v>16</v>
      </c>
      <c r="N18" s="14" t="s">
        <v>111</v>
      </c>
      <c r="O18" s="39"/>
      <c r="P18" s="14" t="s">
        <v>109</v>
      </c>
      <c r="Q18" s="79"/>
      <c r="R18" s="76" t="s">
        <v>111</v>
      </c>
      <c r="S18" s="46" t="s">
        <v>119</v>
      </c>
      <c r="T18" s="14" t="s">
        <v>109</v>
      </c>
      <c r="U18" s="46" t="s">
        <v>118</v>
      </c>
      <c r="V18" s="14" t="s">
        <v>111</v>
      </c>
      <c r="W18" s="39" t="s">
        <v>80</v>
      </c>
      <c r="X18" s="14" t="s">
        <v>109</v>
      </c>
      <c r="Y18" s="39" t="s">
        <v>80</v>
      </c>
      <c r="Z18" s="14" t="s">
        <v>111</v>
      </c>
      <c r="AA18" s="46" t="s">
        <v>134</v>
      </c>
      <c r="AB18" s="14" t="s">
        <v>109</v>
      </c>
      <c r="AC18" s="63" t="s">
        <v>80</v>
      </c>
      <c r="AD18" s="14" t="s">
        <v>111</v>
      </c>
      <c r="AE18" s="63" t="s">
        <v>80</v>
      </c>
      <c r="AF18" s="14" t="s">
        <v>109</v>
      </c>
      <c r="AG18" s="63" t="s">
        <v>80</v>
      </c>
      <c r="AH18" s="14" t="s">
        <v>111</v>
      </c>
      <c r="AI18" s="39" t="s">
        <v>80</v>
      </c>
      <c r="AJ18" s="14" t="s">
        <v>109</v>
      </c>
      <c r="AK18" s="39" t="s">
        <v>80</v>
      </c>
      <c r="AL18" s="14" t="s">
        <v>111</v>
      </c>
      <c r="AM18" s="39" t="s">
        <v>80</v>
      </c>
      <c r="AN18" s="14" t="s">
        <v>109</v>
      </c>
      <c r="AO18" s="76" t="s">
        <v>80</v>
      </c>
      <c r="AP18" s="14" t="s">
        <v>111</v>
      </c>
      <c r="AQ18" s="63" t="s">
        <v>80</v>
      </c>
      <c r="AR18" s="14" t="s">
        <v>109</v>
      </c>
      <c r="AS18" s="63" t="s">
        <v>80</v>
      </c>
    </row>
    <row r="19" spans="1:45" x14ac:dyDescent="0.25">
      <c r="A19" s="3" t="s">
        <v>157</v>
      </c>
      <c r="B19" s="112" t="s">
        <v>158</v>
      </c>
      <c r="C19" s="112" t="s">
        <v>129</v>
      </c>
      <c r="D19" s="113">
        <v>43466</v>
      </c>
      <c r="E19" s="112">
        <v>3</v>
      </c>
      <c r="F19" s="113">
        <v>43831</v>
      </c>
      <c r="G19" s="107" t="s">
        <v>130</v>
      </c>
      <c r="H19" s="111" t="s">
        <v>41</v>
      </c>
      <c r="J19" s="70"/>
      <c r="K19" s="71" t="s">
        <v>101</v>
      </c>
      <c r="M19" s="9">
        <v>17</v>
      </c>
      <c r="N19" s="15" t="s">
        <v>111</v>
      </c>
      <c r="O19" s="40"/>
      <c r="P19" s="15" t="s">
        <v>109</v>
      </c>
      <c r="Q19" s="81"/>
      <c r="R19" s="20" t="s">
        <v>111</v>
      </c>
      <c r="S19" s="63" t="s">
        <v>80</v>
      </c>
      <c r="T19" s="15" t="s">
        <v>109</v>
      </c>
      <c r="U19" s="63" t="s">
        <v>80</v>
      </c>
      <c r="V19" s="15" t="s">
        <v>111</v>
      </c>
      <c r="W19" s="40" t="s">
        <v>80</v>
      </c>
      <c r="X19" s="15" t="s">
        <v>109</v>
      </c>
      <c r="Y19" s="40" t="s">
        <v>80</v>
      </c>
      <c r="Z19" s="15" t="s">
        <v>111</v>
      </c>
      <c r="AA19" s="63" t="s">
        <v>80</v>
      </c>
      <c r="AB19" s="15" t="s">
        <v>109</v>
      </c>
      <c r="AC19" s="65" t="s">
        <v>80</v>
      </c>
      <c r="AD19" s="15" t="s">
        <v>111</v>
      </c>
      <c r="AE19" s="65" t="s">
        <v>80</v>
      </c>
      <c r="AF19" s="15" t="s">
        <v>109</v>
      </c>
      <c r="AG19" s="65" t="s">
        <v>80</v>
      </c>
      <c r="AH19" s="15" t="s">
        <v>111</v>
      </c>
      <c r="AI19" s="40" t="s">
        <v>80</v>
      </c>
      <c r="AJ19" s="15" t="s">
        <v>109</v>
      </c>
      <c r="AK19" s="40" t="s">
        <v>80</v>
      </c>
      <c r="AL19" s="15" t="s">
        <v>111</v>
      </c>
      <c r="AM19" s="40" t="s">
        <v>80</v>
      </c>
      <c r="AN19" s="15" t="s">
        <v>109</v>
      </c>
      <c r="AO19" s="127" t="s">
        <v>80</v>
      </c>
      <c r="AP19" s="15" t="s">
        <v>111</v>
      </c>
      <c r="AQ19" s="65" t="s">
        <v>80</v>
      </c>
      <c r="AR19" s="15" t="s">
        <v>109</v>
      </c>
      <c r="AS19" s="65" t="s">
        <v>80</v>
      </c>
    </row>
    <row r="20" spans="1:45" x14ac:dyDescent="0.25">
      <c r="A20" s="3" t="s">
        <v>159</v>
      </c>
      <c r="B20" s="112" t="s">
        <v>160</v>
      </c>
      <c r="C20" s="112" t="s">
        <v>129</v>
      </c>
      <c r="D20" s="113">
        <v>43466</v>
      </c>
      <c r="E20" s="112">
        <v>3</v>
      </c>
      <c r="F20" s="113">
        <v>43831</v>
      </c>
      <c r="G20" s="107" t="s">
        <v>130</v>
      </c>
      <c r="H20" s="111" t="s">
        <v>161</v>
      </c>
      <c r="J20" s="72"/>
      <c r="K20" s="73" t="s">
        <v>108</v>
      </c>
      <c r="M20" s="9">
        <v>18</v>
      </c>
      <c r="N20" s="33" t="s">
        <v>162</v>
      </c>
      <c r="O20" s="47" t="s">
        <v>163</v>
      </c>
      <c r="P20" s="33" t="s">
        <v>164</v>
      </c>
      <c r="Q20" s="80" t="s">
        <v>163</v>
      </c>
      <c r="R20" s="32" t="s">
        <v>162</v>
      </c>
      <c r="S20" s="58" t="s">
        <v>165</v>
      </c>
      <c r="T20" s="33" t="s">
        <v>164</v>
      </c>
      <c r="U20" s="47" t="s">
        <v>163</v>
      </c>
      <c r="V20" s="33" t="s">
        <v>162</v>
      </c>
      <c r="W20" s="47" t="s">
        <v>163</v>
      </c>
      <c r="X20" s="33" t="s">
        <v>164</v>
      </c>
      <c r="Y20" s="47" t="s">
        <v>163</v>
      </c>
      <c r="Z20" s="33" t="s">
        <v>162</v>
      </c>
      <c r="AA20" s="47" t="s">
        <v>163</v>
      </c>
      <c r="AB20" s="33" t="s">
        <v>164</v>
      </c>
      <c r="AC20" s="47" t="s">
        <v>166</v>
      </c>
      <c r="AD20" s="33" t="s">
        <v>162</v>
      </c>
      <c r="AE20" s="47" t="s">
        <v>163</v>
      </c>
      <c r="AF20" s="33" t="s">
        <v>164</v>
      </c>
      <c r="AG20" s="47" t="s">
        <v>163</v>
      </c>
      <c r="AH20" s="33" t="s">
        <v>162</v>
      </c>
      <c r="AI20" s="46" t="s">
        <v>145</v>
      </c>
      <c r="AJ20" s="33" t="s">
        <v>164</v>
      </c>
      <c r="AK20" s="47" t="s">
        <v>163</v>
      </c>
      <c r="AL20" s="33" t="s">
        <v>162</v>
      </c>
      <c r="AM20" s="46" t="s">
        <v>167</v>
      </c>
      <c r="AN20" s="33" t="s">
        <v>164</v>
      </c>
      <c r="AO20" s="83" t="s">
        <v>167</v>
      </c>
      <c r="AP20" s="33" t="s">
        <v>162</v>
      </c>
      <c r="AQ20" s="46" t="s">
        <v>154</v>
      </c>
      <c r="AR20" s="33" t="s">
        <v>164</v>
      </c>
      <c r="AS20" s="46" t="s">
        <v>168</v>
      </c>
    </row>
    <row r="21" spans="1:45" x14ac:dyDescent="0.25">
      <c r="J21" s="68" t="s">
        <v>169</v>
      </c>
      <c r="K21" s="69" t="s">
        <v>70</v>
      </c>
      <c r="M21" s="9">
        <v>19</v>
      </c>
      <c r="N21" s="14" t="s">
        <v>162</v>
      </c>
      <c r="O21" s="39"/>
      <c r="P21" s="14" t="s">
        <v>164</v>
      </c>
      <c r="Q21" s="79"/>
      <c r="R21" s="76" t="s">
        <v>162</v>
      </c>
      <c r="S21" s="46" t="s">
        <v>170</v>
      </c>
      <c r="T21" s="14" t="s">
        <v>164</v>
      </c>
      <c r="U21" s="123" t="s">
        <v>171</v>
      </c>
      <c r="V21" s="14" t="s">
        <v>162</v>
      </c>
      <c r="W21" s="46" t="s">
        <v>172</v>
      </c>
      <c r="X21" s="14" t="s">
        <v>164</v>
      </c>
      <c r="Y21" s="39" t="s">
        <v>80</v>
      </c>
      <c r="Z21" s="14" t="s">
        <v>162</v>
      </c>
      <c r="AA21" s="46" t="s">
        <v>150</v>
      </c>
      <c r="AB21" s="14" t="s">
        <v>164</v>
      </c>
      <c r="AC21" s="46" t="s">
        <v>173</v>
      </c>
      <c r="AD21" s="14" t="s">
        <v>162</v>
      </c>
      <c r="AE21" s="46" t="s">
        <v>144</v>
      </c>
      <c r="AF21" s="14" t="s">
        <v>164</v>
      </c>
      <c r="AG21" s="46" t="s">
        <v>174</v>
      </c>
      <c r="AH21" s="14" t="s">
        <v>162</v>
      </c>
      <c r="AI21" s="46" t="s">
        <v>152</v>
      </c>
      <c r="AJ21" s="14" t="s">
        <v>164</v>
      </c>
      <c r="AK21" s="46" t="s">
        <v>175</v>
      </c>
      <c r="AL21" s="14" t="s">
        <v>162</v>
      </c>
      <c r="AM21" s="83" t="s">
        <v>176</v>
      </c>
      <c r="AN21" s="56" t="s">
        <v>164</v>
      </c>
      <c r="AO21" s="83" t="s">
        <v>176</v>
      </c>
      <c r="AP21" s="14" t="s">
        <v>162</v>
      </c>
      <c r="AQ21" s="46" t="s">
        <v>177</v>
      </c>
      <c r="AR21" s="14" t="s">
        <v>164</v>
      </c>
      <c r="AS21" s="46" t="s">
        <v>178</v>
      </c>
    </row>
    <row r="22" spans="1:45" x14ac:dyDescent="0.25">
      <c r="A22" s="38" t="s">
        <v>179</v>
      </c>
      <c r="B22" s="109"/>
      <c r="J22" s="70"/>
      <c r="K22" s="71" t="s">
        <v>73</v>
      </c>
      <c r="M22" s="9">
        <v>20</v>
      </c>
      <c r="N22" s="14" t="s">
        <v>162</v>
      </c>
      <c r="O22" s="39"/>
      <c r="P22" s="14" t="s">
        <v>164</v>
      </c>
      <c r="Q22" s="79"/>
      <c r="R22" s="76" t="s">
        <v>162</v>
      </c>
      <c r="S22" s="63" t="s">
        <v>80</v>
      </c>
      <c r="T22" s="14" t="s">
        <v>164</v>
      </c>
      <c r="U22" s="63" t="s">
        <v>80</v>
      </c>
      <c r="V22" s="14" t="s">
        <v>162</v>
      </c>
      <c r="W22" s="46" t="s">
        <v>180</v>
      </c>
      <c r="X22" s="14" t="s">
        <v>164</v>
      </c>
      <c r="Y22" s="39" t="s">
        <v>80</v>
      </c>
      <c r="Z22" s="14" t="s">
        <v>162</v>
      </c>
      <c r="AA22" s="63" t="s">
        <v>80</v>
      </c>
      <c r="AB22" s="14" t="s">
        <v>164</v>
      </c>
      <c r="AC22" s="63" t="s">
        <v>80</v>
      </c>
      <c r="AD22" s="14" t="s">
        <v>162</v>
      </c>
      <c r="AE22" s="46" t="s">
        <v>151</v>
      </c>
      <c r="AF22" s="14" t="s">
        <v>164</v>
      </c>
      <c r="AG22" s="63" t="s">
        <v>80</v>
      </c>
      <c r="AH22" s="14" t="s">
        <v>162</v>
      </c>
      <c r="AI22" s="48" t="s">
        <v>163</v>
      </c>
      <c r="AJ22" s="14" t="s">
        <v>164</v>
      </c>
      <c r="AK22" s="39" t="s">
        <v>80</v>
      </c>
      <c r="AL22" s="14" t="s">
        <v>162</v>
      </c>
      <c r="AM22" s="39" t="s">
        <v>80</v>
      </c>
      <c r="AN22" s="14" t="s">
        <v>164</v>
      </c>
      <c r="AO22" s="76" t="s">
        <v>80</v>
      </c>
      <c r="AP22" s="14" t="s">
        <v>162</v>
      </c>
      <c r="AQ22" s="48" t="s">
        <v>163</v>
      </c>
      <c r="AR22" s="14" t="s">
        <v>164</v>
      </c>
      <c r="AS22" s="63" t="s">
        <v>80</v>
      </c>
    </row>
    <row r="23" spans="1:45" x14ac:dyDescent="0.25">
      <c r="A23" s="3" t="s">
        <v>70</v>
      </c>
      <c r="B23" s="5" t="s">
        <v>0</v>
      </c>
      <c r="C23" s="3" t="s">
        <v>448</v>
      </c>
      <c r="D23" s="3" t="s">
        <v>449</v>
      </c>
      <c r="E23" s="3" t="s">
        <v>455</v>
      </c>
      <c r="F23" s="3" t="s">
        <v>450</v>
      </c>
      <c r="G23" s="3" t="s">
        <v>60</v>
      </c>
      <c r="J23" s="70"/>
      <c r="K23" s="71" t="s">
        <v>132</v>
      </c>
      <c r="M23" s="9">
        <v>21</v>
      </c>
      <c r="N23" s="14" t="s">
        <v>162</v>
      </c>
      <c r="O23" s="39"/>
      <c r="P23" s="14" t="s">
        <v>164</v>
      </c>
      <c r="Q23" s="79"/>
      <c r="R23" s="76" t="s">
        <v>162</v>
      </c>
      <c r="S23" s="63" t="s">
        <v>80</v>
      </c>
      <c r="T23" s="14" t="s">
        <v>164</v>
      </c>
      <c r="U23" s="63" t="s">
        <v>80</v>
      </c>
      <c r="V23" s="14" t="s">
        <v>162</v>
      </c>
      <c r="W23" s="39" t="s">
        <v>80</v>
      </c>
      <c r="X23" s="14" t="s">
        <v>164</v>
      </c>
      <c r="Y23" s="39" t="s">
        <v>80</v>
      </c>
      <c r="Z23" s="14" t="s">
        <v>162</v>
      </c>
      <c r="AA23" s="63" t="s">
        <v>80</v>
      </c>
      <c r="AB23" s="14" t="s">
        <v>164</v>
      </c>
      <c r="AC23" s="63" t="s">
        <v>80</v>
      </c>
      <c r="AD23" s="14" t="s">
        <v>162</v>
      </c>
      <c r="AE23" s="63" t="s">
        <v>80</v>
      </c>
      <c r="AF23" s="14" t="s">
        <v>164</v>
      </c>
      <c r="AG23" s="63" t="s">
        <v>80</v>
      </c>
      <c r="AH23" s="14" t="s">
        <v>162</v>
      </c>
      <c r="AI23" s="39" t="s">
        <v>80</v>
      </c>
      <c r="AJ23" s="14" t="s">
        <v>164</v>
      </c>
      <c r="AK23" s="39" t="s">
        <v>80</v>
      </c>
      <c r="AL23" s="14" t="s">
        <v>162</v>
      </c>
      <c r="AM23" s="48" t="s">
        <v>163</v>
      </c>
      <c r="AN23" s="14" t="s">
        <v>164</v>
      </c>
      <c r="AO23" s="82" t="s">
        <v>163</v>
      </c>
      <c r="AP23" s="14" t="s">
        <v>162</v>
      </c>
      <c r="AQ23" s="63" t="s">
        <v>80</v>
      </c>
      <c r="AR23" s="14" t="s">
        <v>164</v>
      </c>
      <c r="AS23" s="63" t="s">
        <v>80</v>
      </c>
    </row>
    <row r="24" spans="1:45" x14ac:dyDescent="0.25">
      <c r="A24" s="3" t="s">
        <v>73</v>
      </c>
      <c r="B24" s="112" t="s">
        <v>181</v>
      </c>
      <c r="C24" s="112" t="s">
        <v>139</v>
      </c>
      <c r="D24" s="113">
        <v>44927</v>
      </c>
      <c r="E24" s="112">
        <v>2</v>
      </c>
      <c r="F24" s="113">
        <v>44927</v>
      </c>
      <c r="G24" s="107" t="s">
        <v>182</v>
      </c>
      <c r="J24" s="70"/>
      <c r="K24" s="71" t="s">
        <v>17</v>
      </c>
      <c r="M24" s="9">
        <v>22</v>
      </c>
      <c r="N24" s="14" t="s">
        <v>164</v>
      </c>
      <c r="O24" s="48" t="s">
        <v>166</v>
      </c>
      <c r="P24" s="14" t="s">
        <v>162</v>
      </c>
      <c r="Q24" s="78" t="s">
        <v>166</v>
      </c>
      <c r="R24" s="76" t="s">
        <v>164</v>
      </c>
      <c r="S24" s="48" t="s">
        <v>166</v>
      </c>
      <c r="T24" s="14" t="s">
        <v>162</v>
      </c>
      <c r="U24" s="48" t="s">
        <v>166</v>
      </c>
      <c r="V24" s="14" t="s">
        <v>164</v>
      </c>
      <c r="W24" s="48" t="s">
        <v>166</v>
      </c>
      <c r="X24" s="14" t="s">
        <v>162</v>
      </c>
      <c r="Y24" s="48" t="s">
        <v>166</v>
      </c>
      <c r="Z24" s="14" t="s">
        <v>164</v>
      </c>
      <c r="AA24" s="48" t="s">
        <v>166</v>
      </c>
      <c r="AB24" s="14" t="s">
        <v>162</v>
      </c>
      <c r="AC24" s="48" t="s">
        <v>163</v>
      </c>
      <c r="AD24" s="14" t="s">
        <v>164</v>
      </c>
      <c r="AE24" s="48" t="s">
        <v>166</v>
      </c>
      <c r="AF24" s="14" t="s">
        <v>162</v>
      </c>
      <c r="AG24" s="48" t="s">
        <v>166</v>
      </c>
      <c r="AH24" s="14" t="s">
        <v>164</v>
      </c>
      <c r="AI24" s="48" t="s">
        <v>166</v>
      </c>
      <c r="AJ24" s="14" t="s">
        <v>162</v>
      </c>
      <c r="AK24" s="48" t="s">
        <v>166</v>
      </c>
      <c r="AL24" s="14" t="s">
        <v>164</v>
      </c>
      <c r="AM24" s="48" t="s">
        <v>166</v>
      </c>
      <c r="AN24" s="14" t="s">
        <v>162</v>
      </c>
      <c r="AO24" s="82" t="s">
        <v>166</v>
      </c>
      <c r="AP24" s="14" t="s">
        <v>164</v>
      </c>
      <c r="AQ24" s="48" t="s">
        <v>166</v>
      </c>
      <c r="AR24" s="14" t="s">
        <v>162</v>
      </c>
      <c r="AS24" s="48" t="s">
        <v>166</v>
      </c>
    </row>
    <row r="25" spans="1:45" x14ac:dyDescent="0.25">
      <c r="A25" s="3" t="s">
        <v>132</v>
      </c>
      <c r="B25" s="112" t="s">
        <v>183</v>
      </c>
      <c r="C25" s="112" t="s">
        <v>139</v>
      </c>
      <c r="D25" s="113">
        <v>44927</v>
      </c>
      <c r="E25" s="112">
        <v>2</v>
      </c>
      <c r="F25" s="113">
        <v>44927</v>
      </c>
      <c r="G25" s="107" t="s">
        <v>182</v>
      </c>
      <c r="J25" s="70"/>
      <c r="K25" s="71" t="s">
        <v>92</v>
      </c>
      <c r="M25" s="9">
        <v>23</v>
      </c>
      <c r="N25" s="14" t="s">
        <v>164</v>
      </c>
      <c r="O25" s="39"/>
      <c r="P25" s="14" t="s">
        <v>162</v>
      </c>
      <c r="Q25" s="79"/>
      <c r="R25" s="76" t="s">
        <v>164</v>
      </c>
      <c r="S25" s="48" t="s">
        <v>163</v>
      </c>
      <c r="T25" s="14" t="s">
        <v>162</v>
      </c>
      <c r="U25" s="46" t="s">
        <v>165</v>
      </c>
      <c r="V25" s="14" t="s">
        <v>164</v>
      </c>
      <c r="W25" s="39" t="s">
        <v>80</v>
      </c>
      <c r="X25" s="14" t="s">
        <v>162</v>
      </c>
      <c r="Y25" s="46" t="s">
        <v>172</v>
      </c>
      <c r="Z25" s="14" t="s">
        <v>164</v>
      </c>
      <c r="AA25" s="46" t="s">
        <v>173</v>
      </c>
      <c r="AB25" s="14" t="s">
        <v>162</v>
      </c>
      <c r="AC25" s="63" t="s">
        <v>80</v>
      </c>
      <c r="AD25" s="14" t="s">
        <v>164</v>
      </c>
      <c r="AE25" s="46" t="s">
        <v>174</v>
      </c>
      <c r="AF25" s="14" t="s">
        <v>162</v>
      </c>
      <c r="AG25" s="63" t="s">
        <v>80</v>
      </c>
      <c r="AH25" s="14" t="s">
        <v>164</v>
      </c>
      <c r="AI25" s="46" t="s">
        <v>175</v>
      </c>
      <c r="AJ25" s="14" t="s">
        <v>162</v>
      </c>
      <c r="AK25" s="39" t="s">
        <v>80</v>
      </c>
      <c r="AL25" s="14" t="s">
        <v>164</v>
      </c>
      <c r="AM25" s="46" t="s">
        <v>184</v>
      </c>
      <c r="AN25" s="14" t="s">
        <v>162</v>
      </c>
      <c r="AO25" s="83" t="s">
        <v>184</v>
      </c>
      <c r="AP25" s="14" t="s">
        <v>164</v>
      </c>
      <c r="AQ25" s="46" t="s">
        <v>168</v>
      </c>
      <c r="AR25" s="14" t="s">
        <v>162</v>
      </c>
      <c r="AS25" s="48" t="s">
        <v>163</v>
      </c>
    </row>
    <row r="26" spans="1:45" x14ac:dyDescent="0.25">
      <c r="A26" s="3" t="s">
        <v>76</v>
      </c>
      <c r="B26" s="112" t="s">
        <v>185</v>
      </c>
      <c r="C26" s="112" t="s">
        <v>129</v>
      </c>
      <c r="D26" s="113">
        <v>44197</v>
      </c>
      <c r="E26" s="112">
        <v>3</v>
      </c>
      <c r="F26" s="113">
        <v>44378</v>
      </c>
      <c r="G26" s="107" t="s">
        <v>182</v>
      </c>
      <c r="J26" s="70"/>
      <c r="K26" s="71" t="s">
        <v>94</v>
      </c>
      <c r="M26" s="9">
        <v>24</v>
      </c>
      <c r="N26" s="14" t="s">
        <v>164</v>
      </c>
      <c r="O26" s="39"/>
      <c r="P26" s="14" t="s">
        <v>162</v>
      </c>
      <c r="Q26" s="79"/>
      <c r="R26" s="76" t="s">
        <v>164</v>
      </c>
      <c r="S26" s="46" t="s">
        <v>171</v>
      </c>
      <c r="T26" s="14" t="s">
        <v>162</v>
      </c>
      <c r="U26" s="123" t="s">
        <v>170</v>
      </c>
      <c r="V26" s="14" t="s">
        <v>164</v>
      </c>
      <c r="W26" s="39" t="s">
        <v>80</v>
      </c>
      <c r="X26" s="14" t="s">
        <v>162</v>
      </c>
      <c r="Y26" s="46" t="s">
        <v>180</v>
      </c>
      <c r="Z26" s="14" t="s">
        <v>164</v>
      </c>
      <c r="AA26" s="63" t="s">
        <v>80</v>
      </c>
      <c r="AB26" s="14" t="s">
        <v>162</v>
      </c>
      <c r="AC26" s="63" t="s">
        <v>80</v>
      </c>
      <c r="AD26" s="14" t="s">
        <v>164</v>
      </c>
      <c r="AE26" s="63" t="s">
        <v>80</v>
      </c>
      <c r="AF26" s="14" t="s">
        <v>162</v>
      </c>
      <c r="AG26" s="63" t="s">
        <v>80</v>
      </c>
      <c r="AH26" s="14" t="s">
        <v>164</v>
      </c>
      <c r="AI26" s="39" t="s">
        <v>80</v>
      </c>
      <c r="AJ26" s="14" t="s">
        <v>162</v>
      </c>
      <c r="AK26" s="39" t="s">
        <v>80</v>
      </c>
      <c r="AL26" s="14" t="s">
        <v>164</v>
      </c>
      <c r="AM26" s="39" t="s">
        <v>80</v>
      </c>
      <c r="AN26" s="14" t="s">
        <v>162</v>
      </c>
      <c r="AO26" s="76" t="s">
        <v>80</v>
      </c>
      <c r="AP26" s="14" t="s">
        <v>164</v>
      </c>
      <c r="AQ26" s="46" t="s">
        <v>178</v>
      </c>
      <c r="AR26" s="14" t="s">
        <v>162</v>
      </c>
      <c r="AS26" s="46" t="s">
        <v>177</v>
      </c>
    </row>
    <row r="27" spans="1:45" x14ac:dyDescent="0.25">
      <c r="A27" s="3" t="s">
        <v>17</v>
      </c>
      <c r="B27" s="112" t="s">
        <v>186</v>
      </c>
      <c r="C27" s="112" t="s">
        <v>129</v>
      </c>
      <c r="D27" s="113">
        <v>44197</v>
      </c>
      <c r="E27" s="112">
        <v>1</v>
      </c>
      <c r="F27" s="113">
        <v>44197</v>
      </c>
      <c r="G27" s="107" t="s">
        <v>182</v>
      </c>
      <c r="H27" s="17"/>
      <c r="I27" s="17"/>
      <c r="J27" s="70"/>
      <c r="K27" s="71" t="s">
        <v>101</v>
      </c>
      <c r="M27" s="9">
        <v>25</v>
      </c>
      <c r="N27" s="15" t="s">
        <v>164</v>
      </c>
      <c r="O27" s="40"/>
      <c r="P27" s="15" t="s">
        <v>162</v>
      </c>
      <c r="Q27" s="81"/>
      <c r="R27" s="20" t="s">
        <v>164</v>
      </c>
      <c r="S27" s="65" t="s">
        <v>80</v>
      </c>
      <c r="T27" s="15" t="s">
        <v>162</v>
      </c>
      <c r="U27" s="65" t="s">
        <v>80</v>
      </c>
      <c r="V27" s="15" t="s">
        <v>164</v>
      </c>
      <c r="W27" s="40" t="s">
        <v>80</v>
      </c>
      <c r="X27" s="15" t="s">
        <v>162</v>
      </c>
      <c r="Y27" s="124" t="s">
        <v>80</v>
      </c>
      <c r="Z27" s="15" t="s">
        <v>164</v>
      </c>
      <c r="AA27" s="64" t="s">
        <v>80</v>
      </c>
      <c r="AB27" s="15" t="s">
        <v>162</v>
      </c>
      <c r="AC27" s="65" t="s">
        <v>80</v>
      </c>
      <c r="AD27" s="15" t="s">
        <v>164</v>
      </c>
      <c r="AE27" s="65" t="s">
        <v>80</v>
      </c>
      <c r="AF27" s="15" t="s">
        <v>162</v>
      </c>
      <c r="AG27" s="65" t="s">
        <v>80</v>
      </c>
      <c r="AH27" s="15" t="s">
        <v>164</v>
      </c>
      <c r="AI27" s="40" t="s">
        <v>80</v>
      </c>
      <c r="AJ27" s="15" t="s">
        <v>162</v>
      </c>
      <c r="AK27" s="40" t="s">
        <v>80</v>
      </c>
      <c r="AL27" s="15" t="s">
        <v>164</v>
      </c>
      <c r="AM27" s="40" t="s">
        <v>80</v>
      </c>
      <c r="AN27" s="15" t="s">
        <v>162</v>
      </c>
      <c r="AO27" s="127" t="s">
        <v>80</v>
      </c>
      <c r="AP27" s="15" t="s">
        <v>164</v>
      </c>
      <c r="AQ27" s="65" t="s">
        <v>80</v>
      </c>
      <c r="AR27" s="15" t="s">
        <v>162</v>
      </c>
      <c r="AS27" s="65" t="s">
        <v>80</v>
      </c>
    </row>
    <row r="28" spans="1:45" x14ac:dyDescent="0.25">
      <c r="A28" s="3" t="s">
        <v>92</v>
      </c>
      <c r="B28" s="112" t="s">
        <v>187</v>
      </c>
      <c r="C28" s="61" t="s">
        <v>139</v>
      </c>
      <c r="D28" s="60">
        <v>45658</v>
      </c>
      <c r="E28" s="61">
        <v>2</v>
      </c>
      <c r="F28" s="60">
        <v>45658</v>
      </c>
      <c r="G28" s="107" t="s">
        <v>182</v>
      </c>
      <c r="J28" s="72"/>
      <c r="K28" s="73" t="s">
        <v>108</v>
      </c>
      <c r="S28" s="1" t="s">
        <v>188</v>
      </c>
      <c r="T28" s="66"/>
      <c r="U28" s="1" t="s">
        <v>188</v>
      </c>
      <c r="V28" s="66"/>
      <c r="W28" s="1" t="s">
        <v>189</v>
      </c>
      <c r="X28" s="66"/>
      <c r="Y28" s="1" t="s">
        <v>189</v>
      </c>
      <c r="Z28" s="66"/>
      <c r="AA28" s="1" t="s">
        <v>190</v>
      </c>
      <c r="AB28" s="66"/>
      <c r="AC28" s="1" t="s">
        <v>190</v>
      </c>
      <c r="AD28" s="66"/>
      <c r="AE28" s="1" t="s">
        <v>191</v>
      </c>
      <c r="AF28" s="66"/>
      <c r="AG28" s="1" t="s">
        <v>191</v>
      </c>
      <c r="AH28" s="66"/>
      <c r="AI28" s="1" t="s">
        <v>192</v>
      </c>
      <c r="AJ28" s="66"/>
      <c r="AK28" s="1" t="s">
        <v>193</v>
      </c>
      <c r="AL28" s="66"/>
      <c r="AM28" s="131" t="s">
        <v>488</v>
      </c>
      <c r="AN28" s="66"/>
      <c r="AO28" s="131" t="s">
        <v>488</v>
      </c>
      <c r="AP28" s="66"/>
      <c r="AQ28" s="1" t="s">
        <v>194</v>
      </c>
      <c r="AR28" s="66"/>
      <c r="AS28" s="1" t="s">
        <v>195</v>
      </c>
    </row>
    <row r="29" spans="1:45" x14ac:dyDescent="0.25">
      <c r="A29" s="3" t="s">
        <v>94</v>
      </c>
      <c r="B29" s="112" t="s">
        <v>196</v>
      </c>
      <c r="C29" s="112" t="s">
        <v>129</v>
      </c>
      <c r="D29" s="113">
        <v>44197</v>
      </c>
      <c r="E29" s="112">
        <v>2</v>
      </c>
      <c r="F29" s="113">
        <v>44197</v>
      </c>
      <c r="G29" s="107" t="s">
        <v>182</v>
      </c>
      <c r="H29"/>
      <c r="I29"/>
      <c r="J29" s="68" t="s">
        <v>197</v>
      </c>
      <c r="K29" s="69" t="s">
        <v>70</v>
      </c>
      <c r="L29"/>
    </row>
    <row r="30" spans="1:45" x14ac:dyDescent="0.25">
      <c r="A30" s="3" t="s">
        <v>101</v>
      </c>
      <c r="B30" s="112" t="s">
        <v>198</v>
      </c>
      <c r="C30" s="112" t="s">
        <v>129</v>
      </c>
      <c r="D30" s="113">
        <v>44197</v>
      </c>
      <c r="E30" s="112">
        <v>1</v>
      </c>
      <c r="F30" s="113">
        <v>44197</v>
      </c>
      <c r="G30" s="107" t="s">
        <v>182</v>
      </c>
      <c r="H30"/>
      <c r="I30"/>
      <c r="J30" s="70"/>
      <c r="K30" s="71" t="s">
        <v>73</v>
      </c>
      <c r="L30" s="37" t="s">
        <v>199</v>
      </c>
      <c r="M30" s="1">
        <v>1</v>
      </c>
      <c r="N30" s="34"/>
      <c r="O30" s="35" t="s">
        <v>181</v>
      </c>
      <c r="P30" s="34"/>
      <c r="Q30" s="36" t="s">
        <v>183</v>
      </c>
      <c r="R30" s="34"/>
      <c r="S30" s="35" t="s">
        <v>185</v>
      </c>
      <c r="T30" s="34"/>
      <c r="U30" s="36" t="s">
        <v>186</v>
      </c>
      <c r="V30" s="34"/>
      <c r="W30" s="36" t="s">
        <v>187</v>
      </c>
      <c r="X30" s="34"/>
      <c r="Y30" s="36" t="s">
        <v>196</v>
      </c>
      <c r="Z30" s="34"/>
      <c r="AA30" s="36" t="s">
        <v>198</v>
      </c>
      <c r="AB30" s="34"/>
      <c r="AC30" s="36" t="s">
        <v>200</v>
      </c>
      <c r="AS30" s="3"/>
    </row>
    <row r="31" spans="1:45" x14ac:dyDescent="0.25">
      <c r="A31" s="3" t="s">
        <v>108</v>
      </c>
      <c r="B31" s="112" t="s">
        <v>200</v>
      </c>
      <c r="C31" s="112" t="s">
        <v>129</v>
      </c>
      <c r="D31" s="113">
        <v>44197</v>
      </c>
      <c r="E31" s="112">
        <v>1</v>
      </c>
      <c r="F31" s="113">
        <v>44197</v>
      </c>
      <c r="G31" s="107" t="s">
        <v>182</v>
      </c>
      <c r="H31"/>
      <c r="I31"/>
      <c r="J31" s="70"/>
      <c r="K31" s="71" t="s">
        <v>132</v>
      </c>
      <c r="L31"/>
      <c r="M31" s="9">
        <v>2</v>
      </c>
      <c r="N31" s="31" t="s">
        <v>201</v>
      </c>
      <c r="O31" s="89" t="s">
        <v>202</v>
      </c>
      <c r="P31" s="31" t="s">
        <v>201</v>
      </c>
      <c r="Q31" s="89" t="s">
        <v>203</v>
      </c>
      <c r="R31" s="31" t="s">
        <v>201</v>
      </c>
      <c r="S31" s="42" t="s">
        <v>203</v>
      </c>
      <c r="T31" s="31" t="s">
        <v>201</v>
      </c>
      <c r="U31" s="89" t="s">
        <v>204</v>
      </c>
      <c r="V31" s="31" t="s">
        <v>201</v>
      </c>
      <c r="W31" s="89" t="s">
        <v>204</v>
      </c>
      <c r="X31" s="31" t="s">
        <v>201</v>
      </c>
      <c r="Y31" s="42" t="s">
        <v>202</v>
      </c>
      <c r="Z31" s="31" t="s">
        <v>201</v>
      </c>
      <c r="AA31" s="42" t="s">
        <v>203</v>
      </c>
      <c r="AB31" s="31" t="s">
        <v>201</v>
      </c>
      <c r="AC31" s="42" t="s">
        <v>203</v>
      </c>
      <c r="AS31" s="3"/>
    </row>
    <row r="32" spans="1:45" x14ac:dyDescent="0.25">
      <c r="A32"/>
      <c r="B32"/>
      <c r="C32"/>
      <c r="D32"/>
      <c r="E32"/>
      <c r="F32"/>
      <c r="G32"/>
      <c r="H32"/>
      <c r="I32"/>
      <c r="J32" s="70"/>
      <c r="K32" s="71" t="s">
        <v>76</v>
      </c>
      <c r="L32"/>
      <c r="M32" s="9">
        <v>3</v>
      </c>
      <c r="N32" s="13" t="s">
        <v>205</v>
      </c>
      <c r="O32" s="43" t="s">
        <v>79</v>
      </c>
      <c r="P32" s="13" t="s">
        <v>205</v>
      </c>
      <c r="Q32" s="43" t="s">
        <v>77</v>
      </c>
      <c r="R32" s="13" t="s">
        <v>205</v>
      </c>
      <c r="S32" s="43" t="s">
        <v>74</v>
      </c>
      <c r="T32" s="13" t="s">
        <v>205</v>
      </c>
      <c r="U32" s="43" t="s">
        <v>82</v>
      </c>
      <c r="V32" s="13" t="s">
        <v>205</v>
      </c>
      <c r="W32" s="43" t="s">
        <v>210</v>
      </c>
      <c r="X32" s="13" t="s">
        <v>205</v>
      </c>
      <c r="Y32" s="43" t="s">
        <v>84</v>
      </c>
      <c r="Z32" s="13" t="s">
        <v>205</v>
      </c>
      <c r="AA32" s="43" t="s">
        <v>207</v>
      </c>
      <c r="AB32" s="13" t="s">
        <v>205</v>
      </c>
      <c r="AC32" s="43" t="s">
        <v>100</v>
      </c>
      <c r="AS32" s="3"/>
    </row>
    <row r="33" spans="1:45" x14ac:dyDescent="0.25">
      <c r="A33"/>
      <c r="B33"/>
      <c r="C33"/>
      <c r="D33"/>
      <c r="E33"/>
      <c r="F33"/>
      <c r="G33"/>
      <c r="H33"/>
      <c r="I33"/>
      <c r="J33" s="70"/>
      <c r="K33" s="71" t="s">
        <v>92</v>
      </c>
      <c r="L33"/>
      <c r="M33" s="9">
        <v>4</v>
      </c>
      <c r="N33" s="13" t="s">
        <v>208</v>
      </c>
      <c r="O33" s="43" t="s">
        <v>103</v>
      </c>
      <c r="P33" s="13" t="s">
        <v>208</v>
      </c>
      <c r="Q33" s="43" t="s">
        <v>113</v>
      </c>
      <c r="R33" s="13" t="s">
        <v>208</v>
      </c>
      <c r="S33" s="43" t="s">
        <v>104</v>
      </c>
      <c r="T33" s="13" t="s">
        <v>208</v>
      </c>
      <c r="U33" s="43" t="s">
        <v>209</v>
      </c>
      <c r="V33" s="13" t="s">
        <v>208</v>
      </c>
      <c r="W33" s="43" t="s">
        <v>209</v>
      </c>
      <c r="X33" s="13" t="s">
        <v>208</v>
      </c>
      <c r="Y33" s="43" t="s">
        <v>99</v>
      </c>
      <c r="Z33" s="13" t="s">
        <v>208</v>
      </c>
      <c r="AA33" s="43" t="s">
        <v>211</v>
      </c>
      <c r="AB33" s="13" t="s">
        <v>208</v>
      </c>
      <c r="AC33" s="43" t="s">
        <v>127</v>
      </c>
      <c r="AS33" s="3"/>
    </row>
    <row r="34" spans="1:45" ht="15.75" customHeight="1" x14ac:dyDescent="0.25">
      <c r="A34"/>
      <c r="I34"/>
      <c r="J34" s="70"/>
      <c r="K34" s="71" t="s">
        <v>94</v>
      </c>
      <c r="L34"/>
      <c r="M34" s="9">
        <v>5</v>
      </c>
      <c r="N34" s="13" t="s">
        <v>212</v>
      </c>
      <c r="O34" s="43" t="s">
        <v>121</v>
      </c>
      <c r="P34" s="13" t="s">
        <v>212</v>
      </c>
      <c r="Q34" s="43" t="s">
        <v>118</v>
      </c>
      <c r="R34" s="13" t="s">
        <v>212</v>
      </c>
      <c r="S34" s="43" t="s">
        <v>134</v>
      </c>
      <c r="T34" s="13" t="s">
        <v>212</v>
      </c>
      <c r="U34" s="43" t="s">
        <v>213</v>
      </c>
      <c r="V34" s="13" t="s">
        <v>212</v>
      </c>
      <c r="W34" s="43" t="s">
        <v>213</v>
      </c>
      <c r="X34" s="13" t="s">
        <v>212</v>
      </c>
      <c r="Y34" s="43" t="s">
        <v>153</v>
      </c>
      <c r="Z34" s="13" t="s">
        <v>212</v>
      </c>
      <c r="AA34" s="43" t="s">
        <v>214</v>
      </c>
      <c r="AB34" s="13" t="s">
        <v>212</v>
      </c>
      <c r="AC34" s="43" t="s">
        <v>154</v>
      </c>
      <c r="AS34" s="3"/>
    </row>
    <row r="35" spans="1:45" x14ac:dyDescent="0.25">
      <c r="A35" s="5" t="s">
        <v>215</v>
      </c>
      <c r="B35" s="74">
        <v>45601</v>
      </c>
      <c r="C35"/>
      <c r="D35"/>
      <c r="I35"/>
      <c r="J35" s="70"/>
      <c r="K35" s="71" t="s">
        <v>101</v>
      </c>
      <c r="L35"/>
      <c r="M35" s="9">
        <v>6</v>
      </c>
      <c r="N35" s="13" t="s">
        <v>216</v>
      </c>
      <c r="O35" s="43" t="s">
        <v>213</v>
      </c>
      <c r="P35" s="13" t="s">
        <v>216</v>
      </c>
      <c r="Q35" s="43" t="s">
        <v>217</v>
      </c>
      <c r="R35" s="13" t="s">
        <v>216</v>
      </c>
      <c r="S35" s="43" t="s">
        <v>96</v>
      </c>
      <c r="T35" s="13" t="s">
        <v>216</v>
      </c>
      <c r="U35" s="43" t="s">
        <v>218</v>
      </c>
      <c r="V35" s="13" t="s">
        <v>216</v>
      </c>
      <c r="W35" s="43" t="s">
        <v>230</v>
      </c>
      <c r="X35" s="13" t="s">
        <v>216</v>
      </c>
      <c r="Y35" s="43" t="s">
        <v>213</v>
      </c>
      <c r="Z35" s="13" t="s">
        <v>216</v>
      </c>
      <c r="AA35" s="43" t="s">
        <v>219</v>
      </c>
      <c r="AB35" s="13" t="s">
        <v>216</v>
      </c>
      <c r="AC35" s="43" t="s">
        <v>177</v>
      </c>
      <c r="AS35" s="3"/>
    </row>
    <row r="36" spans="1:45" ht="15.75" customHeight="1" x14ac:dyDescent="0.25">
      <c r="A36" s="5" t="s">
        <v>220</v>
      </c>
      <c r="B36" s="74">
        <v>45555</v>
      </c>
      <c r="C36"/>
      <c r="D36"/>
      <c r="J36" s="72"/>
      <c r="K36" s="73" t="s">
        <v>108</v>
      </c>
      <c r="L36"/>
      <c r="M36" s="9">
        <v>7</v>
      </c>
      <c r="N36" s="13" t="s">
        <v>221</v>
      </c>
      <c r="O36" s="43" t="s">
        <v>222</v>
      </c>
      <c r="P36" s="13" t="s">
        <v>221</v>
      </c>
      <c r="Q36" s="43"/>
      <c r="R36" s="13" t="s">
        <v>221</v>
      </c>
      <c r="S36" s="43"/>
      <c r="T36" s="13" t="s">
        <v>221</v>
      </c>
      <c r="U36" s="43" t="s">
        <v>223</v>
      </c>
      <c r="V36" s="13" t="s">
        <v>221</v>
      </c>
      <c r="W36" s="43" t="s">
        <v>206</v>
      </c>
      <c r="X36" s="13" t="s">
        <v>221</v>
      </c>
      <c r="Y36" s="43" t="s">
        <v>224</v>
      </c>
      <c r="Z36" s="13" t="s">
        <v>221</v>
      </c>
      <c r="AA36" s="43"/>
      <c r="AB36" s="13" t="s">
        <v>221</v>
      </c>
      <c r="AC36" s="43"/>
      <c r="AS36" s="3"/>
    </row>
    <row r="37" spans="1:45" ht="15.75" customHeight="1" x14ac:dyDescent="0.25">
      <c r="A37" s="5" t="s">
        <v>225</v>
      </c>
      <c r="B37" s="74">
        <v>45601</v>
      </c>
      <c r="C37"/>
      <c r="D37"/>
      <c r="J37" s="68" t="s">
        <v>226</v>
      </c>
      <c r="K37" s="69" t="s">
        <v>70</v>
      </c>
      <c r="L37"/>
      <c r="M37" s="9">
        <v>8</v>
      </c>
      <c r="N37" s="13" t="s">
        <v>227</v>
      </c>
      <c r="O37" s="43" t="s">
        <v>228</v>
      </c>
      <c r="P37" s="13" t="s">
        <v>227</v>
      </c>
      <c r="Q37" s="43"/>
      <c r="R37" s="13" t="s">
        <v>227</v>
      </c>
      <c r="S37" s="43"/>
      <c r="T37" s="13" t="s">
        <v>227</v>
      </c>
      <c r="U37" s="43" t="s">
        <v>229</v>
      </c>
      <c r="V37" s="13" t="s">
        <v>227</v>
      </c>
      <c r="W37" s="43" t="s">
        <v>457</v>
      </c>
      <c r="X37" s="13" t="s">
        <v>227</v>
      </c>
      <c r="Y37" s="43" t="s">
        <v>231</v>
      </c>
      <c r="Z37" s="13" t="s">
        <v>227</v>
      </c>
      <c r="AA37" s="43"/>
      <c r="AB37" s="13" t="s">
        <v>227</v>
      </c>
      <c r="AC37" s="43"/>
      <c r="AS37" s="3"/>
    </row>
    <row r="38" spans="1:45" x14ac:dyDescent="0.25">
      <c r="A38" s="5" t="s">
        <v>232</v>
      </c>
      <c r="B38" s="74">
        <v>45601</v>
      </c>
      <c r="C38"/>
      <c r="D38"/>
      <c r="J38" s="70"/>
      <c r="K38" s="71" t="s">
        <v>73</v>
      </c>
      <c r="L38"/>
      <c r="M38" s="9">
        <v>9</v>
      </c>
      <c r="N38" s="13" t="s">
        <v>233</v>
      </c>
      <c r="O38" s="43" t="s">
        <v>234</v>
      </c>
      <c r="P38" s="13" t="s">
        <v>233</v>
      </c>
      <c r="Q38" s="43"/>
      <c r="R38" s="13" t="s">
        <v>233</v>
      </c>
      <c r="S38" s="43"/>
      <c r="T38" s="13" t="s">
        <v>233</v>
      </c>
      <c r="U38" s="43" t="s">
        <v>235</v>
      </c>
      <c r="V38" s="13" t="s">
        <v>233</v>
      </c>
      <c r="W38" s="43" t="s">
        <v>243</v>
      </c>
      <c r="X38" s="13" t="s">
        <v>233</v>
      </c>
      <c r="Y38" s="43" t="s">
        <v>125</v>
      </c>
      <c r="Z38" s="13" t="s">
        <v>233</v>
      </c>
      <c r="AA38" s="43"/>
      <c r="AB38" s="13" t="s">
        <v>233</v>
      </c>
      <c r="AC38" s="43"/>
    </row>
    <row r="39" spans="1:45" x14ac:dyDescent="0.25">
      <c r="A39" s="5" t="s">
        <v>236</v>
      </c>
      <c r="B39" s="74">
        <v>45601</v>
      </c>
      <c r="C39"/>
      <c r="D39"/>
      <c r="J39" s="70"/>
      <c r="K39" s="71" t="s">
        <v>132</v>
      </c>
      <c r="L39"/>
      <c r="M39" s="9">
        <v>10</v>
      </c>
      <c r="N39" s="13" t="s">
        <v>237</v>
      </c>
      <c r="O39" s="43"/>
      <c r="P39" s="13" t="s">
        <v>237</v>
      </c>
      <c r="Q39" s="43"/>
      <c r="R39" s="13" t="s">
        <v>237</v>
      </c>
      <c r="S39" s="43"/>
      <c r="T39" s="13" t="s">
        <v>237</v>
      </c>
      <c r="U39" s="43" t="s">
        <v>100</v>
      </c>
      <c r="V39" s="13" t="s">
        <v>237</v>
      </c>
      <c r="W39" s="43" t="s">
        <v>145</v>
      </c>
      <c r="X39" s="13" t="s">
        <v>237</v>
      </c>
      <c r="Y39" s="43"/>
      <c r="Z39" s="13" t="s">
        <v>237</v>
      </c>
      <c r="AA39" s="43"/>
      <c r="AB39" s="13" t="s">
        <v>237</v>
      </c>
      <c r="AC39" s="43"/>
    </row>
    <row r="40" spans="1:45" x14ac:dyDescent="0.25">
      <c r="A40" s="5" t="s">
        <v>238</v>
      </c>
      <c r="B40" s="74">
        <v>45601</v>
      </c>
      <c r="C40"/>
      <c r="D40"/>
      <c r="J40" s="70"/>
      <c r="K40" s="71" t="s">
        <v>76</v>
      </c>
      <c r="L40"/>
      <c r="M40" s="9">
        <v>11</v>
      </c>
      <c r="N40" s="13" t="s">
        <v>239</v>
      </c>
      <c r="O40" s="43"/>
      <c r="P40" s="13" t="s">
        <v>239</v>
      </c>
      <c r="Q40" s="43"/>
      <c r="R40" s="13" t="s">
        <v>239</v>
      </c>
      <c r="S40" s="43"/>
      <c r="T40" s="13" t="s">
        <v>239</v>
      </c>
      <c r="U40" s="43" t="s">
        <v>240</v>
      </c>
      <c r="V40" s="13" t="s">
        <v>239</v>
      </c>
      <c r="W40" s="43" t="s">
        <v>240</v>
      </c>
      <c r="X40" s="13" t="s">
        <v>239</v>
      </c>
      <c r="Y40" s="43"/>
      <c r="Z40" s="13" t="s">
        <v>239</v>
      </c>
      <c r="AA40" s="43"/>
      <c r="AB40" s="13" t="s">
        <v>239</v>
      </c>
      <c r="AC40" s="43"/>
    </row>
    <row r="41" spans="1:45" x14ac:dyDescent="0.25">
      <c r="A41" s="5" t="s">
        <v>241</v>
      </c>
      <c r="B41" s="74">
        <v>45601</v>
      </c>
      <c r="C41"/>
      <c r="D41"/>
      <c r="J41" s="70"/>
      <c r="K41" s="71" t="s">
        <v>17</v>
      </c>
      <c r="L41"/>
      <c r="M41" s="9">
        <v>12</v>
      </c>
      <c r="N41" s="13" t="s">
        <v>242</v>
      </c>
      <c r="O41" s="43"/>
      <c r="P41" s="13" t="s">
        <v>242</v>
      </c>
      <c r="Q41" s="43"/>
      <c r="R41" s="13" t="s">
        <v>242</v>
      </c>
      <c r="S41" s="43"/>
      <c r="T41" s="13" t="s">
        <v>242</v>
      </c>
      <c r="U41" s="43"/>
      <c r="V41" s="13" t="s">
        <v>242</v>
      </c>
      <c r="W41" s="43"/>
      <c r="X41" s="13" t="s">
        <v>242</v>
      </c>
      <c r="Y41" s="43"/>
      <c r="Z41" s="13" t="s">
        <v>242</v>
      </c>
      <c r="AA41" s="43"/>
      <c r="AB41" s="13" t="s">
        <v>242</v>
      </c>
      <c r="AC41" s="43"/>
    </row>
    <row r="42" spans="1:45" x14ac:dyDescent="0.25">
      <c r="A42" s="5" t="s">
        <v>244</v>
      </c>
      <c r="C42"/>
      <c r="D42"/>
      <c r="J42" s="70"/>
      <c r="K42" s="71" t="s">
        <v>92</v>
      </c>
      <c r="L42"/>
      <c r="M42" s="9">
        <v>13</v>
      </c>
      <c r="N42" s="13" t="s">
        <v>245</v>
      </c>
      <c r="O42" s="43"/>
      <c r="P42" s="13" t="s">
        <v>245</v>
      </c>
      <c r="Q42" s="43"/>
      <c r="R42" s="13" t="s">
        <v>245</v>
      </c>
      <c r="S42" s="43"/>
      <c r="T42" s="13" t="s">
        <v>245</v>
      </c>
      <c r="U42" s="43"/>
      <c r="V42" s="13" t="s">
        <v>245</v>
      </c>
      <c r="W42" s="43"/>
      <c r="X42" s="13" t="s">
        <v>245</v>
      </c>
      <c r="Y42" s="43"/>
      <c r="Z42" s="13" t="s">
        <v>245</v>
      </c>
      <c r="AA42" s="43"/>
      <c r="AB42" s="13" t="s">
        <v>245</v>
      </c>
      <c r="AC42" s="43"/>
    </row>
    <row r="43" spans="1:45" x14ac:dyDescent="0.25">
      <c r="A43" s="5" t="s">
        <v>246</v>
      </c>
      <c r="C43"/>
      <c r="D43"/>
      <c r="J43" s="70"/>
      <c r="K43" s="71" t="s">
        <v>94</v>
      </c>
      <c r="M43" s="9">
        <v>14</v>
      </c>
      <c r="N43" s="13" t="s">
        <v>247</v>
      </c>
      <c r="O43" s="40"/>
      <c r="P43" s="16" t="s">
        <v>247</v>
      </c>
      <c r="Q43" s="40"/>
      <c r="R43" s="16" t="s">
        <v>247</v>
      </c>
      <c r="S43" s="40"/>
      <c r="T43" s="16" t="s">
        <v>247</v>
      </c>
      <c r="U43" s="40"/>
      <c r="V43" s="16" t="s">
        <v>247</v>
      </c>
      <c r="W43" s="40"/>
      <c r="X43" s="16" t="s">
        <v>247</v>
      </c>
      <c r="Y43" s="40"/>
      <c r="Z43" s="16" t="s">
        <v>247</v>
      </c>
      <c r="AA43" s="40"/>
      <c r="AB43" s="16" t="s">
        <v>247</v>
      </c>
      <c r="AC43" s="40"/>
    </row>
    <row r="44" spans="1:45" x14ac:dyDescent="0.25">
      <c r="C44"/>
      <c r="D44"/>
      <c r="J44" s="70"/>
      <c r="K44" s="71" t="s">
        <v>101</v>
      </c>
      <c r="N44" s="28"/>
    </row>
    <row r="45" spans="1:45" x14ac:dyDescent="0.25">
      <c r="A45" s="128" t="s">
        <v>473</v>
      </c>
      <c r="C45"/>
      <c r="D45"/>
      <c r="J45" s="72"/>
      <c r="K45" s="73" t="s">
        <v>108</v>
      </c>
      <c r="L45" s="37" t="s">
        <v>248</v>
      </c>
      <c r="M45" s="1">
        <v>1</v>
      </c>
      <c r="N45" s="34"/>
      <c r="O45" s="35" t="s">
        <v>128</v>
      </c>
      <c r="P45" s="34"/>
      <c r="Q45" s="36" t="s">
        <v>138</v>
      </c>
      <c r="R45" s="34"/>
      <c r="S45" s="35" t="s">
        <v>147</v>
      </c>
      <c r="T45" s="34"/>
      <c r="U45" s="36" t="s">
        <v>142</v>
      </c>
      <c r="V45" s="34"/>
      <c r="W45" s="36" t="s">
        <v>156</v>
      </c>
      <c r="X45" s="34"/>
      <c r="Y45" s="36" t="s">
        <v>158</v>
      </c>
      <c r="Z45" s="34"/>
      <c r="AA45" s="36" t="s">
        <v>160</v>
      </c>
    </row>
    <row r="46" spans="1:45" x14ac:dyDescent="0.25">
      <c r="J46" s="68" t="s">
        <v>249</v>
      </c>
      <c r="K46" s="69" t="s">
        <v>70</v>
      </c>
      <c r="L46"/>
      <c r="M46" s="9">
        <v>2</v>
      </c>
      <c r="N46" s="31" t="s">
        <v>250</v>
      </c>
      <c r="O46" s="42" t="s">
        <v>119</v>
      </c>
      <c r="P46" s="51"/>
      <c r="Q46" s="49" t="str">
        <f>O50</f>
        <v>Opt-Y1</v>
      </c>
      <c r="R46" s="51"/>
      <c r="S46" s="49" t="str">
        <f>Q46</f>
        <v>Opt-Y1</v>
      </c>
      <c r="T46" s="51"/>
      <c r="U46" s="49" t="str">
        <f>S46</f>
        <v>Opt-Y1</v>
      </c>
      <c r="V46" s="51"/>
      <c r="W46" s="49" t="str">
        <f>U46</f>
        <v>Opt-Y1</v>
      </c>
      <c r="X46" s="51"/>
      <c r="Y46" s="49" t="str">
        <f>W46</f>
        <v>Opt-Y1</v>
      </c>
      <c r="Z46" s="31"/>
      <c r="AA46" s="42" t="str">
        <f>Y46</f>
        <v>Opt-Y1</v>
      </c>
    </row>
    <row r="47" spans="1:45" x14ac:dyDescent="0.25">
      <c r="J47" s="70"/>
      <c r="K47" s="71" t="s">
        <v>73</v>
      </c>
      <c r="L47"/>
      <c r="M47" s="9">
        <v>3</v>
      </c>
      <c r="N47" s="13" t="s">
        <v>251</v>
      </c>
      <c r="O47" s="43" t="s">
        <v>217</v>
      </c>
      <c r="P47" s="52" t="str">
        <f t="shared" ref="P47:P60" si="0">N51</f>
        <v>OY1.1</v>
      </c>
      <c r="Q47" s="50" t="str">
        <f t="shared" ref="Q47:Q60" si="1">O51</f>
        <v>FASH1001</v>
      </c>
      <c r="R47" s="52" t="str">
        <f>P47</f>
        <v>OY1.1</v>
      </c>
      <c r="S47" s="50" t="str">
        <f t="shared" ref="S47:S60" si="2">Q47</f>
        <v>FASH1001</v>
      </c>
      <c r="T47" s="52" t="str">
        <f>R47</f>
        <v>OY1.1</v>
      </c>
      <c r="U47" s="50" t="str">
        <f t="shared" ref="U47:U60" si="3">S47</f>
        <v>FASH1001</v>
      </c>
      <c r="V47" s="52" t="str">
        <f>T47</f>
        <v>OY1.1</v>
      </c>
      <c r="W47" s="50" t="str">
        <f t="shared" ref="W47:W60" si="4">U47</f>
        <v>FASH1001</v>
      </c>
      <c r="X47" s="52" t="str">
        <f>V47</f>
        <v>OY1.1</v>
      </c>
      <c r="Y47" s="50" t="str">
        <f t="shared" ref="Y47:Y60" si="5">W47</f>
        <v>FASH1001</v>
      </c>
      <c r="Z47" s="13"/>
      <c r="AA47" s="43" t="s">
        <v>252</v>
      </c>
    </row>
    <row r="48" spans="1:45" x14ac:dyDescent="0.25">
      <c r="J48" s="70"/>
      <c r="K48" s="71" t="s">
        <v>132</v>
      </c>
      <c r="L48"/>
      <c r="M48" s="9">
        <v>4</v>
      </c>
      <c r="N48" s="13" t="s">
        <v>253</v>
      </c>
      <c r="O48" s="43" t="s">
        <v>210</v>
      </c>
      <c r="P48" s="52" t="str">
        <f t="shared" si="0"/>
        <v>OY1.2</v>
      </c>
      <c r="Q48" s="50" t="str">
        <f t="shared" si="1"/>
        <v>GRDE1001</v>
      </c>
      <c r="R48" s="52" t="str">
        <f t="shared" ref="R48:R60" si="6">P48</f>
        <v>OY1.2</v>
      </c>
      <c r="S48" s="50" t="str">
        <f t="shared" si="2"/>
        <v>GRDE1001</v>
      </c>
      <c r="T48" s="52" t="str">
        <f t="shared" ref="T48:T53" si="7">R48</f>
        <v>OY1.2</v>
      </c>
      <c r="U48" s="50" t="str">
        <f t="shared" si="3"/>
        <v>GRDE1001</v>
      </c>
      <c r="V48" s="52" t="str">
        <f t="shared" ref="V48:V53" si="8">T48</f>
        <v>OY1.2</v>
      </c>
      <c r="W48" s="50" t="str">
        <f t="shared" si="4"/>
        <v>GRDE1001</v>
      </c>
      <c r="X48" s="52" t="str">
        <f t="shared" ref="X48:X53" si="9">V48</f>
        <v>OY1.2</v>
      </c>
      <c r="Y48" s="50" t="str">
        <f t="shared" si="5"/>
        <v>GRDE1001</v>
      </c>
      <c r="Z48" s="13" t="s">
        <v>254</v>
      </c>
      <c r="AA48" s="43" t="s">
        <v>255</v>
      </c>
    </row>
    <row r="49" spans="1:27" x14ac:dyDescent="0.25">
      <c r="B49" s="3" t="s">
        <v>482</v>
      </c>
      <c r="J49" s="70"/>
      <c r="K49" s="71" t="s">
        <v>76</v>
      </c>
      <c r="L49"/>
      <c r="M49" s="9">
        <v>5</v>
      </c>
      <c r="N49" s="13"/>
      <c r="O49" s="43" t="s">
        <v>256</v>
      </c>
      <c r="P49" s="52" t="str">
        <f t="shared" si="0"/>
        <v>OY1.3</v>
      </c>
      <c r="Q49" s="50" t="str">
        <f t="shared" si="1"/>
        <v>GRDE1003</v>
      </c>
      <c r="R49" s="52" t="str">
        <f t="shared" si="6"/>
        <v>OY1.3</v>
      </c>
      <c r="S49" s="50" t="str">
        <f t="shared" si="2"/>
        <v>GRDE1003</v>
      </c>
      <c r="T49" s="52" t="str">
        <f t="shared" si="7"/>
        <v>OY1.3</v>
      </c>
      <c r="U49" s="50" t="str">
        <f t="shared" si="3"/>
        <v>GRDE1003</v>
      </c>
      <c r="V49" s="52" t="str">
        <f t="shared" si="8"/>
        <v>OY1.3</v>
      </c>
      <c r="W49" s="50" t="str">
        <f t="shared" si="4"/>
        <v>GRDE1003</v>
      </c>
      <c r="X49" s="52" t="str">
        <f t="shared" si="9"/>
        <v>OY1.3</v>
      </c>
      <c r="Y49" s="50" t="str">
        <f t="shared" si="5"/>
        <v>GRDE1003</v>
      </c>
      <c r="Z49" s="13"/>
      <c r="AA49" s="43" t="s">
        <v>257</v>
      </c>
    </row>
    <row r="50" spans="1:27" x14ac:dyDescent="0.25">
      <c r="A50" s="5" t="s">
        <v>128</v>
      </c>
      <c r="B50" s="3" t="s">
        <v>483</v>
      </c>
      <c r="J50" s="70"/>
      <c r="K50" s="71" t="s">
        <v>17</v>
      </c>
      <c r="L50"/>
      <c r="M50" s="9">
        <v>6</v>
      </c>
      <c r="N50" s="13"/>
      <c r="O50" s="43" t="s">
        <v>72</v>
      </c>
      <c r="P50" s="52" t="str">
        <f t="shared" si="0"/>
        <v>OY1.4</v>
      </c>
      <c r="Q50" s="50" t="str">
        <f t="shared" si="1"/>
        <v>GRDE1015</v>
      </c>
      <c r="R50" s="52" t="str">
        <f t="shared" si="6"/>
        <v>OY1.4</v>
      </c>
      <c r="S50" s="50" t="str">
        <f t="shared" si="2"/>
        <v>GRDE1015</v>
      </c>
      <c r="T50" s="52" t="str">
        <f t="shared" si="7"/>
        <v>OY1.4</v>
      </c>
      <c r="U50" s="50" t="str">
        <f t="shared" si="3"/>
        <v>GRDE1015</v>
      </c>
      <c r="V50" s="52" t="str">
        <f t="shared" si="8"/>
        <v>OY1.4</v>
      </c>
      <c r="W50" s="50" t="str">
        <f t="shared" si="4"/>
        <v>GRDE1015</v>
      </c>
      <c r="X50" s="52" t="str">
        <f t="shared" si="9"/>
        <v>OY1.4</v>
      </c>
      <c r="Y50" s="50" t="str">
        <f t="shared" si="5"/>
        <v>GRDE1015</v>
      </c>
      <c r="Z50" s="13" t="s">
        <v>258</v>
      </c>
      <c r="AA50" s="43" t="s">
        <v>223</v>
      </c>
    </row>
    <row r="51" spans="1:27" x14ac:dyDescent="0.25">
      <c r="A51" s="5" t="s">
        <v>138</v>
      </c>
      <c r="B51" s="3" t="s">
        <v>480</v>
      </c>
      <c r="J51" s="70"/>
      <c r="K51" s="71" t="s">
        <v>92</v>
      </c>
      <c r="M51" s="9">
        <v>7</v>
      </c>
      <c r="N51" s="13" t="s">
        <v>254</v>
      </c>
      <c r="O51" s="43" t="s">
        <v>223</v>
      </c>
      <c r="P51" s="52" t="str">
        <f t="shared" si="0"/>
        <v>OY1.5</v>
      </c>
      <c r="Q51" s="50" t="str">
        <f t="shared" si="1"/>
        <v>GRDE1018</v>
      </c>
      <c r="R51" s="52" t="str">
        <f t="shared" si="6"/>
        <v>OY1.5</v>
      </c>
      <c r="S51" s="50" t="str">
        <f t="shared" si="2"/>
        <v>GRDE1018</v>
      </c>
      <c r="T51" s="52" t="str">
        <f t="shared" si="7"/>
        <v>OY1.5</v>
      </c>
      <c r="U51" s="50" t="str">
        <f t="shared" si="3"/>
        <v>GRDE1018</v>
      </c>
      <c r="V51" s="52" t="str">
        <f t="shared" si="8"/>
        <v>OY1.5</v>
      </c>
      <c r="W51" s="50" t="str">
        <f t="shared" si="4"/>
        <v>GRDE1018</v>
      </c>
      <c r="X51" s="52" t="str">
        <f t="shared" si="9"/>
        <v>OY1.5</v>
      </c>
      <c r="Y51" s="50" t="str">
        <f t="shared" si="5"/>
        <v>GRDE1018</v>
      </c>
      <c r="Z51" s="13" t="s">
        <v>259</v>
      </c>
      <c r="AA51" s="43" t="s">
        <v>78</v>
      </c>
    </row>
    <row r="52" spans="1:27" x14ac:dyDescent="0.25">
      <c r="A52" s="5" t="s">
        <v>142</v>
      </c>
      <c r="B52" s="3" t="s">
        <v>481</v>
      </c>
      <c r="J52" s="70"/>
      <c r="K52" s="71" t="s">
        <v>101</v>
      </c>
      <c r="M52" s="9">
        <v>8</v>
      </c>
      <c r="N52" s="13" t="s">
        <v>258</v>
      </c>
      <c r="O52" s="43" t="s">
        <v>78</v>
      </c>
      <c r="P52" s="52" t="str">
        <f t="shared" si="0"/>
        <v>OY1.6</v>
      </c>
      <c r="Q52" s="50" t="str">
        <f t="shared" si="1"/>
        <v>GRDE1023</v>
      </c>
      <c r="R52" s="52" t="str">
        <f t="shared" si="6"/>
        <v>OY1.6</v>
      </c>
      <c r="S52" s="50" t="str">
        <f t="shared" si="2"/>
        <v>GRDE1023</v>
      </c>
      <c r="T52" s="52" t="str">
        <f t="shared" si="7"/>
        <v>OY1.6</v>
      </c>
      <c r="U52" s="50" t="str">
        <f t="shared" si="3"/>
        <v>GRDE1023</v>
      </c>
      <c r="V52" s="52" t="str">
        <f t="shared" si="8"/>
        <v>OY1.6</v>
      </c>
      <c r="W52" s="50" t="str">
        <f t="shared" si="4"/>
        <v>GRDE1023</v>
      </c>
      <c r="X52" s="52" t="str">
        <f t="shared" si="9"/>
        <v>OY1.6</v>
      </c>
      <c r="Y52" s="50" t="str">
        <f t="shared" si="5"/>
        <v>GRDE1023</v>
      </c>
      <c r="Z52" s="13" t="s">
        <v>260</v>
      </c>
      <c r="AA52" s="43" t="s">
        <v>82</v>
      </c>
    </row>
    <row r="53" spans="1:27" x14ac:dyDescent="0.25">
      <c r="A53" s="5" t="s">
        <v>147</v>
      </c>
      <c r="B53" s="3" t="s">
        <v>484</v>
      </c>
      <c r="J53" s="72"/>
      <c r="K53" s="73" t="s">
        <v>108</v>
      </c>
      <c r="M53" s="9">
        <v>9</v>
      </c>
      <c r="N53" s="13" t="s">
        <v>259</v>
      </c>
      <c r="O53" s="43" t="s">
        <v>82</v>
      </c>
      <c r="P53" s="52" t="str">
        <f t="shared" si="0"/>
        <v>OY1.7</v>
      </c>
      <c r="Q53" s="50" t="str">
        <f t="shared" si="1"/>
        <v>GRDE1026</v>
      </c>
      <c r="R53" s="52" t="str">
        <f t="shared" si="6"/>
        <v>OY1.7</v>
      </c>
      <c r="S53" s="50" t="str">
        <f t="shared" si="2"/>
        <v>GRDE1026</v>
      </c>
      <c r="T53" s="52" t="str">
        <f t="shared" si="7"/>
        <v>OY1.7</v>
      </c>
      <c r="U53" s="50" t="str">
        <f t="shared" si="3"/>
        <v>GRDE1026</v>
      </c>
      <c r="V53" s="52" t="str">
        <f t="shared" si="8"/>
        <v>OY1.7</v>
      </c>
      <c r="W53" s="50" t="str">
        <f t="shared" si="4"/>
        <v>GRDE1026</v>
      </c>
      <c r="X53" s="52" t="str">
        <f t="shared" si="9"/>
        <v>OY1.7</v>
      </c>
      <c r="Y53" s="50" t="str">
        <f t="shared" si="5"/>
        <v>GRDE1026</v>
      </c>
      <c r="Z53" s="13" t="s">
        <v>261</v>
      </c>
      <c r="AA53" s="43" t="s">
        <v>207</v>
      </c>
    </row>
    <row r="54" spans="1:27" x14ac:dyDescent="0.25">
      <c r="A54" s="5" t="s">
        <v>156</v>
      </c>
      <c r="B54" s="3" t="s">
        <v>484</v>
      </c>
      <c r="J54" s="68" t="s">
        <v>262</v>
      </c>
      <c r="K54" s="69" t="s">
        <v>70</v>
      </c>
      <c r="M54" s="9">
        <v>10</v>
      </c>
      <c r="N54" s="13" t="s">
        <v>260</v>
      </c>
      <c r="O54" s="43" t="s">
        <v>207</v>
      </c>
      <c r="P54" s="52"/>
      <c r="Q54" s="50" t="s">
        <v>256</v>
      </c>
      <c r="R54" s="52"/>
      <c r="S54" s="50" t="s">
        <v>256</v>
      </c>
      <c r="T54" s="52"/>
      <c r="U54" s="50" t="s">
        <v>256</v>
      </c>
      <c r="V54" s="52"/>
      <c r="W54" s="50" t="s">
        <v>256</v>
      </c>
      <c r="X54" s="52"/>
      <c r="Y54" s="50" t="s">
        <v>256</v>
      </c>
      <c r="Z54" s="13" t="s">
        <v>263</v>
      </c>
      <c r="AA54" s="43" t="s">
        <v>81</v>
      </c>
    </row>
    <row r="55" spans="1:27" x14ac:dyDescent="0.25">
      <c r="A55" s="5" t="s">
        <v>158</v>
      </c>
      <c r="B55" s="3" t="s">
        <v>484</v>
      </c>
      <c r="J55" s="70"/>
      <c r="K55" s="71" t="s">
        <v>73</v>
      </c>
      <c r="M55" s="9">
        <v>11</v>
      </c>
      <c r="N55" s="13" t="s">
        <v>261</v>
      </c>
      <c r="O55" s="43" t="s">
        <v>81</v>
      </c>
      <c r="P55" s="52"/>
      <c r="Q55" s="50" t="str">
        <f t="shared" si="1"/>
        <v>Opt-Y3</v>
      </c>
      <c r="R55" s="52"/>
      <c r="S55" s="50" t="str">
        <f t="shared" si="2"/>
        <v>Opt-Y3</v>
      </c>
      <c r="T55" s="52"/>
      <c r="U55" s="50" t="str">
        <f t="shared" si="3"/>
        <v>Opt-Y3</v>
      </c>
      <c r="V55" s="52"/>
      <c r="W55" s="50" t="str">
        <f t="shared" si="4"/>
        <v>Opt-Y3</v>
      </c>
      <c r="X55" s="52"/>
      <c r="Y55" s="50" t="str">
        <f t="shared" si="5"/>
        <v>Opt-Y3</v>
      </c>
      <c r="Z55" s="13" t="s">
        <v>264</v>
      </c>
      <c r="AA55" s="43" t="s">
        <v>84</v>
      </c>
    </row>
    <row r="56" spans="1:27" x14ac:dyDescent="0.25">
      <c r="A56" s="5" t="s">
        <v>160</v>
      </c>
      <c r="B56" s="3" t="s">
        <v>485</v>
      </c>
      <c r="J56" s="70"/>
      <c r="K56" s="71" t="s">
        <v>132</v>
      </c>
      <c r="M56" s="9">
        <v>12</v>
      </c>
      <c r="N56" s="13" t="s">
        <v>263</v>
      </c>
      <c r="O56" s="43" t="s">
        <v>255</v>
      </c>
      <c r="P56" s="52" t="str">
        <f t="shared" si="0"/>
        <v>OY3.1</v>
      </c>
      <c r="Q56" s="50" t="str">
        <f t="shared" si="1"/>
        <v>GRDE3025</v>
      </c>
      <c r="R56" s="52" t="str">
        <f t="shared" si="6"/>
        <v>OY3.1</v>
      </c>
      <c r="S56" s="50" t="str">
        <f t="shared" si="2"/>
        <v>GRDE3025</v>
      </c>
      <c r="T56" s="52" t="str">
        <f t="shared" ref="T56:T60" si="10">R56</f>
        <v>OY3.1</v>
      </c>
      <c r="U56" s="50" t="str">
        <f t="shared" si="3"/>
        <v>GRDE3025</v>
      </c>
      <c r="V56" s="52" t="str">
        <f t="shared" ref="V56:V60" si="11">T56</f>
        <v>OY3.1</v>
      </c>
      <c r="W56" s="50" t="str">
        <f t="shared" si="4"/>
        <v>GRDE3025</v>
      </c>
      <c r="X56" s="52" t="str">
        <f t="shared" ref="X56:X60" si="12">V56</f>
        <v>OY3.1</v>
      </c>
      <c r="Y56" s="50" t="str">
        <f t="shared" si="5"/>
        <v>GRDE3025</v>
      </c>
      <c r="Z56" s="13"/>
      <c r="AA56" s="43" t="s">
        <v>256</v>
      </c>
    </row>
    <row r="57" spans="1:27" x14ac:dyDescent="0.25">
      <c r="J57" s="70"/>
      <c r="K57" s="71" t="s">
        <v>76</v>
      </c>
      <c r="M57" s="9">
        <v>13</v>
      </c>
      <c r="N57" s="13" t="s">
        <v>264</v>
      </c>
      <c r="O57" s="43" t="s">
        <v>84</v>
      </c>
      <c r="P57" s="52" t="str">
        <f t="shared" si="0"/>
        <v>OY3.2</v>
      </c>
      <c r="Q57" s="50" t="str">
        <f t="shared" si="1"/>
        <v>GRDE3030</v>
      </c>
      <c r="R57" s="52" t="str">
        <f t="shared" si="6"/>
        <v>OY3.2</v>
      </c>
      <c r="S57" s="50" t="str">
        <f t="shared" si="2"/>
        <v>GRDE3030</v>
      </c>
      <c r="T57" s="52" t="str">
        <f t="shared" si="10"/>
        <v>OY3.2</v>
      </c>
      <c r="U57" s="50" t="str">
        <f t="shared" si="3"/>
        <v>GRDE3030</v>
      </c>
      <c r="V57" s="52" t="str">
        <f t="shared" si="11"/>
        <v>OY3.2</v>
      </c>
      <c r="W57" s="50" t="str">
        <f t="shared" si="4"/>
        <v>GRDE3030</v>
      </c>
      <c r="X57" s="52" t="str">
        <f t="shared" si="12"/>
        <v>OY3.2</v>
      </c>
      <c r="Y57" s="50" t="str">
        <f t="shared" si="5"/>
        <v>GRDE3030</v>
      </c>
      <c r="Z57" s="13"/>
      <c r="AA57" s="43" t="s">
        <v>163</v>
      </c>
    </row>
    <row r="58" spans="1:27" x14ac:dyDescent="0.25">
      <c r="J58" s="70"/>
      <c r="K58" s="71" t="s">
        <v>17</v>
      </c>
      <c r="M58" s="9">
        <v>14</v>
      </c>
      <c r="N58" s="13"/>
      <c r="O58" s="43" t="s">
        <v>256</v>
      </c>
      <c r="P58" s="52" t="str">
        <f t="shared" si="0"/>
        <v>OY3.3</v>
      </c>
      <c r="Q58" s="50" t="str">
        <f t="shared" si="1"/>
        <v>MKTG3009</v>
      </c>
      <c r="R58" s="52" t="str">
        <f t="shared" si="6"/>
        <v>OY3.3</v>
      </c>
      <c r="S58" s="50" t="str">
        <f t="shared" si="2"/>
        <v>MKTG3009</v>
      </c>
      <c r="T58" s="52" t="str">
        <f t="shared" si="10"/>
        <v>OY3.3</v>
      </c>
      <c r="U58" s="50" t="str">
        <f t="shared" si="3"/>
        <v>MKTG3009</v>
      </c>
      <c r="V58" s="52" t="str">
        <f t="shared" si="11"/>
        <v>OY3.3</v>
      </c>
      <c r="W58" s="50" t="str">
        <f t="shared" si="4"/>
        <v>MKTG3009</v>
      </c>
      <c r="X58" s="52" t="str">
        <f t="shared" si="12"/>
        <v>OY3.3</v>
      </c>
      <c r="Y58" s="50" t="str">
        <f t="shared" si="5"/>
        <v>MKTG3009</v>
      </c>
      <c r="Z58" s="13" t="s">
        <v>265</v>
      </c>
      <c r="AA58" s="43" t="s">
        <v>266</v>
      </c>
    </row>
    <row r="59" spans="1:27" x14ac:dyDescent="0.25">
      <c r="J59" s="70"/>
      <c r="K59" s="71" t="s">
        <v>92</v>
      </c>
      <c r="M59" s="9">
        <v>15</v>
      </c>
      <c r="N59" s="13"/>
      <c r="O59" s="43" t="s">
        <v>163</v>
      </c>
      <c r="P59" s="52" t="str">
        <f t="shared" si="0"/>
        <v>OY3.4</v>
      </c>
      <c r="Q59" s="50" t="str">
        <f t="shared" si="1"/>
        <v>WORK3000</v>
      </c>
      <c r="R59" s="52" t="str">
        <f t="shared" si="6"/>
        <v>OY3.4</v>
      </c>
      <c r="S59" s="50" t="str">
        <f t="shared" si="2"/>
        <v>WORK3000</v>
      </c>
      <c r="T59" s="52" t="str">
        <f t="shared" si="10"/>
        <v>OY3.4</v>
      </c>
      <c r="U59" s="50" t="str">
        <f t="shared" si="3"/>
        <v>WORK3000</v>
      </c>
      <c r="V59" s="52" t="str">
        <f t="shared" si="11"/>
        <v>OY3.4</v>
      </c>
      <c r="W59" s="50" t="str">
        <f t="shared" si="4"/>
        <v>WORK3000</v>
      </c>
      <c r="X59" s="52" t="str">
        <f t="shared" si="12"/>
        <v>OY3.4</v>
      </c>
      <c r="Y59" s="50" t="str">
        <f t="shared" si="5"/>
        <v>WORK3000</v>
      </c>
      <c r="Z59" s="13" t="s">
        <v>267</v>
      </c>
      <c r="AA59" s="43" t="s">
        <v>228</v>
      </c>
    </row>
    <row r="60" spans="1:27" x14ac:dyDescent="0.25">
      <c r="J60" s="70"/>
      <c r="K60" s="71" t="s">
        <v>94</v>
      </c>
      <c r="M60" s="9">
        <v>16</v>
      </c>
      <c r="N60" s="13" t="s">
        <v>265</v>
      </c>
      <c r="O60" s="43" t="s">
        <v>266</v>
      </c>
      <c r="P60" s="52" t="str">
        <f t="shared" si="0"/>
        <v>OY3.5</v>
      </c>
      <c r="Q60" s="50" t="str">
        <f t="shared" si="1"/>
        <v>XINO3000</v>
      </c>
      <c r="R60" s="52" t="str">
        <f t="shared" si="6"/>
        <v>OY3.5</v>
      </c>
      <c r="S60" s="50" t="str">
        <f t="shared" si="2"/>
        <v>XINO3000</v>
      </c>
      <c r="T60" s="52" t="str">
        <f t="shared" si="10"/>
        <v>OY3.5</v>
      </c>
      <c r="U60" s="50" t="str">
        <f t="shared" si="3"/>
        <v>XINO3000</v>
      </c>
      <c r="V60" s="52" t="str">
        <f t="shared" si="11"/>
        <v>OY3.5</v>
      </c>
      <c r="W60" s="50" t="str">
        <f t="shared" si="4"/>
        <v>XINO3000</v>
      </c>
      <c r="X60" s="52" t="str">
        <f t="shared" si="12"/>
        <v>OY3.5</v>
      </c>
      <c r="Y60" s="50" t="str">
        <f t="shared" si="5"/>
        <v>XINO3000</v>
      </c>
      <c r="Z60" s="13" t="s">
        <v>268</v>
      </c>
      <c r="AA60" s="43" t="s">
        <v>269</v>
      </c>
    </row>
    <row r="61" spans="1:27" x14ac:dyDescent="0.25">
      <c r="J61" s="72"/>
      <c r="K61" s="73" t="s">
        <v>101</v>
      </c>
      <c r="M61" s="9">
        <v>17</v>
      </c>
      <c r="N61" s="13" t="s">
        <v>267</v>
      </c>
      <c r="O61" s="43" t="s">
        <v>228</v>
      </c>
      <c r="P61" s="52"/>
      <c r="Q61" s="50"/>
      <c r="R61" s="52"/>
      <c r="S61" s="50"/>
      <c r="T61" s="52"/>
      <c r="U61" s="50"/>
      <c r="V61" s="52"/>
      <c r="W61" s="50"/>
      <c r="X61" s="52"/>
      <c r="Y61" s="50"/>
      <c r="Z61" s="13" t="s">
        <v>270</v>
      </c>
      <c r="AA61" s="43" t="s">
        <v>234</v>
      </c>
    </row>
    <row r="62" spans="1:27" x14ac:dyDescent="0.25">
      <c r="M62" s="9">
        <v>18</v>
      </c>
      <c r="N62" s="13" t="s">
        <v>268</v>
      </c>
      <c r="O62" s="43" t="s">
        <v>269</v>
      </c>
      <c r="P62" s="52"/>
      <c r="Q62" s="50"/>
      <c r="R62" s="52"/>
      <c r="S62" s="50"/>
      <c r="T62" s="52"/>
      <c r="U62" s="50"/>
      <c r="V62" s="52"/>
      <c r="W62" s="50"/>
      <c r="X62" s="52"/>
      <c r="Y62" s="50"/>
      <c r="Z62" s="13" t="s">
        <v>271</v>
      </c>
      <c r="AA62" s="43" t="s">
        <v>272</v>
      </c>
    </row>
    <row r="63" spans="1:27" x14ac:dyDescent="0.25">
      <c r="M63" s="9">
        <v>19</v>
      </c>
      <c r="N63" s="13" t="s">
        <v>270</v>
      </c>
      <c r="O63" s="43" t="s">
        <v>234</v>
      </c>
      <c r="P63" s="52"/>
      <c r="Q63" s="50"/>
      <c r="R63" s="52"/>
      <c r="S63" s="50"/>
      <c r="T63" s="52"/>
      <c r="U63" s="50"/>
      <c r="V63" s="52"/>
      <c r="W63" s="50"/>
      <c r="X63" s="52"/>
      <c r="Y63" s="50"/>
      <c r="Z63" s="13"/>
      <c r="AA63" s="43"/>
    </row>
    <row r="64" spans="1:27" x14ac:dyDescent="0.25">
      <c r="M64" s="9">
        <v>20</v>
      </c>
      <c r="N64" s="13" t="s">
        <v>271</v>
      </c>
      <c r="O64" s="43" t="s">
        <v>272</v>
      </c>
      <c r="P64" s="52"/>
      <c r="Q64" s="50"/>
      <c r="R64" s="52"/>
      <c r="S64" s="50"/>
      <c r="T64" s="52"/>
      <c r="U64" s="50"/>
      <c r="V64" s="52"/>
      <c r="W64" s="50"/>
      <c r="X64" s="52"/>
      <c r="Y64" s="50"/>
      <c r="Z64" s="13"/>
      <c r="AA64" s="43"/>
    </row>
    <row r="65" spans="13:27" x14ac:dyDescent="0.25">
      <c r="M65" s="9">
        <v>21</v>
      </c>
      <c r="N65" s="16"/>
      <c r="O65" s="40"/>
      <c r="P65" s="53"/>
      <c r="Q65" s="54"/>
      <c r="R65" s="53"/>
      <c r="S65" s="54"/>
      <c r="T65" s="53"/>
      <c r="U65" s="54"/>
      <c r="V65" s="53"/>
      <c r="W65" s="54"/>
      <c r="X65" s="53"/>
      <c r="Y65" s="54"/>
      <c r="Z65" s="16"/>
      <c r="AA65" s="40"/>
    </row>
    <row r="66" spans="13:27" x14ac:dyDescent="0.25">
      <c r="O66" s="75" t="s">
        <v>273</v>
      </c>
      <c r="Q66" s="75" t="s">
        <v>273</v>
      </c>
      <c r="S66" s="75" t="s">
        <v>273</v>
      </c>
      <c r="U66" s="75" t="s">
        <v>273</v>
      </c>
      <c r="W66" s="75" t="s">
        <v>273</v>
      </c>
      <c r="Y66" s="75" t="s">
        <v>273</v>
      </c>
      <c r="AA66" s="75" t="s">
        <v>273</v>
      </c>
    </row>
  </sheetData>
  <conditionalFormatting sqref="R4:AS27">
    <cfRule type="containsText" dxfId="76" priority="2" operator="containsText" text="Spec">
      <formula>NOT(ISERROR(SEARCH("Spec",R4)))</formula>
    </cfRule>
  </conditionalFormatting>
  <conditionalFormatting sqref="AC28">
    <cfRule type="containsText" dxfId="75" priority="11" operator="containsText" text="DesSpec">
      <formula>NOT(ISERROR(SEARCH("DesSpec",AC28)))</formula>
    </cfRule>
  </conditionalFormatting>
  <conditionalFormatting sqref="AE28">
    <cfRule type="containsText" dxfId="74" priority="5" operator="containsText" text="DesSpec">
      <formula>NOT(ISERROR(SEARCH("DesSpec",AE28)))</formula>
    </cfRule>
  </conditionalFormatting>
  <conditionalFormatting sqref="AG28">
    <cfRule type="containsText" dxfId="73" priority="3" operator="containsText" text="DesSpec">
      <formula>NOT(ISERROR(SEARCH("DesSpec",AG28)))</formula>
    </cfRule>
  </conditionalFormatting>
  <conditionalFormatting sqref="AI28">
    <cfRule type="containsText" dxfId="72" priority="7" operator="containsText" text="DesSpec">
      <formula>NOT(ISERROR(SEARCH("DesSpec",AI28)))</formula>
    </cfRule>
  </conditionalFormatting>
  <conditionalFormatting sqref="AK28">
    <cfRule type="containsText" dxfId="71" priority="6" operator="containsText" text="DesSpec">
      <formula>NOT(ISERROR(SEARCH("DesSpec",AK28)))</formula>
    </cfRule>
  </conditionalFormatting>
  <conditionalFormatting sqref="AM28">
    <cfRule type="containsText" dxfId="70" priority="10" operator="containsText" text="DesSpec">
      <formula>NOT(ISERROR(SEARCH("DesSpec",AM28)))</formula>
    </cfRule>
  </conditionalFormatting>
  <conditionalFormatting sqref="AO28">
    <cfRule type="containsText" dxfId="69" priority="1" operator="containsText" text="DesSpec">
      <formula>NOT(ISERROR(SEARCH("DesSpec",AO28)))</formula>
    </cfRule>
  </conditionalFormatting>
  <conditionalFormatting sqref="AQ28">
    <cfRule type="containsText" dxfId="68" priority="8" operator="containsText" text="DesSpec">
      <formula>NOT(ISERROR(SEARCH("DesSpec",AQ28)))</formula>
    </cfRule>
  </conditionalFormatting>
  <conditionalFormatting sqref="AS30:AS37">
    <cfRule type="duplicateValues" dxfId="67" priority="12"/>
  </conditionalFormatting>
  <pageMargins left="0.7" right="0.7" top="0.75" bottom="0.75" header="0.3" footer="0.3"/>
  <pageSetup paperSize="9"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35"/>
  <sheetViews>
    <sheetView topLeftCell="A55" zoomScale="70" zoomScaleNormal="70" workbookViewId="0">
      <pane xSplit="5" topLeftCell="F1" activePane="topRight" state="frozen"/>
      <selection activeCell="A24" sqref="A24:A31"/>
      <selection pane="topRight" activeCell="A24" sqref="A24:A31"/>
    </sheetView>
  </sheetViews>
  <sheetFormatPr defaultRowHeight="15.75" x14ac:dyDescent="0.25"/>
  <cols>
    <col min="1" max="1" width="14.75" bestFit="1" customWidth="1"/>
    <col min="2" max="2" width="7.125" style="2" bestFit="1" customWidth="1"/>
    <col min="3" max="3" width="10.25" bestFit="1" customWidth="1"/>
    <col min="4" max="4" width="68" bestFit="1" customWidth="1"/>
    <col min="5" max="5" width="10" style="2" bestFit="1" customWidth="1"/>
    <col min="6" max="6" width="45" bestFit="1" customWidth="1"/>
    <col min="7" max="10" width="7.625" bestFit="1" customWidth="1"/>
    <col min="11" max="11" width="39.5" customWidth="1"/>
    <col min="12" max="13" width="7.625" bestFit="1" customWidth="1"/>
    <col min="14" max="17" width="7.625" style="2" bestFit="1" customWidth="1"/>
    <col min="18" max="27" width="7.625" bestFit="1" customWidth="1"/>
  </cols>
  <sheetData>
    <row r="1" spans="1:27" x14ac:dyDescent="0.25">
      <c r="A1" s="10">
        <f>COLUMN()</f>
        <v>1</v>
      </c>
      <c r="B1" s="10">
        <f>COLUMN()</f>
        <v>2</v>
      </c>
      <c r="C1" s="10">
        <f>COLUMN()</f>
        <v>3</v>
      </c>
      <c r="D1" s="10">
        <f>COLUMN()</f>
        <v>4</v>
      </c>
      <c r="E1" s="10">
        <f>COLUMN()</f>
        <v>5</v>
      </c>
      <c r="F1" s="10">
        <f>COLUMN()</f>
        <v>6</v>
      </c>
      <c r="G1" s="10">
        <f>COLUMN()</f>
        <v>7</v>
      </c>
      <c r="H1" s="10">
        <f>COLUMN()</f>
        <v>8</v>
      </c>
      <c r="I1" s="10">
        <f>COLUMN()</f>
        <v>9</v>
      </c>
      <c r="J1" s="10">
        <f>COLUMN()</f>
        <v>10</v>
      </c>
      <c r="K1" s="10">
        <f>COLUMN()</f>
        <v>11</v>
      </c>
      <c r="L1" s="10">
        <f>COLUMN()</f>
        <v>12</v>
      </c>
      <c r="M1" s="10">
        <f>COLUMN()</f>
        <v>13</v>
      </c>
      <c r="N1" s="10">
        <f>COLUMN()</f>
        <v>14</v>
      </c>
      <c r="O1" s="10">
        <f>COLUMN()</f>
        <v>15</v>
      </c>
      <c r="P1" s="10">
        <f>COLUMN()</f>
        <v>16</v>
      </c>
      <c r="Q1" s="10">
        <f>COLUMN()</f>
        <v>17</v>
      </c>
      <c r="R1" s="10">
        <f>COLUMN()</f>
        <v>18</v>
      </c>
      <c r="S1" s="10">
        <f>COLUMN()</f>
        <v>19</v>
      </c>
      <c r="T1" s="10">
        <f>COLUMN()</f>
        <v>20</v>
      </c>
      <c r="U1" s="10">
        <f>COLUMN()</f>
        <v>21</v>
      </c>
      <c r="V1" s="10">
        <f>COLUMN()</f>
        <v>22</v>
      </c>
      <c r="W1" s="10">
        <f>COLUMN()</f>
        <v>23</v>
      </c>
      <c r="X1" s="10">
        <f>COLUMN()</f>
        <v>24</v>
      </c>
      <c r="Y1" s="10">
        <f>COLUMN()</f>
        <v>25</v>
      </c>
      <c r="Z1" s="10">
        <f>COLUMN()</f>
        <v>26</v>
      </c>
      <c r="AA1" s="10">
        <f>COLUMN()</f>
        <v>27</v>
      </c>
    </row>
    <row r="2" spans="1:27" ht="72.75" x14ac:dyDescent="0.25">
      <c r="A2" s="25" t="s">
        <v>0</v>
      </c>
      <c r="B2" s="25" t="s">
        <v>1</v>
      </c>
      <c r="C2" s="25" t="s">
        <v>2</v>
      </c>
      <c r="D2" s="25" t="s">
        <v>274</v>
      </c>
      <c r="E2" s="25" t="s">
        <v>5</v>
      </c>
      <c r="F2" s="25" t="s">
        <v>468</v>
      </c>
      <c r="G2" s="104" t="s">
        <v>275</v>
      </c>
      <c r="H2" s="104" t="s">
        <v>276</v>
      </c>
      <c r="I2" s="104" t="s">
        <v>277</v>
      </c>
      <c r="J2" s="104" t="s">
        <v>278</v>
      </c>
      <c r="K2" s="25" t="s">
        <v>279</v>
      </c>
      <c r="L2" s="104" t="s">
        <v>66</v>
      </c>
      <c r="M2" s="104" t="s">
        <v>128</v>
      </c>
      <c r="N2" s="104" t="s">
        <v>138</v>
      </c>
      <c r="O2" s="104" t="s">
        <v>147</v>
      </c>
      <c r="P2" s="104" t="s">
        <v>142</v>
      </c>
      <c r="Q2" s="104" t="s">
        <v>156</v>
      </c>
      <c r="R2" s="104" t="s">
        <v>158</v>
      </c>
      <c r="S2" s="104" t="s">
        <v>160</v>
      </c>
      <c r="T2" s="104" t="s">
        <v>181</v>
      </c>
      <c r="U2" s="104" t="s">
        <v>183</v>
      </c>
      <c r="V2" s="104" t="s">
        <v>185</v>
      </c>
      <c r="W2" s="104" t="s">
        <v>186</v>
      </c>
      <c r="X2" s="104" t="s">
        <v>187</v>
      </c>
      <c r="Y2" s="104" t="s">
        <v>196</v>
      </c>
      <c r="Z2" s="104" t="s">
        <v>198</v>
      </c>
      <c r="AA2" s="104" t="s">
        <v>200</v>
      </c>
    </row>
    <row r="3" spans="1:27" x14ac:dyDescent="0.25">
      <c r="A3" t="s">
        <v>204</v>
      </c>
      <c r="D3" t="s">
        <v>280</v>
      </c>
      <c r="E3" s="2">
        <v>50</v>
      </c>
      <c r="F3" s="106"/>
      <c r="G3" s="99" t="str">
        <f>IFERROR(IF(VLOOKUP(TableHandbook[[#This Row],[UDC]],TableAvailabilities[],2,FALSE)&gt;0,"Y",""),"")</f>
        <v/>
      </c>
      <c r="H3" s="99" t="str">
        <f>IFERROR(IF(VLOOKUP(TableHandbook[[#This Row],[UDC]],TableAvailabilities[],3,FALSE)&gt;0,"Y",""),"")</f>
        <v/>
      </c>
      <c r="I3" s="99" t="str">
        <f>IFERROR(IF(VLOOKUP(TableHandbook[[#This Row],[UDC]],TableAvailabilities[],4,FALSE)&gt;0,"Y",""),"")</f>
        <v/>
      </c>
      <c r="J3" s="99" t="str">
        <f>IFERROR(IF(VLOOKUP(TableHandbook[[#This Row],[UDC]],TableAvailabilities[],5,FALSE)&gt;0,"Y",""),"")</f>
        <v/>
      </c>
      <c r="K3" s="120"/>
      <c r="L3" s="102" t="str">
        <f>IFERROR(VLOOKUP(TableHandbook[[#This Row],[UDC]],TableBDESIGN[],7,FALSE),"")</f>
        <v/>
      </c>
      <c r="M3" s="121" t="str">
        <f>IFERROR(VLOOKUP(TableHandbook[[#This Row],[UDC]],TableMJRUADVDS[],7,FALSE),"")</f>
        <v/>
      </c>
      <c r="N3" s="102" t="str">
        <f>IFERROR(VLOOKUP(TableHandbook[[#This Row],[UDC]],TableMJRUANIGD[],7,FALSE),"")</f>
        <v/>
      </c>
      <c r="O3" s="102" t="str">
        <f>IFERROR(VLOOKUP(TableHandbook[[#This Row],[UDC]],TableMJRUDIGDE[],7,FALSE),"")</f>
        <v/>
      </c>
      <c r="P3" s="102" t="str">
        <f>IFERROR(VLOOKUP(TableHandbook[[#This Row],[UDC]],TableMJRUDINFB[],7,FALSE),"")</f>
        <v/>
      </c>
      <c r="Q3" s="102" t="str">
        <f>IFERROR(VLOOKUP(TableHandbook[[#This Row],[UDC]],TableMJRUFASHN[],7,FALSE),"")</f>
        <v/>
      </c>
      <c r="R3" s="102" t="str">
        <f>IFERROR(VLOOKUP(TableHandbook[[#This Row],[UDC]],TableMJRUGRPDS[],7,FALSE),"")</f>
        <v/>
      </c>
      <c r="S3" s="102" t="str">
        <f>IFERROR(VLOOKUP(TableHandbook[[#This Row],[UDC]],TableMJRUPHOTO[],7,FALSE),"")</f>
        <v/>
      </c>
      <c r="T3" s="121" t="str">
        <f>IFERROR(VLOOKUP(TableHandbook[[#This Row],[UDC]],TableSPUCANIGD[],7,FALSE),"")</f>
        <v/>
      </c>
      <c r="U3" s="102" t="str">
        <f>IFERROR(VLOOKUP(TableHandbook[[#This Row],[UDC]],TableSPUCCADES[],7,FALSE),"")</f>
        <v/>
      </c>
      <c r="V3" s="102" t="str">
        <f>IFERROR(VLOOKUP(TableHandbook[[#This Row],[UDC]],TableSPUCDIGDE[],7,FALSE),"")</f>
        <v/>
      </c>
      <c r="W3" s="102" t="str">
        <f>IFERROR(VLOOKUP(TableHandbook[[#This Row],[UDC]],TableSPUCFASHN[],7,FALSE),"")</f>
        <v/>
      </c>
      <c r="X3" s="102" t="str">
        <f>IFERROR(VLOOKUP(TableHandbook[[#This Row],[UDC]],TableSPUCFSHMK[],7,FALSE),"")</f>
        <v/>
      </c>
      <c r="Y3" s="102" t="str">
        <f>IFERROR(VLOOKUP(TableHandbook[[#This Row],[UDC]],TableSPUCGRPDS[],7,FALSE),"")</f>
        <v/>
      </c>
      <c r="Z3" s="102" t="str">
        <f>IFERROR(VLOOKUP(TableHandbook[[#This Row],[UDC]],TableSPUCILLUS[],7,FALSE),"")</f>
        <v/>
      </c>
      <c r="AA3" s="102" t="str">
        <f>IFERROR(VLOOKUP(TableHandbook[[#This Row],[UDC]],TableSPUCPHOTO[],7,FALSE),"")</f>
        <v/>
      </c>
    </row>
    <row r="4" spans="1:27" x14ac:dyDescent="0.25">
      <c r="A4" t="s">
        <v>202</v>
      </c>
      <c r="D4" t="s">
        <v>281</v>
      </c>
      <c r="E4" s="2">
        <v>75</v>
      </c>
      <c r="F4" s="106"/>
      <c r="G4" s="99" t="str">
        <f>IFERROR(IF(VLOOKUP(TableHandbook[[#This Row],[UDC]],TableAvailabilities[],2,FALSE)&gt;0,"Y",""),"")</f>
        <v/>
      </c>
      <c r="H4" s="99" t="str">
        <f>IFERROR(IF(VLOOKUP(TableHandbook[[#This Row],[UDC]],TableAvailabilities[],3,FALSE)&gt;0,"Y",""),"")</f>
        <v/>
      </c>
      <c r="I4" s="99" t="str">
        <f>IFERROR(IF(VLOOKUP(TableHandbook[[#This Row],[UDC]],TableAvailabilities[],4,FALSE)&gt;0,"Y",""),"")</f>
        <v/>
      </c>
      <c r="J4" s="99" t="str">
        <f>IFERROR(IF(VLOOKUP(TableHandbook[[#This Row],[UDC]],TableAvailabilities[],5,FALSE)&gt;0,"Y",""),"")</f>
        <v/>
      </c>
      <c r="K4" s="120"/>
      <c r="L4" s="102" t="str">
        <f>IFERROR(VLOOKUP(TableHandbook[[#This Row],[UDC]],TableBDESIGN[],7,FALSE),"")</f>
        <v/>
      </c>
      <c r="M4" s="121" t="str">
        <f>IFERROR(VLOOKUP(TableHandbook[[#This Row],[UDC]],TableMJRUADVDS[],7,FALSE),"")</f>
        <v/>
      </c>
      <c r="N4" s="102" t="str">
        <f>IFERROR(VLOOKUP(TableHandbook[[#This Row],[UDC]],TableMJRUANIGD[],7,FALSE),"")</f>
        <v/>
      </c>
      <c r="O4" s="102" t="str">
        <f>IFERROR(VLOOKUP(TableHandbook[[#This Row],[UDC]],TableMJRUDIGDE[],7,FALSE),"")</f>
        <v/>
      </c>
      <c r="P4" s="102" t="str">
        <f>IFERROR(VLOOKUP(TableHandbook[[#This Row],[UDC]],TableMJRUDINFB[],7,FALSE),"")</f>
        <v/>
      </c>
      <c r="Q4" s="102" t="str">
        <f>IFERROR(VLOOKUP(TableHandbook[[#This Row],[UDC]],TableMJRUFASHN[],7,FALSE),"")</f>
        <v/>
      </c>
      <c r="R4" s="102" t="str">
        <f>IFERROR(VLOOKUP(TableHandbook[[#This Row],[UDC]],TableMJRUGRPDS[],7,FALSE),"")</f>
        <v/>
      </c>
      <c r="S4" s="102" t="str">
        <f>IFERROR(VLOOKUP(TableHandbook[[#This Row],[UDC]],TableMJRUPHOTO[],7,FALSE),"")</f>
        <v/>
      </c>
      <c r="T4" s="121" t="str">
        <f>IFERROR(VLOOKUP(TableHandbook[[#This Row],[UDC]],TableSPUCANIGD[],7,FALSE),"")</f>
        <v/>
      </c>
      <c r="U4" s="102" t="str">
        <f>IFERROR(VLOOKUP(TableHandbook[[#This Row],[UDC]],TableSPUCCADES[],7,FALSE),"")</f>
        <v/>
      </c>
      <c r="V4" s="102" t="str">
        <f>IFERROR(VLOOKUP(TableHandbook[[#This Row],[UDC]],TableSPUCDIGDE[],7,FALSE),"")</f>
        <v/>
      </c>
      <c r="W4" s="102" t="str">
        <f>IFERROR(VLOOKUP(TableHandbook[[#This Row],[UDC]],TableSPUCFASHN[],7,FALSE),"")</f>
        <v/>
      </c>
      <c r="X4" s="102" t="str">
        <f>IFERROR(VLOOKUP(TableHandbook[[#This Row],[UDC]],TableSPUCFSHMK[],7,FALSE),"")</f>
        <v/>
      </c>
      <c r="Y4" s="102" t="str">
        <f>IFERROR(VLOOKUP(TableHandbook[[#This Row],[UDC]],TableSPUCGRPDS[],7,FALSE),"")</f>
        <v/>
      </c>
      <c r="Z4" s="102" t="str">
        <f>IFERROR(VLOOKUP(TableHandbook[[#This Row],[UDC]],TableSPUCILLUS[],7,FALSE),"")</f>
        <v/>
      </c>
      <c r="AA4" s="102" t="str">
        <f>IFERROR(VLOOKUP(TableHandbook[[#This Row],[UDC]],TableSPUCPHOTO[],7,FALSE),"")</f>
        <v/>
      </c>
    </row>
    <row r="5" spans="1:27" x14ac:dyDescent="0.25">
      <c r="A5" t="s">
        <v>203</v>
      </c>
      <c r="D5" t="s">
        <v>282</v>
      </c>
      <c r="E5" s="2">
        <v>100</v>
      </c>
      <c r="F5" s="106"/>
      <c r="G5" s="99" t="str">
        <f>IFERROR(IF(VLOOKUP(TableHandbook[[#This Row],[UDC]],TableAvailabilities[],2,FALSE)&gt;0,"Y",""),"")</f>
        <v/>
      </c>
      <c r="H5" s="99" t="str">
        <f>IFERROR(IF(VLOOKUP(TableHandbook[[#This Row],[UDC]],TableAvailabilities[],3,FALSE)&gt;0,"Y",""),"")</f>
        <v/>
      </c>
      <c r="I5" s="99" t="str">
        <f>IFERROR(IF(VLOOKUP(TableHandbook[[#This Row],[UDC]],TableAvailabilities[],4,FALSE)&gt;0,"Y",""),"")</f>
        <v/>
      </c>
      <c r="J5" s="99" t="str">
        <f>IFERROR(IF(VLOOKUP(TableHandbook[[#This Row],[UDC]],TableAvailabilities[],5,FALSE)&gt;0,"Y",""),"")</f>
        <v/>
      </c>
      <c r="K5" s="120"/>
      <c r="L5" s="102" t="str">
        <f>IFERROR(VLOOKUP(TableHandbook[[#This Row],[UDC]],TableBDESIGN[],7,FALSE),"")</f>
        <v/>
      </c>
      <c r="M5" s="121" t="str">
        <f>IFERROR(VLOOKUP(TableHandbook[[#This Row],[UDC]],TableMJRUADVDS[],7,FALSE),"")</f>
        <v/>
      </c>
      <c r="N5" s="102" t="str">
        <f>IFERROR(VLOOKUP(TableHandbook[[#This Row],[UDC]],TableMJRUANIGD[],7,FALSE),"")</f>
        <v/>
      </c>
      <c r="O5" s="102" t="str">
        <f>IFERROR(VLOOKUP(TableHandbook[[#This Row],[UDC]],TableMJRUDIGDE[],7,FALSE),"")</f>
        <v/>
      </c>
      <c r="P5" s="102" t="str">
        <f>IFERROR(VLOOKUP(TableHandbook[[#This Row],[UDC]],TableMJRUDINFB[],7,FALSE),"")</f>
        <v/>
      </c>
      <c r="Q5" s="102" t="str">
        <f>IFERROR(VLOOKUP(TableHandbook[[#This Row],[UDC]],TableMJRUFASHN[],7,FALSE),"")</f>
        <v/>
      </c>
      <c r="R5" s="102" t="str">
        <f>IFERROR(VLOOKUP(TableHandbook[[#This Row],[UDC]],TableMJRUGRPDS[],7,FALSE),"")</f>
        <v/>
      </c>
      <c r="S5" s="102" t="str">
        <f>IFERROR(VLOOKUP(TableHandbook[[#This Row],[UDC]],TableMJRUPHOTO[],7,FALSE),"")</f>
        <v/>
      </c>
      <c r="T5" s="121" t="str">
        <f>IFERROR(VLOOKUP(TableHandbook[[#This Row],[UDC]],TableSPUCANIGD[],7,FALSE),"")</f>
        <v/>
      </c>
      <c r="U5" s="102" t="str">
        <f>IFERROR(VLOOKUP(TableHandbook[[#This Row],[UDC]],TableSPUCCADES[],7,FALSE),"")</f>
        <v/>
      </c>
      <c r="V5" s="102" t="str">
        <f>IFERROR(VLOOKUP(TableHandbook[[#This Row],[UDC]],TableSPUCDIGDE[],7,FALSE),"")</f>
        <v/>
      </c>
      <c r="W5" s="102" t="str">
        <f>IFERROR(VLOOKUP(TableHandbook[[#This Row],[UDC]],TableSPUCFASHN[],7,FALSE),"")</f>
        <v/>
      </c>
      <c r="X5" s="102" t="str">
        <f>IFERROR(VLOOKUP(TableHandbook[[#This Row],[UDC]],TableSPUCFSHMK[],7,FALSE),"")</f>
        <v/>
      </c>
      <c r="Y5" s="102" t="str">
        <f>IFERROR(VLOOKUP(TableHandbook[[#This Row],[UDC]],TableSPUCGRPDS[],7,FALSE),"")</f>
        <v/>
      </c>
      <c r="Z5" s="102" t="str">
        <f>IFERROR(VLOOKUP(TableHandbook[[#This Row],[UDC]],TableSPUCILLUS[],7,FALSE),"")</f>
        <v/>
      </c>
      <c r="AA5" s="102" t="str">
        <f>IFERROR(VLOOKUP(TableHandbook[[#This Row],[UDC]],TableSPUCPHOTO[],7,FALSE),"")</f>
        <v/>
      </c>
    </row>
    <row r="6" spans="1:27" x14ac:dyDescent="0.25">
      <c r="A6" t="s">
        <v>119</v>
      </c>
      <c r="D6" t="s">
        <v>283</v>
      </c>
      <c r="E6" s="2">
        <v>25</v>
      </c>
      <c r="F6" s="106" t="s">
        <v>284</v>
      </c>
      <c r="G6" s="99" t="str">
        <f>IFERROR(IF(VLOOKUP(TableHandbook[[#This Row],[UDC]],TableAvailabilities[],2,FALSE)&gt;0,"Y",""),"")</f>
        <v/>
      </c>
      <c r="H6" s="99" t="str">
        <f>IFERROR(IF(VLOOKUP(TableHandbook[[#This Row],[UDC]],TableAvailabilities[],3,FALSE)&gt;0,"Y",""),"")</f>
        <v/>
      </c>
      <c r="I6" s="99" t="str">
        <f>IFERROR(IF(VLOOKUP(TableHandbook[[#This Row],[UDC]],TableAvailabilities[],4,FALSE)&gt;0,"Y",""),"")</f>
        <v>Y</v>
      </c>
      <c r="J6" s="99" t="str">
        <f>IFERROR(IF(VLOOKUP(TableHandbook[[#This Row],[UDC]],TableAvailabilities[],5,FALSE)&gt;0,"Y",""),"")</f>
        <v/>
      </c>
      <c r="K6" s="120"/>
      <c r="L6" s="102" t="str">
        <f>IFERROR(VLOOKUP(TableHandbook[[#This Row],[UDC]],TableBDESIGN[],7,FALSE),"")</f>
        <v/>
      </c>
      <c r="M6" s="121" t="str">
        <f>IFERROR(VLOOKUP(TableHandbook[[#This Row],[UDC]],TableMJRUADVDS[],7,FALSE),"")</f>
        <v>AltCore</v>
      </c>
      <c r="N6" s="102" t="str">
        <f>IFERROR(VLOOKUP(TableHandbook[[#This Row],[UDC]],TableMJRUANIGD[],7,FALSE),"")</f>
        <v/>
      </c>
      <c r="O6" s="102" t="str">
        <f>IFERROR(VLOOKUP(TableHandbook[[#This Row],[UDC]],TableMJRUDIGDE[],7,FALSE),"")</f>
        <v/>
      </c>
      <c r="P6" s="102" t="str">
        <f>IFERROR(VLOOKUP(TableHandbook[[#This Row],[UDC]],TableMJRUDINFB[],7,FALSE),"")</f>
        <v/>
      </c>
      <c r="Q6" s="102" t="str">
        <f>IFERROR(VLOOKUP(TableHandbook[[#This Row],[UDC]],TableMJRUFASHN[],7,FALSE),"")</f>
        <v/>
      </c>
      <c r="R6" s="102" t="str">
        <f>IFERROR(VLOOKUP(TableHandbook[[#This Row],[UDC]],TableMJRUGRPDS[],7,FALSE),"")</f>
        <v/>
      </c>
      <c r="S6" s="102" t="str">
        <f>IFERROR(VLOOKUP(TableHandbook[[#This Row],[UDC]],TableMJRUPHOTO[],7,FALSE),"")</f>
        <v/>
      </c>
      <c r="T6" s="121" t="str">
        <f>IFERROR(VLOOKUP(TableHandbook[[#This Row],[UDC]],TableSPUCANIGD[],7,FALSE),"")</f>
        <v/>
      </c>
      <c r="U6" s="102" t="str">
        <f>IFERROR(VLOOKUP(TableHandbook[[#This Row],[UDC]],TableSPUCCADES[],7,FALSE),"")</f>
        <v/>
      </c>
      <c r="V6" s="102" t="str">
        <f>IFERROR(VLOOKUP(TableHandbook[[#This Row],[UDC]],TableSPUCDIGDE[],7,FALSE),"")</f>
        <v/>
      </c>
      <c r="W6" s="102" t="str">
        <f>IFERROR(VLOOKUP(TableHandbook[[#This Row],[UDC]],TableSPUCFASHN[],7,FALSE),"")</f>
        <v/>
      </c>
      <c r="X6" s="102" t="str">
        <f>IFERROR(VLOOKUP(TableHandbook[[#This Row],[UDC]],TableSPUCFSHMK[],7,FALSE),"")</f>
        <v/>
      </c>
      <c r="Y6" s="102" t="str">
        <f>IFERROR(VLOOKUP(TableHandbook[[#This Row],[UDC]],TableSPUCGRPDS[],7,FALSE),"")</f>
        <v/>
      </c>
      <c r="Z6" s="102" t="str">
        <f>IFERROR(VLOOKUP(TableHandbook[[#This Row],[UDC]],TableSPUCILLUS[],7,FALSE),"")</f>
        <v/>
      </c>
      <c r="AA6" s="102" t="str">
        <f>IFERROR(VLOOKUP(TableHandbook[[#This Row],[UDC]],TableSPUCPHOTO[],7,FALSE),"")</f>
        <v/>
      </c>
    </row>
    <row r="7" spans="1:27" x14ac:dyDescent="0.25">
      <c r="A7" t="s">
        <v>222</v>
      </c>
      <c r="D7" t="s">
        <v>477</v>
      </c>
      <c r="E7" s="2">
        <v>25</v>
      </c>
      <c r="F7" s="106"/>
      <c r="G7" s="99" t="str">
        <f>IFERROR(IF(VLOOKUP(TableHandbook[[#This Row],[UDC]],TableAvailabilities[],2,FALSE)&gt;0,"Y",""),"")</f>
        <v/>
      </c>
      <c r="H7" s="99" t="str">
        <f>IFERROR(IF(VLOOKUP(TableHandbook[[#This Row],[UDC]],TableAvailabilities[],3,FALSE)&gt;0,"Y",""),"")</f>
        <v/>
      </c>
      <c r="I7" s="99" t="str">
        <f>IFERROR(IF(VLOOKUP(TableHandbook[[#This Row],[UDC]],TableAvailabilities[],4,FALSE)&gt;0,"Y",""),"")</f>
        <v/>
      </c>
      <c r="J7" s="99" t="str">
        <f>IFERROR(IF(VLOOKUP(TableHandbook[[#This Row],[UDC]],TableAvailabilities[],5,FALSE)&gt;0,"Y",""),"")</f>
        <v/>
      </c>
      <c r="K7" s="120" t="s">
        <v>476</v>
      </c>
      <c r="L7" s="102" t="str">
        <f>IFERROR(VLOOKUP(TableHandbook[[#This Row],[UDC]],TableBDESIGN[],7,FALSE),"")</f>
        <v/>
      </c>
      <c r="M7" s="121" t="str">
        <f>IFERROR(VLOOKUP(TableHandbook[[#This Row],[UDC]],TableMJRUADVDS[],7,FALSE),"")</f>
        <v/>
      </c>
      <c r="N7" s="102" t="str">
        <f>IFERROR(VLOOKUP(TableHandbook[[#This Row],[UDC]],TableMJRUANIGD[],7,FALSE),"")</f>
        <v/>
      </c>
      <c r="O7" s="102" t="str">
        <f>IFERROR(VLOOKUP(TableHandbook[[#This Row],[UDC]],TableMJRUDIGDE[],7,FALSE),"")</f>
        <v/>
      </c>
      <c r="P7" s="102" t="str">
        <f>IFERROR(VLOOKUP(TableHandbook[[#This Row],[UDC]],TableMJRUDINFB[],7,FALSE),"")</f>
        <v/>
      </c>
      <c r="Q7" s="102" t="str">
        <f>IFERROR(VLOOKUP(TableHandbook[[#This Row],[UDC]],TableMJRUFASHN[],7,FALSE),"")</f>
        <v/>
      </c>
      <c r="R7" s="102" t="str">
        <f>IFERROR(VLOOKUP(TableHandbook[[#This Row],[UDC]],TableMJRUGRPDS[],7,FALSE),"")</f>
        <v/>
      </c>
      <c r="S7" s="102" t="str">
        <f>IFERROR(VLOOKUP(TableHandbook[[#This Row],[UDC]],TableMJRUPHOTO[],7,FALSE),"")</f>
        <v/>
      </c>
      <c r="T7" s="121" t="str">
        <f>IFERROR(VLOOKUP(TableHandbook[[#This Row],[UDC]],TableSPUCANIGD[],7,FALSE),"")</f>
        <v>AltCore</v>
      </c>
      <c r="U7" s="102" t="str">
        <f>IFERROR(VLOOKUP(TableHandbook[[#This Row],[UDC]],TableSPUCCADES[],7,FALSE),"")</f>
        <v/>
      </c>
      <c r="V7" s="102" t="str">
        <f>IFERROR(VLOOKUP(TableHandbook[[#This Row],[UDC]],TableSPUCDIGDE[],7,FALSE),"")</f>
        <v/>
      </c>
      <c r="W7" s="102" t="str">
        <f>IFERROR(VLOOKUP(TableHandbook[[#This Row],[UDC]],TableSPUCFASHN[],7,FALSE),"")</f>
        <v/>
      </c>
      <c r="X7" s="102" t="str">
        <f>IFERROR(VLOOKUP(TableHandbook[[#This Row],[UDC]],TableSPUCFSHMK[],7,FALSE),"")</f>
        <v/>
      </c>
      <c r="Y7" s="102" t="str">
        <f>IFERROR(VLOOKUP(TableHandbook[[#This Row],[UDC]],TableSPUCGRPDS[],7,FALSE),"")</f>
        <v/>
      </c>
      <c r="Z7" s="102" t="str">
        <f>IFERROR(VLOOKUP(TableHandbook[[#This Row],[UDC]],TableSPUCILLUS[],7,FALSE),"")</f>
        <v/>
      </c>
      <c r="AA7" s="102" t="str">
        <f>IFERROR(VLOOKUP(TableHandbook[[#This Row],[UDC]],TableSPUCPHOTO[],7,FALSE),"")</f>
        <v/>
      </c>
    </row>
    <row r="8" spans="1:27" x14ac:dyDescent="0.25">
      <c r="A8" t="s">
        <v>224</v>
      </c>
      <c r="D8" t="s">
        <v>478</v>
      </c>
      <c r="E8" s="2">
        <v>25</v>
      </c>
      <c r="F8" s="106"/>
      <c r="G8" s="99" t="str">
        <f>IFERROR(IF(VLOOKUP(TableHandbook[[#This Row],[UDC]],TableAvailabilities[],2,FALSE)&gt;0,"Y",""),"")</f>
        <v/>
      </c>
      <c r="H8" s="99" t="str">
        <f>IFERROR(IF(VLOOKUP(TableHandbook[[#This Row],[UDC]],TableAvailabilities[],3,FALSE)&gt;0,"Y",""),"")</f>
        <v/>
      </c>
      <c r="I8" s="99" t="str">
        <f>IFERROR(IF(VLOOKUP(TableHandbook[[#This Row],[UDC]],TableAvailabilities[],4,FALSE)&gt;0,"Y",""),"")</f>
        <v/>
      </c>
      <c r="J8" s="99" t="str">
        <f>IFERROR(IF(VLOOKUP(TableHandbook[[#This Row],[UDC]],TableAvailabilities[],5,FALSE)&gt;0,"Y",""),"")</f>
        <v/>
      </c>
      <c r="K8" s="120" t="s">
        <v>476</v>
      </c>
      <c r="L8" s="102" t="str">
        <f>IFERROR(VLOOKUP(TableHandbook[[#This Row],[UDC]],TableBDESIGN[],7,FALSE),"")</f>
        <v/>
      </c>
      <c r="M8" s="121" t="str">
        <f>IFERROR(VLOOKUP(TableHandbook[[#This Row],[UDC]],TableMJRUADVDS[],7,FALSE),"")</f>
        <v/>
      </c>
      <c r="N8" s="102" t="str">
        <f>IFERROR(VLOOKUP(TableHandbook[[#This Row],[UDC]],TableMJRUANIGD[],7,FALSE),"")</f>
        <v/>
      </c>
      <c r="O8" s="102" t="str">
        <f>IFERROR(VLOOKUP(TableHandbook[[#This Row],[UDC]],TableMJRUDIGDE[],7,FALSE),"")</f>
        <v/>
      </c>
      <c r="P8" s="102" t="str">
        <f>IFERROR(VLOOKUP(TableHandbook[[#This Row],[UDC]],TableMJRUDINFB[],7,FALSE),"")</f>
        <v/>
      </c>
      <c r="Q8" s="102" t="str">
        <f>IFERROR(VLOOKUP(TableHandbook[[#This Row],[UDC]],TableMJRUFASHN[],7,FALSE),"")</f>
        <v/>
      </c>
      <c r="R8" s="102" t="str">
        <f>IFERROR(VLOOKUP(TableHandbook[[#This Row],[UDC]],TableMJRUGRPDS[],7,FALSE),"")</f>
        <v/>
      </c>
      <c r="S8" s="102" t="str">
        <f>IFERROR(VLOOKUP(TableHandbook[[#This Row],[UDC]],TableMJRUPHOTO[],7,FALSE),"")</f>
        <v/>
      </c>
      <c r="T8" s="121" t="str">
        <f>IFERROR(VLOOKUP(TableHandbook[[#This Row],[UDC]],TableSPUCANIGD[],7,FALSE),"")</f>
        <v/>
      </c>
      <c r="U8" s="102" t="str">
        <f>IFERROR(VLOOKUP(TableHandbook[[#This Row],[UDC]],TableSPUCCADES[],7,FALSE),"")</f>
        <v/>
      </c>
      <c r="V8" s="102" t="str">
        <f>IFERROR(VLOOKUP(TableHandbook[[#This Row],[UDC]],TableSPUCDIGDE[],7,FALSE),"")</f>
        <v/>
      </c>
      <c r="W8" s="102" t="str">
        <f>IFERROR(VLOOKUP(TableHandbook[[#This Row],[UDC]],TableSPUCFASHN[],7,FALSE),"")</f>
        <v/>
      </c>
      <c r="X8" s="102" t="str">
        <f>IFERROR(VLOOKUP(TableHandbook[[#This Row],[UDC]],TableSPUCFSHMK[],7,FALSE),"")</f>
        <v/>
      </c>
      <c r="Y8" s="102" t="str">
        <f>IFERROR(VLOOKUP(TableHandbook[[#This Row],[UDC]],TableSPUCGRPDS[],7,FALSE),"")</f>
        <v>AltCore</v>
      </c>
      <c r="Z8" s="102" t="str">
        <f>IFERROR(VLOOKUP(TableHandbook[[#This Row],[UDC]],TableSPUCILLUS[],7,FALSE),"")</f>
        <v/>
      </c>
      <c r="AA8" s="102" t="str">
        <f>IFERROR(VLOOKUP(TableHandbook[[#This Row],[UDC]],TableSPUCPHOTO[],7,FALSE),"")</f>
        <v/>
      </c>
    </row>
    <row r="9" spans="1:27" x14ac:dyDescent="0.25">
      <c r="A9" t="s">
        <v>89</v>
      </c>
      <c r="B9" s="2">
        <v>3</v>
      </c>
      <c r="D9" t="s">
        <v>285</v>
      </c>
      <c r="E9" s="2">
        <v>25</v>
      </c>
      <c r="F9" s="106" t="s">
        <v>286</v>
      </c>
      <c r="G9" s="99" t="str">
        <f>IFERROR(IF(VLOOKUP(TableHandbook[[#This Row],[UDC]],TableAvailabilities[],2,FALSE)&gt;0,"Y",""),"")</f>
        <v>Y</v>
      </c>
      <c r="H9" s="99" t="str">
        <f>IFERROR(IF(VLOOKUP(TableHandbook[[#This Row],[UDC]],TableAvailabilities[],3,FALSE)&gt;0,"Y",""),"")</f>
        <v>Y</v>
      </c>
      <c r="I9" s="99" t="str">
        <f>IFERROR(IF(VLOOKUP(TableHandbook[[#This Row],[UDC]],TableAvailabilities[],4,FALSE)&gt;0,"Y",""),"")</f>
        <v>Y</v>
      </c>
      <c r="J9" s="99" t="str">
        <f>IFERROR(IF(VLOOKUP(TableHandbook[[#This Row],[UDC]],TableAvailabilities[],5,FALSE)&gt;0,"Y",""),"")</f>
        <v>Y</v>
      </c>
      <c r="K9" s="120"/>
      <c r="L9" s="102" t="str">
        <f>IFERROR(VLOOKUP(TableHandbook[[#This Row],[UDC]],TableBDESIGN[],7,FALSE),"")</f>
        <v>Core</v>
      </c>
      <c r="M9" s="121" t="str">
        <f>IFERROR(VLOOKUP(TableHandbook[[#This Row],[UDC]],TableMJRUADVDS[],7,FALSE),"")</f>
        <v/>
      </c>
      <c r="N9" s="102" t="str">
        <f>IFERROR(VLOOKUP(TableHandbook[[#This Row],[UDC]],TableMJRUANIGD[],7,FALSE),"")</f>
        <v/>
      </c>
      <c r="O9" s="102" t="str">
        <f>IFERROR(VLOOKUP(TableHandbook[[#This Row],[UDC]],TableMJRUDIGDE[],7,FALSE),"")</f>
        <v/>
      </c>
      <c r="P9" s="102" t="str">
        <f>IFERROR(VLOOKUP(TableHandbook[[#This Row],[UDC]],TableMJRUDINFB[],7,FALSE),"")</f>
        <v/>
      </c>
      <c r="Q9" s="102" t="str">
        <f>IFERROR(VLOOKUP(TableHandbook[[#This Row],[UDC]],TableMJRUFASHN[],7,FALSE),"")</f>
        <v/>
      </c>
      <c r="R9" s="102" t="str">
        <f>IFERROR(VLOOKUP(TableHandbook[[#This Row],[UDC]],TableMJRUGRPDS[],7,FALSE),"")</f>
        <v/>
      </c>
      <c r="S9" s="102" t="str">
        <f>IFERROR(VLOOKUP(TableHandbook[[#This Row],[UDC]],TableMJRUPHOTO[],7,FALSE),"")</f>
        <v/>
      </c>
      <c r="T9" s="121" t="str">
        <f>IFERROR(VLOOKUP(TableHandbook[[#This Row],[UDC]],TableSPUCANIGD[],7,FALSE),"")</f>
        <v/>
      </c>
      <c r="U9" s="102" t="str">
        <f>IFERROR(VLOOKUP(TableHandbook[[#This Row],[UDC]],TableSPUCCADES[],7,FALSE),"")</f>
        <v/>
      </c>
      <c r="V9" s="102" t="str">
        <f>IFERROR(VLOOKUP(TableHandbook[[#This Row],[UDC]],TableSPUCDIGDE[],7,FALSE),"")</f>
        <v/>
      </c>
      <c r="W9" s="102" t="str">
        <f>IFERROR(VLOOKUP(TableHandbook[[#This Row],[UDC]],TableSPUCFASHN[],7,FALSE),"")</f>
        <v/>
      </c>
      <c r="X9" s="102" t="str">
        <f>IFERROR(VLOOKUP(TableHandbook[[#This Row],[UDC]],TableSPUCFSHMK[],7,FALSE),"")</f>
        <v/>
      </c>
      <c r="Y9" s="102" t="str">
        <f>IFERROR(VLOOKUP(TableHandbook[[#This Row],[UDC]],TableSPUCGRPDS[],7,FALSE),"")</f>
        <v/>
      </c>
      <c r="Z9" s="102" t="str">
        <f>IFERROR(VLOOKUP(TableHandbook[[#This Row],[UDC]],TableSPUCILLUS[],7,FALSE),"")</f>
        <v/>
      </c>
      <c r="AA9" s="102" t="str">
        <f>IFERROR(VLOOKUP(TableHandbook[[#This Row],[UDC]],TableSPUCPHOTO[],7,FALSE),"")</f>
        <v/>
      </c>
    </row>
    <row r="10" spans="1:27" x14ac:dyDescent="0.25">
      <c r="A10" t="s">
        <v>95</v>
      </c>
      <c r="D10" t="s">
        <v>287</v>
      </c>
      <c r="E10" s="2">
        <v>25</v>
      </c>
      <c r="F10" s="106" t="s">
        <v>284</v>
      </c>
      <c r="G10" s="99" t="str">
        <f>IFERROR(IF(VLOOKUP(TableHandbook[[#This Row],[UDC]],TableAvailabilities[],2,FALSE)&gt;0,"Y",""),"")</f>
        <v/>
      </c>
      <c r="H10" s="99" t="str">
        <f>IFERROR(IF(VLOOKUP(TableHandbook[[#This Row],[UDC]],TableAvailabilities[],3,FALSE)&gt;0,"Y",""),"")</f>
        <v/>
      </c>
      <c r="I10" s="99" t="str">
        <f>IFERROR(IF(VLOOKUP(TableHandbook[[#This Row],[UDC]],TableAvailabilities[],4,FALSE)&gt;0,"Y",""),"")</f>
        <v/>
      </c>
      <c r="J10" s="99" t="str">
        <f>IFERROR(IF(VLOOKUP(TableHandbook[[#This Row],[UDC]],TableAvailabilities[],5,FALSE)&gt;0,"Y",""),"")</f>
        <v/>
      </c>
      <c r="K10" s="120"/>
      <c r="L10" s="102" t="str">
        <f>IFERROR(VLOOKUP(TableHandbook[[#This Row],[UDC]],TableBDESIGN[],7,FALSE),"")</f>
        <v/>
      </c>
      <c r="M10" s="121" t="str">
        <f>IFERROR(VLOOKUP(TableHandbook[[#This Row],[UDC]],TableMJRUADVDS[],7,FALSE),"")</f>
        <v/>
      </c>
      <c r="N10" s="102" t="str">
        <f>IFERROR(VLOOKUP(TableHandbook[[#This Row],[UDC]],TableMJRUANIGD[],7,FALSE),"")</f>
        <v/>
      </c>
      <c r="O10" s="102" t="str">
        <f>IFERROR(VLOOKUP(TableHandbook[[#This Row],[UDC]],TableMJRUDIGDE[],7,FALSE),"")</f>
        <v/>
      </c>
      <c r="P10" s="102" t="str">
        <f>IFERROR(VLOOKUP(TableHandbook[[#This Row],[UDC]],TableMJRUDINFB[],7,FALSE),"")</f>
        <v/>
      </c>
      <c r="Q10" s="102" t="str">
        <f>IFERROR(VLOOKUP(TableHandbook[[#This Row],[UDC]],TableMJRUFASHN[],7,FALSE),"")</f>
        <v/>
      </c>
      <c r="R10" s="102" t="str">
        <f>IFERROR(VLOOKUP(TableHandbook[[#This Row],[UDC]],TableMJRUGRPDS[],7,FALSE),"")</f>
        <v/>
      </c>
      <c r="S10" s="102" t="str">
        <f>IFERROR(VLOOKUP(TableHandbook[[#This Row],[UDC]],TableMJRUPHOTO[],7,FALSE),"")</f>
        <v/>
      </c>
      <c r="T10" s="121" t="str">
        <f>IFERROR(VLOOKUP(TableHandbook[[#This Row],[UDC]],TableSPUCANIGD[],7,FALSE),"")</f>
        <v/>
      </c>
      <c r="U10" s="102" t="str">
        <f>IFERROR(VLOOKUP(TableHandbook[[#This Row],[UDC]],TableSPUCCADES[],7,FALSE),"")</f>
        <v/>
      </c>
      <c r="V10" s="102" t="str">
        <f>IFERROR(VLOOKUP(TableHandbook[[#This Row],[UDC]],TableSPUCDIGDE[],7,FALSE),"")</f>
        <v/>
      </c>
      <c r="W10" s="102" t="str">
        <f>IFERROR(VLOOKUP(TableHandbook[[#This Row],[UDC]],TableSPUCFASHN[],7,FALSE),"")</f>
        <v/>
      </c>
      <c r="X10" s="102" t="str">
        <f>IFERROR(VLOOKUP(TableHandbook[[#This Row],[UDC]],TableSPUCFSHMK[],7,FALSE),"")</f>
        <v/>
      </c>
      <c r="Y10" s="102" t="str">
        <f>IFERROR(VLOOKUP(TableHandbook[[#This Row],[UDC]],TableSPUCGRPDS[],7,FALSE),"")</f>
        <v/>
      </c>
      <c r="Z10" s="102" t="str">
        <f>IFERROR(VLOOKUP(TableHandbook[[#This Row],[UDC]],TableSPUCILLUS[],7,FALSE),"")</f>
        <v/>
      </c>
      <c r="AA10" s="102" t="str">
        <f>IFERROR(VLOOKUP(TableHandbook[[#This Row],[UDC]],TableSPUCPHOTO[],7,FALSE),"")</f>
        <v/>
      </c>
    </row>
    <row r="11" spans="1:27" x14ac:dyDescent="0.25">
      <c r="A11" t="s">
        <v>83</v>
      </c>
      <c r="B11" s="2">
        <v>1</v>
      </c>
      <c r="D11" t="s">
        <v>288</v>
      </c>
      <c r="E11" s="2">
        <v>25</v>
      </c>
      <c r="F11" s="106" t="s">
        <v>286</v>
      </c>
      <c r="G11" s="99" t="str">
        <f>IFERROR(IF(VLOOKUP(TableHandbook[[#This Row],[UDC]],TableAvailabilities[],2,FALSE)&gt;0,"Y",""),"")</f>
        <v>Y</v>
      </c>
      <c r="H11" s="99" t="str">
        <f>IFERROR(IF(VLOOKUP(TableHandbook[[#This Row],[UDC]],TableAvailabilities[],3,FALSE)&gt;0,"Y",""),"")</f>
        <v/>
      </c>
      <c r="I11" s="99" t="str">
        <f>IFERROR(IF(VLOOKUP(TableHandbook[[#This Row],[UDC]],TableAvailabilities[],4,FALSE)&gt;0,"Y",""),"")</f>
        <v>Y</v>
      </c>
      <c r="J11" s="99" t="str">
        <f>IFERROR(IF(VLOOKUP(TableHandbook[[#This Row],[UDC]],TableAvailabilities[],5,FALSE)&gt;0,"Y",""),"")</f>
        <v/>
      </c>
      <c r="K11" s="120"/>
      <c r="L11" s="102" t="str">
        <f>IFERROR(VLOOKUP(TableHandbook[[#This Row],[UDC]],TableBDESIGN[],7,FALSE),"")</f>
        <v/>
      </c>
      <c r="M11" s="121" t="str">
        <f>IFERROR(VLOOKUP(TableHandbook[[#This Row],[UDC]],TableMJRUADVDS[],7,FALSE),"")</f>
        <v/>
      </c>
      <c r="N11" s="102" t="str">
        <f>IFERROR(VLOOKUP(TableHandbook[[#This Row],[UDC]],TableMJRUANIGD[],7,FALSE),"")</f>
        <v/>
      </c>
      <c r="O11" s="102" t="str">
        <f>IFERROR(VLOOKUP(TableHandbook[[#This Row],[UDC]],TableMJRUDIGDE[],7,FALSE),"")</f>
        <v/>
      </c>
      <c r="P11" s="102" t="str">
        <f>IFERROR(VLOOKUP(TableHandbook[[#This Row],[UDC]],TableMJRUDINFB[],7,FALSE),"")</f>
        <v/>
      </c>
      <c r="Q11" s="102" t="str">
        <f>IFERROR(VLOOKUP(TableHandbook[[#This Row],[UDC]],TableMJRUFASHN[],7,FALSE),"")</f>
        <v>Core</v>
      </c>
      <c r="R11" s="102" t="str">
        <f>IFERROR(VLOOKUP(TableHandbook[[#This Row],[UDC]],TableMJRUGRPDS[],7,FALSE),"")</f>
        <v/>
      </c>
      <c r="S11" s="102" t="str">
        <f>IFERROR(VLOOKUP(TableHandbook[[#This Row],[UDC]],TableMJRUPHOTO[],7,FALSE),"")</f>
        <v/>
      </c>
      <c r="T11" s="121" t="str">
        <f>IFERROR(VLOOKUP(TableHandbook[[#This Row],[UDC]],TableSPUCANIGD[],7,FALSE),"")</f>
        <v/>
      </c>
      <c r="U11" s="102" t="str">
        <f>IFERROR(VLOOKUP(TableHandbook[[#This Row],[UDC]],TableSPUCCADES[],7,FALSE),"")</f>
        <v/>
      </c>
      <c r="V11" s="102" t="str">
        <f>IFERROR(VLOOKUP(TableHandbook[[#This Row],[UDC]],TableSPUCDIGDE[],7,FALSE),"")</f>
        <v/>
      </c>
      <c r="W11" s="102" t="str">
        <f>IFERROR(VLOOKUP(TableHandbook[[#This Row],[UDC]],TableSPUCFASHN[],7,FALSE),"")</f>
        <v/>
      </c>
      <c r="X11" s="102" t="str">
        <f>IFERROR(VLOOKUP(TableHandbook[[#This Row],[UDC]],TableSPUCFSHMK[],7,FALSE),"")</f>
        <v/>
      </c>
      <c r="Y11" s="102" t="str">
        <f>IFERROR(VLOOKUP(TableHandbook[[#This Row],[UDC]],TableSPUCGRPDS[],7,FALSE),"")</f>
        <v/>
      </c>
      <c r="Z11" s="102" t="str">
        <f>IFERROR(VLOOKUP(TableHandbook[[#This Row],[UDC]],TableSPUCILLUS[],7,FALSE),"")</f>
        <v/>
      </c>
      <c r="AA11" s="102" t="str">
        <f>IFERROR(VLOOKUP(TableHandbook[[#This Row],[UDC]],TableSPUCPHOTO[],7,FALSE),"")</f>
        <v/>
      </c>
    </row>
    <row r="12" spans="1:27" x14ac:dyDescent="0.25">
      <c r="A12" t="s">
        <v>223</v>
      </c>
      <c r="B12" s="2">
        <v>1</v>
      </c>
      <c r="D12" t="s">
        <v>289</v>
      </c>
      <c r="E12" s="2">
        <v>25</v>
      </c>
      <c r="F12" s="106" t="s">
        <v>286</v>
      </c>
      <c r="G12" s="99" t="str">
        <f>IFERROR(IF(VLOOKUP(TableHandbook[[#This Row],[UDC]],TableAvailabilities[],2,FALSE)&gt;0,"Y",""),"")</f>
        <v>Y</v>
      </c>
      <c r="H12" s="99" t="str">
        <f>IFERROR(IF(VLOOKUP(TableHandbook[[#This Row],[UDC]],TableAvailabilities[],3,FALSE)&gt;0,"Y",""),"")</f>
        <v/>
      </c>
      <c r="I12" s="99" t="str">
        <f>IFERROR(IF(VLOOKUP(TableHandbook[[#This Row],[UDC]],TableAvailabilities[],4,FALSE)&gt;0,"Y",""),"")</f>
        <v>Y</v>
      </c>
      <c r="J12" s="99" t="str">
        <f>IFERROR(IF(VLOOKUP(TableHandbook[[#This Row],[UDC]],TableAvailabilities[],5,FALSE)&gt;0,"Y",""),"")</f>
        <v/>
      </c>
      <c r="K12" s="120"/>
      <c r="L12" s="102" t="str">
        <f>IFERROR(VLOOKUP(TableHandbook[[#This Row],[UDC]],TableBDESIGN[],7,FALSE),"")</f>
        <v>Option</v>
      </c>
      <c r="M12" s="121" t="str">
        <f>IFERROR(VLOOKUP(TableHandbook[[#This Row],[UDC]],TableMJRUADVDS[],7,FALSE),"")</f>
        <v/>
      </c>
      <c r="N12" s="102" t="str">
        <f>IFERROR(VLOOKUP(TableHandbook[[#This Row],[UDC]],TableMJRUANIGD[],7,FALSE),"")</f>
        <v/>
      </c>
      <c r="O12" s="102" t="str">
        <f>IFERROR(VLOOKUP(TableHandbook[[#This Row],[UDC]],TableMJRUDIGDE[],7,FALSE),"")</f>
        <v/>
      </c>
      <c r="P12" s="102" t="str">
        <f>IFERROR(VLOOKUP(TableHandbook[[#This Row],[UDC]],TableMJRUDINFB[],7,FALSE),"")</f>
        <v/>
      </c>
      <c r="Q12" s="102" t="str">
        <f>IFERROR(VLOOKUP(TableHandbook[[#This Row],[UDC]],TableMJRUFASHN[],7,FALSE),"")</f>
        <v/>
      </c>
      <c r="R12" s="102" t="str">
        <f>IFERROR(VLOOKUP(TableHandbook[[#This Row],[UDC]],TableMJRUGRPDS[],7,FALSE),"")</f>
        <v/>
      </c>
      <c r="S12" s="102" t="str">
        <f>IFERROR(VLOOKUP(TableHandbook[[#This Row],[UDC]],TableMJRUPHOTO[],7,FALSE),"")</f>
        <v/>
      </c>
      <c r="T12" s="121" t="str">
        <f>IFERROR(VLOOKUP(TableHandbook[[#This Row],[UDC]],TableSPUCANIGD[],7,FALSE),"")</f>
        <v/>
      </c>
      <c r="U12" s="102" t="str">
        <f>IFERROR(VLOOKUP(TableHandbook[[#This Row],[UDC]],TableSPUCCADES[],7,FALSE),"")</f>
        <v/>
      </c>
      <c r="V12" s="102" t="str">
        <f>IFERROR(VLOOKUP(TableHandbook[[#This Row],[UDC]],TableSPUCDIGDE[],7,FALSE),"")</f>
        <v/>
      </c>
      <c r="W12" s="102" t="str">
        <f>IFERROR(VLOOKUP(TableHandbook[[#This Row],[UDC]],TableSPUCFASHN[],7,FALSE),"")</f>
        <v>Option</v>
      </c>
      <c r="X12" s="102" t="str">
        <f>IFERROR(VLOOKUP(TableHandbook[[#This Row],[UDC]],TableSPUCFSHMK[],7,FALSE),"")</f>
        <v/>
      </c>
      <c r="Y12" s="102" t="str">
        <f>IFERROR(VLOOKUP(TableHandbook[[#This Row],[UDC]],TableSPUCGRPDS[],7,FALSE),"")</f>
        <v/>
      </c>
      <c r="Z12" s="102" t="str">
        <f>IFERROR(VLOOKUP(TableHandbook[[#This Row],[UDC]],TableSPUCILLUS[],7,FALSE),"")</f>
        <v/>
      </c>
      <c r="AA12" s="102" t="str">
        <f>IFERROR(VLOOKUP(TableHandbook[[#This Row],[UDC]],TableSPUCPHOTO[],7,FALSE),"")</f>
        <v/>
      </c>
    </row>
    <row r="13" spans="1:27" x14ac:dyDescent="0.25">
      <c r="A13" t="s">
        <v>98</v>
      </c>
      <c r="B13" s="2">
        <v>1</v>
      </c>
      <c r="D13" t="s">
        <v>290</v>
      </c>
      <c r="E13" s="2">
        <v>25</v>
      </c>
      <c r="F13" s="106" t="s">
        <v>83</v>
      </c>
      <c r="G13" s="99" t="str">
        <f>IFERROR(IF(VLOOKUP(TableHandbook[[#This Row],[UDC]],TableAvailabilities[],2,FALSE)&gt;0,"Y",""),"")</f>
        <v>Y</v>
      </c>
      <c r="H13" s="99" t="str">
        <f>IFERROR(IF(VLOOKUP(TableHandbook[[#This Row],[UDC]],TableAvailabilities[],3,FALSE)&gt;0,"Y",""),"")</f>
        <v/>
      </c>
      <c r="I13" s="99" t="str">
        <f>IFERROR(IF(VLOOKUP(TableHandbook[[#This Row],[UDC]],TableAvailabilities[],4,FALSE)&gt;0,"Y",""),"")</f>
        <v/>
      </c>
      <c r="J13" s="99" t="str">
        <f>IFERROR(IF(VLOOKUP(TableHandbook[[#This Row],[UDC]],TableAvailabilities[],5,FALSE)&gt;0,"Y",""),"")</f>
        <v/>
      </c>
      <c r="K13" s="120"/>
      <c r="L13" s="102" t="str">
        <f>IFERROR(VLOOKUP(TableHandbook[[#This Row],[UDC]],TableBDESIGN[],7,FALSE),"")</f>
        <v/>
      </c>
      <c r="M13" s="121" t="str">
        <f>IFERROR(VLOOKUP(TableHandbook[[#This Row],[UDC]],TableMJRUADVDS[],7,FALSE),"")</f>
        <v/>
      </c>
      <c r="N13" s="102" t="str">
        <f>IFERROR(VLOOKUP(TableHandbook[[#This Row],[UDC]],TableMJRUANIGD[],7,FALSE),"")</f>
        <v/>
      </c>
      <c r="O13" s="102" t="str">
        <f>IFERROR(VLOOKUP(TableHandbook[[#This Row],[UDC]],TableMJRUDIGDE[],7,FALSE),"")</f>
        <v/>
      </c>
      <c r="P13" s="102" t="str">
        <f>IFERROR(VLOOKUP(TableHandbook[[#This Row],[UDC]],TableMJRUDINFB[],7,FALSE),"")</f>
        <v/>
      </c>
      <c r="Q13" s="102" t="str">
        <f>IFERROR(VLOOKUP(TableHandbook[[#This Row],[UDC]],TableMJRUFASHN[],7,FALSE),"")</f>
        <v>Core</v>
      </c>
      <c r="R13" s="102" t="str">
        <f>IFERROR(VLOOKUP(TableHandbook[[#This Row],[UDC]],TableMJRUGRPDS[],7,FALSE),"")</f>
        <v/>
      </c>
      <c r="S13" s="102" t="str">
        <f>IFERROR(VLOOKUP(TableHandbook[[#This Row],[UDC]],TableMJRUPHOTO[],7,FALSE),"")</f>
        <v/>
      </c>
      <c r="T13" s="121" t="str">
        <f>IFERROR(VLOOKUP(TableHandbook[[#This Row],[UDC]],TableSPUCANIGD[],7,FALSE),"")</f>
        <v/>
      </c>
      <c r="U13" s="102" t="str">
        <f>IFERROR(VLOOKUP(TableHandbook[[#This Row],[UDC]],TableSPUCCADES[],7,FALSE),"")</f>
        <v/>
      </c>
      <c r="V13" s="102" t="str">
        <f>IFERROR(VLOOKUP(TableHandbook[[#This Row],[UDC]],TableSPUCDIGDE[],7,FALSE),"")</f>
        <v/>
      </c>
      <c r="W13" s="102" t="str">
        <f>IFERROR(VLOOKUP(TableHandbook[[#This Row],[UDC]],TableSPUCFASHN[],7,FALSE),"")</f>
        <v/>
      </c>
      <c r="X13" s="102" t="str">
        <f>IFERROR(VLOOKUP(TableHandbook[[#This Row],[UDC]],TableSPUCFSHMK[],7,FALSE),"")</f>
        <v/>
      </c>
      <c r="Y13" s="102" t="str">
        <f>IFERROR(VLOOKUP(TableHandbook[[#This Row],[UDC]],TableSPUCGRPDS[],7,FALSE),"")</f>
        <v/>
      </c>
      <c r="Z13" s="102" t="str">
        <f>IFERROR(VLOOKUP(TableHandbook[[#This Row],[UDC]],TableSPUCILLUS[],7,FALSE),"")</f>
        <v/>
      </c>
      <c r="AA13" s="102" t="str">
        <f>IFERROR(VLOOKUP(TableHandbook[[#This Row],[UDC]],TableSPUCPHOTO[],7,FALSE),"")</f>
        <v/>
      </c>
    </row>
    <row r="14" spans="1:27" x14ac:dyDescent="0.25">
      <c r="A14" t="s">
        <v>124</v>
      </c>
      <c r="B14" s="2">
        <v>1</v>
      </c>
      <c r="D14" t="s">
        <v>291</v>
      </c>
      <c r="E14" s="2">
        <v>25</v>
      </c>
      <c r="F14" s="106" t="s">
        <v>83</v>
      </c>
      <c r="G14" s="99" t="str">
        <f>IFERROR(IF(VLOOKUP(TableHandbook[[#This Row],[UDC]],TableAvailabilities[],2,FALSE)&gt;0,"Y",""),"")</f>
        <v>Y</v>
      </c>
      <c r="H14" s="99" t="str">
        <f>IFERROR(IF(VLOOKUP(TableHandbook[[#This Row],[UDC]],TableAvailabilities[],3,FALSE)&gt;0,"Y",""),"")</f>
        <v/>
      </c>
      <c r="I14" s="99" t="str">
        <f>IFERROR(IF(VLOOKUP(TableHandbook[[#This Row],[UDC]],TableAvailabilities[],4,FALSE)&gt;0,"Y",""),"")</f>
        <v/>
      </c>
      <c r="J14" s="99" t="str">
        <f>IFERROR(IF(VLOOKUP(TableHandbook[[#This Row],[UDC]],TableAvailabilities[],5,FALSE)&gt;0,"Y",""),"")</f>
        <v/>
      </c>
      <c r="K14" s="120"/>
      <c r="L14" s="102" t="str">
        <f>IFERROR(VLOOKUP(TableHandbook[[#This Row],[UDC]],TableBDESIGN[],7,FALSE),"")</f>
        <v/>
      </c>
      <c r="M14" s="121" t="str">
        <f>IFERROR(VLOOKUP(TableHandbook[[#This Row],[UDC]],TableMJRUADVDS[],7,FALSE),"")</f>
        <v/>
      </c>
      <c r="N14" s="102" t="str">
        <f>IFERROR(VLOOKUP(TableHandbook[[#This Row],[UDC]],TableMJRUANIGD[],7,FALSE),"")</f>
        <v/>
      </c>
      <c r="O14" s="102" t="str">
        <f>IFERROR(VLOOKUP(TableHandbook[[#This Row],[UDC]],TableMJRUDIGDE[],7,FALSE),"")</f>
        <v/>
      </c>
      <c r="P14" s="102" t="str">
        <f>IFERROR(VLOOKUP(TableHandbook[[#This Row],[UDC]],TableMJRUDINFB[],7,FALSE),"")</f>
        <v/>
      </c>
      <c r="Q14" s="102" t="str">
        <f>IFERROR(VLOOKUP(TableHandbook[[#This Row],[UDC]],TableMJRUFASHN[],7,FALSE),"")</f>
        <v>Core</v>
      </c>
      <c r="R14" s="102" t="str">
        <f>IFERROR(VLOOKUP(TableHandbook[[#This Row],[UDC]],TableMJRUGRPDS[],7,FALSE),"")</f>
        <v/>
      </c>
      <c r="S14" s="102" t="str">
        <f>IFERROR(VLOOKUP(TableHandbook[[#This Row],[UDC]],TableMJRUPHOTO[],7,FALSE),"")</f>
        <v/>
      </c>
      <c r="T14" s="121" t="str">
        <f>IFERROR(VLOOKUP(TableHandbook[[#This Row],[UDC]],TableSPUCANIGD[],7,FALSE),"")</f>
        <v/>
      </c>
      <c r="U14" s="102" t="str">
        <f>IFERROR(VLOOKUP(TableHandbook[[#This Row],[UDC]],TableSPUCCADES[],7,FALSE),"")</f>
        <v/>
      </c>
      <c r="V14" s="102" t="str">
        <f>IFERROR(VLOOKUP(TableHandbook[[#This Row],[UDC]],TableSPUCDIGDE[],7,FALSE),"")</f>
        <v/>
      </c>
      <c r="W14" s="102" t="str">
        <f>IFERROR(VLOOKUP(TableHandbook[[#This Row],[UDC]],TableSPUCFASHN[],7,FALSE),"")</f>
        <v/>
      </c>
      <c r="X14" s="102" t="str">
        <f>IFERROR(VLOOKUP(TableHandbook[[#This Row],[UDC]],TableSPUCFSHMK[],7,FALSE),"")</f>
        <v/>
      </c>
      <c r="Y14" s="102" t="str">
        <f>IFERROR(VLOOKUP(TableHandbook[[#This Row],[UDC]],TableSPUCGRPDS[],7,FALSE),"")</f>
        <v/>
      </c>
      <c r="Z14" s="102" t="str">
        <f>IFERROR(VLOOKUP(TableHandbook[[#This Row],[UDC]],TableSPUCILLUS[],7,FALSE),"")</f>
        <v/>
      </c>
      <c r="AA14" s="102" t="str">
        <f>IFERROR(VLOOKUP(TableHandbook[[#This Row],[UDC]],TableSPUCPHOTO[],7,FALSE),"")</f>
        <v/>
      </c>
    </row>
    <row r="15" spans="1:27" ht="47.25" x14ac:dyDescent="0.25">
      <c r="A15" t="s">
        <v>106</v>
      </c>
      <c r="B15" s="2">
        <v>1</v>
      </c>
      <c r="D15" t="s">
        <v>292</v>
      </c>
      <c r="E15" s="2">
        <v>25</v>
      </c>
      <c r="F15" s="106" t="s">
        <v>83</v>
      </c>
      <c r="G15" s="99" t="str">
        <f>IFERROR(IF(VLOOKUP(TableHandbook[[#This Row],[UDC]],TableAvailabilities[],2,FALSE)&gt;0,"Y",""),"")</f>
        <v/>
      </c>
      <c r="H15" s="99" t="str">
        <f>IFERROR(IF(VLOOKUP(TableHandbook[[#This Row],[UDC]],TableAvailabilities[],3,FALSE)&gt;0,"Y",""),"")</f>
        <v/>
      </c>
      <c r="I15" s="99" t="str">
        <f>IFERROR(IF(VLOOKUP(TableHandbook[[#This Row],[UDC]],TableAvailabilities[],4,FALSE)&gt;0,"Y",""),"")</f>
        <v>Y</v>
      </c>
      <c r="J15" s="99" t="str">
        <f>IFERROR(IF(VLOOKUP(TableHandbook[[#This Row],[UDC]],TableAvailabilities[],5,FALSE)&gt;0,"Y",""),"")</f>
        <v/>
      </c>
      <c r="K15" s="130" t="s">
        <v>293</v>
      </c>
      <c r="L15" s="102" t="str">
        <f>IFERROR(VLOOKUP(TableHandbook[[#This Row],[UDC]],TableBDESIGN[],7,FALSE),"")</f>
        <v/>
      </c>
      <c r="M15" s="121" t="str">
        <f>IFERROR(VLOOKUP(TableHandbook[[#This Row],[UDC]],TableMJRUADVDS[],7,FALSE),"")</f>
        <v/>
      </c>
      <c r="N15" s="102" t="str">
        <f>IFERROR(VLOOKUP(TableHandbook[[#This Row],[UDC]],TableMJRUANIGD[],7,FALSE),"")</f>
        <v/>
      </c>
      <c r="O15" s="102" t="str">
        <f>IFERROR(VLOOKUP(TableHandbook[[#This Row],[UDC]],TableMJRUDIGDE[],7,FALSE),"")</f>
        <v/>
      </c>
      <c r="P15" s="102" t="str">
        <f>IFERROR(VLOOKUP(TableHandbook[[#This Row],[UDC]],TableMJRUDINFB[],7,FALSE),"")</f>
        <v/>
      </c>
      <c r="Q15" s="102" t="str">
        <f>IFERROR(VLOOKUP(TableHandbook[[#This Row],[UDC]],TableMJRUFASHN[],7,FALSE),"")</f>
        <v>Core</v>
      </c>
      <c r="R15" s="102" t="str">
        <f>IFERROR(VLOOKUP(TableHandbook[[#This Row],[UDC]],TableMJRUGRPDS[],7,FALSE),"")</f>
        <v/>
      </c>
      <c r="S15" s="102" t="str">
        <f>IFERROR(VLOOKUP(TableHandbook[[#This Row],[UDC]],TableMJRUPHOTO[],7,FALSE),"")</f>
        <v/>
      </c>
      <c r="T15" s="121" t="str">
        <f>IFERROR(VLOOKUP(TableHandbook[[#This Row],[UDC]],TableSPUCANIGD[],7,FALSE),"")</f>
        <v/>
      </c>
      <c r="U15" s="102" t="str">
        <f>IFERROR(VLOOKUP(TableHandbook[[#This Row],[UDC]],TableSPUCCADES[],7,FALSE),"")</f>
        <v/>
      </c>
      <c r="V15" s="102" t="str">
        <f>IFERROR(VLOOKUP(TableHandbook[[#This Row],[UDC]],TableSPUCDIGDE[],7,FALSE),"")</f>
        <v/>
      </c>
      <c r="W15" s="102" t="str">
        <f>IFERROR(VLOOKUP(TableHandbook[[#This Row],[UDC]],TableSPUCFASHN[],7,FALSE),"")</f>
        <v/>
      </c>
      <c r="X15" s="102" t="str">
        <f>IFERROR(VLOOKUP(TableHandbook[[#This Row],[UDC]],TableSPUCFSHMK[],7,FALSE),"")</f>
        <v/>
      </c>
      <c r="Y15" s="102" t="str">
        <f>IFERROR(VLOOKUP(TableHandbook[[#This Row],[UDC]],TableSPUCGRPDS[],7,FALSE),"")</f>
        <v/>
      </c>
      <c r="Z15" s="102" t="str">
        <f>IFERROR(VLOOKUP(TableHandbook[[#This Row],[UDC]],TableSPUCILLUS[],7,FALSE),"")</f>
        <v/>
      </c>
      <c r="AA15" s="102" t="str">
        <f>IFERROR(VLOOKUP(TableHandbook[[#This Row],[UDC]],TableSPUCPHOTO[],7,FALSE),"")</f>
        <v/>
      </c>
    </row>
    <row r="16" spans="1:27" ht="47.25" x14ac:dyDescent="0.25">
      <c r="A16" t="s">
        <v>136</v>
      </c>
      <c r="B16" s="2">
        <v>1</v>
      </c>
      <c r="D16" t="s">
        <v>294</v>
      </c>
      <c r="E16" s="2">
        <v>25</v>
      </c>
      <c r="F16" s="106" t="s">
        <v>83</v>
      </c>
      <c r="G16" s="99" t="str">
        <f>IFERROR(IF(VLOOKUP(TableHandbook[[#This Row],[UDC]],TableAvailabilities[],2,FALSE)&gt;0,"Y",""),"")</f>
        <v/>
      </c>
      <c r="H16" s="99" t="str">
        <f>IFERROR(IF(VLOOKUP(TableHandbook[[#This Row],[UDC]],TableAvailabilities[],3,FALSE)&gt;0,"Y",""),"")</f>
        <v/>
      </c>
      <c r="I16" s="99" t="str">
        <f>IFERROR(IF(VLOOKUP(TableHandbook[[#This Row],[UDC]],TableAvailabilities[],4,FALSE)&gt;0,"Y",""),"")</f>
        <v>Y</v>
      </c>
      <c r="J16" s="99" t="str">
        <f>IFERROR(IF(VLOOKUP(TableHandbook[[#This Row],[UDC]],TableAvailabilities[],5,FALSE)&gt;0,"Y",""),"")</f>
        <v/>
      </c>
      <c r="K16" s="130" t="s">
        <v>295</v>
      </c>
      <c r="L16" s="102" t="str">
        <f>IFERROR(VLOOKUP(TableHandbook[[#This Row],[UDC]],TableBDESIGN[],7,FALSE),"")</f>
        <v/>
      </c>
      <c r="M16" s="121" t="str">
        <f>IFERROR(VLOOKUP(TableHandbook[[#This Row],[UDC]],TableMJRUADVDS[],7,FALSE),"")</f>
        <v/>
      </c>
      <c r="N16" s="102" t="str">
        <f>IFERROR(VLOOKUP(TableHandbook[[#This Row],[UDC]],TableMJRUANIGD[],7,FALSE),"")</f>
        <v/>
      </c>
      <c r="O16" s="102" t="str">
        <f>IFERROR(VLOOKUP(TableHandbook[[#This Row],[UDC]],TableMJRUDIGDE[],7,FALSE),"")</f>
        <v/>
      </c>
      <c r="P16" s="102" t="str">
        <f>IFERROR(VLOOKUP(TableHandbook[[#This Row],[UDC]],TableMJRUDINFB[],7,FALSE),"")</f>
        <v/>
      </c>
      <c r="Q16" s="102" t="str">
        <f>IFERROR(VLOOKUP(TableHandbook[[#This Row],[UDC]],TableMJRUFASHN[],7,FALSE),"")</f>
        <v>Core</v>
      </c>
      <c r="R16" s="102" t="str">
        <f>IFERROR(VLOOKUP(TableHandbook[[#This Row],[UDC]],TableMJRUGRPDS[],7,FALSE),"")</f>
        <v/>
      </c>
      <c r="S16" s="102" t="str">
        <f>IFERROR(VLOOKUP(TableHandbook[[#This Row],[UDC]],TableMJRUPHOTO[],7,FALSE),"")</f>
        <v/>
      </c>
      <c r="T16" s="121" t="str">
        <f>IFERROR(VLOOKUP(TableHandbook[[#This Row],[UDC]],TableSPUCANIGD[],7,FALSE),"")</f>
        <v/>
      </c>
      <c r="U16" s="102" t="str">
        <f>IFERROR(VLOOKUP(TableHandbook[[#This Row],[UDC]],TableSPUCCADES[],7,FALSE),"")</f>
        <v/>
      </c>
      <c r="V16" s="102" t="str">
        <f>IFERROR(VLOOKUP(TableHandbook[[#This Row],[UDC]],TableSPUCDIGDE[],7,FALSE),"")</f>
        <v/>
      </c>
      <c r="W16" s="102" t="str">
        <f>IFERROR(VLOOKUP(TableHandbook[[#This Row],[UDC]],TableSPUCFASHN[],7,FALSE),"")</f>
        <v/>
      </c>
      <c r="X16" s="102" t="str">
        <f>IFERROR(VLOOKUP(TableHandbook[[#This Row],[UDC]],TableSPUCFSHMK[],7,FALSE),"")</f>
        <v/>
      </c>
      <c r="Y16" s="102" t="str">
        <f>IFERROR(VLOOKUP(TableHandbook[[#This Row],[UDC]],TableSPUCGRPDS[],7,FALSE),"")</f>
        <v/>
      </c>
      <c r="Z16" s="102" t="str">
        <f>IFERROR(VLOOKUP(TableHandbook[[#This Row],[UDC]],TableSPUCILLUS[],7,FALSE),"")</f>
        <v/>
      </c>
      <c r="AA16" s="102" t="str">
        <f>IFERROR(VLOOKUP(TableHandbook[[#This Row],[UDC]],TableSPUCPHOTO[],7,FALSE),"")</f>
        <v/>
      </c>
    </row>
    <row r="17" spans="1:27" x14ac:dyDescent="0.25">
      <c r="A17" t="s">
        <v>229</v>
      </c>
      <c r="B17" s="2">
        <v>1</v>
      </c>
      <c r="D17" t="s">
        <v>296</v>
      </c>
      <c r="E17" s="2">
        <v>25</v>
      </c>
      <c r="F17" s="106" t="s">
        <v>286</v>
      </c>
      <c r="G17" s="99" t="str">
        <f>IFERROR(IF(VLOOKUP(TableHandbook[[#This Row],[UDC]],TableAvailabilities[],2,FALSE)&gt;0,"Y",""),"")</f>
        <v>Y</v>
      </c>
      <c r="H17" s="99" t="str">
        <f>IFERROR(IF(VLOOKUP(TableHandbook[[#This Row],[UDC]],TableAvailabilities[],3,FALSE)&gt;0,"Y",""),"")</f>
        <v/>
      </c>
      <c r="I17" s="99" t="str">
        <f>IFERROR(IF(VLOOKUP(TableHandbook[[#This Row],[UDC]],TableAvailabilities[],4,FALSE)&gt;0,"Y",""),"")</f>
        <v>Y</v>
      </c>
      <c r="J17" s="99" t="str">
        <f>IFERROR(IF(VLOOKUP(TableHandbook[[#This Row],[UDC]],TableAvailabilities[],5,FALSE)&gt;0,"Y",""),"")</f>
        <v/>
      </c>
      <c r="K17" s="120"/>
      <c r="L17" s="102" t="str">
        <f>IFERROR(VLOOKUP(TableHandbook[[#This Row],[UDC]],TableBDESIGN[],7,FALSE),"")</f>
        <v/>
      </c>
      <c r="M17" s="121" t="str">
        <f>IFERROR(VLOOKUP(TableHandbook[[#This Row],[UDC]],TableMJRUADVDS[],7,FALSE),"")</f>
        <v/>
      </c>
      <c r="N17" s="102" t="str">
        <f>IFERROR(VLOOKUP(TableHandbook[[#This Row],[UDC]],TableMJRUANIGD[],7,FALSE),"")</f>
        <v/>
      </c>
      <c r="O17" s="102" t="str">
        <f>IFERROR(VLOOKUP(TableHandbook[[#This Row],[UDC]],TableMJRUDIGDE[],7,FALSE),"")</f>
        <v/>
      </c>
      <c r="P17" s="102" t="str">
        <f>IFERROR(VLOOKUP(TableHandbook[[#This Row],[UDC]],TableMJRUDINFB[],7,FALSE),"")</f>
        <v/>
      </c>
      <c r="Q17" s="102" t="str">
        <f>IFERROR(VLOOKUP(TableHandbook[[#This Row],[UDC]],TableMJRUFASHN[],7,FALSE),"")</f>
        <v/>
      </c>
      <c r="R17" s="102" t="str">
        <f>IFERROR(VLOOKUP(TableHandbook[[#This Row],[UDC]],TableMJRUGRPDS[],7,FALSE),"")</f>
        <v/>
      </c>
      <c r="S17" s="102" t="str">
        <f>IFERROR(VLOOKUP(TableHandbook[[#This Row],[UDC]],TableMJRUPHOTO[],7,FALSE),"")</f>
        <v/>
      </c>
      <c r="T17" s="121" t="str">
        <f>IFERROR(VLOOKUP(TableHandbook[[#This Row],[UDC]],TableSPUCANIGD[],7,FALSE),"")</f>
        <v/>
      </c>
      <c r="U17" s="102" t="str">
        <f>IFERROR(VLOOKUP(TableHandbook[[#This Row],[UDC]],TableSPUCCADES[],7,FALSE),"")</f>
        <v/>
      </c>
      <c r="V17" s="102" t="str">
        <f>IFERROR(VLOOKUP(TableHandbook[[#This Row],[UDC]],TableSPUCDIGDE[],7,FALSE),"")</f>
        <v/>
      </c>
      <c r="W17" s="102" t="str">
        <f>IFERROR(VLOOKUP(TableHandbook[[#This Row],[UDC]],TableSPUCFASHN[],7,FALSE),"")</f>
        <v>Option</v>
      </c>
      <c r="X17" s="102" t="str">
        <f>IFERROR(VLOOKUP(TableHandbook[[#This Row],[UDC]],TableSPUCFSHMK[],7,FALSE),"")</f>
        <v/>
      </c>
      <c r="Y17" s="102" t="str">
        <f>IFERROR(VLOOKUP(TableHandbook[[#This Row],[UDC]],TableSPUCGRPDS[],7,FALSE),"")</f>
        <v/>
      </c>
      <c r="Z17" s="102" t="str">
        <f>IFERROR(VLOOKUP(TableHandbook[[#This Row],[UDC]],TableSPUCILLUS[],7,FALSE),"")</f>
        <v/>
      </c>
      <c r="AA17" s="102" t="str">
        <f>IFERROR(VLOOKUP(TableHandbook[[#This Row],[UDC]],TableSPUCPHOTO[],7,FALSE),"")</f>
        <v/>
      </c>
    </row>
    <row r="18" spans="1:27" x14ac:dyDescent="0.25">
      <c r="A18" t="s">
        <v>145</v>
      </c>
      <c r="B18" s="2">
        <v>1</v>
      </c>
      <c r="D18" t="s">
        <v>297</v>
      </c>
      <c r="E18" s="2">
        <v>25</v>
      </c>
      <c r="F18" s="106" t="s">
        <v>465</v>
      </c>
      <c r="G18" s="99" t="str">
        <f>IFERROR(IF(VLOOKUP(TableHandbook[[#This Row],[UDC]],TableAvailabilities[],2,FALSE)&gt;0,"Y",""),"")</f>
        <v>Y</v>
      </c>
      <c r="H18" s="99" t="str">
        <f>IFERROR(IF(VLOOKUP(TableHandbook[[#This Row],[UDC]],TableAvailabilities[],3,FALSE)&gt;0,"Y",""),"")</f>
        <v/>
      </c>
      <c r="I18" s="99" t="str">
        <f>IFERROR(IF(VLOOKUP(TableHandbook[[#This Row],[UDC]],TableAvailabilities[],4,FALSE)&gt;0,"Y",""),"")</f>
        <v/>
      </c>
      <c r="J18" s="99" t="str">
        <f>IFERROR(IF(VLOOKUP(TableHandbook[[#This Row],[UDC]],TableAvailabilities[],5,FALSE)&gt;0,"Y",""),"")</f>
        <v/>
      </c>
      <c r="K18" s="120"/>
      <c r="L18" s="102" t="str">
        <f>IFERROR(VLOOKUP(TableHandbook[[#This Row],[UDC]],TableBDESIGN[],7,FALSE),"")</f>
        <v/>
      </c>
      <c r="M18" s="121" t="str">
        <f>IFERROR(VLOOKUP(TableHandbook[[#This Row],[UDC]],TableMJRUADVDS[],7,FALSE),"")</f>
        <v/>
      </c>
      <c r="N18" s="102" t="str">
        <f>IFERROR(VLOOKUP(TableHandbook[[#This Row],[UDC]],TableMJRUANIGD[],7,FALSE),"")</f>
        <v/>
      </c>
      <c r="O18" s="102" t="str">
        <f>IFERROR(VLOOKUP(TableHandbook[[#This Row],[UDC]],TableMJRUDIGDE[],7,FALSE),"")</f>
        <v/>
      </c>
      <c r="P18" s="102" t="str">
        <f>IFERROR(VLOOKUP(TableHandbook[[#This Row],[UDC]],TableMJRUDINFB[],7,FALSE),"")</f>
        <v/>
      </c>
      <c r="Q18" s="102" t="str">
        <f>IFERROR(VLOOKUP(TableHandbook[[#This Row],[UDC]],TableMJRUFASHN[],7,FALSE),"")</f>
        <v>Core</v>
      </c>
      <c r="R18" s="102" t="str">
        <f>IFERROR(VLOOKUP(TableHandbook[[#This Row],[UDC]],TableMJRUGRPDS[],7,FALSE),"")</f>
        <v/>
      </c>
      <c r="S18" s="102" t="str">
        <f>IFERROR(VLOOKUP(TableHandbook[[#This Row],[UDC]],TableMJRUPHOTO[],7,FALSE),"")</f>
        <v/>
      </c>
      <c r="T18" s="121" t="str">
        <f>IFERROR(VLOOKUP(TableHandbook[[#This Row],[UDC]],TableSPUCANIGD[],7,FALSE),"")</f>
        <v/>
      </c>
      <c r="U18" s="102" t="str">
        <f>IFERROR(VLOOKUP(TableHandbook[[#This Row],[UDC]],TableSPUCCADES[],7,FALSE),"")</f>
        <v/>
      </c>
      <c r="V18" s="102" t="str">
        <f>IFERROR(VLOOKUP(TableHandbook[[#This Row],[UDC]],TableSPUCDIGDE[],7,FALSE),"")</f>
        <v/>
      </c>
      <c r="W18" s="102" t="str">
        <f>IFERROR(VLOOKUP(TableHandbook[[#This Row],[UDC]],TableSPUCFASHN[],7,FALSE),"")</f>
        <v/>
      </c>
      <c r="X18" s="102" t="str">
        <f>IFERROR(VLOOKUP(TableHandbook[[#This Row],[UDC]],TableSPUCFSHMK[],7,FALSE),"")</f>
        <v>Option</v>
      </c>
      <c r="Y18" s="102" t="str">
        <f>IFERROR(VLOOKUP(TableHandbook[[#This Row],[UDC]],TableSPUCGRPDS[],7,FALSE),"")</f>
        <v/>
      </c>
      <c r="Z18" s="102" t="str">
        <f>IFERROR(VLOOKUP(TableHandbook[[#This Row],[UDC]],TableSPUCILLUS[],7,FALSE),"")</f>
        <v/>
      </c>
      <c r="AA18" s="102" t="str">
        <f>IFERROR(VLOOKUP(TableHandbook[[#This Row],[UDC]],TableSPUCPHOTO[],7,FALSE),"")</f>
        <v/>
      </c>
    </row>
    <row r="19" spans="1:27" ht="31.5" x14ac:dyDescent="0.25">
      <c r="A19" t="s">
        <v>152</v>
      </c>
      <c r="B19" s="2">
        <v>1</v>
      </c>
      <c r="D19" t="s">
        <v>298</v>
      </c>
      <c r="E19" s="2">
        <v>25</v>
      </c>
      <c r="F19" s="106" t="s">
        <v>106</v>
      </c>
      <c r="G19" s="99" t="str">
        <f>IFERROR(IF(VLOOKUP(TableHandbook[[#This Row],[UDC]],TableAvailabilities[],2,FALSE)&gt;0,"Y",""),"")</f>
        <v>Y</v>
      </c>
      <c r="H19" s="99" t="str">
        <f>IFERROR(IF(VLOOKUP(TableHandbook[[#This Row],[UDC]],TableAvailabilities[],3,FALSE)&gt;0,"Y",""),"")</f>
        <v/>
      </c>
      <c r="I19" s="99" t="str">
        <f>IFERROR(IF(VLOOKUP(TableHandbook[[#This Row],[UDC]],TableAvailabilities[],4,FALSE)&gt;0,"Y",""),"")</f>
        <v/>
      </c>
      <c r="J19" s="99" t="str">
        <f>IFERROR(IF(VLOOKUP(TableHandbook[[#This Row],[UDC]],TableAvailabilities[],5,FALSE)&gt;0,"Y",""),"")</f>
        <v/>
      </c>
      <c r="K19" s="130" t="s">
        <v>299</v>
      </c>
      <c r="L19" s="102" t="str">
        <f>IFERROR(VLOOKUP(TableHandbook[[#This Row],[UDC]],TableBDESIGN[],7,FALSE),"")</f>
        <v/>
      </c>
      <c r="M19" s="121" t="str">
        <f>IFERROR(VLOOKUP(TableHandbook[[#This Row],[UDC]],TableMJRUADVDS[],7,FALSE),"")</f>
        <v/>
      </c>
      <c r="N19" s="102" t="str">
        <f>IFERROR(VLOOKUP(TableHandbook[[#This Row],[UDC]],TableMJRUANIGD[],7,FALSE),"")</f>
        <v/>
      </c>
      <c r="O19" s="102" t="str">
        <f>IFERROR(VLOOKUP(TableHandbook[[#This Row],[UDC]],TableMJRUDIGDE[],7,FALSE),"")</f>
        <v/>
      </c>
      <c r="P19" s="102" t="str">
        <f>IFERROR(VLOOKUP(TableHandbook[[#This Row],[UDC]],TableMJRUDINFB[],7,FALSE),"")</f>
        <v/>
      </c>
      <c r="Q19" s="102" t="str">
        <f>IFERROR(VLOOKUP(TableHandbook[[#This Row],[UDC]],TableMJRUFASHN[],7,FALSE),"")</f>
        <v>Core</v>
      </c>
      <c r="R19" s="102" t="str">
        <f>IFERROR(VLOOKUP(TableHandbook[[#This Row],[UDC]],TableMJRUGRPDS[],7,FALSE),"")</f>
        <v/>
      </c>
      <c r="S19" s="102" t="str">
        <f>IFERROR(VLOOKUP(TableHandbook[[#This Row],[UDC]],TableMJRUPHOTO[],7,FALSE),"")</f>
        <v/>
      </c>
      <c r="T19" s="121" t="str">
        <f>IFERROR(VLOOKUP(TableHandbook[[#This Row],[UDC]],TableSPUCANIGD[],7,FALSE),"")</f>
        <v/>
      </c>
      <c r="U19" s="102" t="str">
        <f>IFERROR(VLOOKUP(TableHandbook[[#This Row],[UDC]],TableSPUCCADES[],7,FALSE),"")</f>
        <v/>
      </c>
      <c r="V19" s="102" t="str">
        <f>IFERROR(VLOOKUP(TableHandbook[[#This Row],[UDC]],TableSPUCDIGDE[],7,FALSE),"")</f>
        <v/>
      </c>
      <c r="W19" s="102" t="str">
        <f>IFERROR(VLOOKUP(TableHandbook[[#This Row],[UDC]],TableSPUCFASHN[],7,FALSE),"")</f>
        <v/>
      </c>
      <c r="X19" s="102" t="str">
        <f>IFERROR(VLOOKUP(TableHandbook[[#This Row],[UDC]],TableSPUCFSHMK[],7,FALSE),"")</f>
        <v/>
      </c>
      <c r="Y19" s="102" t="str">
        <f>IFERROR(VLOOKUP(TableHandbook[[#This Row],[UDC]],TableSPUCGRPDS[],7,FALSE),"")</f>
        <v/>
      </c>
      <c r="Z19" s="102" t="str">
        <f>IFERROR(VLOOKUP(TableHandbook[[#This Row],[UDC]],TableSPUCILLUS[],7,FALSE),"")</f>
        <v/>
      </c>
      <c r="AA19" s="102" t="str">
        <f>IFERROR(VLOOKUP(TableHandbook[[#This Row],[UDC]],TableSPUCPHOTO[],7,FALSE),"")</f>
        <v/>
      </c>
    </row>
    <row r="20" spans="1:27" x14ac:dyDescent="0.25">
      <c r="A20" t="s">
        <v>175</v>
      </c>
      <c r="B20" s="2">
        <v>1</v>
      </c>
      <c r="D20" t="s">
        <v>300</v>
      </c>
      <c r="E20" s="2">
        <v>25</v>
      </c>
      <c r="F20" s="106" t="s">
        <v>145</v>
      </c>
      <c r="G20" s="99" t="str">
        <f>IFERROR(IF(VLOOKUP(TableHandbook[[#This Row],[UDC]],TableAvailabilities[],2,FALSE)&gt;0,"Y",""),"")</f>
        <v/>
      </c>
      <c r="H20" s="99" t="str">
        <f>IFERROR(IF(VLOOKUP(TableHandbook[[#This Row],[UDC]],TableAvailabilities[],3,FALSE)&gt;0,"Y",""),"")</f>
        <v/>
      </c>
      <c r="I20" s="99" t="str">
        <f>IFERROR(IF(VLOOKUP(TableHandbook[[#This Row],[UDC]],TableAvailabilities[],4,FALSE)&gt;0,"Y",""),"")</f>
        <v>Y</v>
      </c>
      <c r="J20" s="99" t="str">
        <f>IFERROR(IF(VLOOKUP(TableHandbook[[#This Row],[UDC]],TableAvailabilities[],5,FALSE)&gt;0,"Y",""),"")</f>
        <v/>
      </c>
      <c r="K20" s="120"/>
      <c r="L20" s="102" t="str">
        <f>IFERROR(VLOOKUP(TableHandbook[[#This Row],[UDC]],TableBDESIGN[],7,FALSE),"")</f>
        <v/>
      </c>
      <c r="M20" s="121" t="str">
        <f>IFERROR(VLOOKUP(TableHandbook[[#This Row],[UDC]],TableMJRUADVDS[],7,FALSE),"")</f>
        <v/>
      </c>
      <c r="N20" s="102" t="str">
        <f>IFERROR(VLOOKUP(TableHandbook[[#This Row],[UDC]],TableMJRUANIGD[],7,FALSE),"")</f>
        <v/>
      </c>
      <c r="O20" s="102" t="str">
        <f>IFERROR(VLOOKUP(TableHandbook[[#This Row],[UDC]],TableMJRUDIGDE[],7,FALSE),"")</f>
        <v/>
      </c>
      <c r="P20" s="102" t="str">
        <f>IFERROR(VLOOKUP(TableHandbook[[#This Row],[UDC]],TableMJRUDINFB[],7,FALSE),"")</f>
        <v/>
      </c>
      <c r="Q20" s="102" t="str">
        <f>IFERROR(VLOOKUP(TableHandbook[[#This Row],[UDC]],TableMJRUFASHN[],7,FALSE),"")</f>
        <v>Core</v>
      </c>
      <c r="R20" s="102" t="str">
        <f>IFERROR(VLOOKUP(TableHandbook[[#This Row],[UDC]],TableMJRUGRPDS[],7,FALSE),"")</f>
        <v/>
      </c>
      <c r="S20" s="102" t="str">
        <f>IFERROR(VLOOKUP(TableHandbook[[#This Row],[UDC]],TableMJRUPHOTO[],7,FALSE),"")</f>
        <v/>
      </c>
      <c r="T20" s="121" t="str">
        <f>IFERROR(VLOOKUP(TableHandbook[[#This Row],[UDC]],TableSPUCANIGD[],7,FALSE),"")</f>
        <v/>
      </c>
      <c r="U20" s="102" t="str">
        <f>IFERROR(VLOOKUP(TableHandbook[[#This Row],[UDC]],TableSPUCCADES[],7,FALSE),"")</f>
        <v/>
      </c>
      <c r="V20" s="102" t="str">
        <f>IFERROR(VLOOKUP(TableHandbook[[#This Row],[UDC]],TableSPUCDIGDE[],7,FALSE),"")</f>
        <v/>
      </c>
      <c r="W20" s="102" t="str">
        <f>IFERROR(VLOOKUP(TableHandbook[[#This Row],[UDC]],TableSPUCFASHN[],7,FALSE),"")</f>
        <v/>
      </c>
      <c r="X20" s="102" t="str">
        <f>IFERROR(VLOOKUP(TableHandbook[[#This Row],[UDC]],TableSPUCFSHMK[],7,FALSE),"")</f>
        <v/>
      </c>
      <c r="Y20" s="102" t="str">
        <f>IFERROR(VLOOKUP(TableHandbook[[#This Row],[UDC]],TableSPUCGRPDS[],7,FALSE),"")</f>
        <v/>
      </c>
      <c r="Z20" s="102" t="str">
        <f>IFERROR(VLOOKUP(TableHandbook[[#This Row],[UDC]],TableSPUCILLUS[],7,FALSE),"")</f>
        <v/>
      </c>
      <c r="AA20" s="102" t="str">
        <f>IFERROR(VLOOKUP(TableHandbook[[#This Row],[UDC]],TableSPUCPHOTO[],7,FALSE),"")</f>
        <v/>
      </c>
    </row>
    <row r="21" spans="1:27" x14ac:dyDescent="0.25">
      <c r="A21" t="s">
        <v>209</v>
      </c>
      <c r="B21" s="2">
        <v>1</v>
      </c>
      <c r="D21" t="s">
        <v>301</v>
      </c>
      <c r="E21" s="2">
        <v>25</v>
      </c>
      <c r="F21" s="106" t="s">
        <v>286</v>
      </c>
      <c r="G21" s="99" t="str">
        <f>IFERROR(IF(VLOOKUP(TableHandbook[[#This Row],[UDC]],TableAvailabilities[],2,FALSE)&gt;0,"Y",""),"")</f>
        <v>Y</v>
      </c>
      <c r="H21" s="99" t="str">
        <f>IFERROR(IF(VLOOKUP(TableHandbook[[#This Row],[UDC]],TableAvailabilities[],3,FALSE)&gt;0,"Y",""),"")</f>
        <v/>
      </c>
      <c r="I21" s="99" t="str">
        <f>IFERROR(IF(VLOOKUP(TableHandbook[[#This Row],[UDC]],TableAvailabilities[],4,FALSE)&gt;0,"Y",""),"")</f>
        <v>Y</v>
      </c>
      <c r="J21" s="99" t="str">
        <f>IFERROR(IF(VLOOKUP(TableHandbook[[#This Row],[UDC]],TableAvailabilities[],5,FALSE)&gt;0,"Y",""),"")</f>
        <v/>
      </c>
      <c r="K21" s="120"/>
      <c r="L21" s="102" t="str">
        <f>IFERROR(VLOOKUP(TableHandbook[[#This Row],[UDC]],TableBDESIGN[],7,FALSE),"")</f>
        <v/>
      </c>
      <c r="M21" s="121" t="str">
        <f>IFERROR(VLOOKUP(TableHandbook[[#This Row],[UDC]],TableMJRUADVDS[],7,FALSE),"")</f>
        <v/>
      </c>
      <c r="N21" s="102" t="str">
        <f>IFERROR(VLOOKUP(TableHandbook[[#This Row],[UDC]],TableMJRUANIGD[],7,FALSE),"")</f>
        <v/>
      </c>
      <c r="O21" s="102" t="str">
        <f>IFERROR(VLOOKUP(TableHandbook[[#This Row],[UDC]],TableMJRUDIGDE[],7,FALSE),"")</f>
        <v/>
      </c>
      <c r="P21" s="102" t="str">
        <f>IFERROR(VLOOKUP(TableHandbook[[#This Row],[UDC]],TableMJRUDINFB[],7,FALSE),"")</f>
        <v/>
      </c>
      <c r="Q21" s="102" t="str">
        <f>IFERROR(VLOOKUP(TableHandbook[[#This Row],[UDC]],TableMJRUFASHN[],7,FALSE),"")</f>
        <v/>
      </c>
      <c r="R21" s="102" t="str">
        <f>IFERROR(VLOOKUP(TableHandbook[[#This Row],[UDC]],TableMJRUGRPDS[],7,FALSE),"")</f>
        <v/>
      </c>
      <c r="S21" s="102" t="str">
        <f>IFERROR(VLOOKUP(TableHandbook[[#This Row],[UDC]],TableMJRUPHOTO[],7,FALSE),"")</f>
        <v/>
      </c>
      <c r="T21" s="121" t="str">
        <f>IFERROR(VLOOKUP(TableHandbook[[#This Row],[UDC]],TableSPUCANIGD[],7,FALSE),"")</f>
        <v/>
      </c>
      <c r="U21" s="102" t="str">
        <f>IFERROR(VLOOKUP(TableHandbook[[#This Row],[UDC]],TableSPUCCADES[],7,FALSE),"")</f>
        <v/>
      </c>
      <c r="V21" s="102" t="str">
        <f>IFERROR(VLOOKUP(TableHandbook[[#This Row],[UDC]],TableSPUCDIGDE[],7,FALSE),"")</f>
        <v/>
      </c>
      <c r="W21" s="102" t="str">
        <f>IFERROR(VLOOKUP(TableHandbook[[#This Row],[UDC]],TableSPUCFASHN[],7,FALSE),"")</f>
        <v>Core</v>
      </c>
      <c r="X21" s="102" t="str">
        <f>IFERROR(VLOOKUP(TableHandbook[[#This Row],[UDC]],TableSPUCFSHMK[],7,FALSE),"")</f>
        <v>Core</v>
      </c>
      <c r="Y21" s="102" t="str">
        <f>IFERROR(VLOOKUP(TableHandbook[[#This Row],[UDC]],TableSPUCGRPDS[],7,FALSE),"")</f>
        <v/>
      </c>
      <c r="Z21" s="102" t="str">
        <f>IFERROR(VLOOKUP(TableHandbook[[#This Row],[UDC]],TableSPUCILLUS[],7,FALSE),"")</f>
        <v/>
      </c>
      <c r="AA21" s="102" t="str">
        <f>IFERROR(VLOOKUP(TableHandbook[[#This Row],[UDC]],TableSPUCPHOTO[],7,FALSE),"")</f>
        <v/>
      </c>
    </row>
    <row r="22" spans="1:27" x14ac:dyDescent="0.25">
      <c r="A22" t="s">
        <v>240</v>
      </c>
      <c r="B22" s="2">
        <v>1</v>
      </c>
      <c r="D22" t="s">
        <v>302</v>
      </c>
      <c r="E22" s="2">
        <v>25</v>
      </c>
      <c r="F22" s="106" t="s">
        <v>286</v>
      </c>
      <c r="G22" s="99" t="str">
        <f>IFERROR(IF(VLOOKUP(TableHandbook[[#This Row],[UDC]],TableAvailabilities[],2,FALSE)&gt;0,"Y",""),"")</f>
        <v>Y</v>
      </c>
      <c r="H22" s="99" t="str">
        <f>IFERROR(IF(VLOOKUP(TableHandbook[[#This Row],[UDC]],TableAvailabilities[],3,FALSE)&gt;0,"Y",""),"")</f>
        <v/>
      </c>
      <c r="I22" s="99" t="str">
        <f>IFERROR(IF(VLOOKUP(TableHandbook[[#This Row],[UDC]],TableAvailabilities[],4,FALSE)&gt;0,"Y",""),"")</f>
        <v/>
      </c>
      <c r="J22" s="99" t="str">
        <f>IFERROR(IF(VLOOKUP(TableHandbook[[#This Row],[UDC]],TableAvailabilities[],5,FALSE)&gt;0,"Y",""),"")</f>
        <v/>
      </c>
      <c r="K22" s="120"/>
      <c r="L22" s="102" t="str">
        <f>IFERROR(VLOOKUP(TableHandbook[[#This Row],[UDC]],TableBDESIGN[],7,FALSE),"")</f>
        <v/>
      </c>
      <c r="M22" s="121" t="str">
        <f>IFERROR(VLOOKUP(TableHandbook[[#This Row],[UDC]],TableMJRUADVDS[],7,FALSE),"")</f>
        <v/>
      </c>
      <c r="N22" s="102" t="str">
        <f>IFERROR(VLOOKUP(TableHandbook[[#This Row],[UDC]],TableMJRUANIGD[],7,FALSE),"")</f>
        <v/>
      </c>
      <c r="O22" s="102" t="str">
        <f>IFERROR(VLOOKUP(TableHandbook[[#This Row],[UDC]],TableMJRUDIGDE[],7,FALSE),"")</f>
        <v/>
      </c>
      <c r="P22" s="102" t="str">
        <f>IFERROR(VLOOKUP(TableHandbook[[#This Row],[UDC]],TableMJRUDINFB[],7,FALSE),"")</f>
        <v/>
      </c>
      <c r="Q22" s="102" t="str">
        <f>IFERROR(VLOOKUP(TableHandbook[[#This Row],[UDC]],TableMJRUFASHN[],7,FALSE),"")</f>
        <v/>
      </c>
      <c r="R22" s="102" t="str">
        <f>IFERROR(VLOOKUP(TableHandbook[[#This Row],[UDC]],TableMJRUGRPDS[],7,FALSE),"")</f>
        <v/>
      </c>
      <c r="S22" s="102" t="str">
        <f>IFERROR(VLOOKUP(TableHandbook[[#This Row],[UDC]],TableMJRUPHOTO[],7,FALSE),"")</f>
        <v/>
      </c>
      <c r="T22" s="121" t="str">
        <f>IFERROR(VLOOKUP(TableHandbook[[#This Row],[UDC]],TableSPUCANIGD[],7,FALSE),"")</f>
        <v/>
      </c>
      <c r="U22" s="102" t="str">
        <f>IFERROR(VLOOKUP(TableHandbook[[#This Row],[UDC]],TableSPUCCADES[],7,FALSE),"")</f>
        <v/>
      </c>
      <c r="V22" s="102" t="str">
        <f>IFERROR(VLOOKUP(TableHandbook[[#This Row],[UDC]],TableSPUCDIGDE[],7,FALSE),"")</f>
        <v/>
      </c>
      <c r="W22" s="102" t="str">
        <f>IFERROR(VLOOKUP(TableHandbook[[#This Row],[UDC]],TableSPUCFASHN[],7,FALSE),"")</f>
        <v>Option</v>
      </c>
      <c r="X22" s="102" t="str">
        <f>IFERROR(VLOOKUP(TableHandbook[[#This Row],[UDC]],TableSPUCFSHMK[],7,FALSE),"")</f>
        <v>Option</v>
      </c>
      <c r="Y22" s="102" t="str">
        <f>IFERROR(VLOOKUP(TableHandbook[[#This Row],[UDC]],TableSPUCGRPDS[],7,FALSE),"")</f>
        <v/>
      </c>
      <c r="Z22" s="102" t="str">
        <f>IFERROR(VLOOKUP(TableHandbook[[#This Row],[UDC]],TableSPUCILLUS[],7,FALSE),"")</f>
        <v/>
      </c>
      <c r="AA22" s="102" t="str">
        <f>IFERROR(VLOOKUP(TableHandbook[[#This Row],[UDC]],TableSPUCPHOTO[],7,FALSE),"")</f>
        <v/>
      </c>
    </row>
    <row r="23" spans="1:27" x14ac:dyDescent="0.25">
      <c r="A23" t="s">
        <v>78</v>
      </c>
      <c r="B23" s="2">
        <v>1</v>
      </c>
      <c r="D23" t="s">
        <v>303</v>
      </c>
      <c r="E23" s="2">
        <v>25</v>
      </c>
      <c r="F23" s="106" t="s">
        <v>286</v>
      </c>
      <c r="G23" s="99" t="str">
        <f>IFERROR(IF(VLOOKUP(TableHandbook[[#This Row],[UDC]],TableAvailabilities[],2,FALSE)&gt;0,"Y",""),"")</f>
        <v>Y</v>
      </c>
      <c r="H23" s="99" t="str">
        <f>IFERROR(IF(VLOOKUP(TableHandbook[[#This Row],[UDC]],TableAvailabilities[],3,FALSE)&gt;0,"Y",""),"")</f>
        <v/>
      </c>
      <c r="I23" s="99" t="str">
        <f>IFERROR(IF(VLOOKUP(TableHandbook[[#This Row],[UDC]],TableAvailabilities[],4,FALSE)&gt;0,"Y",""),"")</f>
        <v>Y</v>
      </c>
      <c r="J23" s="99" t="str">
        <f>IFERROR(IF(VLOOKUP(TableHandbook[[#This Row],[UDC]],TableAvailabilities[],5,FALSE)&gt;0,"Y",""),"")</f>
        <v/>
      </c>
      <c r="K23" s="120"/>
      <c r="L23" s="102" t="str">
        <f>IFERROR(VLOOKUP(TableHandbook[[#This Row],[UDC]],TableBDESIGN[],7,FALSE),"")</f>
        <v>Option</v>
      </c>
      <c r="M23" s="121" t="str">
        <f>IFERROR(VLOOKUP(TableHandbook[[#This Row],[UDC]],TableMJRUADVDS[],7,FALSE),"")</f>
        <v/>
      </c>
      <c r="N23" s="102" t="str">
        <f>IFERROR(VLOOKUP(TableHandbook[[#This Row],[UDC]],TableMJRUANIGD[],7,FALSE),"")</f>
        <v>Core</v>
      </c>
      <c r="O23" s="102" t="str">
        <f>IFERROR(VLOOKUP(TableHandbook[[#This Row],[UDC]],TableMJRUDIGDE[],7,FALSE),"")</f>
        <v/>
      </c>
      <c r="P23" s="102" t="str">
        <f>IFERROR(VLOOKUP(TableHandbook[[#This Row],[UDC]],TableMJRUDINFB[],7,FALSE),"")</f>
        <v/>
      </c>
      <c r="Q23" s="102" t="str">
        <f>IFERROR(VLOOKUP(TableHandbook[[#This Row],[UDC]],TableMJRUFASHN[],7,FALSE),"")</f>
        <v/>
      </c>
      <c r="R23" s="102" t="str">
        <f>IFERROR(VLOOKUP(TableHandbook[[#This Row],[UDC]],TableMJRUGRPDS[],7,FALSE),"")</f>
        <v/>
      </c>
      <c r="S23" s="102" t="str">
        <f>IFERROR(VLOOKUP(TableHandbook[[#This Row],[UDC]],TableMJRUPHOTO[],7,FALSE),"")</f>
        <v/>
      </c>
      <c r="T23" s="121" t="str">
        <f>IFERROR(VLOOKUP(TableHandbook[[#This Row],[UDC]],TableSPUCANIGD[],7,FALSE),"")</f>
        <v/>
      </c>
      <c r="U23" s="102" t="str">
        <f>IFERROR(VLOOKUP(TableHandbook[[#This Row],[UDC]],TableSPUCCADES[],7,FALSE),"")</f>
        <v/>
      </c>
      <c r="V23" s="102" t="str">
        <f>IFERROR(VLOOKUP(TableHandbook[[#This Row],[UDC]],TableSPUCDIGDE[],7,FALSE),"")</f>
        <v/>
      </c>
      <c r="W23" s="102" t="str">
        <f>IFERROR(VLOOKUP(TableHandbook[[#This Row],[UDC]],TableSPUCFASHN[],7,FALSE),"")</f>
        <v/>
      </c>
      <c r="X23" s="102" t="str">
        <f>IFERROR(VLOOKUP(TableHandbook[[#This Row],[UDC]],TableSPUCFSHMK[],7,FALSE),"")</f>
        <v/>
      </c>
      <c r="Y23" s="102" t="str">
        <f>IFERROR(VLOOKUP(TableHandbook[[#This Row],[UDC]],TableSPUCGRPDS[],7,FALSE),"")</f>
        <v/>
      </c>
      <c r="Z23" s="102" t="str">
        <f>IFERROR(VLOOKUP(TableHandbook[[#This Row],[UDC]],TableSPUCILLUS[],7,FALSE),"")</f>
        <v/>
      </c>
      <c r="AA23" s="102" t="str">
        <f>IFERROR(VLOOKUP(TableHandbook[[#This Row],[UDC]],TableSPUCPHOTO[],7,FALSE),"")</f>
        <v/>
      </c>
    </row>
    <row r="24" spans="1:27" x14ac:dyDescent="0.25">
      <c r="A24" t="s">
        <v>85</v>
      </c>
      <c r="B24" s="2">
        <v>1</v>
      </c>
      <c r="D24" t="s">
        <v>304</v>
      </c>
      <c r="E24" s="2">
        <v>25</v>
      </c>
      <c r="F24" s="106" t="s">
        <v>286</v>
      </c>
      <c r="G24" s="99" t="str">
        <f>IFERROR(IF(VLOOKUP(TableHandbook[[#This Row],[UDC]],TableAvailabilities[],2,FALSE)&gt;0,"Y",""),"")</f>
        <v>Y</v>
      </c>
      <c r="H24" s="99" t="str">
        <f>IFERROR(IF(VLOOKUP(TableHandbook[[#This Row],[UDC]],TableAvailabilities[],3,FALSE)&gt;0,"Y",""),"")</f>
        <v/>
      </c>
      <c r="I24" s="99" t="str">
        <f>IFERROR(IF(VLOOKUP(TableHandbook[[#This Row],[UDC]],TableAvailabilities[],4,FALSE)&gt;0,"Y",""),"")</f>
        <v>Y</v>
      </c>
      <c r="J24" s="99" t="str">
        <f>IFERROR(IF(VLOOKUP(TableHandbook[[#This Row],[UDC]],TableAvailabilities[],5,FALSE)&gt;0,"Y",""),"")</f>
        <v/>
      </c>
      <c r="K24" s="120"/>
      <c r="L24" s="102" t="str">
        <f>IFERROR(VLOOKUP(TableHandbook[[#This Row],[UDC]],TableBDESIGN[],7,FALSE),"")</f>
        <v/>
      </c>
      <c r="M24" s="121" t="str">
        <f>IFERROR(VLOOKUP(TableHandbook[[#This Row],[UDC]],TableMJRUADVDS[],7,FALSE),"")</f>
        <v/>
      </c>
      <c r="N24" s="102" t="str">
        <f>IFERROR(VLOOKUP(TableHandbook[[#This Row],[UDC]],TableMJRUANIGD[],7,FALSE),"")</f>
        <v/>
      </c>
      <c r="O24" s="102" t="str">
        <f>IFERROR(VLOOKUP(TableHandbook[[#This Row],[UDC]],TableMJRUDIGDE[],7,FALSE),"")</f>
        <v/>
      </c>
      <c r="P24" s="102" t="str">
        <f>IFERROR(VLOOKUP(TableHandbook[[#This Row],[UDC]],TableMJRUDINFB[],7,FALSE),"")</f>
        <v/>
      </c>
      <c r="Q24" s="102" t="str">
        <f>IFERROR(VLOOKUP(TableHandbook[[#This Row],[UDC]],TableMJRUFASHN[],7,FALSE),"")</f>
        <v/>
      </c>
      <c r="R24" s="102" t="str">
        <f>IFERROR(VLOOKUP(TableHandbook[[#This Row],[UDC]],TableMJRUGRPDS[],7,FALSE),"")</f>
        <v/>
      </c>
      <c r="S24" s="102" t="str">
        <f>IFERROR(VLOOKUP(TableHandbook[[#This Row],[UDC]],TableMJRUPHOTO[],7,FALSE),"")</f>
        <v>Core</v>
      </c>
      <c r="T24" s="121" t="str">
        <f>IFERROR(VLOOKUP(TableHandbook[[#This Row],[UDC]],TableSPUCANIGD[],7,FALSE),"")</f>
        <v/>
      </c>
      <c r="U24" s="102" t="str">
        <f>IFERROR(VLOOKUP(TableHandbook[[#This Row],[UDC]],TableSPUCCADES[],7,FALSE),"")</f>
        <v/>
      </c>
      <c r="V24" s="102" t="str">
        <f>IFERROR(VLOOKUP(TableHandbook[[#This Row],[UDC]],TableSPUCDIGDE[],7,FALSE),"")</f>
        <v/>
      </c>
      <c r="W24" s="102" t="str">
        <f>IFERROR(VLOOKUP(TableHandbook[[#This Row],[UDC]],TableSPUCFASHN[],7,FALSE),"")</f>
        <v/>
      </c>
      <c r="X24" s="102" t="str">
        <f>IFERROR(VLOOKUP(TableHandbook[[#This Row],[UDC]],TableSPUCFSHMK[],7,FALSE),"")</f>
        <v/>
      </c>
      <c r="Y24" s="102" t="str">
        <f>IFERROR(VLOOKUP(TableHandbook[[#This Row],[UDC]],TableSPUCGRPDS[],7,FALSE),"")</f>
        <v/>
      </c>
      <c r="Z24" s="102" t="str">
        <f>IFERROR(VLOOKUP(TableHandbook[[#This Row],[UDC]],TableSPUCILLUS[],7,FALSE),"")</f>
        <v/>
      </c>
      <c r="AA24" s="102" t="str">
        <f>IFERROR(VLOOKUP(TableHandbook[[#This Row],[UDC]],TableSPUCPHOTO[],7,FALSE),"")</f>
        <v/>
      </c>
    </row>
    <row r="25" spans="1:27" x14ac:dyDescent="0.25">
      <c r="A25" t="s">
        <v>82</v>
      </c>
      <c r="B25" s="2">
        <v>2</v>
      </c>
      <c r="D25" t="s">
        <v>305</v>
      </c>
      <c r="E25" s="2">
        <v>25</v>
      </c>
      <c r="F25" s="106" t="s">
        <v>286</v>
      </c>
      <c r="G25" s="99" t="str">
        <f>IFERROR(IF(VLOOKUP(TableHandbook[[#This Row],[UDC]],TableAvailabilities[],2,FALSE)&gt;0,"Y",""),"")</f>
        <v>Y</v>
      </c>
      <c r="H25" s="99" t="str">
        <f>IFERROR(IF(VLOOKUP(TableHandbook[[#This Row],[UDC]],TableAvailabilities[],3,FALSE)&gt;0,"Y",""),"")</f>
        <v/>
      </c>
      <c r="I25" s="99" t="str">
        <f>IFERROR(IF(VLOOKUP(TableHandbook[[#This Row],[UDC]],TableAvailabilities[],4,FALSE)&gt;0,"Y",""),"")</f>
        <v>Y</v>
      </c>
      <c r="J25" s="99" t="str">
        <f>IFERROR(IF(VLOOKUP(TableHandbook[[#This Row],[UDC]],TableAvailabilities[],5,FALSE)&gt;0,"Y",""),"")</f>
        <v/>
      </c>
      <c r="K25" s="120"/>
      <c r="L25" s="102" t="str">
        <f>IFERROR(VLOOKUP(TableHandbook[[#This Row],[UDC]],TableBDESIGN[],7,FALSE),"")</f>
        <v>Option</v>
      </c>
      <c r="M25" s="121" t="str">
        <f>IFERROR(VLOOKUP(TableHandbook[[#This Row],[UDC]],TableMJRUADVDS[],7,FALSE),"")</f>
        <v/>
      </c>
      <c r="N25" s="102" t="str">
        <f>IFERROR(VLOOKUP(TableHandbook[[#This Row],[UDC]],TableMJRUANIGD[],7,FALSE),"")</f>
        <v/>
      </c>
      <c r="O25" s="102" t="str">
        <f>IFERROR(VLOOKUP(TableHandbook[[#This Row],[UDC]],TableMJRUDIGDE[],7,FALSE),"")</f>
        <v/>
      </c>
      <c r="P25" s="102" t="str">
        <f>IFERROR(VLOOKUP(TableHandbook[[#This Row],[UDC]],TableMJRUDINFB[],7,FALSE),"")</f>
        <v>Core</v>
      </c>
      <c r="Q25" s="102" t="str">
        <f>IFERROR(VLOOKUP(TableHandbook[[#This Row],[UDC]],TableMJRUFASHN[],7,FALSE),"")</f>
        <v/>
      </c>
      <c r="R25" s="102" t="str">
        <f>IFERROR(VLOOKUP(TableHandbook[[#This Row],[UDC]],TableMJRUGRPDS[],7,FALSE),"")</f>
        <v/>
      </c>
      <c r="S25" s="102" t="str">
        <f>IFERROR(VLOOKUP(TableHandbook[[#This Row],[UDC]],TableMJRUPHOTO[],7,FALSE),"")</f>
        <v/>
      </c>
      <c r="T25" s="121" t="str">
        <f>IFERROR(VLOOKUP(TableHandbook[[#This Row],[UDC]],TableSPUCANIGD[],7,FALSE),"")</f>
        <v/>
      </c>
      <c r="U25" s="102" t="str">
        <f>IFERROR(VLOOKUP(TableHandbook[[#This Row],[UDC]],TableSPUCCADES[],7,FALSE),"")</f>
        <v/>
      </c>
      <c r="V25" s="102" t="str">
        <f>IFERROR(VLOOKUP(TableHandbook[[#This Row],[UDC]],TableSPUCDIGDE[],7,FALSE),"")</f>
        <v/>
      </c>
      <c r="W25" s="102" t="str">
        <f>IFERROR(VLOOKUP(TableHandbook[[#This Row],[UDC]],TableSPUCFASHN[],7,FALSE),"")</f>
        <v>Core</v>
      </c>
      <c r="X25" s="102" t="str">
        <f>IFERROR(VLOOKUP(TableHandbook[[#This Row],[UDC]],TableSPUCFSHMK[],7,FALSE),"")</f>
        <v/>
      </c>
      <c r="Y25" s="102" t="str">
        <f>IFERROR(VLOOKUP(TableHandbook[[#This Row],[UDC]],TableSPUCGRPDS[],7,FALSE),"")</f>
        <v/>
      </c>
      <c r="Z25" s="102" t="str">
        <f>IFERROR(VLOOKUP(TableHandbook[[#This Row],[UDC]],TableSPUCILLUS[],7,FALSE),"")</f>
        <v/>
      </c>
      <c r="AA25" s="102" t="str">
        <f>IFERROR(VLOOKUP(TableHandbook[[#This Row],[UDC]],TableSPUCPHOTO[],7,FALSE),"")</f>
        <v/>
      </c>
    </row>
    <row r="26" spans="1:27" x14ac:dyDescent="0.25">
      <c r="A26" t="s">
        <v>65</v>
      </c>
      <c r="B26" s="2">
        <v>2</v>
      </c>
      <c r="D26" t="s">
        <v>307</v>
      </c>
      <c r="E26" s="2">
        <v>25</v>
      </c>
      <c r="F26" s="106" t="s">
        <v>286</v>
      </c>
      <c r="G26" s="99" t="str">
        <f>IFERROR(IF(VLOOKUP(TableHandbook[[#This Row],[UDC]],TableAvailabilities[],2,FALSE)&gt;0,"Y",""),"")</f>
        <v>Y</v>
      </c>
      <c r="H26" s="99" t="str">
        <f>IFERROR(IF(VLOOKUP(TableHandbook[[#This Row],[UDC]],TableAvailabilities[],3,FALSE)&gt;0,"Y",""),"")</f>
        <v/>
      </c>
      <c r="I26" s="99" t="str">
        <f>IFERROR(IF(VLOOKUP(TableHandbook[[#This Row],[UDC]],TableAvailabilities[],4,FALSE)&gt;0,"Y",""),"")</f>
        <v>Y</v>
      </c>
      <c r="J26" s="99" t="str">
        <f>IFERROR(IF(VLOOKUP(TableHandbook[[#This Row],[UDC]],TableAvailabilities[],5,FALSE)&gt;0,"Y",""),"")</f>
        <v/>
      </c>
      <c r="K26" s="120"/>
      <c r="L26" s="102" t="str">
        <f>IFERROR(VLOOKUP(TableHandbook[[#This Row],[UDC]],TableBDESIGN[],7,FALSE),"")</f>
        <v>Core</v>
      </c>
      <c r="M26" s="121" t="str">
        <f>IFERROR(VLOOKUP(TableHandbook[[#This Row],[UDC]],TableMJRUADVDS[],7,FALSE),"")</f>
        <v/>
      </c>
      <c r="N26" s="102" t="str">
        <f>IFERROR(VLOOKUP(TableHandbook[[#This Row],[UDC]],TableMJRUANIGD[],7,FALSE),"")</f>
        <v/>
      </c>
      <c r="O26" s="102" t="str">
        <f>IFERROR(VLOOKUP(TableHandbook[[#This Row],[UDC]],TableMJRUDIGDE[],7,FALSE),"")</f>
        <v/>
      </c>
      <c r="P26" s="102" t="str">
        <f>IFERROR(VLOOKUP(TableHandbook[[#This Row],[UDC]],TableMJRUDINFB[],7,FALSE),"")</f>
        <v/>
      </c>
      <c r="Q26" s="102" t="str">
        <f>IFERROR(VLOOKUP(TableHandbook[[#This Row],[UDC]],TableMJRUFASHN[],7,FALSE),"")</f>
        <v/>
      </c>
      <c r="R26" s="102" t="str">
        <f>IFERROR(VLOOKUP(TableHandbook[[#This Row],[UDC]],TableMJRUGRPDS[],7,FALSE),"")</f>
        <v/>
      </c>
      <c r="S26" s="102" t="str">
        <f>IFERROR(VLOOKUP(TableHandbook[[#This Row],[UDC]],TableMJRUPHOTO[],7,FALSE),"")</f>
        <v/>
      </c>
      <c r="T26" s="121" t="str">
        <f>IFERROR(VLOOKUP(TableHandbook[[#This Row],[UDC]],TableSPUCANIGD[],7,FALSE),"")</f>
        <v/>
      </c>
      <c r="U26" s="102" t="str">
        <f>IFERROR(VLOOKUP(TableHandbook[[#This Row],[UDC]],TableSPUCCADES[],7,FALSE),"")</f>
        <v/>
      </c>
      <c r="V26" s="102" t="str">
        <f>IFERROR(VLOOKUP(TableHandbook[[#This Row],[UDC]],TableSPUCDIGDE[],7,FALSE),"")</f>
        <v/>
      </c>
      <c r="W26" s="102" t="str">
        <f>IFERROR(VLOOKUP(TableHandbook[[#This Row],[UDC]],TableSPUCFASHN[],7,FALSE),"")</f>
        <v/>
      </c>
      <c r="X26" s="102" t="str">
        <f>IFERROR(VLOOKUP(TableHandbook[[#This Row],[UDC]],TableSPUCFSHMK[],7,FALSE),"")</f>
        <v/>
      </c>
      <c r="Y26" s="102" t="str">
        <f>IFERROR(VLOOKUP(TableHandbook[[#This Row],[UDC]],TableSPUCGRPDS[],7,FALSE),"")</f>
        <v/>
      </c>
      <c r="Z26" s="102" t="str">
        <f>IFERROR(VLOOKUP(TableHandbook[[#This Row],[UDC]],TableSPUCILLUS[],7,FALSE),"")</f>
        <v/>
      </c>
      <c r="AA26" s="102" t="str">
        <f>IFERROR(VLOOKUP(TableHandbook[[#This Row],[UDC]],TableSPUCPHOTO[],7,FALSE),"")</f>
        <v/>
      </c>
    </row>
    <row r="27" spans="1:27" x14ac:dyDescent="0.25">
      <c r="A27" t="s">
        <v>99</v>
      </c>
      <c r="B27" s="2">
        <v>1</v>
      </c>
      <c r="D27" t="s">
        <v>308</v>
      </c>
      <c r="E27" s="2">
        <v>25</v>
      </c>
      <c r="F27" s="106" t="s">
        <v>286</v>
      </c>
      <c r="G27" s="99" t="str">
        <f>IFERROR(IF(VLOOKUP(TableHandbook[[#This Row],[UDC]],TableAvailabilities[],2,FALSE)&gt;0,"Y",""),"")</f>
        <v>Y</v>
      </c>
      <c r="H27" s="99" t="str">
        <f>IFERROR(IF(VLOOKUP(TableHandbook[[#This Row],[UDC]],TableAvailabilities[],3,FALSE)&gt;0,"Y",""),"")</f>
        <v/>
      </c>
      <c r="I27" s="99" t="str">
        <f>IFERROR(IF(VLOOKUP(TableHandbook[[#This Row],[UDC]],TableAvailabilities[],4,FALSE)&gt;0,"Y",""),"")</f>
        <v>Y</v>
      </c>
      <c r="J27" s="99" t="str">
        <f>IFERROR(IF(VLOOKUP(TableHandbook[[#This Row],[UDC]],TableAvailabilities[],5,FALSE)&gt;0,"Y",""),"")</f>
        <v/>
      </c>
      <c r="K27" s="120"/>
      <c r="L27" s="102" t="str">
        <f>IFERROR(VLOOKUP(TableHandbook[[#This Row],[UDC]],TableBDESIGN[],7,FALSE),"")</f>
        <v/>
      </c>
      <c r="M27" s="121" t="str">
        <f>IFERROR(VLOOKUP(TableHandbook[[#This Row],[UDC]],TableMJRUADVDS[],7,FALSE),"")</f>
        <v/>
      </c>
      <c r="N27" s="102" t="str">
        <f>IFERROR(VLOOKUP(TableHandbook[[#This Row],[UDC]],TableMJRUANIGD[],7,FALSE),"")</f>
        <v/>
      </c>
      <c r="O27" s="102" t="str">
        <f>IFERROR(VLOOKUP(TableHandbook[[#This Row],[UDC]],TableMJRUDIGDE[],7,FALSE),"")</f>
        <v/>
      </c>
      <c r="P27" s="102" t="str">
        <f>IFERROR(VLOOKUP(TableHandbook[[#This Row],[UDC]],TableMJRUDINFB[],7,FALSE),"")</f>
        <v/>
      </c>
      <c r="Q27" s="102" t="str">
        <f>IFERROR(VLOOKUP(TableHandbook[[#This Row],[UDC]],TableMJRUFASHN[],7,FALSE),"")</f>
        <v/>
      </c>
      <c r="R27" s="102" t="str">
        <f>IFERROR(VLOOKUP(TableHandbook[[#This Row],[UDC]],TableMJRUGRPDS[],7,FALSE),"")</f>
        <v>Core</v>
      </c>
      <c r="S27" s="102" t="str">
        <f>IFERROR(VLOOKUP(TableHandbook[[#This Row],[UDC]],TableMJRUPHOTO[],7,FALSE),"")</f>
        <v/>
      </c>
      <c r="T27" s="121" t="str">
        <f>IFERROR(VLOOKUP(TableHandbook[[#This Row],[UDC]],TableSPUCANIGD[],7,FALSE),"")</f>
        <v/>
      </c>
      <c r="U27" s="102" t="str">
        <f>IFERROR(VLOOKUP(TableHandbook[[#This Row],[UDC]],TableSPUCCADES[],7,FALSE),"")</f>
        <v/>
      </c>
      <c r="V27" s="102" t="str">
        <f>IFERROR(VLOOKUP(TableHandbook[[#This Row],[UDC]],TableSPUCDIGDE[],7,FALSE),"")</f>
        <v/>
      </c>
      <c r="W27" s="102" t="str">
        <f>IFERROR(VLOOKUP(TableHandbook[[#This Row],[UDC]],TableSPUCFASHN[],7,FALSE),"")</f>
        <v/>
      </c>
      <c r="X27" s="102" t="str">
        <f>IFERROR(VLOOKUP(TableHandbook[[#This Row],[UDC]],TableSPUCFSHMK[],7,FALSE),"")</f>
        <v/>
      </c>
      <c r="Y27" s="102" t="str">
        <f>IFERROR(VLOOKUP(TableHandbook[[#This Row],[UDC]],TableSPUCGRPDS[],7,FALSE),"")</f>
        <v>Core</v>
      </c>
      <c r="Z27" s="102" t="str">
        <f>IFERROR(VLOOKUP(TableHandbook[[#This Row],[UDC]],TableSPUCILLUS[],7,FALSE),"")</f>
        <v/>
      </c>
      <c r="AA27" s="102" t="str">
        <f>IFERROR(VLOOKUP(TableHandbook[[#This Row],[UDC]],TableSPUCPHOTO[],7,FALSE),"")</f>
        <v/>
      </c>
    </row>
    <row r="28" spans="1:27" x14ac:dyDescent="0.25">
      <c r="A28" t="s">
        <v>71</v>
      </c>
      <c r="B28" s="2">
        <v>2</v>
      </c>
      <c r="D28" t="s">
        <v>309</v>
      </c>
      <c r="E28" s="2">
        <v>25</v>
      </c>
      <c r="F28" s="106" t="s">
        <v>286</v>
      </c>
      <c r="G28" s="99" t="str">
        <f>IFERROR(IF(VLOOKUP(TableHandbook[[#This Row],[UDC]],TableAvailabilities[],2,FALSE)&gt;0,"Y",""),"")</f>
        <v>Y</v>
      </c>
      <c r="H28" s="99" t="str">
        <f>IFERROR(IF(VLOOKUP(TableHandbook[[#This Row],[UDC]],TableAvailabilities[],3,FALSE)&gt;0,"Y",""),"")</f>
        <v/>
      </c>
      <c r="I28" s="99" t="str">
        <f>IFERROR(IF(VLOOKUP(TableHandbook[[#This Row],[UDC]],TableAvailabilities[],4,FALSE)&gt;0,"Y",""),"")</f>
        <v>Y</v>
      </c>
      <c r="J28" s="99" t="str">
        <f>IFERROR(IF(VLOOKUP(TableHandbook[[#This Row],[UDC]],TableAvailabilities[],5,FALSE)&gt;0,"Y",""),"")</f>
        <v/>
      </c>
      <c r="K28" s="120"/>
      <c r="L28" s="102" t="str">
        <f>IFERROR(VLOOKUP(TableHandbook[[#This Row],[UDC]],TableBDESIGN[],7,FALSE),"")</f>
        <v>Core</v>
      </c>
      <c r="M28" s="121" t="str">
        <f>IFERROR(VLOOKUP(TableHandbook[[#This Row],[UDC]],TableMJRUADVDS[],7,FALSE),"")</f>
        <v/>
      </c>
      <c r="N28" s="102" t="str">
        <f>IFERROR(VLOOKUP(TableHandbook[[#This Row],[UDC]],TableMJRUANIGD[],7,FALSE),"")</f>
        <v/>
      </c>
      <c r="O28" s="102" t="str">
        <f>IFERROR(VLOOKUP(TableHandbook[[#This Row],[UDC]],TableMJRUDIGDE[],7,FALSE),"")</f>
        <v/>
      </c>
      <c r="P28" s="102" t="str">
        <f>IFERROR(VLOOKUP(TableHandbook[[#This Row],[UDC]],TableMJRUDINFB[],7,FALSE),"")</f>
        <v/>
      </c>
      <c r="Q28" s="102" t="str">
        <f>IFERROR(VLOOKUP(TableHandbook[[#This Row],[UDC]],TableMJRUFASHN[],7,FALSE),"")</f>
        <v/>
      </c>
      <c r="R28" s="102" t="str">
        <f>IFERROR(VLOOKUP(TableHandbook[[#This Row],[UDC]],TableMJRUGRPDS[],7,FALSE),"")</f>
        <v/>
      </c>
      <c r="S28" s="102" t="str">
        <f>IFERROR(VLOOKUP(TableHandbook[[#This Row],[UDC]],TableMJRUPHOTO[],7,FALSE),"")</f>
        <v/>
      </c>
      <c r="T28" s="121" t="str">
        <f>IFERROR(VLOOKUP(TableHandbook[[#This Row],[UDC]],TableSPUCANIGD[],7,FALSE),"")</f>
        <v/>
      </c>
      <c r="U28" s="102" t="str">
        <f>IFERROR(VLOOKUP(TableHandbook[[#This Row],[UDC]],TableSPUCCADES[],7,FALSE),"")</f>
        <v/>
      </c>
      <c r="V28" s="102" t="str">
        <f>IFERROR(VLOOKUP(TableHandbook[[#This Row],[UDC]],TableSPUCDIGDE[],7,FALSE),"")</f>
        <v/>
      </c>
      <c r="W28" s="102" t="str">
        <f>IFERROR(VLOOKUP(TableHandbook[[#This Row],[UDC]],TableSPUCFASHN[],7,FALSE),"")</f>
        <v/>
      </c>
      <c r="X28" s="102" t="str">
        <f>IFERROR(VLOOKUP(TableHandbook[[#This Row],[UDC]],TableSPUCFSHMK[],7,FALSE),"")</f>
        <v/>
      </c>
      <c r="Y28" s="102" t="str">
        <f>IFERROR(VLOOKUP(TableHandbook[[#This Row],[UDC]],TableSPUCGRPDS[],7,FALSE),"")</f>
        <v/>
      </c>
      <c r="Z28" s="102" t="str">
        <f>IFERROR(VLOOKUP(TableHandbook[[#This Row],[UDC]],TableSPUCILLUS[],7,FALSE),"")</f>
        <v/>
      </c>
      <c r="AA28" s="102" t="str">
        <f>IFERROR(VLOOKUP(TableHandbook[[#This Row],[UDC]],TableSPUCPHOTO[],7,FALSE),"")</f>
        <v/>
      </c>
    </row>
    <row r="29" spans="1:27" ht="47.25" x14ac:dyDescent="0.25">
      <c r="A29" t="s">
        <v>273</v>
      </c>
      <c r="B29" s="2">
        <v>1</v>
      </c>
      <c r="D29" t="s">
        <v>310</v>
      </c>
      <c r="E29" s="2">
        <v>25</v>
      </c>
      <c r="F29" s="106" t="s">
        <v>286</v>
      </c>
      <c r="G29" s="99" t="str">
        <f>IFERROR(IF(VLOOKUP(TableHandbook[[#This Row],[UDC]],TableAvailabilities[],2,FALSE)&gt;0,"Y",""),"")</f>
        <v/>
      </c>
      <c r="H29" s="99" t="str">
        <f>IFERROR(IF(VLOOKUP(TableHandbook[[#This Row],[UDC]],TableAvailabilities[],3,FALSE)&gt;0,"Y",""),"")</f>
        <v/>
      </c>
      <c r="I29" s="99" t="str">
        <f>IFERROR(IF(VLOOKUP(TableHandbook[[#This Row],[UDC]],TableAvailabilities[],4,FALSE)&gt;0,"Y",""),"")</f>
        <v/>
      </c>
      <c r="J29" s="99" t="str">
        <f>IFERROR(IF(VLOOKUP(TableHandbook[[#This Row],[UDC]],TableAvailabilities[],5,FALSE)&gt;0,"Y",""),"")</f>
        <v/>
      </c>
      <c r="K29" s="120" t="s">
        <v>487</v>
      </c>
      <c r="L29" s="102" t="str">
        <f>IFERROR(VLOOKUP(TableHandbook[[#This Row],[UDC]],TableBDESIGN[],7,FALSE),"")</f>
        <v>Option</v>
      </c>
      <c r="M29" s="121" t="str">
        <f>IFERROR(VLOOKUP(TableHandbook[[#This Row],[UDC]],TableMJRUADVDS[],7,FALSE),"")</f>
        <v/>
      </c>
      <c r="N29" s="102" t="str">
        <f>IFERROR(VLOOKUP(TableHandbook[[#This Row],[UDC]],TableMJRUANIGD[],7,FALSE),"")</f>
        <v/>
      </c>
      <c r="O29" s="102" t="str">
        <f>IFERROR(VLOOKUP(TableHandbook[[#This Row],[UDC]],TableMJRUDIGDE[],7,FALSE),"")</f>
        <v/>
      </c>
      <c r="P29" s="102" t="str">
        <f>IFERROR(VLOOKUP(TableHandbook[[#This Row],[UDC]],TableMJRUDINFB[],7,FALSE),"")</f>
        <v/>
      </c>
      <c r="Q29" s="102" t="str">
        <f>IFERROR(VLOOKUP(TableHandbook[[#This Row],[UDC]],TableMJRUFASHN[],7,FALSE),"")</f>
        <v/>
      </c>
      <c r="R29" s="102" t="str">
        <f>IFERROR(VLOOKUP(TableHandbook[[#This Row],[UDC]],TableMJRUGRPDS[],7,FALSE),"")</f>
        <v/>
      </c>
      <c r="S29" s="102" t="str">
        <f>IFERROR(VLOOKUP(TableHandbook[[#This Row],[UDC]],TableMJRUPHOTO[],7,FALSE),"")</f>
        <v/>
      </c>
      <c r="T29" s="121" t="str">
        <f>IFERROR(VLOOKUP(TableHandbook[[#This Row],[UDC]],TableSPUCANIGD[],7,FALSE),"")</f>
        <v/>
      </c>
      <c r="U29" s="102" t="str">
        <f>IFERROR(VLOOKUP(TableHandbook[[#This Row],[UDC]],TableSPUCCADES[],7,FALSE),"")</f>
        <v/>
      </c>
      <c r="V29" s="102" t="str">
        <f>IFERROR(VLOOKUP(TableHandbook[[#This Row],[UDC]],TableSPUCDIGDE[],7,FALSE),"")</f>
        <v/>
      </c>
      <c r="W29" s="102" t="str">
        <f>IFERROR(VLOOKUP(TableHandbook[[#This Row],[UDC]],TableSPUCFASHN[],7,FALSE),"")</f>
        <v/>
      </c>
      <c r="X29" s="102" t="str">
        <f>IFERROR(VLOOKUP(TableHandbook[[#This Row],[UDC]],TableSPUCFSHMK[],7,FALSE),"")</f>
        <v/>
      </c>
      <c r="Y29" s="102" t="str">
        <f>IFERROR(VLOOKUP(TableHandbook[[#This Row],[UDC]],TableSPUCGRPDS[],7,FALSE),"")</f>
        <v/>
      </c>
      <c r="Z29" s="102" t="str">
        <f>IFERROR(VLOOKUP(TableHandbook[[#This Row],[UDC]],TableSPUCILLUS[],7,FALSE),"")</f>
        <v/>
      </c>
      <c r="AA29" s="102" t="str">
        <f>IFERROR(VLOOKUP(TableHandbook[[#This Row],[UDC]],TableSPUCPHOTO[],7,FALSE),"")</f>
        <v/>
      </c>
    </row>
    <row r="30" spans="1:27" x14ac:dyDescent="0.25">
      <c r="A30" t="s">
        <v>207</v>
      </c>
      <c r="B30" s="2">
        <v>1</v>
      </c>
      <c r="D30" t="s">
        <v>311</v>
      </c>
      <c r="E30" s="2">
        <v>25</v>
      </c>
      <c r="F30" s="106" t="s">
        <v>286</v>
      </c>
      <c r="G30" s="99" t="str">
        <f>IFERROR(IF(VLOOKUP(TableHandbook[[#This Row],[UDC]],TableAvailabilities[],2,FALSE)&gt;0,"Y",""),"")</f>
        <v>Y</v>
      </c>
      <c r="H30" s="99" t="str">
        <f>IFERROR(IF(VLOOKUP(TableHandbook[[#This Row],[UDC]],TableAvailabilities[],3,FALSE)&gt;0,"Y",""),"")</f>
        <v/>
      </c>
      <c r="I30" s="99" t="str">
        <f>IFERROR(IF(VLOOKUP(TableHandbook[[#This Row],[UDC]],TableAvailabilities[],4,FALSE)&gt;0,"Y",""),"")</f>
        <v>Y</v>
      </c>
      <c r="J30" s="99" t="str">
        <f>IFERROR(IF(VLOOKUP(TableHandbook[[#This Row],[UDC]],TableAvailabilities[],5,FALSE)&gt;0,"Y",""),"")</f>
        <v/>
      </c>
      <c r="K30" s="120"/>
      <c r="L30" s="102" t="str">
        <f>IFERROR(VLOOKUP(TableHandbook[[#This Row],[UDC]],TableBDESIGN[],7,FALSE),"")</f>
        <v>Option</v>
      </c>
      <c r="M30" s="121" t="str">
        <f>IFERROR(VLOOKUP(TableHandbook[[#This Row],[UDC]],TableMJRUADVDS[],7,FALSE),"")</f>
        <v/>
      </c>
      <c r="N30" s="102" t="str">
        <f>IFERROR(VLOOKUP(TableHandbook[[#This Row],[UDC]],TableMJRUANIGD[],7,FALSE),"")</f>
        <v/>
      </c>
      <c r="O30" s="102" t="str">
        <f>IFERROR(VLOOKUP(TableHandbook[[#This Row],[UDC]],TableMJRUDIGDE[],7,FALSE),"")</f>
        <v/>
      </c>
      <c r="P30" s="102" t="str">
        <f>IFERROR(VLOOKUP(TableHandbook[[#This Row],[UDC]],TableMJRUDINFB[],7,FALSE),"")</f>
        <v/>
      </c>
      <c r="Q30" s="102" t="str">
        <f>IFERROR(VLOOKUP(TableHandbook[[#This Row],[UDC]],TableMJRUFASHN[],7,FALSE),"")</f>
        <v/>
      </c>
      <c r="R30" s="102" t="str">
        <f>IFERROR(VLOOKUP(TableHandbook[[#This Row],[UDC]],TableMJRUGRPDS[],7,FALSE),"")</f>
        <v/>
      </c>
      <c r="S30" s="102" t="str">
        <f>IFERROR(VLOOKUP(TableHandbook[[#This Row],[UDC]],TableMJRUPHOTO[],7,FALSE),"")</f>
        <v/>
      </c>
      <c r="T30" s="121" t="str">
        <f>IFERROR(VLOOKUP(TableHandbook[[#This Row],[UDC]],TableSPUCANIGD[],7,FALSE),"")</f>
        <v/>
      </c>
      <c r="U30" s="102" t="str">
        <f>IFERROR(VLOOKUP(TableHandbook[[#This Row],[UDC]],TableSPUCCADES[],7,FALSE),"")</f>
        <v/>
      </c>
      <c r="V30" s="102" t="str">
        <f>IFERROR(VLOOKUP(TableHandbook[[#This Row],[UDC]],TableSPUCDIGDE[],7,FALSE),"")</f>
        <v/>
      </c>
      <c r="W30" s="102" t="str">
        <f>IFERROR(VLOOKUP(TableHandbook[[#This Row],[UDC]],TableSPUCFASHN[],7,FALSE),"")</f>
        <v/>
      </c>
      <c r="X30" s="102" t="str">
        <f>IFERROR(VLOOKUP(TableHandbook[[#This Row],[UDC]],TableSPUCFSHMK[],7,FALSE),"")</f>
        <v/>
      </c>
      <c r="Y30" s="102" t="str">
        <f>IFERROR(VLOOKUP(TableHandbook[[#This Row],[UDC]],TableSPUCGRPDS[],7,FALSE),"")</f>
        <v/>
      </c>
      <c r="Z30" s="102" t="str">
        <f>IFERROR(VLOOKUP(TableHandbook[[#This Row],[UDC]],TableSPUCILLUS[],7,FALSE),"")</f>
        <v>Core</v>
      </c>
      <c r="AA30" s="102" t="str">
        <f>IFERROR(VLOOKUP(TableHandbook[[#This Row],[UDC]],TableSPUCPHOTO[],7,FALSE),"")</f>
        <v/>
      </c>
    </row>
    <row r="31" spans="1:27" x14ac:dyDescent="0.25">
      <c r="A31" t="s">
        <v>74</v>
      </c>
      <c r="B31" s="2">
        <v>2</v>
      </c>
      <c r="D31" t="s">
        <v>312</v>
      </c>
      <c r="E31" s="2">
        <v>25</v>
      </c>
      <c r="F31" s="106" t="s">
        <v>286</v>
      </c>
      <c r="G31" s="99" t="str">
        <f>IFERROR(IF(VLOOKUP(TableHandbook[[#This Row],[UDC]],TableAvailabilities[],2,FALSE)&gt;0,"Y",""),"")</f>
        <v>Y</v>
      </c>
      <c r="H31" s="99" t="str">
        <f>IFERROR(IF(VLOOKUP(TableHandbook[[#This Row],[UDC]],TableAvailabilities[],3,FALSE)&gt;0,"Y",""),"")</f>
        <v/>
      </c>
      <c r="I31" s="99" t="str">
        <f>IFERROR(IF(VLOOKUP(TableHandbook[[#This Row],[UDC]],TableAvailabilities[],4,FALSE)&gt;0,"Y",""),"")</f>
        <v>Y</v>
      </c>
      <c r="J31" s="99" t="str">
        <f>IFERROR(IF(VLOOKUP(TableHandbook[[#This Row],[UDC]],TableAvailabilities[],5,FALSE)&gt;0,"Y",""),"")</f>
        <v/>
      </c>
      <c r="K31" s="120"/>
      <c r="L31" s="102" t="str">
        <f>IFERROR(VLOOKUP(TableHandbook[[#This Row],[UDC]],TableBDESIGN[],7,FALSE),"")</f>
        <v/>
      </c>
      <c r="M31" s="121" t="str">
        <f>IFERROR(VLOOKUP(TableHandbook[[#This Row],[UDC]],TableMJRUADVDS[],7,FALSE),"")</f>
        <v/>
      </c>
      <c r="N31" s="102" t="str">
        <f>IFERROR(VLOOKUP(TableHandbook[[#This Row],[UDC]],TableMJRUANIGD[],7,FALSE),"")</f>
        <v/>
      </c>
      <c r="O31" s="102" t="str">
        <f>IFERROR(VLOOKUP(TableHandbook[[#This Row],[UDC]],TableMJRUDIGDE[],7,FALSE),"")</f>
        <v>Core</v>
      </c>
      <c r="P31" s="102" t="str">
        <f>IFERROR(VLOOKUP(TableHandbook[[#This Row],[UDC]],TableMJRUDINFB[],7,FALSE),"")</f>
        <v/>
      </c>
      <c r="Q31" s="102" t="str">
        <f>IFERROR(VLOOKUP(TableHandbook[[#This Row],[UDC]],TableMJRUFASHN[],7,FALSE),"")</f>
        <v/>
      </c>
      <c r="R31" s="102" t="str">
        <f>IFERROR(VLOOKUP(TableHandbook[[#This Row],[UDC]],TableMJRUGRPDS[],7,FALSE),"")</f>
        <v/>
      </c>
      <c r="S31" s="102" t="str">
        <f>IFERROR(VLOOKUP(TableHandbook[[#This Row],[UDC]],TableMJRUPHOTO[],7,FALSE),"")</f>
        <v/>
      </c>
      <c r="T31" s="121" t="str">
        <f>IFERROR(VLOOKUP(TableHandbook[[#This Row],[UDC]],TableSPUCANIGD[],7,FALSE),"")</f>
        <v/>
      </c>
      <c r="U31" s="102" t="str">
        <f>IFERROR(VLOOKUP(TableHandbook[[#This Row],[UDC]],TableSPUCCADES[],7,FALSE),"")</f>
        <v/>
      </c>
      <c r="V31" s="102" t="str">
        <f>IFERROR(VLOOKUP(TableHandbook[[#This Row],[UDC]],TableSPUCDIGDE[],7,FALSE),"")</f>
        <v>Core</v>
      </c>
      <c r="W31" s="102" t="str">
        <f>IFERROR(VLOOKUP(TableHandbook[[#This Row],[UDC]],TableSPUCFASHN[],7,FALSE),"")</f>
        <v/>
      </c>
      <c r="X31" s="102" t="str">
        <f>IFERROR(VLOOKUP(TableHandbook[[#This Row],[UDC]],TableSPUCFSHMK[],7,FALSE),"")</f>
        <v/>
      </c>
      <c r="Y31" s="102" t="str">
        <f>IFERROR(VLOOKUP(TableHandbook[[#This Row],[UDC]],TableSPUCGRPDS[],7,FALSE),"")</f>
        <v/>
      </c>
      <c r="Z31" s="102" t="str">
        <f>IFERROR(VLOOKUP(TableHandbook[[#This Row],[UDC]],TableSPUCILLUS[],7,FALSE),"")</f>
        <v/>
      </c>
      <c r="AA31" s="102" t="str">
        <f>IFERROR(VLOOKUP(TableHandbook[[#This Row],[UDC]],TableSPUCPHOTO[],7,FALSE),"")</f>
        <v/>
      </c>
    </row>
    <row r="32" spans="1:27" x14ac:dyDescent="0.25">
      <c r="A32" t="s">
        <v>81</v>
      </c>
      <c r="B32" s="2">
        <v>3</v>
      </c>
      <c r="D32" t="s">
        <v>313</v>
      </c>
      <c r="E32" s="2">
        <v>25</v>
      </c>
      <c r="F32" s="106" t="s">
        <v>286</v>
      </c>
      <c r="G32" s="99" t="str">
        <f>IFERROR(IF(VLOOKUP(TableHandbook[[#This Row],[UDC]],TableAvailabilities[],2,FALSE)&gt;0,"Y",""),"")</f>
        <v>Y</v>
      </c>
      <c r="H32" s="99" t="str">
        <f>IFERROR(IF(VLOOKUP(TableHandbook[[#This Row],[UDC]],TableAvailabilities[],3,FALSE)&gt;0,"Y",""),"")</f>
        <v/>
      </c>
      <c r="I32" s="99" t="str">
        <f>IFERROR(IF(VLOOKUP(TableHandbook[[#This Row],[UDC]],TableAvailabilities[],4,FALSE)&gt;0,"Y",""),"")</f>
        <v>Y</v>
      </c>
      <c r="J32" s="99" t="str">
        <f>IFERROR(IF(VLOOKUP(TableHandbook[[#This Row],[UDC]],TableAvailabilities[],5,FALSE)&gt;0,"Y",""),"")</f>
        <v/>
      </c>
      <c r="K32" s="120" t="s">
        <v>461</v>
      </c>
      <c r="L32" s="102" t="str">
        <f>IFERROR(VLOOKUP(TableHandbook[[#This Row],[UDC]],TableBDESIGN[],7,FALSE),"")</f>
        <v>Option</v>
      </c>
      <c r="M32" s="121" t="str">
        <f>IFERROR(VLOOKUP(TableHandbook[[#This Row],[UDC]],TableMJRUADVDS[],7,FALSE),"")</f>
        <v/>
      </c>
      <c r="N32" s="102" t="str">
        <f>IFERROR(VLOOKUP(TableHandbook[[#This Row],[UDC]],TableMJRUANIGD[],7,FALSE),"")</f>
        <v/>
      </c>
      <c r="O32" s="102" t="str">
        <f>IFERROR(VLOOKUP(TableHandbook[[#This Row],[UDC]],TableMJRUDIGDE[],7,FALSE),"")</f>
        <v>Core</v>
      </c>
      <c r="P32" s="102" t="str">
        <f>IFERROR(VLOOKUP(TableHandbook[[#This Row],[UDC]],TableMJRUDINFB[],7,FALSE),"")</f>
        <v/>
      </c>
      <c r="Q32" s="102" t="str">
        <f>IFERROR(VLOOKUP(TableHandbook[[#This Row],[UDC]],TableMJRUFASHN[],7,FALSE),"")</f>
        <v/>
      </c>
      <c r="R32" s="102" t="str">
        <f>IFERROR(VLOOKUP(TableHandbook[[#This Row],[UDC]],TableMJRUGRPDS[],7,FALSE),"")</f>
        <v/>
      </c>
      <c r="S32" s="102" t="str">
        <f>IFERROR(VLOOKUP(TableHandbook[[#This Row],[UDC]],TableMJRUPHOTO[],7,FALSE),"")</f>
        <v/>
      </c>
      <c r="T32" s="121" t="str">
        <f>IFERROR(VLOOKUP(TableHandbook[[#This Row],[UDC]],TableSPUCANIGD[],7,FALSE),"")</f>
        <v/>
      </c>
      <c r="U32" s="102" t="str">
        <f>IFERROR(VLOOKUP(TableHandbook[[#This Row],[UDC]],TableSPUCCADES[],7,FALSE),"")</f>
        <v/>
      </c>
      <c r="V32" s="102" t="str">
        <f>IFERROR(VLOOKUP(TableHandbook[[#This Row],[UDC]],TableSPUCDIGDE[],7,FALSE),"")</f>
        <v/>
      </c>
      <c r="W32" s="102" t="str">
        <f>IFERROR(VLOOKUP(TableHandbook[[#This Row],[UDC]],TableSPUCFASHN[],7,FALSE),"")</f>
        <v/>
      </c>
      <c r="X32" s="102" t="str">
        <f>IFERROR(VLOOKUP(TableHandbook[[#This Row],[UDC]],TableSPUCFSHMK[],7,FALSE),"")</f>
        <v/>
      </c>
      <c r="Y32" s="102" t="str">
        <f>IFERROR(VLOOKUP(TableHandbook[[#This Row],[UDC]],TableSPUCGRPDS[],7,FALSE),"")</f>
        <v/>
      </c>
      <c r="Z32" s="102" t="str">
        <f>IFERROR(VLOOKUP(TableHandbook[[#This Row],[UDC]],TableSPUCILLUS[],7,FALSE),"")</f>
        <v/>
      </c>
      <c r="AA32" s="102" t="str">
        <f>IFERROR(VLOOKUP(TableHandbook[[#This Row],[UDC]],TableSPUCPHOTO[],7,FALSE),"")</f>
        <v/>
      </c>
    </row>
    <row r="33" spans="1:27" x14ac:dyDescent="0.25">
      <c r="A33" t="s">
        <v>459</v>
      </c>
      <c r="B33" s="2">
        <v>2</v>
      </c>
      <c r="D33" t="s">
        <v>313</v>
      </c>
      <c r="E33" s="2">
        <v>25</v>
      </c>
      <c r="F33" s="106" t="s">
        <v>286</v>
      </c>
      <c r="G33" s="99" t="str">
        <f>IFERROR(IF(VLOOKUP(TableHandbook[[#This Row],[UDC]],TableAvailabilities[],2,FALSE)&gt;0,"Y",""),"")</f>
        <v/>
      </c>
      <c r="H33" s="99" t="str">
        <f>IFERROR(IF(VLOOKUP(TableHandbook[[#This Row],[UDC]],TableAvailabilities[],3,FALSE)&gt;0,"Y",""),"")</f>
        <v/>
      </c>
      <c r="I33" s="99" t="str">
        <f>IFERROR(IF(VLOOKUP(TableHandbook[[#This Row],[UDC]],TableAvailabilities[],4,FALSE)&gt;0,"Y",""),"")</f>
        <v/>
      </c>
      <c r="J33" s="99" t="str">
        <f>IFERROR(IF(VLOOKUP(TableHandbook[[#This Row],[UDC]],TableAvailabilities[],5,FALSE)&gt;0,"Y",""),"")</f>
        <v/>
      </c>
      <c r="K33" s="120" t="s">
        <v>306</v>
      </c>
      <c r="L33" s="102" t="str">
        <f>IFERROR(VLOOKUP(TableHandbook[[#This Row],[UDC]],TableBDESIGN[],7,FALSE),"")</f>
        <v/>
      </c>
      <c r="M33" s="121" t="str">
        <f>IFERROR(VLOOKUP(TableHandbook[[#This Row],[UDC]],TableMJRUADVDS[],7,FALSE),"")</f>
        <v/>
      </c>
      <c r="N33" s="102" t="str">
        <f>IFERROR(VLOOKUP(TableHandbook[[#This Row],[UDC]],TableMJRUANIGD[],7,FALSE),"")</f>
        <v/>
      </c>
      <c r="O33" s="102" t="str">
        <f>IFERROR(VLOOKUP(TableHandbook[[#This Row],[UDC]],TableMJRUDIGDE[],7,FALSE),"")</f>
        <v/>
      </c>
      <c r="P33" s="102" t="str">
        <f>IFERROR(VLOOKUP(TableHandbook[[#This Row],[UDC]],TableMJRUDINFB[],7,FALSE),"")</f>
        <v/>
      </c>
      <c r="Q33" s="102" t="str">
        <f>IFERROR(VLOOKUP(TableHandbook[[#This Row],[UDC]],TableMJRUFASHN[],7,FALSE),"")</f>
        <v/>
      </c>
      <c r="R33" s="102" t="str">
        <f>IFERROR(VLOOKUP(TableHandbook[[#This Row],[UDC]],TableMJRUGRPDS[],7,FALSE),"")</f>
        <v/>
      </c>
      <c r="S33" s="102" t="str">
        <f>IFERROR(VLOOKUP(TableHandbook[[#This Row],[UDC]],TableMJRUPHOTO[],7,FALSE),"")</f>
        <v/>
      </c>
      <c r="T33" s="121" t="str">
        <f>IFERROR(VLOOKUP(TableHandbook[[#This Row],[UDC]],TableSPUCANIGD[],7,FALSE),"")</f>
        <v/>
      </c>
      <c r="U33" s="102" t="str">
        <f>IFERROR(VLOOKUP(TableHandbook[[#This Row],[UDC]],TableSPUCCADES[],7,FALSE),"")</f>
        <v/>
      </c>
      <c r="V33" s="102" t="str">
        <f>IFERROR(VLOOKUP(TableHandbook[[#This Row],[UDC]],TableSPUCDIGDE[],7,FALSE),"")</f>
        <v/>
      </c>
      <c r="W33" s="102" t="str">
        <f>IFERROR(VLOOKUP(TableHandbook[[#This Row],[UDC]],TableSPUCFASHN[],7,FALSE),"")</f>
        <v/>
      </c>
      <c r="X33" s="102" t="str">
        <f>IFERROR(VLOOKUP(TableHandbook[[#This Row],[UDC]],TableSPUCFSHMK[],7,FALSE),"")</f>
        <v/>
      </c>
      <c r="Y33" s="102" t="str">
        <f>IFERROR(VLOOKUP(TableHandbook[[#This Row],[UDC]],TableSPUCGRPDS[],7,FALSE),"")</f>
        <v/>
      </c>
      <c r="Z33" s="102" t="str">
        <f>IFERROR(VLOOKUP(TableHandbook[[#This Row],[UDC]],TableSPUCILLUS[],7,FALSE),"")</f>
        <v/>
      </c>
      <c r="AA33" s="102" t="str">
        <f>IFERROR(VLOOKUP(TableHandbook[[#This Row],[UDC]],TableSPUCPHOTO[],7,FALSE),"")</f>
        <v/>
      </c>
    </row>
    <row r="34" spans="1:27" x14ac:dyDescent="0.25">
      <c r="A34" t="s">
        <v>79</v>
      </c>
      <c r="B34" s="2">
        <v>1</v>
      </c>
      <c r="D34" t="s">
        <v>314</v>
      </c>
      <c r="E34" s="2">
        <v>25</v>
      </c>
      <c r="F34" s="106" t="s">
        <v>286</v>
      </c>
      <c r="G34" s="99" t="str">
        <f>IFERROR(IF(VLOOKUP(TableHandbook[[#This Row],[UDC]],TableAvailabilities[],2,FALSE)&gt;0,"Y",""),"")</f>
        <v/>
      </c>
      <c r="H34" s="99" t="str">
        <f>IFERROR(IF(VLOOKUP(TableHandbook[[#This Row],[UDC]],TableAvailabilities[],3,FALSE)&gt;0,"Y",""),"")</f>
        <v/>
      </c>
      <c r="I34" s="99" t="str">
        <f>IFERROR(IF(VLOOKUP(TableHandbook[[#This Row],[UDC]],TableAvailabilities[],4,FALSE)&gt;0,"Y",""),"")</f>
        <v>Y</v>
      </c>
      <c r="J34" s="99" t="str">
        <f>IFERROR(IF(VLOOKUP(TableHandbook[[#This Row],[UDC]],TableAvailabilities[],5,FALSE)&gt;0,"Y",""),"")</f>
        <v/>
      </c>
      <c r="K34" s="120"/>
      <c r="L34" s="102" t="str">
        <f>IFERROR(VLOOKUP(TableHandbook[[#This Row],[UDC]],TableBDESIGN[],7,FALSE),"")</f>
        <v/>
      </c>
      <c r="M34" s="121" t="str">
        <f>IFERROR(VLOOKUP(TableHandbook[[#This Row],[UDC]],TableMJRUADVDS[],7,FALSE),"")</f>
        <v/>
      </c>
      <c r="N34" s="102" t="str">
        <f>IFERROR(VLOOKUP(TableHandbook[[#This Row],[UDC]],TableMJRUANIGD[],7,FALSE),"")</f>
        <v>Core</v>
      </c>
      <c r="O34" s="102" t="str">
        <f>IFERROR(VLOOKUP(TableHandbook[[#This Row],[UDC]],TableMJRUDIGDE[],7,FALSE),"")</f>
        <v/>
      </c>
      <c r="P34" s="102" t="str">
        <f>IFERROR(VLOOKUP(TableHandbook[[#This Row],[UDC]],TableMJRUDINFB[],7,FALSE),"")</f>
        <v/>
      </c>
      <c r="Q34" s="102" t="str">
        <f>IFERROR(VLOOKUP(TableHandbook[[#This Row],[UDC]],TableMJRUFASHN[],7,FALSE),"")</f>
        <v/>
      </c>
      <c r="R34" s="102" t="str">
        <f>IFERROR(VLOOKUP(TableHandbook[[#This Row],[UDC]],TableMJRUGRPDS[],7,FALSE),"")</f>
        <v/>
      </c>
      <c r="S34" s="102" t="str">
        <f>IFERROR(VLOOKUP(TableHandbook[[#This Row],[UDC]],TableMJRUPHOTO[],7,FALSE),"")</f>
        <v/>
      </c>
      <c r="T34" s="121" t="str">
        <f>IFERROR(VLOOKUP(TableHandbook[[#This Row],[UDC]],TableSPUCANIGD[],7,FALSE),"")</f>
        <v>Core</v>
      </c>
      <c r="U34" s="102" t="str">
        <f>IFERROR(VLOOKUP(TableHandbook[[#This Row],[UDC]],TableSPUCCADES[],7,FALSE),"")</f>
        <v/>
      </c>
      <c r="V34" s="102" t="str">
        <f>IFERROR(VLOOKUP(TableHandbook[[#This Row],[UDC]],TableSPUCDIGDE[],7,FALSE),"")</f>
        <v/>
      </c>
      <c r="W34" s="102" t="str">
        <f>IFERROR(VLOOKUP(TableHandbook[[#This Row],[UDC]],TableSPUCFASHN[],7,FALSE),"")</f>
        <v/>
      </c>
      <c r="X34" s="102" t="str">
        <f>IFERROR(VLOOKUP(TableHandbook[[#This Row],[UDC]],TableSPUCFSHMK[],7,FALSE),"")</f>
        <v/>
      </c>
      <c r="Y34" s="102" t="str">
        <f>IFERROR(VLOOKUP(TableHandbook[[#This Row],[UDC]],TableSPUCGRPDS[],7,FALSE),"")</f>
        <v/>
      </c>
      <c r="Z34" s="102" t="str">
        <f>IFERROR(VLOOKUP(TableHandbook[[#This Row],[UDC]],TableSPUCILLUS[],7,FALSE),"")</f>
        <v/>
      </c>
      <c r="AA34" s="102" t="str">
        <f>IFERROR(VLOOKUP(TableHandbook[[#This Row],[UDC]],TableSPUCPHOTO[],7,FALSE),"")</f>
        <v/>
      </c>
    </row>
    <row r="35" spans="1:27" x14ac:dyDescent="0.25">
      <c r="A35" t="s">
        <v>255</v>
      </c>
      <c r="B35" s="2">
        <v>1</v>
      </c>
      <c r="D35" t="s">
        <v>315</v>
      </c>
      <c r="E35" s="2">
        <v>25</v>
      </c>
      <c r="F35" s="106" t="s">
        <v>286</v>
      </c>
      <c r="G35" s="99" t="str">
        <f>IFERROR(IF(VLOOKUP(TableHandbook[[#This Row],[UDC]],TableAvailabilities[],2,FALSE)&gt;0,"Y",""),"")</f>
        <v/>
      </c>
      <c r="H35" s="99" t="str">
        <f>IFERROR(IF(VLOOKUP(TableHandbook[[#This Row],[UDC]],TableAvailabilities[],3,FALSE)&gt;0,"Y",""),"")</f>
        <v/>
      </c>
      <c r="I35" s="99" t="str">
        <f>IFERROR(IF(VLOOKUP(TableHandbook[[#This Row],[UDC]],TableAvailabilities[],4,FALSE)&gt;0,"Y",""),"")</f>
        <v>Y</v>
      </c>
      <c r="J35" s="99" t="str">
        <f>IFERROR(IF(VLOOKUP(TableHandbook[[#This Row],[UDC]],TableAvailabilities[],5,FALSE)&gt;0,"Y",""),"")</f>
        <v/>
      </c>
      <c r="K35" s="120"/>
      <c r="L35" s="102" t="str">
        <f>IFERROR(VLOOKUP(TableHandbook[[#This Row],[UDC]],TableBDESIGN[],7,FALSE),"")</f>
        <v>Option</v>
      </c>
      <c r="M35" s="121" t="str">
        <f>IFERROR(VLOOKUP(TableHandbook[[#This Row],[UDC]],TableMJRUADVDS[],7,FALSE),"")</f>
        <v/>
      </c>
      <c r="N35" s="102" t="str">
        <f>IFERROR(VLOOKUP(TableHandbook[[#This Row],[UDC]],TableMJRUANIGD[],7,FALSE),"")</f>
        <v/>
      </c>
      <c r="O35" s="102" t="str">
        <f>IFERROR(VLOOKUP(TableHandbook[[#This Row],[UDC]],TableMJRUDIGDE[],7,FALSE),"")</f>
        <v/>
      </c>
      <c r="P35" s="102" t="str">
        <f>IFERROR(VLOOKUP(TableHandbook[[#This Row],[UDC]],TableMJRUDINFB[],7,FALSE),"")</f>
        <v/>
      </c>
      <c r="Q35" s="102" t="str">
        <f>IFERROR(VLOOKUP(TableHandbook[[#This Row],[UDC]],TableMJRUFASHN[],7,FALSE),"")</f>
        <v/>
      </c>
      <c r="R35" s="102" t="str">
        <f>IFERROR(VLOOKUP(TableHandbook[[#This Row],[UDC]],TableMJRUGRPDS[],7,FALSE),"")</f>
        <v/>
      </c>
      <c r="S35" s="102" t="str">
        <f>IFERROR(VLOOKUP(TableHandbook[[#This Row],[UDC]],TableMJRUPHOTO[],7,FALSE),"")</f>
        <v/>
      </c>
      <c r="T35" s="121" t="str">
        <f>IFERROR(VLOOKUP(TableHandbook[[#This Row],[UDC]],TableSPUCANIGD[],7,FALSE),"")</f>
        <v/>
      </c>
      <c r="U35" s="102" t="str">
        <f>IFERROR(VLOOKUP(TableHandbook[[#This Row],[UDC]],TableSPUCCADES[],7,FALSE),"")</f>
        <v/>
      </c>
      <c r="V35" s="102" t="str">
        <f>IFERROR(VLOOKUP(TableHandbook[[#This Row],[UDC]],TableSPUCDIGDE[],7,FALSE),"")</f>
        <v/>
      </c>
      <c r="W35" s="102" t="str">
        <f>IFERROR(VLOOKUP(TableHandbook[[#This Row],[UDC]],TableSPUCFASHN[],7,FALSE),"")</f>
        <v/>
      </c>
      <c r="X35" s="102" t="str">
        <f>IFERROR(VLOOKUP(TableHandbook[[#This Row],[UDC]],TableSPUCFSHMK[],7,FALSE),"")</f>
        <v/>
      </c>
      <c r="Y35" s="102" t="str">
        <f>IFERROR(VLOOKUP(TableHandbook[[#This Row],[UDC]],TableSPUCGRPDS[],7,FALSE),"")</f>
        <v/>
      </c>
      <c r="Z35" s="102" t="str">
        <f>IFERROR(VLOOKUP(TableHandbook[[#This Row],[UDC]],TableSPUCILLUS[],7,FALSE),"")</f>
        <v/>
      </c>
      <c r="AA35" s="102" t="str">
        <f>IFERROR(VLOOKUP(TableHandbook[[#This Row],[UDC]],TableSPUCPHOTO[],7,FALSE),"")</f>
        <v/>
      </c>
    </row>
    <row r="36" spans="1:27" x14ac:dyDescent="0.25">
      <c r="A36" t="s">
        <v>63</v>
      </c>
      <c r="B36" s="2">
        <v>1</v>
      </c>
      <c r="D36" t="s">
        <v>316</v>
      </c>
      <c r="E36" s="2">
        <v>25</v>
      </c>
      <c r="F36" s="106" t="s">
        <v>286</v>
      </c>
      <c r="G36" s="99" t="str">
        <f>IFERROR(IF(VLOOKUP(TableHandbook[[#This Row],[UDC]],TableAvailabilities[],2,FALSE)&gt;0,"Y",""),"")</f>
        <v>Y</v>
      </c>
      <c r="H36" s="99" t="str">
        <f>IFERROR(IF(VLOOKUP(TableHandbook[[#This Row],[UDC]],TableAvailabilities[],3,FALSE)&gt;0,"Y",""),"")</f>
        <v/>
      </c>
      <c r="I36" s="99" t="str">
        <f>IFERROR(IF(VLOOKUP(TableHandbook[[#This Row],[UDC]],TableAvailabilities[],4,FALSE)&gt;0,"Y",""),"")</f>
        <v>Y</v>
      </c>
      <c r="J36" s="99" t="str">
        <f>IFERROR(IF(VLOOKUP(TableHandbook[[#This Row],[UDC]],TableAvailabilities[],5,FALSE)&gt;0,"Y",""),"")</f>
        <v/>
      </c>
      <c r="K36" s="120"/>
      <c r="L36" s="102" t="str">
        <f>IFERROR(VLOOKUP(TableHandbook[[#This Row],[UDC]],TableBDESIGN[],7,FALSE),"")</f>
        <v>Core</v>
      </c>
      <c r="M36" s="121" t="str">
        <f>IFERROR(VLOOKUP(TableHandbook[[#This Row],[UDC]],TableMJRUADVDS[],7,FALSE),"")</f>
        <v/>
      </c>
      <c r="N36" s="102" t="str">
        <f>IFERROR(VLOOKUP(TableHandbook[[#This Row],[UDC]],TableMJRUANIGD[],7,FALSE),"")</f>
        <v/>
      </c>
      <c r="O36" s="102" t="str">
        <f>IFERROR(VLOOKUP(TableHandbook[[#This Row],[UDC]],TableMJRUDIGDE[],7,FALSE),"")</f>
        <v/>
      </c>
      <c r="P36" s="102" t="str">
        <f>IFERROR(VLOOKUP(TableHandbook[[#This Row],[UDC]],TableMJRUDINFB[],7,FALSE),"")</f>
        <v/>
      </c>
      <c r="Q36" s="102" t="str">
        <f>IFERROR(VLOOKUP(TableHandbook[[#This Row],[UDC]],TableMJRUFASHN[],7,FALSE),"")</f>
        <v/>
      </c>
      <c r="R36" s="102" t="str">
        <f>IFERROR(VLOOKUP(TableHandbook[[#This Row],[UDC]],TableMJRUGRPDS[],7,FALSE),"")</f>
        <v/>
      </c>
      <c r="S36" s="102" t="str">
        <f>IFERROR(VLOOKUP(TableHandbook[[#This Row],[UDC]],TableMJRUPHOTO[],7,FALSE),"")</f>
        <v/>
      </c>
      <c r="T36" s="121" t="str">
        <f>IFERROR(VLOOKUP(TableHandbook[[#This Row],[UDC]],TableSPUCANIGD[],7,FALSE),"")</f>
        <v/>
      </c>
      <c r="U36" s="102" t="str">
        <f>IFERROR(VLOOKUP(TableHandbook[[#This Row],[UDC]],TableSPUCCADES[],7,FALSE),"")</f>
        <v/>
      </c>
      <c r="V36" s="102" t="str">
        <f>IFERROR(VLOOKUP(TableHandbook[[#This Row],[UDC]],TableSPUCDIGDE[],7,FALSE),"")</f>
        <v/>
      </c>
      <c r="W36" s="102" t="str">
        <f>IFERROR(VLOOKUP(TableHandbook[[#This Row],[UDC]],TableSPUCFASHN[],7,FALSE),"")</f>
        <v/>
      </c>
      <c r="X36" s="102" t="str">
        <f>IFERROR(VLOOKUP(TableHandbook[[#This Row],[UDC]],TableSPUCFSHMK[],7,FALSE),"")</f>
        <v/>
      </c>
      <c r="Y36" s="102" t="str">
        <f>IFERROR(VLOOKUP(TableHandbook[[#This Row],[UDC]],TableSPUCGRPDS[],7,FALSE),"")</f>
        <v/>
      </c>
      <c r="Z36" s="102" t="str">
        <f>IFERROR(VLOOKUP(TableHandbook[[#This Row],[UDC]],TableSPUCILLUS[],7,FALSE),"")</f>
        <v/>
      </c>
      <c r="AA36" s="102" t="str">
        <f>IFERROR(VLOOKUP(TableHandbook[[#This Row],[UDC]],TableSPUCPHOTO[],7,FALSE),"")</f>
        <v/>
      </c>
    </row>
    <row r="37" spans="1:27" x14ac:dyDescent="0.25">
      <c r="A37" t="s">
        <v>84</v>
      </c>
      <c r="B37" s="2">
        <v>1</v>
      </c>
      <c r="D37" t="s">
        <v>317</v>
      </c>
      <c r="E37" s="2">
        <v>25</v>
      </c>
      <c r="F37" s="106" t="s">
        <v>286</v>
      </c>
      <c r="G37" s="99" t="str">
        <f>IFERROR(IF(VLOOKUP(TableHandbook[[#This Row],[UDC]],TableAvailabilities[],2,FALSE)&gt;0,"Y",""),"")</f>
        <v>Y</v>
      </c>
      <c r="H37" s="99" t="str">
        <f>IFERROR(IF(VLOOKUP(TableHandbook[[#This Row],[UDC]],TableAvailabilities[],3,FALSE)&gt;0,"Y",""),"")</f>
        <v/>
      </c>
      <c r="I37" s="99" t="str">
        <f>IFERROR(IF(VLOOKUP(TableHandbook[[#This Row],[UDC]],TableAvailabilities[],4,FALSE)&gt;0,"Y",""),"")</f>
        <v>Y</v>
      </c>
      <c r="J37" s="99" t="str">
        <f>IFERROR(IF(VLOOKUP(TableHandbook[[#This Row],[UDC]],TableAvailabilities[],5,FALSE)&gt;0,"Y",""),"")</f>
        <v/>
      </c>
      <c r="K37" s="120"/>
      <c r="L37" s="102" t="str">
        <f>IFERROR(VLOOKUP(TableHandbook[[#This Row],[UDC]],TableBDESIGN[],7,FALSE),"")</f>
        <v>Option</v>
      </c>
      <c r="M37" s="121" t="str">
        <f>IFERROR(VLOOKUP(TableHandbook[[#This Row],[UDC]],TableMJRUADVDS[],7,FALSE),"")</f>
        <v/>
      </c>
      <c r="N37" s="102" t="str">
        <f>IFERROR(VLOOKUP(TableHandbook[[#This Row],[UDC]],TableMJRUANIGD[],7,FALSE),"")</f>
        <v/>
      </c>
      <c r="O37" s="102" t="str">
        <f>IFERROR(VLOOKUP(TableHandbook[[#This Row],[UDC]],TableMJRUDIGDE[],7,FALSE),"")</f>
        <v/>
      </c>
      <c r="P37" s="102" t="str">
        <f>IFERROR(VLOOKUP(TableHandbook[[#This Row],[UDC]],TableMJRUDINFB[],7,FALSE),"")</f>
        <v/>
      </c>
      <c r="Q37" s="102" t="str">
        <f>IFERROR(VLOOKUP(TableHandbook[[#This Row],[UDC]],TableMJRUFASHN[],7,FALSE),"")</f>
        <v/>
      </c>
      <c r="R37" s="102" t="str">
        <f>IFERROR(VLOOKUP(TableHandbook[[#This Row],[UDC]],TableMJRUGRPDS[],7,FALSE),"")</f>
        <v>Core</v>
      </c>
      <c r="S37" s="102" t="str">
        <f>IFERROR(VLOOKUP(TableHandbook[[#This Row],[UDC]],TableMJRUPHOTO[],7,FALSE),"")</f>
        <v/>
      </c>
      <c r="T37" s="121" t="str">
        <f>IFERROR(VLOOKUP(TableHandbook[[#This Row],[UDC]],TableSPUCANIGD[],7,FALSE),"")</f>
        <v/>
      </c>
      <c r="U37" s="102" t="str">
        <f>IFERROR(VLOOKUP(TableHandbook[[#This Row],[UDC]],TableSPUCCADES[],7,FALSE),"")</f>
        <v/>
      </c>
      <c r="V37" s="102" t="str">
        <f>IFERROR(VLOOKUP(TableHandbook[[#This Row],[UDC]],TableSPUCDIGDE[],7,FALSE),"")</f>
        <v/>
      </c>
      <c r="W37" s="102" t="str">
        <f>IFERROR(VLOOKUP(TableHandbook[[#This Row],[UDC]],TableSPUCFASHN[],7,FALSE),"")</f>
        <v/>
      </c>
      <c r="X37" s="102" t="str">
        <f>IFERROR(VLOOKUP(TableHandbook[[#This Row],[UDC]],TableSPUCFSHMK[],7,FALSE),"")</f>
        <v/>
      </c>
      <c r="Y37" s="102" t="str">
        <f>IFERROR(VLOOKUP(TableHandbook[[#This Row],[UDC]],TableSPUCGRPDS[],7,FALSE),"")</f>
        <v>Core</v>
      </c>
      <c r="Z37" s="102" t="str">
        <f>IFERROR(VLOOKUP(TableHandbook[[#This Row],[UDC]],TableSPUCILLUS[],7,FALSE),"")</f>
        <v/>
      </c>
      <c r="AA37" s="102" t="str">
        <f>IFERROR(VLOOKUP(TableHandbook[[#This Row],[UDC]],TableSPUCPHOTO[],7,FALSE),"")</f>
        <v/>
      </c>
    </row>
    <row r="38" spans="1:27" x14ac:dyDescent="0.25">
      <c r="A38" t="s">
        <v>77</v>
      </c>
      <c r="B38" s="2">
        <v>1</v>
      </c>
      <c r="D38" t="s">
        <v>318</v>
      </c>
      <c r="E38" s="2">
        <v>25</v>
      </c>
      <c r="F38" s="106" t="s">
        <v>286</v>
      </c>
      <c r="G38" s="99" t="str">
        <f>IFERROR(IF(VLOOKUP(TableHandbook[[#This Row],[UDC]],TableAvailabilities[],2,FALSE)&gt;0,"Y",""),"")</f>
        <v>Y</v>
      </c>
      <c r="H38" s="99" t="str">
        <f>IFERROR(IF(VLOOKUP(TableHandbook[[#This Row],[UDC]],TableAvailabilities[],3,FALSE)&gt;0,"Y",""),"")</f>
        <v/>
      </c>
      <c r="I38" s="99" t="str">
        <f>IFERROR(IF(VLOOKUP(TableHandbook[[#This Row],[UDC]],TableAvailabilities[],4,FALSE)&gt;0,"Y",""),"")</f>
        <v>Y</v>
      </c>
      <c r="J38" s="99" t="str">
        <f>IFERROR(IF(VLOOKUP(TableHandbook[[#This Row],[UDC]],TableAvailabilities[],5,FALSE)&gt;0,"Y",""),"")</f>
        <v/>
      </c>
      <c r="K38" s="120"/>
      <c r="L38" s="102" t="str">
        <f>IFERROR(VLOOKUP(TableHandbook[[#This Row],[UDC]],TableBDESIGN[],7,FALSE),"")</f>
        <v/>
      </c>
      <c r="M38" s="121" t="str">
        <f>IFERROR(VLOOKUP(TableHandbook[[#This Row],[UDC]],TableMJRUADVDS[],7,FALSE),"")</f>
        <v>Core</v>
      </c>
      <c r="N38" s="102" t="str">
        <f>IFERROR(VLOOKUP(TableHandbook[[#This Row],[UDC]],TableMJRUANIGD[],7,FALSE),"")</f>
        <v/>
      </c>
      <c r="O38" s="102" t="str">
        <f>IFERROR(VLOOKUP(TableHandbook[[#This Row],[UDC]],TableMJRUDIGDE[],7,FALSE),"")</f>
        <v/>
      </c>
      <c r="P38" s="102" t="str">
        <f>IFERROR(VLOOKUP(TableHandbook[[#This Row],[UDC]],TableMJRUDINFB[],7,FALSE),"")</f>
        <v/>
      </c>
      <c r="Q38" s="102" t="str">
        <f>IFERROR(VLOOKUP(TableHandbook[[#This Row],[UDC]],TableMJRUFASHN[],7,FALSE),"")</f>
        <v/>
      </c>
      <c r="R38" s="102" t="str">
        <f>IFERROR(VLOOKUP(TableHandbook[[#This Row],[UDC]],TableMJRUGRPDS[],7,FALSE),"")</f>
        <v/>
      </c>
      <c r="S38" s="102" t="str">
        <f>IFERROR(VLOOKUP(TableHandbook[[#This Row],[UDC]],TableMJRUPHOTO[],7,FALSE),"")</f>
        <v/>
      </c>
      <c r="T38" s="121" t="str">
        <f>IFERROR(VLOOKUP(TableHandbook[[#This Row],[UDC]],TableSPUCANIGD[],7,FALSE),"")</f>
        <v/>
      </c>
      <c r="U38" s="102" t="str">
        <f>IFERROR(VLOOKUP(TableHandbook[[#This Row],[UDC]],TableSPUCCADES[],7,FALSE),"")</f>
        <v>Core</v>
      </c>
      <c r="V38" s="102" t="str">
        <f>IFERROR(VLOOKUP(TableHandbook[[#This Row],[UDC]],TableSPUCDIGDE[],7,FALSE),"")</f>
        <v/>
      </c>
      <c r="W38" s="102" t="str">
        <f>IFERROR(VLOOKUP(TableHandbook[[#This Row],[UDC]],TableSPUCFASHN[],7,FALSE),"")</f>
        <v/>
      </c>
      <c r="X38" s="102" t="str">
        <f>IFERROR(VLOOKUP(TableHandbook[[#This Row],[UDC]],TableSPUCFSHMK[],7,FALSE),"")</f>
        <v/>
      </c>
      <c r="Y38" s="102" t="str">
        <f>IFERROR(VLOOKUP(TableHandbook[[#This Row],[UDC]],TableSPUCGRPDS[],7,FALSE),"")</f>
        <v/>
      </c>
      <c r="Z38" s="102" t="str">
        <f>IFERROR(VLOOKUP(TableHandbook[[#This Row],[UDC]],TableSPUCILLUS[],7,FALSE),"")</f>
        <v/>
      </c>
      <c r="AA38" s="102" t="str">
        <f>IFERROR(VLOOKUP(TableHandbook[[#This Row],[UDC]],TableSPUCPHOTO[],7,FALSE),"")</f>
        <v/>
      </c>
    </row>
    <row r="39" spans="1:27" x14ac:dyDescent="0.25">
      <c r="A39" t="s">
        <v>114</v>
      </c>
      <c r="B39" s="2">
        <v>1</v>
      </c>
      <c r="D39" t="s">
        <v>319</v>
      </c>
      <c r="E39" s="2">
        <v>25</v>
      </c>
      <c r="F39" s="106" t="s">
        <v>65</v>
      </c>
      <c r="G39" s="99" t="str">
        <f>IFERROR(IF(VLOOKUP(TableHandbook[[#This Row],[UDC]],TableAvailabilities[],2,FALSE)&gt;0,"Y",""),"")</f>
        <v>Y</v>
      </c>
      <c r="H39" s="99" t="str">
        <f>IFERROR(IF(VLOOKUP(TableHandbook[[#This Row],[UDC]],TableAvailabilities[],3,FALSE)&gt;0,"Y",""),"")</f>
        <v/>
      </c>
      <c r="I39" s="99" t="str">
        <f>IFERROR(IF(VLOOKUP(TableHandbook[[#This Row],[UDC]],TableAvailabilities[],4,FALSE)&gt;0,"Y",""),"")</f>
        <v>Y</v>
      </c>
      <c r="J39" s="99" t="str">
        <f>IFERROR(IF(VLOOKUP(TableHandbook[[#This Row],[UDC]],TableAvailabilities[],5,FALSE)&gt;0,"Y",""),"")</f>
        <v/>
      </c>
      <c r="K39" s="120"/>
      <c r="L39" s="102" t="str">
        <f>IFERROR(VLOOKUP(TableHandbook[[#This Row],[UDC]],TableBDESIGN[],7,FALSE),"")</f>
        <v/>
      </c>
      <c r="M39" s="121" t="str">
        <f>IFERROR(VLOOKUP(TableHandbook[[#This Row],[UDC]],TableMJRUADVDS[],7,FALSE),"")</f>
        <v/>
      </c>
      <c r="N39" s="102" t="str">
        <f>IFERROR(VLOOKUP(TableHandbook[[#This Row],[UDC]],TableMJRUANIGD[],7,FALSE),"")</f>
        <v/>
      </c>
      <c r="O39" s="102" t="str">
        <f>IFERROR(VLOOKUP(TableHandbook[[#This Row],[UDC]],TableMJRUDIGDE[],7,FALSE),"")</f>
        <v/>
      </c>
      <c r="P39" s="102" t="str">
        <f>IFERROR(VLOOKUP(TableHandbook[[#This Row],[UDC]],TableMJRUDINFB[],7,FALSE),"")</f>
        <v/>
      </c>
      <c r="Q39" s="102" t="str">
        <f>IFERROR(VLOOKUP(TableHandbook[[#This Row],[UDC]],TableMJRUFASHN[],7,FALSE),"")</f>
        <v/>
      </c>
      <c r="R39" s="102" t="str">
        <f>IFERROR(VLOOKUP(TableHandbook[[#This Row],[UDC]],TableMJRUGRPDS[],7,FALSE),"")</f>
        <v>Core</v>
      </c>
      <c r="S39" s="102" t="str">
        <f>IFERROR(VLOOKUP(TableHandbook[[#This Row],[UDC]],TableMJRUPHOTO[],7,FALSE),"")</f>
        <v/>
      </c>
      <c r="T39" s="121" t="str">
        <f>IFERROR(VLOOKUP(TableHandbook[[#This Row],[UDC]],TableSPUCANIGD[],7,FALSE),"")</f>
        <v/>
      </c>
      <c r="U39" s="102" t="str">
        <f>IFERROR(VLOOKUP(TableHandbook[[#This Row],[UDC]],TableSPUCCADES[],7,FALSE),"")</f>
        <v/>
      </c>
      <c r="V39" s="102" t="str">
        <f>IFERROR(VLOOKUP(TableHandbook[[#This Row],[UDC]],TableSPUCDIGDE[],7,FALSE),"")</f>
        <v/>
      </c>
      <c r="W39" s="102" t="str">
        <f>IFERROR(VLOOKUP(TableHandbook[[#This Row],[UDC]],TableSPUCFASHN[],7,FALSE),"")</f>
        <v/>
      </c>
      <c r="X39" s="102" t="str">
        <f>IFERROR(VLOOKUP(TableHandbook[[#This Row],[UDC]],TableSPUCFSHMK[],7,FALSE),"")</f>
        <v/>
      </c>
      <c r="Y39" s="102" t="str">
        <f>IFERROR(VLOOKUP(TableHandbook[[#This Row],[UDC]],TableSPUCGRPDS[],7,FALSE),"")</f>
        <v/>
      </c>
      <c r="Z39" s="102" t="str">
        <f>IFERROR(VLOOKUP(TableHandbook[[#This Row],[UDC]],TableSPUCILLUS[],7,FALSE),"")</f>
        <v/>
      </c>
      <c r="AA39" s="102" t="str">
        <f>IFERROR(VLOOKUP(TableHandbook[[#This Row],[UDC]],TableSPUCPHOTO[],7,FALSE),"")</f>
        <v/>
      </c>
    </row>
    <row r="40" spans="1:27" x14ac:dyDescent="0.25">
      <c r="A40" t="s">
        <v>105</v>
      </c>
      <c r="B40" s="2">
        <v>2</v>
      </c>
      <c r="D40" t="s">
        <v>320</v>
      </c>
      <c r="E40" s="2">
        <v>25</v>
      </c>
      <c r="F40" s="106" t="s">
        <v>65</v>
      </c>
      <c r="G40" s="99" t="str">
        <f>IFERROR(IF(VLOOKUP(TableHandbook[[#This Row],[UDC]],TableAvailabilities[],2,FALSE)&gt;0,"Y",""),"")</f>
        <v>Y</v>
      </c>
      <c r="H40" s="99" t="str">
        <f>IFERROR(IF(VLOOKUP(TableHandbook[[#This Row],[UDC]],TableAvailabilities[],3,FALSE)&gt;0,"Y",""),"")</f>
        <v/>
      </c>
      <c r="I40" s="99" t="str">
        <f>IFERROR(IF(VLOOKUP(TableHandbook[[#This Row],[UDC]],TableAvailabilities[],4,FALSE)&gt;0,"Y",""),"")</f>
        <v/>
      </c>
      <c r="J40" s="99" t="str">
        <f>IFERROR(IF(VLOOKUP(TableHandbook[[#This Row],[UDC]],TableAvailabilities[],5,FALSE)&gt;0,"Y",""),"")</f>
        <v/>
      </c>
      <c r="K40" s="120"/>
      <c r="L40" s="102" t="str">
        <f>IFERROR(VLOOKUP(TableHandbook[[#This Row],[UDC]],TableBDESIGN[],7,FALSE),"")</f>
        <v/>
      </c>
      <c r="M40" s="121" t="str">
        <f>IFERROR(VLOOKUP(TableHandbook[[#This Row],[UDC]],TableMJRUADVDS[],7,FALSE),"")</f>
        <v/>
      </c>
      <c r="N40" s="102" t="str">
        <f>IFERROR(VLOOKUP(TableHandbook[[#This Row],[UDC]],TableMJRUANIGD[],7,FALSE),"")</f>
        <v/>
      </c>
      <c r="O40" s="102" t="str">
        <f>IFERROR(VLOOKUP(TableHandbook[[#This Row],[UDC]],TableMJRUDIGDE[],7,FALSE),"")</f>
        <v/>
      </c>
      <c r="P40" s="102" t="str">
        <f>IFERROR(VLOOKUP(TableHandbook[[#This Row],[UDC]],TableMJRUDINFB[],7,FALSE),"")</f>
        <v>Core</v>
      </c>
      <c r="Q40" s="102" t="str">
        <f>IFERROR(VLOOKUP(TableHandbook[[#This Row],[UDC]],TableMJRUFASHN[],7,FALSE),"")</f>
        <v/>
      </c>
      <c r="R40" s="102" t="str">
        <f>IFERROR(VLOOKUP(TableHandbook[[#This Row],[UDC]],TableMJRUGRPDS[],7,FALSE),"")</f>
        <v/>
      </c>
      <c r="S40" s="102" t="str">
        <f>IFERROR(VLOOKUP(TableHandbook[[#This Row],[UDC]],TableMJRUPHOTO[],7,FALSE),"")</f>
        <v/>
      </c>
      <c r="T40" s="121" t="str">
        <f>IFERROR(VLOOKUP(TableHandbook[[#This Row],[UDC]],TableSPUCANIGD[],7,FALSE),"")</f>
        <v/>
      </c>
      <c r="U40" s="102" t="str">
        <f>IFERROR(VLOOKUP(TableHandbook[[#This Row],[UDC]],TableSPUCCADES[],7,FALSE),"")</f>
        <v/>
      </c>
      <c r="V40" s="102" t="str">
        <f>IFERROR(VLOOKUP(TableHandbook[[#This Row],[UDC]],TableSPUCDIGDE[],7,FALSE),"")</f>
        <v/>
      </c>
      <c r="W40" s="102" t="str">
        <f>IFERROR(VLOOKUP(TableHandbook[[#This Row],[UDC]],TableSPUCFASHN[],7,FALSE),"")</f>
        <v/>
      </c>
      <c r="X40" s="102" t="str">
        <f>IFERROR(VLOOKUP(TableHandbook[[#This Row],[UDC]],TableSPUCFSHMK[],7,FALSE),"")</f>
        <v/>
      </c>
      <c r="Y40" s="102" t="str">
        <f>IFERROR(VLOOKUP(TableHandbook[[#This Row],[UDC]],TableSPUCGRPDS[],7,FALSE),"")</f>
        <v/>
      </c>
      <c r="Z40" s="102" t="str">
        <f>IFERROR(VLOOKUP(TableHandbook[[#This Row],[UDC]],TableSPUCILLUS[],7,FALSE),"")</f>
        <v/>
      </c>
      <c r="AA40" s="102" t="str">
        <f>IFERROR(VLOOKUP(TableHandbook[[#This Row],[UDC]],TableSPUCPHOTO[],7,FALSE),"")</f>
        <v/>
      </c>
    </row>
    <row r="41" spans="1:27" x14ac:dyDescent="0.25">
      <c r="A41" t="s">
        <v>135</v>
      </c>
      <c r="B41" s="2">
        <v>2</v>
      </c>
      <c r="D41" t="s">
        <v>321</v>
      </c>
      <c r="E41" s="2">
        <v>25</v>
      </c>
      <c r="F41" s="106" t="s">
        <v>322</v>
      </c>
      <c r="G41" s="99" t="str">
        <f>IFERROR(IF(VLOOKUP(TableHandbook[[#This Row],[UDC]],TableAvailabilities[],2,FALSE)&gt;0,"Y",""),"")</f>
        <v/>
      </c>
      <c r="H41" s="99" t="str">
        <f>IFERROR(IF(VLOOKUP(TableHandbook[[#This Row],[UDC]],TableAvailabilities[],3,FALSE)&gt;0,"Y",""),"")</f>
        <v/>
      </c>
      <c r="I41" s="99" t="str">
        <f>IFERROR(IF(VLOOKUP(TableHandbook[[#This Row],[UDC]],TableAvailabilities[],4,FALSE)&gt;0,"Y",""),"")</f>
        <v>Y</v>
      </c>
      <c r="J41" s="99" t="str">
        <f>IFERROR(IF(VLOOKUP(TableHandbook[[#This Row],[UDC]],TableAvailabilities[],5,FALSE)&gt;0,"Y",""),"")</f>
        <v/>
      </c>
      <c r="K41" s="120"/>
      <c r="L41" s="102" t="str">
        <f>IFERROR(VLOOKUP(TableHandbook[[#This Row],[UDC]],TableBDESIGN[],7,FALSE),"")</f>
        <v/>
      </c>
      <c r="M41" s="121" t="str">
        <f>IFERROR(VLOOKUP(TableHandbook[[#This Row],[UDC]],TableMJRUADVDS[],7,FALSE),"")</f>
        <v/>
      </c>
      <c r="N41" s="102" t="str">
        <f>IFERROR(VLOOKUP(TableHandbook[[#This Row],[UDC]],TableMJRUANIGD[],7,FALSE),"")</f>
        <v/>
      </c>
      <c r="O41" s="102" t="str">
        <f>IFERROR(VLOOKUP(TableHandbook[[#This Row],[UDC]],TableMJRUDIGDE[],7,FALSE),"")</f>
        <v/>
      </c>
      <c r="P41" s="102" t="str">
        <f>IFERROR(VLOOKUP(TableHandbook[[#This Row],[UDC]],TableMJRUDINFB[],7,FALSE),"")</f>
        <v>Core</v>
      </c>
      <c r="Q41" s="102" t="str">
        <f>IFERROR(VLOOKUP(TableHandbook[[#This Row],[UDC]],TableMJRUFASHN[],7,FALSE),"")</f>
        <v/>
      </c>
      <c r="R41" s="102" t="str">
        <f>IFERROR(VLOOKUP(TableHandbook[[#This Row],[UDC]],TableMJRUGRPDS[],7,FALSE),"")</f>
        <v/>
      </c>
      <c r="S41" s="102" t="str">
        <f>IFERROR(VLOOKUP(TableHandbook[[#This Row],[UDC]],TableMJRUPHOTO[],7,FALSE),"")</f>
        <v/>
      </c>
      <c r="T41" s="121" t="str">
        <f>IFERROR(VLOOKUP(TableHandbook[[#This Row],[UDC]],TableSPUCANIGD[],7,FALSE),"")</f>
        <v/>
      </c>
      <c r="U41" s="102" t="str">
        <f>IFERROR(VLOOKUP(TableHandbook[[#This Row],[UDC]],TableSPUCCADES[],7,FALSE),"")</f>
        <v/>
      </c>
      <c r="V41" s="102" t="str">
        <f>IFERROR(VLOOKUP(TableHandbook[[#This Row],[UDC]],TableSPUCDIGDE[],7,FALSE),"")</f>
        <v/>
      </c>
      <c r="W41" s="102" t="str">
        <f>IFERROR(VLOOKUP(TableHandbook[[#This Row],[UDC]],TableSPUCFASHN[],7,FALSE),"")</f>
        <v/>
      </c>
      <c r="X41" s="102" t="str">
        <f>IFERROR(VLOOKUP(TableHandbook[[#This Row],[UDC]],TableSPUCFSHMK[],7,FALSE),"")</f>
        <v/>
      </c>
      <c r="Y41" s="102" t="str">
        <f>IFERROR(VLOOKUP(TableHandbook[[#This Row],[UDC]],TableSPUCGRPDS[],7,FALSE),"")</f>
        <v/>
      </c>
      <c r="Z41" s="102" t="str">
        <f>IFERROR(VLOOKUP(TableHandbook[[#This Row],[UDC]],TableSPUCILLUS[],7,FALSE),"")</f>
        <v/>
      </c>
      <c r="AA41" s="102" t="str">
        <f>IFERROR(VLOOKUP(TableHandbook[[#This Row],[UDC]],TableSPUCPHOTO[],7,FALSE),"")</f>
        <v/>
      </c>
    </row>
    <row r="42" spans="1:27" x14ac:dyDescent="0.25">
      <c r="A42" t="s">
        <v>123</v>
      </c>
      <c r="B42" s="2">
        <v>2</v>
      </c>
      <c r="D42" t="s">
        <v>323</v>
      </c>
      <c r="E42" s="2">
        <v>25</v>
      </c>
      <c r="F42" s="106" t="s">
        <v>97</v>
      </c>
      <c r="G42" s="99" t="str">
        <f>IFERROR(IF(VLOOKUP(TableHandbook[[#This Row],[UDC]],TableAvailabilities[],2,FALSE)&gt;0,"Y",""),"")</f>
        <v/>
      </c>
      <c r="H42" s="99" t="str">
        <f>IFERROR(IF(VLOOKUP(TableHandbook[[#This Row],[UDC]],TableAvailabilities[],3,FALSE)&gt;0,"Y",""),"")</f>
        <v/>
      </c>
      <c r="I42" s="99" t="str">
        <f>IFERROR(IF(VLOOKUP(TableHandbook[[#This Row],[UDC]],TableAvailabilities[],4,FALSE)&gt;0,"Y",""),"")</f>
        <v>Y</v>
      </c>
      <c r="J42" s="99" t="str">
        <f>IFERROR(IF(VLOOKUP(TableHandbook[[#This Row],[UDC]],TableAvailabilities[],5,FALSE)&gt;0,"Y",""),"")</f>
        <v/>
      </c>
      <c r="K42" s="120"/>
      <c r="L42" s="102" t="str">
        <f>IFERROR(VLOOKUP(TableHandbook[[#This Row],[UDC]],TableBDESIGN[],7,FALSE),"")</f>
        <v/>
      </c>
      <c r="M42" s="121" t="str">
        <f>IFERROR(VLOOKUP(TableHandbook[[#This Row],[UDC]],TableMJRUADVDS[],7,FALSE),"")</f>
        <v/>
      </c>
      <c r="N42" s="102" t="str">
        <f>IFERROR(VLOOKUP(TableHandbook[[#This Row],[UDC]],TableMJRUANIGD[],7,FALSE),"")</f>
        <v/>
      </c>
      <c r="O42" s="102" t="str">
        <f>IFERROR(VLOOKUP(TableHandbook[[#This Row],[UDC]],TableMJRUDIGDE[],7,FALSE),"")</f>
        <v/>
      </c>
      <c r="P42" s="102" t="str">
        <f>IFERROR(VLOOKUP(TableHandbook[[#This Row],[UDC]],TableMJRUDINFB[],7,FALSE),"")</f>
        <v>Core</v>
      </c>
      <c r="Q42" s="102" t="str">
        <f>IFERROR(VLOOKUP(TableHandbook[[#This Row],[UDC]],TableMJRUFASHN[],7,FALSE),"")</f>
        <v/>
      </c>
      <c r="R42" s="102" t="str">
        <f>IFERROR(VLOOKUP(TableHandbook[[#This Row],[UDC]],TableMJRUGRPDS[],7,FALSE),"")</f>
        <v/>
      </c>
      <c r="S42" s="102" t="str">
        <f>IFERROR(VLOOKUP(TableHandbook[[#This Row],[UDC]],TableMJRUPHOTO[],7,FALSE),"")</f>
        <v/>
      </c>
      <c r="T42" s="121" t="str">
        <f>IFERROR(VLOOKUP(TableHandbook[[#This Row],[UDC]],TableSPUCANIGD[],7,FALSE),"")</f>
        <v/>
      </c>
      <c r="U42" s="102" t="str">
        <f>IFERROR(VLOOKUP(TableHandbook[[#This Row],[UDC]],TableSPUCCADES[],7,FALSE),"")</f>
        <v/>
      </c>
      <c r="V42" s="102" t="str">
        <f>IFERROR(VLOOKUP(TableHandbook[[#This Row],[UDC]],TableSPUCDIGDE[],7,FALSE),"")</f>
        <v/>
      </c>
      <c r="W42" s="102" t="str">
        <f>IFERROR(VLOOKUP(TableHandbook[[#This Row],[UDC]],TableSPUCFASHN[],7,FALSE),"")</f>
        <v/>
      </c>
      <c r="X42" s="102" t="str">
        <f>IFERROR(VLOOKUP(TableHandbook[[#This Row],[UDC]],TableSPUCFSHMK[],7,FALSE),"")</f>
        <v/>
      </c>
      <c r="Y42" s="102" t="str">
        <f>IFERROR(VLOOKUP(TableHandbook[[#This Row],[UDC]],TableSPUCGRPDS[],7,FALSE),"")</f>
        <v/>
      </c>
      <c r="Z42" s="102" t="str">
        <f>IFERROR(VLOOKUP(TableHandbook[[#This Row],[UDC]],TableSPUCILLUS[],7,FALSE),"")</f>
        <v/>
      </c>
      <c r="AA42" s="102" t="str">
        <f>IFERROR(VLOOKUP(TableHandbook[[#This Row],[UDC]],TableSPUCPHOTO[],7,FALSE),"")</f>
        <v/>
      </c>
    </row>
    <row r="43" spans="1:27" x14ac:dyDescent="0.25">
      <c r="A43" t="s">
        <v>153</v>
      </c>
      <c r="B43" s="2">
        <v>1</v>
      </c>
      <c r="D43" t="s">
        <v>324</v>
      </c>
      <c r="E43" s="2">
        <v>25</v>
      </c>
      <c r="F43" s="106" t="s">
        <v>99</v>
      </c>
      <c r="G43" s="99" t="str">
        <f>IFERROR(IF(VLOOKUP(TableHandbook[[#This Row],[UDC]],TableAvailabilities[],2,FALSE)&gt;0,"Y",""),"")</f>
        <v>Y</v>
      </c>
      <c r="H43" s="99" t="str">
        <f>IFERROR(IF(VLOOKUP(TableHandbook[[#This Row],[UDC]],TableAvailabilities[],3,FALSE)&gt;0,"Y",""),"")</f>
        <v/>
      </c>
      <c r="I43" s="99" t="str">
        <f>IFERROR(IF(VLOOKUP(TableHandbook[[#This Row],[UDC]],TableAvailabilities[],4,FALSE)&gt;0,"Y",""),"")</f>
        <v>Y</v>
      </c>
      <c r="J43" s="99" t="str">
        <f>IFERROR(IF(VLOOKUP(TableHandbook[[#This Row],[UDC]],TableAvailabilities[],5,FALSE)&gt;0,"Y",""),"")</f>
        <v/>
      </c>
      <c r="K43" s="120"/>
      <c r="L43" s="102" t="str">
        <f>IFERROR(VLOOKUP(TableHandbook[[#This Row],[UDC]],TableBDESIGN[],7,FALSE),"")</f>
        <v/>
      </c>
      <c r="M43" s="121" t="str">
        <f>IFERROR(VLOOKUP(TableHandbook[[#This Row],[UDC]],TableMJRUADVDS[],7,FALSE),"")</f>
        <v/>
      </c>
      <c r="N43" s="102" t="str">
        <f>IFERROR(VLOOKUP(TableHandbook[[#This Row],[UDC]],TableMJRUANIGD[],7,FALSE),"")</f>
        <v/>
      </c>
      <c r="O43" s="102" t="str">
        <f>IFERROR(VLOOKUP(TableHandbook[[#This Row],[UDC]],TableMJRUDIGDE[],7,FALSE),"")</f>
        <v/>
      </c>
      <c r="P43" s="102" t="str">
        <f>IFERROR(VLOOKUP(TableHandbook[[#This Row],[UDC]],TableMJRUDINFB[],7,FALSE),"")</f>
        <v/>
      </c>
      <c r="Q43" s="102" t="str">
        <f>IFERROR(VLOOKUP(TableHandbook[[#This Row],[UDC]],TableMJRUFASHN[],7,FALSE),"")</f>
        <v/>
      </c>
      <c r="R43" s="102" t="str">
        <f>IFERROR(VLOOKUP(TableHandbook[[#This Row],[UDC]],TableMJRUGRPDS[],7,FALSE),"")</f>
        <v>Core</v>
      </c>
      <c r="S43" s="102" t="str">
        <f>IFERROR(VLOOKUP(TableHandbook[[#This Row],[UDC]],TableMJRUPHOTO[],7,FALSE),"")</f>
        <v/>
      </c>
      <c r="T43" s="121" t="str">
        <f>IFERROR(VLOOKUP(TableHandbook[[#This Row],[UDC]],TableSPUCANIGD[],7,FALSE),"")</f>
        <v/>
      </c>
      <c r="U43" s="102" t="str">
        <f>IFERROR(VLOOKUP(TableHandbook[[#This Row],[UDC]],TableSPUCCADES[],7,FALSE),"")</f>
        <v/>
      </c>
      <c r="V43" s="102" t="str">
        <f>IFERROR(VLOOKUP(TableHandbook[[#This Row],[UDC]],TableSPUCDIGDE[],7,FALSE),"")</f>
        <v/>
      </c>
      <c r="W43" s="102" t="str">
        <f>IFERROR(VLOOKUP(TableHandbook[[#This Row],[UDC]],TableSPUCFASHN[],7,FALSE),"")</f>
        <v/>
      </c>
      <c r="X43" s="102" t="str">
        <f>IFERROR(VLOOKUP(TableHandbook[[#This Row],[UDC]],TableSPUCFSHMK[],7,FALSE),"")</f>
        <v/>
      </c>
      <c r="Y43" s="102" t="str">
        <f>IFERROR(VLOOKUP(TableHandbook[[#This Row],[UDC]],TableSPUCGRPDS[],7,FALSE),"")</f>
        <v>Core</v>
      </c>
      <c r="Z43" s="102" t="str">
        <f>IFERROR(VLOOKUP(TableHandbook[[#This Row],[UDC]],TableSPUCILLUS[],7,FALSE),"")</f>
        <v/>
      </c>
      <c r="AA43" s="102" t="str">
        <f>IFERROR(VLOOKUP(TableHandbook[[#This Row],[UDC]],TableSPUCPHOTO[],7,FALSE),"")</f>
        <v/>
      </c>
    </row>
    <row r="44" spans="1:27" x14ac:dyDescent="0.25">
      <c r="A44" t="s">
        <v>231</v>
      </c>
      <c r="B44" s="2">
        <v>3</v>
      </c>
      <c r="D44" t="s">
        <v>325</v>
      </c>
      <c r="E44" s="2">
        <v>25</v>
      </c>
      <c r="F44" s="106" t="s">
        <v>286</v>
      </c>
      <c r="G44" s="99" t="str">
        <f>IFERROR(IF(VLOOKUP(TableHandbook[[#This Row],[UDC]],TableAvailabilities[],2,FALSE)&gt;0,"Y",""),"")</f>
        <v/>
      </c>
      <c r="H44" s="99" t="str">
        <f>IFERROR(IF(VLOOKUP(TableHandbook[[#This Row],[UDC]],TableAvailabilities[],3,FALSE)&gt;0,"Y",""),"")</f>
        <v/>
      </c>
      <c r="I44" s="99" t="str">
        <f>IFERROR(IF(VLOOKUP(TableHandbook[[#This Row],[UDC]],TableAvailabilities[],4,FALSE)&gt;0,"Y",""),"")</f>
        <v>Y</v>
      </c>
      <c r="J44" s="99" t="str">
        <f>IFERROR(IF(VLOOKUP(TableHandbook[[#This Row],[UDC]],TableAvailabilities[],5,FALSE)&gt;0,"Y",""),"")</f>
        <v/>
      </c>
      <c r="K44" s="120"/>
      <c r="L44" s="102" t="str">
        <f>IFERROR(VLOOKUP(TableHandbook[[#This Row],[UDC]],TableBDESIGN[],7,FALSE),"")</f>
        <v/>
      </c>
      <c r="M44" s="121" t="str">
        <f>IFERROR(VLOOKUP(TableHandbook[[#This Row],[UDC]],TableMJRUADVDS[],7,FALSE),"")</f>
        <v/>
      </c>
      <c r="N44" s="102" t="str">
        <f>IFERROR(VLOOKUP(TableHandbook[[#This Row],[UDC]],TableMJRUANIGD[],7,FALSE),"")</f>
        <v/>
      </c>
      <c r="O44" s="102" t="str">
        <f>IFERROR(VLOOKUP(TableHandbook[[#This Row],[UDC]],TableMJRUDIGDE[],7,FALSE),"")</f>
        <v/>
      </c>
      <c r="P44" s="102" t="str">
        <f>IFERROR(VLOOKUP(TableHandbook[[#This Row],[UDC]],TableMJRUDINFB[],7,FALSE),"")</f>
        <v/>
      </c>
      <c r="Q44" s="102" t="str">
        <f>IFERROR(VLOOKUP(TableHandbook[[#This Row],[UDC]],TableMJRUFASHN[],7,FALSE),"")</f>
        <v/>
      </c>
      <c r="R44" s="102" t="str">
        <f>IFERROR(VLOOKUP(TableHandbook[[#This Row],[UDC]],TableMJRUGRPDS[],7,FALSE),"")</f>
        <v/>
      </c>
      <c r="S44" s="102" t="str">
        <f>IFERROR(VLOOKUP(TableHandbook[[#This Row],[UDC]],TableMJRUPHOTO[],7,FALSE),"")</f>
        <v/>
      </c>
      <c r="T44" s="121" t="str">
        <f>IFERROR(VLOOKUP(TableHandbook[[#This Row],[UDC]],TableSPUCANIGD[],7,FALSE),"")</f>
        <v/>
      </c>
      <c r="U44" s="102" t="str">
        <f>IFERROR(VLOOKUP(TableHandbook[[#This Row],[UDC]],TableSPUCCADES[],7,FALSE),"")</f>
        <v/>
      </c>
      <c r="V44" s="102" t="str">
        <f>IFERROR(VLOOKUP(TableHandbook[[#This Row],[UDC]],TableSPUCDIGDE[],7,FALSE),"")</f>
        <v/>
      </c>
      <c r="W44" s="102" t="str">
        <f>IFERROR(VLOOKUP(TableHandbook[[#This Row],[UDC]],TableSPUCFASHN[],7,FALSE),"")</f>
        <v/>
      </c>
      <c r="X44" s="102" t="str">
        <f>IFERROR(VLOOKUP(TableHandbook[[#This Row],[UDC]],TableSPUCFSHMK[],7,FALSE),"")</f>
        <v/>
      </c>
      <c r="Y44" s="102" t="str">
        <f>IFERROR(VLOOKUP(TableHandbook[[#This Row],[UDC]],TableSPUCGRPDS[],7,FALSE),"")</f>
        <v>AltCore</v>
      </c>
      <c r="Z44" s="102" t="str">
        <f>IFERROR(VLOOKUP(TableHandbook[[#This Row],[UDC]],TableSPUCILLUS[],7,FALSE),"")</f>
        <v/>
      </c>
      <c r="AA44" s="102" t="str">
        <f>IFERROR(VLOOKUP(TableHandbook[[#This Row],[UDC]],TableSPUCPHOTO[],7,FALSE),"")</f>
        <v/>
      </c>
    </row>
    <row r="45" spans="1:27" x14ac:dyDescent="0.25">
      <c r="A45" t="s">
        <v>113</v>
      </c>
      <c r="B45" s="2">
        <v>1</v>
      </c>
      <c r="D45" t="s">
        <v>326</v>
      </c>
      <c r="E45" s="2">
        <v>25</v>
      </c>
      <c r="F45" s="106" t="s">
        <v>65</v>
      </c>
      <c r="G45" s="99" t="str">
        <f>IFERROR(IF(VLOOKUP(TableHandbook[[#This Row],[UDC]],TableAvailabilities[],2,FALSE)&gt;0,"Y",""),"")</f>
        <v/>
      </c>
      <c r="H45" s="99" t="str">
        <f>IFERROR(IF(VLOOKUP(TableHandbook[[#This Row],[UDC]],TableAvailabilities[],3,FALSE)&gt;0,"Y",""),"")</f>
        <v/>
      </c>
      <c r="I45" s="99" t="str">
        <f>IFERROR(IF(VLOOKUP(TableHandbook[[#This Row],[UDC]],TableAvailabilities[],4,FALSE)&gt;0,"Y",""),"")</f>
        <v>Y</v>
      </c>
      <c r="J45" s="99" t="str">
        <f>IFERROR(IF(VLOOKUP(TableHandbook[[#This Row],[UDC]],TableAvailabilities[],5,FALSE)&gt;0,"Y",""),"")</f>
        <v/>
      </c>
      <c r="K45" s="120"/>
      <c r="L45" s="102" t="str">
        <f>IFERROR(VLOOKUP(TableHandbook[[#This Row],[UDC]],TableBDESIGN[],7,FALSE),"")</f>
        <v/>
      </c>
      <c r="M45" s="121" t="str">
        <f>IFERROR(VLOOKUP(TableHandbook[[#This Row],[UDC]],TableMJRUADVDS[],7,FALSE),"")</f>
        <v>Core</v>
      </c>
      <c r="N45" s="102" t="str">
        <f>IFERROR(VLOOKUP(TableHandbook[[#This Row],[UDC]],TableMJRUANIGD[],7,FALSE),"")</f>
        <v/>
      </c>
      <c r="O45" s="102" t="str">
        <f>IFERROR(VLOOKUP(TableHandbook[[#This Row],[UDC]],TableMJRUDIGDE[],7,FALSE),"")</f>
        <v/>
      </c>
      <c r="P45" s="102" t="str">
        <f>IFERROR(VLOOKUP(TableHandbook[[#This Row],[UDC]],TableMJRUDINFB[],7,FALSE),"")</f>
        <v/>
      </c>
      <c r="Q45" s="102" t="str">
        <f>IFERROR(VLOOKUP(TableHandbook[[#This Row],[UDC]],TableMJRUFASHN[],7,FALSE),"")</f>
        <v/>
      </c>
      <c r="R45" s="102" t="str">
        <f>IFERROR(VLOOKUP(TableHandbook[[#This Row],[UDC]],TableMJRUGRPDS[],7,FALSE),"")</f>
        <v/>
      </c>
      <c r="S45" s="102" t="str">
        <f>IFERROR(VLOOKUP(TableHandbook[[#This Row],[UDC]],TableMJRUPHOTO[],7,FALSE),"")</f>
        <v/>
      </c>
      <c r="T45" s="121" t="str">
        <f>IFERROR(VLOOKUP(TableHandbook[[#This Row],[UDC]],TableSPUCANIGD[],7,FALSE),"")</f>
        <v/>
      </c>
      <c r="U45" s="102" t="str">
        <f>IFERROR(VLOOKUP(TableHandbook[[#This Row],[UDC]],TableSPUCCADES[],7,FALSE),"")</f>
        <v>Core</v>
      </c>
      <c r="V45" s="102" t="str">
        <f>IFERROR(VLOOKUP(TableHandbook[[#This Row],[UDC]],TableSPUCDIGDE[],7,FALSE),"")</f>
        <v/>
      </c>
      <c r="W45" s="102" t="str">
        <f>IFERROR(VLOOKUP(TableHandbook[[#This Row],[UDC]],TableSPUCFASHN[],7,FALSE),"")</f>
        <v/>
      </c>
      <c r="X45" s="102" t="str">
        <f>IFERROR(VLOOKUP(TableHandbook[[#This Row],[UDC]],TableSPUCFSHMK[],7,FALSE),"")</f>
        <v/>
      </c>
      <c r="Y45" s="102" t="str">
        <f>IFERROR(VLOOKUP(TableHandbook[[#This Row],[UDC]],TableSPUCGRPDS[],7,FALSE),"")</f>
        <v/>
      </c>
      <c r="Z45" s="102" t="str">
        <f>IFERROR(VLOOKUP(TableHandbook[[#This Row],[UDC]],TableSPUCILLUS[],7,FALSE),"")</f>
        <v/>
      </c>
      <c r="AA45" s="102" t="str">
        <f>IFERROR(VLOOKUP(TableHandbook[[#This Row],[UDC]],TableSPUCPHOTO[],7,FALSE),"")</f>
        <v/>
      </c>
    </row>
    <row r="46" spans="1:27" x14ac:dyDescent="0.25">
      <c r="A46" t="s">
        <v>104</v>
      </c>
      <c r="B46" s="2">
        <v>2</v>
      </c>
      <c r="D46" t="s">
        <v>327</v>
      </c>
      <c r="E46" s="2">
        <v>25</v>
      </c>
      <c r="F46" s="106" t="s">
        <v>328</v>
      </c>
      <c r="G46" s="99" t="str">
        <f>IFERROR(IF(VLOOKUP(TableHandbook[[#This Row],[UDC]],TableAvailabilities[],2,FALSE)&gt;0,"Y",""),"")</f>
        <v>Y</v>
      </c>
      <c r="H46" s="99" t="str">
        <f>IFERROR(IF(VLOOKUP(TableHandbook[[#This Row],[UDC]],TableAvailabilities[],3,FALSE)&gt;0,"Y",""),"")</f>
        <v/>
      </c>
      <c r="I46" s="99" t="str">
        <f>IFERROR(IF(VLOOKUP(TableHandbook[[#This Row],[UDC]],TableAvailabilities[],4,FALSE)&gt;0,"Y",""),"")</f>
        <v/>
      </c>
      <c r="J46" s="99" t="str">
        <f>IFERROR(IF(VLOOKUP(TableHandbook[[#This Row],[UDC]],TableAvailabilities[],5,FALSE)&gt;0,"Y",""),"")</f>
        <v/>
      </c>
      <c r="K46" s="120"/>
      <c r="L46" s="102" t="str">
        <f>IFERROR(VLOOKUP(TableHandbook[[#This Row],[UDC]],TableBDESIGN[],7,FALSE),"")</f>
        <v/>
      </c>
      <c r="M46" s="121" t="str">
        <f>IFERROR(VLOOKUP(TableHandbook[[#This Row],[UDC]],TableMJRUADVDS[],7,FALSE),"")</f>
        <v/>
      </c>
      <c r="N46" s="102" t="str">
        <f>IFERROR(VLOOKUP(TableHandbook[[#This Row],[UDC]],TableMJRUANIGD[],7,FALSE),"")</f>
        <v/>
      </c>
      <c r="O46" s="102" t="str">
        <f>IFERROR(VLOOKUP(TableHandbook[[#This Row],[UDC]],TableMJRUDIGDE[],7,FALSE),"")</f>
        <v>Core</v>
      </c>
      <c r="P46" s="102" t="str">
        <f>IFERROR(VLOOKUP(TableHandbook[[#This Row],[UDC]],TableMJRUDINFB[],7,FALSE),"")</f>
        <v/>
      </c>
      <c r="Q46" s="102" t="str">
        <f>IFERROR(VLOOKUP(TableHandbook[[#This Row],[UDC]],TableMJRUFASHN[],7,FALSE),"")</f>
        <v/>
      </c>
      <c r="R46" s="102" t="str">
        <f>IFERROR(VLOOKUP(TableHandbook[[#This Row],[UDC]],TableMJRUGRPDS[],7,FALSE),"")</f>
        <v/>
      </c>
      <c r="S46" s="102" t="str">
        <f>IFERROR(VLOOKUP(TableHandbook[[#This Row],[UDC]],TableMJRUPHOTO[],7,FALSE),"")</f>
        <v/>
      </c>
      <c r="T46" s="121" t="str">
        <f>IFERROR(VLOOKUP(TableHandbook[[#This Row],[UDC]],TableSPUCANIGD[],7,FALSE),"")</f>
        <v/>
      </c>
      <c r="U46" s="102" t="str">
        <f>IFERROR(VLOOKUP(TableHandbook[[#This Row],[UDC]],TableSPUCCADES[],7,FALSE),"")</f>
        <v/>
      </c>
      <c r="V46" s="102" t="str">
        <f>IFERROR(VLOOKUP(TableHandbook[[#This Row],[UDC]],TableSPUCDIGDE[],7,FALSE),"")</f>
        <v>Core</v>
      </c>
      <c r="W46" s="102" t="str">
        <f>IFERROR(VLOOKUP(TableHandbook[[#This Row],[UDC]],TableSPUCFASHN[],7,FALSE),"")</f>
        <v/>
      </c>
      <c r="X46" s="102" t="str">
        <f>IFERROR(VLOOKUP(TableHandbook[[#This Row],[UDC]],TableSPUCFSHMK[],7,FALSE),"")</f>
        <v/>
      </c>
      <c r="Y46" s="102" t="str">
        <f>IFERROR(VLOOKUP(TableHandbook[[#This Row],[UDC]],TableSPUCGRPDS[],7,FALSE),"")</f>
        <v/>
      </c>
      <c r="Z46" s="102" t="str">
        <f>IFERROR(VLOOKUP(TableHandbook[[#This Row],[UDC]],TableSPUCILLUS[],7,FALSE),"")</f>
        <v/>
      </c>
      <c r="AA46" s="102" t="str">
        <f>IFERROR(VLOOKUP(TableHandbook[[#This Row],[UDC]],TableSPUCPHOTO[],7,FALSE),"")</f>
        <v/>
      </c>
    </row>
    <row r="47" spans="1:27" x14ac:dyDescent="0.25">
      <c r="A47" t="s">
        <v>134</v>
      </c>
      <c r="B47" s="2">
        <v>3</v>
      </c>
      <c r="D47" t="s">
        <v>329</v>
      </c>
      <c r="E47" s="2">
        <v>25</v>
      </c>
      <c r="F47" s="106" t="s">
        <v>104</v>
      </c>
      <c r="G47" s="99" t="str">
        <f>IFERROR(IF(VLOOKUP(TableHandbook[[#This Row],[UDC]],TableAvailabilities[],2,FALSE)&gt;0,"Y",""),"")</f>
        <v/>
      </c>
      <c r="H47" s="99" t="str">
        <f>IFERROR(IF(VLOOKUP(TableHandbook[[#This Row],[UDC]],TableAvailabilities[],3,FALSE)&gt;0,"Y",""),"")</f>
        <v/>
      </c>
      <c r="I47" s="99" t="str">
        <f>IFERROR(IF(VLOOKUP(TableHandbook[[#This Row],[UDC]],TableAvailabilities[],4,FALSE)&gt;0,"Y",""),"")</f>
        <v>Y</v>
      </c>
      <c r="J47" s="99" t="str">
        <f>IFERROR(IF(VLOOKUP(TableHandbook[[#This Row],[UDC]],TableAvailabilities[],5,FALSE)&gt;0,"Y",""),"")</f>
        <v/>
      </c>
      <c r="K47" s="120"/>
      <c r="L47" s="102" t="str">
        <f>IFERROR(VLOOKUP(TableHandbook[[#This Row],[UDC]],TableBDESIGN[],7,FALSE),"")</f>
        <v/>
      </c>
      <c r="M47" s="121" t="str">
        <f>IFERROR(VLOOKUP(TableHandbook[[#This Row],[UDC]],TableMJRUADVDS[],7,FALSE),"")</f>
        <v/>
      </c>
      <c r="N47" s="102" t="str">
        <f>IFERROR(VLOOKUP(TableHandbook[[#This Row],[UDC]],TableMJRUANIGD[],7,FALSE),"")</f>
        <v/>
      </c>
      <c r="O47" s="102" t="str">
        <f>IFERROR(VLOOKUP(TableHandbook[[#This Row],[UDC]],TableMJRUDIGDE[],7,FALSE),"")</f>
        <v>Core</v>
      </c>
      <c r="P47" s="102" t="str">
        <f>IFERROR(VLOOKUP(TableHandbook[[#This Row],[UDC]],TableMJRUDINFB[],7,FALSE),"")</f>
        <v/>
      </c>
      <c r="Q47" s="102" t="str">
        <f>IFERROR(VLOOKUP(TableHandbook[[#This Row],[UDC]],TableMJRUFASHN[],7,FALSE),"")</f>
        <v/>
      </c>
      <c r="R47" s="102" t="str">
        <f>IFERROR(VLOOKUP(TableHandbook[[#This Row],[UDC]],TableMJRUGRPDS[],7,FALSE),"")</f>
        <v/>
      </c>
      <c r="S47" s="102" t="str">
        <f>IFERROR(VLOOKUP(TableHandbook[[#This Row],[UDC]],TableMJRUPHOTO[],7,FALSE),"")</f>
        <v/>
      </c>
      <c r="T47" s="121" t="str">
        <f>IFERROR(VLOOKUP(TableHandbook[[#This Row],[UDC]],TableSPUCANIGD[],7,FALSE),"")</f>
        <v/>
      </c>
      <c r="U47" s="102" t="str">
        <f>IFERROR(VLOOKUP(TableHandbook[[#This Row],[UDC]],TableSPUCCADES[],7,FALSE),"")</f>
        <v/>
      </c>
      <c r="V47" s="102" t="str">
        <f>IFERROR(VLOOKUP(TableHandbook[[#This Row],[UDC]],TableSPUCDIGDE[],7,FALSE),"")</f>
        <v>Core</v>
      </c>
      <c r="W47" s="102" t="str">
        <f>IFERROR(VLOOKUP(TableHandbook[[#This Row],[UDC]],TableSPUCFASHN[],7,FALSE),"")</f>
        <v/>
      </c>
      <c r="X47" s="102" t="str">
        <f>IFERROR(VLOOKUP(TableHandbook[[#This Row],[UDC]],TableSPUCFSHMK[],7,FALSE),"")</f>
        <v/>
      </c>
      <c r="Y47" s="102" t="str">
        <f>IFERROR(VLOOKUP(TableHandbook[[#This Row],[UDC]],TableSPUCGRPDS[],7,FALSE),"")</f>
        <v/>
      </c>
      <c r="Z47" s="102" t="str">
        <f>IFERROR(VLOOKUP(TableHandbook[[#This Row],[UDC]],TableSPUCILLUS[],7,FALSE),"")</f>
        <v/>
      </c>
      <c r="AA47" s="102" t="str">
        <f>IFERROR(VLOOKUP(TableHandbook[[#This Row],[UDC]],TableSPUCPHOTO[],7,FALSE),"")</f>
        <v/>
      </c>
    </row>
    <row r="48" spans="1:27" x14ac:dyDescent="0.25">
      <c r="A48" t="s">
        <v>121</v>
      </c>
      <c r="B48" s="2">
        <v>1</v>
      </c>
      <c r="D48" t="s">
        <v>330</v>
      </c>
      <c r="E48" s="2">
        <v>25</v>
      </c>
      <c r="F48" s="106" t="s">
        <v>103</v>
      </c>
      <c r="G48" s="99" t="str">
        <f>IFERROR(IF(VLOOKUP(TableHandbook[[#This Row],[UDC]],TableAvailabilities[],2,FALSE)&gt;0,"Y",""),"")</f>
        <v/>
      </c>
      <c r="H48" s="99" t="str">
        <f>IFERROR(IF(VLOOKUP(TableHandbook[[#This Row],[UDC]],TableAvailabilities[],3,FALSE)&gt;0,"Y",""),"")</f>
        <v/>
      </c>
      <c r="I48" s="99" t="str">
        <f>IFERROR(IF(VLOOKUP(TableHandbook[[#This Row],[UDC]],TableAvailabilities[],4,FALSE)&gt;0,"Y",""),"")</f>
        <v>Y</v>
      </c>
      <c r="J48" s="99" t="str">
        <f>IFERROR(IF(VLOOKUP(TableHandbook[[#This Row],[UDC]],TableAvailabilities[],5,FALSE)&gt;0,"Y",""),"")</f>
        <v/>
      </c>
      <c r="K48" s="120"/>
      <c r="L48" s="102" t="str">
        <f>IFERROR(VLOOKUP(TableHandbook[[#This Row],[UDC]],TableBDESIGN[],7,FALSE),"")</f>
        <v/>
      </c>
      <c r="M48" s="121" t="str">
        <f>IFERROR(VLOOKUP(TableHandbook[[#This Row],[UDC]],TableMJRUADVDS[],7,FALSE),"")</f>
        <v/>
      </c>
      <c r="N48" s="102" t="str">
        <f>IFERROR(VLOOKUP(TableHandbook[[#This Row],[UDC]],TableMJRUANIGD[],7,FALSE),"")</f>
        <v>Core</v>
      </c>
      <c r="O48" s="102" t="str">
        <f>IFERROR(VLOOKUP(TableHandbook[[#This Row],[UDC]],TableMJRUDIGDE[],7,FALSE),"")</f>
        <v/>
      </c>
      <c r="P48" s="102" t="str">
        <f>IFERROR(VLOOKUP(TableHandbook[[#This Row],[UDC]],TableMJRUDINFB[],7,FALSE),"")</f>
        <v/>
      </c>
      <c r="Q48" s="102" t="str">
        <f>IFERROR(VLOOKUP(TableHandbook[[#This Row],[UDC]],TableMJRUFASHN[],7,FALSE),"")</f>
        <v/>
      </c>
      <c r="R48" s="102" t="str">
        <f>IFERROR(VLOOKUP(TableHandbook[[#This Row],[UDC]],TableMJRUGRPDS[],7,FALSE),"")</f>
        <v/>
      </c>
      <c r="S48" s="102" t="str">
        <f>IFERROR(VLOOKUP(TableHandbook[[#This Row],[UDC]],TableMJRUPHOTO[],7,FALSE),"")</f>
        <v/>
      </c>
      <c r="T48" s="121" t="str">
        <f>IFERROR(VLOOKUP(TableHandbook[[#This Row],[UDC]],TableSPUCANIGD[],7,FALSE),"")</f>
        <v>Core</v>
      </c>
      <c r="U48" s="102" t="str">
        <f>IFERROR(VLOOKUP(TableHandbook[[#This Row],[UDC]],TableSPUCCADES[],7,FALSE),"")</f>
        <v/>
      </c>
      <c r="V48" s="102" t="str">
        <f>IFERROR(VLOOKUP(TableHandbook[[#This Row],[UDC]],TableSPUCDIGDE[],7,FALSE),"")</f>
        <v/>
      </c>
      <c r="W48" s="102" t="str">
        <f>IFERROR(VLOOKUP(TableHandbook[[#This Row],[UDC]],TableSPUCFASHN[],7,FALSE),"")</f>
        <v/>
      </c>
      <c r="X48" s="102" t="str">
        <f>IFERROR(VLOOKUP(TableHandbook[[#This Row],[UDC]],TableSPUCFSHMK[],7,FALSE),"")</f>
        <v/>
      </c>
      <c r="Y48" s="102" t="str">
        <f>IFERROR(VLOOKUP(TableHandbook[[#This Row],[UDC]],TableSPUCGRPDS[],7,FALSE),"")</f>
        <v/>
      </c>
      <c r="Z48" s="102" t="str">
        <f>IFERROR(VLOOKUP(TableHandbook[[#This Row],[UDC]],TableSPUCILLUS[],7,FALSE),"")</f>
        <v/>
      </c>
      <c r="AA48" s="102" t="str">
        <f>IFERROR(VLOOKUP(TableHandbook[[#This Row],[UDC]],TableSPUCPHOTO[],7,FALSE),"")</f>
        <v/>
      </c>
    </row>
    <row r="49" spans="1:27" x14ac:dyDescent="0.25">
      <c r="A49" t="s">
        <v>126</v>
      </c>
      <c r="B49" s="2">
        <v>2</v>
      </c>
      <c r="D49" t="s">
        <v>331</v>
      </c>
      <c r="E49" s="2">
        <v>25</v>
      </c>
      <c r="F49" s="106" t="s">
        <v>286</v>
      </c>
      <c r="G49" s="99" t="str">
        <f>IFERROR(IF(VLOOKUP(TableHandbook[[#This Row],[UDC]],TableAvailabilities[],2,FALSE)&gt;0,"Y",""),"")</f>
        <v>Y</v>
      </c>
      <c r="H49" s="99" t="str">
        <f>IFERROR(IF(VLOOKUP(TableHandbook[[#This Row],[UDC]],TableAvailabilities[],3,FALSE)&gt;0,"Y",""),"")</f>
        <v/>
      </c>
      <c r="I49" s="99" t="str">
        <f>IFERROR(IF(VLOOKUP(TableHandbook[[#This Row],[UDC]],TableAvailabilities[],4,FALSE)&gt;0,"Y",""),"")</f>
        <v/>
      </c>
      <c r="J49" s="99" t="str">
        <f>IFERROR(IF(VLOOKUP(TableHandbook[[#This Row],[UDC]],TableAvailabilities[],5,FALSE)&gt;0,"Y",""),"")</f>
        <v/>
      </c>
      <c r="K49" s="120"/>
      <c r="L49" s="102" t="str">
        <f>IFERROR(VLOOKUP(TableHandbook[[#This Row],[UDC]],TableBDESIGN[],7,FALSE),"")</f>
        <v/>
      </c>
      <c r="M49" s="121" t="str">
        <f>IFERROR(VLOOKUP(TableHandbook[[#This Row],[UDC]],TableMJRUADVDS[],7,FALSE),"")</f>
        <v/>
      </c>
      <c r="N49" s="102" t="str">
        <f>IFERROR(VLOOKUP(TableHandbook[[#This Row],[UDC]],TableMJRUANIGD[],7,FALSE),"")</f>
        <v/>
      </c>
      <c r="O49" s="102" t="str">
        <f>IFERROR(VLOOKUP(TableHandbook[[#This Row],[UDC]],TableMJRUDIGDE[],7,FALSE),"")</f>
        <v/>
      </c>
      <c r="P49" s="102" t="str">
        <f>IFERROR(VLOOKUP(TableHandbook[[#This Row],[UDC]],TableMJRUDINFB[],7,FALSE),"")</f>
        <v/>
      </c>
      <c r="Q49" s="102" t="str">
        <f>IFERROR(VLOOKUP(TableHandbook[[#This Row],[UDC]],TableMJRUFASHN[],7,FALSE),"")</f>
        <v/>
      </c>
      <c r="R49" s="102" t="str">
        <f>IFERROR(VLOOKUP(TableHandbook[[#This Row],[UDC]],TableMJRUGRPDS[],7,FALSE),"")</f>
        <v/>
      </c>
      <c r="S49" s="102" t="str">
        <f>IFERROR(VLOOKUP(TableHandbook[[#This Row],[UDC]],TableMJRUPHOTO[],7,FALSE),"")</f>
        <v>Core</v>
      </c>
      <c r="T49" s="121" t="str">
        <f>IFERROR(VLOOKUP(TableHandbook[[#This Row],[UDC]],TableSPUCANIGD[],7,FALSE),"")</f>
        <v/>
      </c>
      <c r="U49" s="102" t="str">
        <f>IFERROR(VLOOKUP(TableHandbook[[#This Row],[UDC]],TableSPUCCADES[],7,FALSE),"")</f>
        <v/>
      </c>
      <c r="V49" s="102" t="str">
        <f>IFERROR(VLOOKUP(TableHandbook[[#This Row],[UDC]],TableSPUCDIGDE[],7,FALSE),"")</f>
        <v/>
      </c>
      <c r="W49" s="102" t="str">
        <f>IFERROR(VLOOKUP(TableHandbook[[#This Row],[UDC]],TableSPUCFASHN[],7,FALSE),"")</f>
        <v/>
      </c>
      <c r="X49" s="102" t="str">
        <f>IFERROR(VLOOKUP(TableHandbook[[#This Row],[UDC]],TableSPUCFSHMK[],7,FALSE),"")</f>
        <v/>
      </c>
      <c r="Y49" s="102" t="str">
        <f>IFERROR(VLOOKUP(TableHandbook[[#This Row],[UDC]],TableSPUCGRPDS[],7,FALSE),"")</f>
        <v/>
      </c>
      <c r="Z49" s="102" t="str">
        <f>IFERROR(VLOOKUP(TableHandbook[[#This Row],[UDC]],TableSPUCILLUS[],7,FALSE),"")</f>
        <v/>
      </c>
      <c r="AA49" s="102" t="str">
        <f>IFERROR(VLOOKUP(TableHandbook[[#This Row],[UDC]],TableSPUCPHOTO[],7,FALSE),"")</f>
        <v/>
      </c>
    </row>
    <row r="50" spans="1:27" ht="31.5" x14ac:dyDescent="0.25">
      <c r="A50" t="s">
        <v>214</v>
      </c>
      <c r="B50" s="2">
        <v>2</v>
      </c>
      <c r="D50" t="s">
        <v>332</v>
      </c>
      <c r="E50" s="2">
        <v>25</v>
      </c>
      <c r="F50" s="106" t="s">
        <v>207</v>
      </c>
      <c r="G50" s="99" t="str">
        <f>IFERROR(IF(VLOOKUP(TableHandbook[[#This Row],[UDC]],TableAvailabilities[],2,FALSE)&gt;0,"Y",""),"")</f>
        <v>Y</v>
      </c>
      <c r="H50" s="99" t="str">
        <f>IFERROR(IF(VLOOKUP(TableHandbook[[#This Row],[UDC]],TableAvailabilities[],3,FALSE)&gt;0,"Y",""),"")</f>
        <v/>
      </c>
      <c r="I50" s="99" t="str">
        <f>IFERROR(IF(VLOOKUP(TableHandbook[[#This Row],[UDC]],TableAvailabilities[],4,FALSE)&gt;0,"Y",""),"")</f>
        <v>Y</v>
      </c>
      <c r="J50" s="99" t="str">
        <f>IFERROR(IF(VLOOKUP(TableHandbook[[#This Row],[UDC]],TableAvailabilities[],5,FALSE)&gt;0,"Y",""),"")</f>
        <v/>
      </c>
      <c r="K50" s="120" t="s">
        <v>333</v>
      </c>
      <c r="L50" s="102" t="str">
        <f>IFERROR(VLOOKUP(TableHandbook[[#This Row],[UDC]],TableBDESIGN[],7,FALSE),"")</f>
        <v/>
      </c>
      <c r="M50" s="121" t="str">
        <f>IFERROR(VLOOKUP(TableHandbook[[#This Row],[UDC]],TableMJRUADVDS[],7,FALSE),"")</f>
        <v/>
      </c>
      <c r="N50" s="102" t="str">
        <f>IFERROR(VLOOKUP(TableHandbook[[#This Row],[UDC]],TableMJRUANIGD[],7,FALSE),"")</f>
        <v/>
      </c>
      <c r="O50" s="102" t="str">
        <f>IFERROR(VLOOKUP(TableHandbook[[#This Row],[UDC]],TableMJRUDIGDE[],7,FALSE),"")</f>
        <v/>
      </c>
      <c r="P50" s="102" t="str">
        <f>IFERROR(VLOOKUP(TableHandbook[[#This Row],[UDC]],TableMJRUDINFB[],7,FALSE),"")</f>
        <v/>
      </c>
      <c r="Q50" s="102" t="str">
        <f>IFERROR(VLOOKUP(TableHandbook[[#This Row],[UDC]],TableMJRUFASHN[],7,FALSE),"")</f>
        <v/>
      </c>
      <c r="R50" s="102" t="str">
        <f>IFERROR(VLOOKUP(TableHandbook[[#This Row],[UDC]],TableMJRUGRPDS[],7,FALSE),"")</f>
        <v/>
      </c>
      <c r="S50" s="102" t="str">
        <f>IFERROR(VLOOKUP(TableHandbook[[#This Row],[UDC]],TableMJRUPHOTO[],7,FALSE),"")</f>
        <v/>
      </c>
      <c r="T50" s="121" t="str">
        <f>IFERROR(VLOOKUP(TableHandbook[[#This Row],[UDC]],TableSPUCANIGD[],7,FALSE),"")</f>
        <v/>
      </c>
      <c r="U50" s="102" t="str">
        <f>IFERROR(VLOOKUP(TableHandbook[[#This Row],[UDC]],TableSPUCCADES[],7,FALSE),"")</f>
        <v/>
      </c>
      <c r="V50" s="102" t="str">
        <f>IFERROR(VLOOKUP(TableHandbook[[#This Row],[UDC]],TableSPUCDIGDE[],7,FALSE),"")</f>
        <v/>
      </c>
      <c r="W50" s="102" t="str">
        <f>IFERROR(VLOOKUP(TableHandbook[[#This Row],[UDC]],TableSPUCFASHN[],7,FALSE),"")</f>
        <v/>
      </c>
      <c r="X50" s="102" t="str">
        <f>IFERROR(VLOOKUP(TableHandbook[[#This Row],[UDC]],TableSPUCFSHMK[],7,FALSE),"")</f>
        <v/>
      </c>
      <c r="Y50" s="102" t="str">
        <f>IFERROR(VLOOKUP(TableHandbook[[#This Row],[UDC]],TableSPUCGRPDS[],7,FALSE),"")</f>
        <v/>
      </c>
      <c r="Z50" s="102" t="str">
        <f>IFERROR(VLOOKUP(TableHandbook[[#This Row],[UDC]],TableSPUCILLUS[],7,FALSE),"")</f>
        <v>Core</v>
      </c>
      <c r="AA50" s="102" t="str">
        <f>IFERROR(VLOOKUP(TableHandbook[[#This Row],[UDC]],TableSPUCPHOTO[],7,FALSE),"")</f>
        <v/>
      </c>
    </row>
    <row r="51" spans="1:27" x14ac:dyDescent="0.25">
      <c r="A51" t="s">
        <v>235</v>
      </c>
      <c r="B51" s="2">
        <v>2</v>
      </c>
      <c r="D51" t="s">
        <v>334</v>
      </c>
      <c r="E51" s="2">
        <v>25</v>
      </c>
      <c r="F51" s="106" t="s">
        <v>286</v>
      </c>
      <c r="G51" s="99" t="str">
        <f>IFERROR(IF(VLOOKUP(TableHandbook[[#This Row],[UDC]],TableAvailabilities[],2,FALSE)&gt;0,"Y",""),"")</f>
        <v>Y</v>
      </c>
      <c r="H51" s="99" t="str">
        <f>IFERROR(IF(VLOOKUP(TableHandbook[[#This Row],[UDC]],TableAvailabilities[],3,FALSE)&gt;0,"Y",""),"")</f>
        <v/>
      </c>
      <c r="I51" s="99" t="str">
        <f>IFERROR(IF(VLOOKUP(TableHandbook[[#This Row],[UDC]],TableAvailabilities[],4,FALSE)&gt;0,"Y",""),"")</f>
        <v>Y</v>
      </c>
      <c r="J51" s="99" t="str">
        <f>IFERROR(IF(VLOOKUP(TableHandbook[[#This Row],[UDC]],TableAvailabilities[],5,FALSE)&gt;0,"Y",""),"")</f>
        <v/>
      </c>
      <c r="K51" s="120"/>
      <c r="L51" s="102" t="str">
        <f>IFERROR(VLOOKUP(TableHandbook[[#This Row],[UDC]],TableBDESIGN[],7,FALSE),"")</f>
        <v/>
      </c>
      <c r="M51" s="121" t="str">
        <f>IFERROR(VLOOKUP(TableHandbook[[#This Row],[UDC]],TableMJRUADVDS[],7,FALSE),"")</f>
        <v/>
      </c>
      <c r="N51" s="102" t="str">
        <f>IFERROR(VLOOKUP(TableHandbook[[#This Row],[UDC]],TableMJRUANIGD[],7,FALSE),"")</f>
        <v/>
      </c>
      <c r="O51" s="102" t="str">
        <f>IFERROR(VLOOKUP(TableHandbook[[#This Row],[UDC]],TableMJRUDIGDE[],7,FALSE),"")</f>
        <v/>
      </c>
      <c r="P51" s="102" t="str">
        <f>IFERROR(VLOOKUP(TableHandbook[[#This Row],[UDC]],TableMJRUDINFB[],7,FALSE),"")</f>
        <v/>
      </c>
      <c r="Q51" s="102" t="str">
        <f>IFERROR(VLOOKUP(TableHandbook[[#This Row],[UDC]],TableMJRUFASHN[],7,FALSE),"")</f>
        <v/>
      </c>
      <c r="R51" s="102" t="str">
        <f>IFERROR(VLOOKUP(TableHandbook[[#This Row],[UDC]],TableMJRUGRPDS[],7,FALSE),"")</f>
        <v/>
      </c>
      <c r="S51" s="102" t="str">
        <f>IFERROR(VLOOKUP(TableHandbook[[#This Row],[UDC]],TableMJRUPHOTO[],7,FALSE),"")</f>
        <v/>
      </c>
      <c r="T51" s="121" t="str">
        <f>IFERROR(VLOOKUP(TableHandbook[[#This Row],[UDC]],TableSPUCANIGD[],7,FALSE),"")</f>
        <v/>
      </c>
      <c r="U51" s="102" t="str">
        <f>IFERROR(VLOOKUP(TableHandbook[[#This Row],[UDC]],TableSPUCCADES[],7,FALSE),"")</f>
        <v/>
      </c>
      <c r="V51" s="102" t="str">
        <f>IFERROR(VLOOKUP(TableHandbook[[#This Row],[UDC]],TableSPUCDIGDE[],7,FALSE),"")</f>
        <v/>
      </c>
      <c r="W51" s="102" t="str">
        <f>IFERROR(VLOOKUP(TableHandbook[[#This Row],[UDC]],TableSPUCFASHN[],7,FALSE),"")</f>
        <v>Option</v>
      </c>
      <c r="X51" s="102" t="str">
        <f>IFERROR(VLOOKUP(TableHandbook[[#This Row],[UDC]],TableSPUCFSHMK[],7,FALSE),"")</f>
        <v/>
      </c>
      <c r="Y51" s="102" t="str">
        <f>IFERROR(VLOOKUP(TableHandbook[[#This Row],[UDC]],TableSPUCGRPDS[],7,FALSE),"")</f>
        <v/>
      </c>
      <c r="Z51" s="102" t="str">
        <f>IFERROR(VLOOKUP(TableHandbook[[#This Row],[UDC]],TableSPUCILLUS[],7,FALSE),"")</f>
        <v/>
      </c>
      <c r="AA51" s="102" t="str">
        <f>IFERROR(VLOOKUP(TableHandbook[[#This Row],[UDC]],TableSPUCPHOTO[],7,FALSE),"")</f>
        <v/>
      </c>
    </row>
    <row r="52" spans="1:27" x14ac:dyDescent="0.25">
      <c r="A52" t="s">
        <v>127</v>
      </c>
      <c r="B52" s="2">
        <v>1</v>
      </c>
      <c r="D52" t="s">
        <v>335</v>
      </c>
      <c r="E52" s="2">
        <v>25</v>
      </c>
      <c r="F52" s="106" t="s">
        <v>100</v>
      </c>
      <c r="G52" s="99" t="str">
        <f>IFERROR(IF(VLOOKUP(TableHandbook[[#This Row],[UDC]],TableAvailabilities[],2,FALSE)&gt;0,"Y",""),"")</f>
        <v>Y</v>
      </c>
      <c r="H52" s="99" t="str">
        <f>IFERROR(IF(VLOOKUP(TableHandbook[[#This Row],[UDC]],TableAvailabilities[],3,FALSE)&gt;0,"Y",""),"")</f>
        <v/>
      </c>
      <c r="I52" s="99" t="str">
        <f>IFERROR(IF(VLOOKUP(TableHandbook[[#This Row],[UDC]],TableAvailabilities[],4,FALSE)&gt;0,"Y",""),"")</f>
        <v>Y</v>
      </c>
      <c r="J52" s="99" t="str">
        <f>IFERROR(IF(VLOOKUP(TableHandbook[[#This Row],[UDC]],TableAvailabilities[],5,FALSE)&gt;0,"Y",""),"")</f>
        <v/>
      </c>
      <c r="K52" s="120"/>
      <c r="L52" s="102" t="str">
        <f>IFERROR(VLOOKUP(TableHandbook[[#This Row],[UDC]],TableBDESIGN[],7,FALSE),"")</f>
        <v/>
      </c>
      <c r="M52" s="121" t="str">
        <f>IFERROR(VLOOKUP(TableHandbook[[#This Row],[UDC]],TableMJRUADVDS[],7,FALSE),"")</f>
        <v/>
      </c>
      <c r="N52" s="102" t="str">
        <f>IFERROR(VLOOKUP(TableHandbook[[#This Row],[UDC]],TableMJRUANIGD[],7,FALSE),"")</f>
        <v/>
      </c>
      <c r="O52" s="102" t="str">
        <f>IFERROR(VLOOKUP(TableHandbook[[#This Row],[UDC]],TableMJRUDIGDE[],7,FALSE),"")</f>
        <v/>
      </c>
      <c r="P52" s="102" t="str">
        <f>IFERROR(VLOOKUP(TableHandbook[[#This Row],[UDC]],TableMJRUDINFB[],7,FALSE),"")</f>
        <v/>
      </c>
      <c r="Q52" s="102" t="str">
        <f>IFERROR(VLOOKUP(TableHandbook[[#This Row],[UDC]],TableMJRUFASHN[],7,FALSE),"")</f>
        <v/>
      </c>
      <c r="R52" s="102" t="str">
        <f>IFERROR(VLOOKUP(TableHandbook[[#This Row],[UDC]],TableMJRUGRPDS[],7,FALSE),"")</f>
        <v/>
      </c>
      <c r="S52" s="102" t="str">
        <f>IFERROR(VLOOKUP(TableHandbook[[#This Row],[UDC]],TableMJRUPHOTO[],7,FALSE),"")</f>
        <v>Core</v>
      </c>
      <c r="T52" s="121" t="str">
        <f>IFERROR(VLOOKUP(TableHandbook[[#This Row],[UDC]],TableSPUCANIGD[],7,FALSE),"")</f>
        <v/>
      </c>
      <c r="U52" s="102" t="str">
        <f>IFERROR(VLOOKUP(TableHandbook[[#This Row],[UDC]],TableSPUCCADES[],7,FALSE),"")</f>
        <v/>
      </c>
      <c r="V52" s="102" t="str">
        <f>IFERROR(VLOOKUP(TableHandbook[[#This Row],[UDC]],TableSPUCDIGDE[],7,FALSE),"")</f>
        <v/>
      </c>
      <c r="W52" s="102" t="str">
        <f>IFERROR(VLOOKUP(TableHandbook[[#This Row],[UDC]],TableSPUCFASHN[],7,FALSE),"")</f>
        <v/>
      </c>
      <c r="X52" s="102" t="str">
        <f>IFERROR(VLOOKUP(TableHandbook[[#This Row],[UDC]],TableSPUCFSHMK[],7,FALSE),"")</f>
        <v/>
      </c>
      <c r="Y52" s="102" t="str">
        <f>IFERROR(VLOOKUP(TableHandbook[[#This Row],[UDC]],TableSPUCGRPDS[],7,FALSE),"")</f>
        <v/>
      </c>
      <c r="Z52" s="102" t="str">
        <f>IFERROR(VLOOKUP(TableHandbook[[#This Row],[UDC]],TableSPUCILLUS[],7,FALSE),"")</f>
        <v/>
      </c>
      <c r="AA52" s="102" t="str">
        <f>IFERROR(VLOOKUP(TableHandbook[[#This Row],[UDC]],TableSPUCPHOTO[],7,FALSE),"")</f>
        <v>Core</v>
      </c>
    </row>
    <row r="53" spans="1:27" x14ac:dyDescent="0.25">
      <c r="A53" t="s">
        <v>125</v>
      </c>
      <c r="B53" s="2">
        <v>1</v>
      </c>
      <c r="D53" t="s">
        <v>336</v>
      </c>
      <c r="E53" s="2">
        <v>25</v>
      </c>
      <c r="F53" s="106" t="s">
        <v>337</v>
      </c>
      <c r="G53" s="99" t="str">
        <f>IFERROR(IF(VLOOKUP(TableHandbook[[#This Row],[UDC]],TableAvailabilities[],2,FALSE)&gt;0,"Y",""),"")</f>
        <v>Y</v>
      </c>
      <c r="H53" s="99" t="str">
        <f>IFERROR(IF(VLOOKUP(TableHandbook[[#This Row],[UDC]],TableAvailabilities[],3,FALSE)&gt;0,"Y",""),"")</f>
        <v/>
      </c>
      <c r="I53" s="99" t="str">
        <f>IFERROR(IF(VLOOKUP(TableHandbook[[#This Row],[UDC]],TableAvailabilities[],4,FALSE)&gt;0,"Y",""),"")</f>
        <v>Y</v>
      </c>
      <c r="J53" s="99" t="str">
        <f>IFERROR(IF(VLOOKUP(TableHandbook[[#This Row],[UDC]],TableAvailabilities[],5,FALSE)&gt;0,"Y",""),"")</f>
        <v/>
      </c>
      <c r="K53" s="120"/>
      <c r="L53" s="102" t="str">
        <f>IFERROR(VLOOKUP(TableHandbook[[#This Row],[UDC]],TableBDESIGN[],7,FALSE),"")</f>
        <v/>
      </c>
      <c r="M53" s="121" t="str">
        <f>IFERROR(VLOOKUP(TableHandbook[[#This Row],[UDC]],TableMJRUADVDS[],7,FALSE),"")</f>
        <v/>
      </c>
      <c r="N53" s="102" t="str">
        <f>IFERROR(VLOOKUP(TableHandbook[[#This Row],[UDC]],TableMJRUANIGD[],7,FALSE),"")</f>
        <v/>
      </c>
      <c r="O53" s="102" t="str">
        <f>IFERROR(VLOOKUP(TableHandbook[[#This Row],[UDC]],TableMJRUDIGDE[],7,FALSE),"")</f>
        <v/>
      </c>
      <c r="P53" s="102" t="str">
        <f>IFERROR(VLOOKUP(TableHandbook[[#This Row],[UDC]],TableMJRUDINFB[],7,FALSE),"")</f>
        <v/>
      </c>
      <c r="Q53" s="102" t="str">
        <f>IFERROR(VLOOKUP(TableHandbook[[#This Row],[UDC]],TableMJRUFASHN[],7,FALSE),"")</f>
        <v/>
      </c>
      <c r="R53" s="102" t="str">
        <f>IFERROR(VLOOKUP(TableHandbook[[#This Row],[UDC]],TableMJRUGRPDS[],7,FALSE),"")</f>
        <v>Core</v>
      </c>
      <c r="S53" s="102" t="str">
        <f>IFERROR(VLOOKUP(TableHandbook[[#This Row],[UDC]],TableMJRUPHOTO[],7,FALSE),"")</f>
        <v/>
      </c>
      <c r="T53" s="121" t="str">
        <f>IFERROR(VLOOKUP(TableHandbook[[#This Row],[UDC]],TableSPUCANIGD[],7,FALSE),"")</f>
        <v/>
      </c>
      <c r="U53" s="102" t="str">
        <f>IFERROR(VLOOKUP(TableHandbook[[#This Row],[UDC]],TableSPUCCADES[],7,FALSE),"")</f>
        <v/>
      </c>
      <c r="V53" s="102" t="str">
        <f>IFERROR(VLOOKUP(TableHandbook[[#This Row],[UDC]],TableSPUCDIGDE[],7,FALSE),"")</f>
        <v/>
      </c>
      <c r="W53" s="102" t="str">
        <f>IFERROR(VLOOKUP(TableHandbook[[#This Row],[UDC]],TableSPUCFASHN[],7,FALSE),"")</f>
        <v/>
      </c>
      <c r="X53" s="102" t="str">
        <f>IFERROR(VLOOKUP(TableHandbook[[#This Row],[UDC]],TableSPUCFSHMK[],7,FALSE),"")</f>
        <v/>
      </c>
      <c r="Y53" s="102" t="str">
        <f>IFERROR(VLOOKUP(TableHandbook[[#This Row],[UDC]],TableSPUCGRPDS[],7,FALSE),"")</f>
        <v>AltCore</v>
      </c>
      <c r="Z53" s="102" t="str">
        <f>IFERROR(VLOOKUP(TableHandbook[[#This Row],[UDC]],TableSPUCILLUS[],7,FALSE),"")</f>
        <v/>
      </c>
      <c r="AA53" s="102" t="str">
        <f>IFERROR(VLOOKUP(TableHandbook[[#This Row],[UDC]],TableSPUCPHOTO[],7,FALSE),"")</f>
        <v/>
      </c>
    </row>
    <row r="54" spans="1:27" x14ac:dyDescent="0.25">
      <c r="A54" t="s">
        <v>100</v>
      </c>
      <c r="B54" s="2">
        <v>1</v>
      </c>
      <c r="D54" t="s">
        <v>338</v>
      </c>
      <c r="E54" s="2">
        <v>25</v>
      </c>
      <c r="F54" s="106" t="s">
        <v>286</v>
      </c>
      <c r="G54" s="99" t="str">
        <f>IFERROR(IF(VLOOKUP(TableHandbook[[#This Row],[UDC]],TableAvailabilities[],2,FALSE)&gt;0,"Y",""),"")</f>
        <v>Y</v>
      </c>
      <c r="H54" s="99" t="str">
        <f>IFERROR(IF(VLOOKUP(TableHandbook[[#This Row],[UDC]],TableAvailabilities[],3,FALSE)&gt;0,"Y",""),"")</f>
        <v/>
      </c>
      <c r="I54" s="99" t="str">
        <f>IFERROR(IF(VLOOKUP(TableHandbook[[#This Row],[UDC]],TableAvailabilities[],4,FALSE)&gt;0,"Y",""),"")</f>
        <v>Y</v>
      </c>
      <c r="J54" s="99" t="str">
        <f>IFERROR(IF(VLOOKUP(TableHandbook[[#This Row],[UDC]],TableAvailabilities[],5,FALSE)&gt;0,"Y",""),"")</f>
        <v/>
      </c>
      <c r="K54" s="120"/>
      <c r="L54" s="102" t="str">
        <f>IFERROR(VLOOKUP(TableHandbook[[#This Row],[UDC]],TableBDESIGN[],7,FALSE),"")</f>
        <v/>
      </c>
      <c r="M54" s="121" t="str">
        <f>IFERROR(VLOOKUP(TableHandbook[[#This Row],[UDC]],TableMJRUADVDS[],7,FALSE),"")</f>
        <v/>
      </c>
      <c r="N54" s="102" t="str">
        <f>IFERROR(VLOOKUP(TableHandbook[[#This Row],[UDC]],TableMJRUANIGD[],7,FALSE),"")</f>
        <v/>
      </c>
      <c r="O54" s="102" t="str">
        <f>IFERROR(VLOOKUP(TableHandbook[[#This Row],[UDC]],TableMJRUDIGDE[],7,FALSE),"")</f>
        <v/>
      </c>
      <c r="P54" s="102" t="str">
        <f>IFERROR(VLOOKUP(TableHandbook[[#This Row],[UDC]],TableMJRUDINFB[],7,FALSE),"")</f>
        <v/>
      </c>
      <c r="Q54" s="102" t="str">
        <f>IFERROR(VLOOKUP(TableHandbook[[#This Row],[UDC]],TableMJRUFASHN[],7,FALSE),"")</f>
        <v/>
      </c>
      <c r="R54" s="102" t="str">
        <f>IFERROR(VLOOKUP(TableHandbook[[#This Row],[UDC]],TableMJRUGRPDS[],7,FALSE),"")</f>
        <v/>
      </c>
      <c r="S54" s="102" t="str">
        <f>IFERROR(VLOOKUP(TableHandbook[[#This Row],[UDC]],TableMJRUPHOTO[],7,FALSE),"")</f>
        <v>Core</v>
      </c>
      <c r="T54" s="121" t="str">
        <f>IFERROR(VLOOKUP(TableHandbook[[#This Row],[UDC]],TableSPUCANIGD[],7,FALSE),"")</f>
        <v/>
      </c>
      <c r="U54" s="102" t="str">
        <f>IFERROR(VLOOKUP(TableHandbook[[#This Row],[UDC]],TableSPUCCADES[],7,FALSE),"")</f>
        <v/>
      </c>
      <c r="V54" s="102" t="str">
        <f>IFERROR(VLOOKUP(TableHandbook[[#This Row],[UDC]],TableSPUCDIGDE[],7,FALSE),"")</f>
        <v/>
      </c>
      <c r="W54" s="102" t="str">
        <f>IFERROR(VLOOKUP(TableHandbook[[#This Row],[UDC]],TableSPUCFASHN[],7,FALSE),"")</f>
        <v>Option</v>
      </c>
      <c r="X54" s="102" t="str">
        <f>IFERROR(VLOOKUP(TableHandbook[[#This Row],[UDC]],TableSPUCFSHMK[],7,FALSE),"")</f>
        <v/>
      </c>
      <c r="Y54" s="102" t="str">
        <f>IFERROR(VLOOKUP(TableHandbook[[#This Row],[UDC]],TableSPUCGRPDS[],7,FALSE),"")</f>
        <v/>
      </c>
      <c r="Z54" s="102" t="str">
        <f>IFERROR(VLOOKUP(TableHandbook[[#This Row],[UDC]],TableSPUCILLUS[],7,FALSE),"")</f>
        <v/>
      </c>
      <c r="AA54" s="102" t="str">
        <f>IFERROR(VLOOKUP(TableHandbook[[#This Row],[UDC]],TableSPUCPHOTO[],7,FALSE),"")</f>
        <v>Core</v>
      </c>
    </row>
    <row r="55" spans="1:27" x14ac:dyDescent="0.25">
      <c r="A55" t="s">
        <v>211</v>
      </c>
      <c r="B55" s="2">
        <v>1</v>
      </c>
      <c r="D55" t="s">
        <v>339</v>
      </c>
      <c r="E55" s="2">
        <v>25</v>
      </c>
      <c r="F55" s="106" t="s">
        <v>286</v>
      </c>
      <c r="G55" s="99" t="str">
        <f>IFERROR(IF(VLOOKUP(TableHandbook[[#This Row],[UDC]],TableAvailabilities[],2,FALSE)&gt;0,"Y",""),"")</f>
        <v>Y</v>
      </c>
      <c r="H55" s="99" t="str">
        <f>IFERROR(IF(VLOOKUP(TableHandbook[[#This Row],[UDC]],TableAvailabilities[],3,FALSE)&gt;0,"Y",""),"")</f>
        <v/>
      </c>
      <c r="I55" s="99" t="str">
        <f>IFERROR(IF(VLOOKUP(TableHandbook[[#This Row],[UDC]],TableAvailabilities[],4,FALSE)&gt;0,"Y",""),"")</f>
        <v>Y</v>
      </c>
      <c r="J55" s="99" t="str">
        <f>IFERROR(IF(VLOOKUP(TableHandbook[[#This Row],[UDC]],TableAvailabilities[],5,FALSE)&gt;0,"Y",""),"")</f>
        <v/>
      </c>
      <c r="K55" s="120"/>
      <c r="L55" s="102" t="str">
        <f>IFERROR(VLOOKUP(TableHandbook[[#This Row],[UDC]],TableBDESIGN[],7,FALSE),"")</f>
        <v/>
      </c>
      <c r="M55" s="121" t="str">
        <f>IFERROR(VLOOKUP(TableHandbook[[#This Row],[UDC]],TableMJRUADVDS[],7,FALSE),"")</f>
        <v/>
      </c>
      <c r="N55" s="102" t="str">
        <f>IFERROR(VLOOKUP(TableHandbook[[#This Row],[UDC]],TableMJRUANIGD[],7,FALSE),"")</f>
        <v/>
      </c>
      <c r="O55" s="102" t="str">
        <f>IFERROR(VLOOKUP(TableHandbook[[#This Row],[UDC]],TableMJRUDIGDE[],7,FALSE),"")</f>
        <v/>
      </c>
      <c r="P55" s="102" t="str">
        <f>IFERROR(VLOOKUP(TableHandbook[[#This Row],[UDC]],TableMJRUDINFB[],7,FALSE),"")</f>
        <v/>
      </c>
      <c r="Q55" s="102" t="str">
        <f>IFERROR(VLOOKUP(TableHandbook[[#This Row],[UDC]],TableMJRUFASHN[],7,FALSE),"")</f>
        <v/>
      </c>
      <c r="R55" s="102" t="str">
        <f>IFERROR(VLOOKUP(TableHandbook[[#This Row],[UDC]],TableMJRUGRPDS[],7,FALSE),"")</f>
        <v/>
      </c>
      <c r="S55" s="102" t="str">
        <f>IFERROR(VLOOKUP(TableHandbook[[#This Row],[UDC]],TableMJRUPHOTO[],7,FALSE),"")</f>
        <v/>
      </c>
      <c r="T55" s="121" t="str">
        <f>IFERROR(VLOOKUP(TableHandbook[[#This Row],[UDC]],TableSPUCANIGD[],7,FALSE),"")</f>
        <v/>
      </c>
      <c r="U55" s="102" t="str">
        <f>IFERROR(VLOOKUP(TableHandbook[[#This Row],[UDC]],TableSPUCCADES[],7,FALSE),"")</f>
        <v/>
      </c>
      <c r="V55" s="102" t="str">
        <f>IFERROR(VLOOKUP(TableHandbook[[#This Row],[UDC]],TableSPUCDIGDE[],7,FALSE),"")</f>
        <v/>
      </c>
      <c r="W55" s="102" t="str">
        <f>IFERROR(VLOOKUP(TableHandbook[[#This Row],[UDC]],TableSPUCFASHN[],7,FALSE),"")</f>
        <v/>
      </c>
      <c r="X55" s="102" t="str">
        <f>IFERROR(VLOOKUP(TableHandbook[[#This Row],[UDC]],TableSPUCFSHMK[],7,FALSE),"")</f>
        <v/>
      </c>
      <c r="Y55" s="102" t="str">
        <f>IFERROR(VLOOKUP(TableHandbook[[#This Row],[UDC]],TableSPUCGRPDS[],7,FALSE),"")</f>
        <v/>
      </c>
      <c r="Z55" s="102" t="str">
        <f>IFERROR(VLOOKUP(TableHandbook[[#This Row],[UDC]],TableSPUCILLUS[],7,FALSE),"")</f>
        <v>Core</v>
      </c>
      <c r="AA55" s="102" t="str">
        <f>IFERROR(VLOOKUP(TableHandbook[[#This Row],[UDC]],TableSPUCPHOTO[],7,FALSE),"")</f>
        <v/>
      </c>
    </row>
    <row r="56" spans="1:27" x14ac:dyDescent="0.25">
      <c r="A56" t="s">
        <v>217</v>
      </c>
      <c r="B56" s="2">
        <v>2</v>
      </c>
      <c r="D56" t="s">
        <v>340</v>
      </c>
      <c r="E56" s="2">
        <v>25</v>
      </c>
      <c r="F56" s="106" t="s">
        <v>286</v>
      </c>
      <c r="G56" s="99" t="str">
        <f>IFERROR(IF(VLOOKUP(TableHandbook[[#This Row],[UDC]],TableAvailabilities[],2,FALSE)&gt;0,"Y",""),"")</f>
        <v/>
      </c>
      <c r="H56" s="99" t="str">
        <f>IFERROR(IF(VLOOKUP(TableHandbook[[#This Row],[UDC]],TableAvailabilities[],3,FALSE)&gt;0,"Y",""),"")</f>
        <v/>
      </c>
      <c r="I56" s="99" t="str">
        <f>IFERROR(IF(VLOOKUP(TableHandbook[[#This Row],[UDC]],TableAvailabilities[],4,FALSE)&gt;0,"Y",""),"")</f>
        <v>Y</v>
      </c>
      <c r="J56" s="99" t="str">
        <f>IFERROR(IF(VLOOKUP(TableHandbook[[#This Row],[UDC]],TableAvailabilities[],5,FALSE)&gt;0,"Y",""),"")</f>
        <v/>
      </c>
      <c r="K56" s="120"/>
      <c r="L56" s="102" t="str">
        <f>IFERROR(VLOOKUP(TableHandbook[[#This Row],[UDC]],TableBDESIGN[],7,FALSE),"")</f>
        <v/>
      </c>
      <c r="M56" s="121" t="str">
        <f>IFERROR(VLOOKUP(TableHandbook[[#This Row],[UDC]],TableMJRUADVDS[],7,FALSE),"")</f>
        <v>AltCore</v>
      </c>
      <c r="N56" s="102" t="str">
        <f>IFERROR(VLOOKUP(TableHandbook[[#This Row],[UDC]],TableMJRUANIGD[],7,FALSE),"")</f>
        <v/>
      </c>
      <c r="O56" s="102" t="str">
        <f>IFERROR(VLOOKUP(TableHandbook[[#This Row],[UDC]],TableMJRUDIGDE[],7,FALSE),"")</f>
        <v/>
      </c>
      <c r="P56" s="102" t="str">
        <f>IFERROR(VLOOKUP(TableHandbook[[#This Row],[UDC]],TableMJRUDINFB[],7,FALSE),"")</f>
        <v/>
      </c>
      <c r="Q56" s="102" t="str">
        <f>IFERROR(VLOOKUP(TableHandbook[[#This Row],[UDC]],TableMJRUFASHN[],7,FALSE),"")</f>
        <v/>
      </c>
      <c r="R56" s="102" t="str">
        <f>IFERROR(VLOOKUP(TableHandbook[[#This Row],[UDC]],TableMJRUGRPDS[],7,FALSE),"")</f>
        <v/>
      </c>
      <c r="S56" s="102" t="str">
        <f>IFERROR(VLOOKUP(TableHandbook[[#This Row],[UDC]],TableMJRUPHOTO[],7,FALSE),"")</f>
        <v/>
      </c>
      <c r="T56" s="121" t="str">
        <f>IFERROR(VLOOKUP(TableHandbook[[#This Row],[UDC]],TableSPUCANIGD[],7,FALSE),"")</f>
        <v/>
      </c>
      <c r="U56" s="102" t="str">
        <f>IFERROR(VLOOKUP(TableHandbook[[#This Row],[UDC]],TableSPUCCADES[],7,FALSE),"")</f>
        <v>Core</v>
      </c>
      <c r="V56" s="102" t="str">
        <f>IFERROR(VLOOKUP(TableHandbook[[#This Row],[UDC]],TableSPUCDIGDE[],7,FALSE),"")</f>
        <v/>
      </c>
      <c r="W56" s="102" t="str">
        <f>IFERROR(VLOOKUP(TableHandbook[[#This Row],[UDC]],TableSPUCFASHN[],7,FALSE),"")</f>
        <v/>
      </c>
      <c r="X56" s="102" t="str">
        <f>IFERROR(VLOOKUP(TableHandbook[[#This Row],[UDC]],TableSPUCFSHMK[],7,FALSE),"")</f>
        <v/>
      </c>
      <c r="Y56" s="102" t="str">
        <f>IFERROR(VLOOKUP(TableHandbook[[#This Row],[UDC]],TableSPUCGRPDS[],7,FALSE),"")</f>
        <v/>
      </c>
      <c r="Z56" s="102" t="str">
        <f>IFERROR(VLOOKUP(TableHandbook[[#This Row],[UDC]],TableSPUCILLUS[],7,FALSE),"")</f>
        <v/>
      </c>
      <c r="AA56" s="102" t="str">
        <f>IFERROR(VLOOKUP(TableHandbook[[#This Row],[UDC]],TableSPUCPHOTO[],7,FALSE),"")</f>
        <v/>
      </c>
    </row>
    <row r="57" spans="1:27" x14ac:dyDescent="0.25">
      <c r="A57" t="s">
        <v>118</v>
      </c>
      <c r="B57" s="2">
        <v>1</v>
      </c>
      <c r="D57" t="s">
        <v>341</v>
      </c>
      <c r="E57" s="2">
        <v>25</v>
      </c>
      <c r="F57" s="106" t="s">
        <v>65</v>
      </c>
      <c r="G57" s="99" t="str">
        <f>IFERROR(IF(VLOOKUP(TableHandbook[[#This Row],[UDC]],TableAvailabilities[],2,FALSE)&gt;0,"Y",""),"")</f>
        <v>Y</v>
      </c>
      <c r="H57" s="99" t="str">
        <f>IFERROR(IF(VLOOKUP(TableHandbook[[#This Row],[UDC]],TableAvailabilities[],3,FALSE)&gt;0,"Y",""),"")</f>
        <v/>
      </c>
      <c r="I57" s="99" t="str">
        <f>IFERROR(IF(VLOOKUP(TableHandbook[[#This Row],[UDC]],TableAvailabilities[],4,FALSE)&gt;0,"Y",""),"")</f>
        <v>Y</v>
      </c>
      <c r="J57" s="99" t="str">
        <f>IFERROR(IF(VLOOKUP(TableHandbook[[#This Row],[UDC]],TableAvailabilities[],5,FALSE)&gt;0,"Y",""),"")</f>
        <v/>
      </c>
      <c r="K57" s="120"/>
      <c r="L57" s="102" t="str">
        <f>IFERROR(VLOOKUP(TableHandbook[[#This Row],[UDC]],TableBDESIGN[],7,FALSE),"")</f>
        <v/>
      </c>
      <c r="M57" s="121" t="str">
        <f>IFERROR(VLOOKUP(TableHandbook[[#This Row],[UDC]],TableMJRUADVDS[],7,FALSE),"")</f>
        <v>Core</v>
      </c>
      <c r="N57" s="102" t="str">
        <f>IFERROR(VLOOKUP(TableHandbook[[#This Row],[UDC]],TableMJRUANIGD[],7,FALSE),"")</f>
        <v/>
      </c>
      <c r="O57" s="102" t="str">
        <f>IFERROR(VLOOKUP(TableHandbook[[#This Row],[UDC]],TableMJRUDIGDE[],7,FALSE),"")</f>
        <v/>
      </c>
      <c r="P57" s="102" t="str">
        <f>IFERROR(VLOOKUP(TableHandbook[[#This Row],[UDC]],TableMJRUDINFB[],7,FALSE),"")</f>
        <v/>
      </c>
      <c r="Q57" s="102" t="str">
        <f>IFERROR(VLOOKUP(TableHandbook[[#This Row],[UDC]],TableMJRUFASHN[],7,FALSE),"")</f>
        <v/>
      </c>
      <c r="R57" s="102" t="str">
        <f>IFERROR(VLOOKUP(TableHandbook[[#This Row],[UDC]],TableMJRUGRPDS[],7,FALSE),"")</f>
        <v/>
      </c>
      <c r="S57" s="102" t="str">
        <f>IFERROR(VLOOKUP(TableHandbook[[#This Row],[UDC]],TableMJRUPHOTO[],7,FALSE),"")</f>
        <v/>
      </c>
      <c r="T57" s="121" t="str">
        <f>IFERROR(VLOOKUP(TableHandbook[[#This Row],[UDC]],TableSPUCANIGD[],7,FALSE),"")</f>
        <v/>
      </c>
      <c r="U57" s="102" t="str">
        <f>IFERROR(VLOOKUP(TableHandbook[[#This Row],[UDC]],TableSPUCCADES[],7,FALSE),"")</f>
        <v>Core</v>
      </c>
      <c r="V57" s="102" t="str">
        <f>IFERROR(VLOOKUP(TableHandbook[[#This Row],[UDC]],TableSPUCDIGDE[],7,FALSE),"")</f>
        <v/>
      </c>
      <c r="W57" s="102" t="str">
        <f>IFERROR(VLOOKUP(TableHandbook[[#This Row],[UDC]],TableSPUCFASHN[],7,FALSE),"")</f>
        <v/>
      </c>
      <c r="X57" s="102" t="str">
        <f>IFERROR(VLOOKUP(TableHandbook[[#This Row],[UDC]],TableSPUCFSHMK[],7,FALSE),"")</f>
        <v/>
      </c>
      <c r="Y57" s="102" t="str">
        <f>IFERROR(VLOOKUP(TableHandbook[[#This Row],[UDC]],TableSPUCGRPDS[],7,FALSE),"")</f>
        <v/>
      </c>
      <c r="Z57" s="102" t="str">
        <f>IFERROR(VLOOKUP(TableHandbook[[#This Row],[UDC]],TableSPUCILLUS[],7,FALSE),"")</f>
        <v/>
      </c>
      <c r="AA57" s="102" t="str">
        <f>IFERROR(VLOOKUP(TableHandbook[[#This Row],[UDC]],TableSPUCPHOTO[],7,FALSE),"")</f>
        <v/>
      </c>
    </row>
    <row r="58" spans="1:27" x14ac:dyDescent="0.25">
      <c r="A58" t="s">
        <v>103</v>
      </c>
      <c r="B58" s="2">
        <v>1</v>
      </c>
      <c r="D58" t="s">
        <v>342</v>
      </c>
      <c r="E58" s="2">
        <v>25</v>
      </c>
      <c r="F58" s="106" t="s">
        <v>343</v>
      </c>
      <c r="G58" s="99" t="str">
        <f>IFERROR(IF(VLOOKUP(TableHandbook[[#This Row],[UDC]],TableAvailabilities[],2,FALSE)&gt;0,"Y",""),"")</f>
        <v>Y</v>
      </c>
      <c r="H58" s="99" t="str">
        <f>IFERROR(IF(VLOOKUP(TableHandbook[[#This Row],[UDC]],TableAvailabilities[],3,FALSE)&gt;0,"Y",""),"")</f>
        <v/>
      </c>
      <c r="I58" s="99" t="str">
        <f>IFERROR(IF(VLOOKUP(TableHandbook[[#This Row],[UDC]],TableAvailabilities[],4,FALSE)&gt;0,"Y",""),"")</f>
        <v/>
      </c>
      <c r="J58" s="99" t="str">
        <f>IFERROR(IF(VLOOKUP(TableHandbook[[#This Row],[UDC]],TableAvailabilities[],5,FALSE)&gt;0,"Y",""),"")</f>
        <v/>
      </c>
      <c r="K58" s="120"/>
      <c r="L58" s="102" t="str">
        <f>IFERROR(VLOOKUP(TableHandbook[[#This Row],[UDC]],TableBDESIGN[],7,FALSE),"")</f>
        <v/>
      </c>
      <c r="M58" s="121" t="str">
        <f>IFERROR(VLOOKUP(TableHandbook[[#This Row],[UDC]],TableMJRUADVDS[],7,FALSE),"")</f>
        <v/>
      </c>
      <c r="N58" s="102" t="str">
        <f>IFERROR(VLOOKUP(TableHandbook[[#This Row],[UDC]],TableMJRUANIGD[],7,FALSE),"")</f>
        <v>Core</v>
      </c>
      <c r="O58" s="102" t="str">
        <f>IFERROR(VLOOKUP(TableHandbook[[#This Row],[UDC]],TableMJRUDIGDE[],7,FALSE),"")</f>
        <v/>
      </c>
      <c r="P58" s="102" t="str">
        <f>IFERROR(VLOOKUP(TableHandbook[[#This Row],[UDC]],TableMJRUDINFB[],7,FALSE),"")</f>
        <v/>
      </c>
      <c r="Q58" s="102" t="str">
        <f>IFERROR(VLOOKUP(TableHandbook[[#This Row],[UDC]],TableMJRUFASHN[],7,FALSE),"")</f>
        <v/>
      </c>
      <c r="R58" s="102" t="str">
        <f>IFERROR(VLOOKUP(TableHandbook[[#This Row],[UDC]],TableMJRUGRPDS[],7,FALSE),"")</f>
        <v/>
      </c>
      <c r="S58" s="102" t="str">
        <f>IFERROR(VLOOKUP(TableHandbook[[#This Row],[UDC]],TableMJRUPHOTO[],7,FALSE),"")</f>
        <v/>
      </c>
      <c r="T58" s="121" t="str">
        <f>IFERROR(VLOOKUP(TableHandbook[[#This Row],[UDC]],TableSPUCANIGD[],7,FALSE),"")</f>
        <v>Core</v>
      </c>
      <c r="U58" s="102" t="str">
        <f>IFERROR(VLOOKUP(TableHandbook[[#This Row],[UDC]],TableSPUCCADES[],7,FALSE),"")</f>
        <v/>
      </c>
      <c r="V58" s="102" t="str">
        <f>IFERROR(VLOOKUP(TableHandbook[[#This Row],[UDC]],TableSPUCDIGDE[],7,FALSE),"")</f>
        <v/>
      </c>
      <c r="W58" s="102" t="str">
        <f>IFERROR(VLOOKUP(TableHandbook[[#This Row],[UDC]],TableSPUCFASHN[],7,FALSE),"")</f>
        <v/>
      </c>
      <c r="X58" s="102" t="str">
        <f>IFERROR(VLOOKUP(TableHandbook[[#This Row],[UDC]],TableSPUCFSHMK[],7,FALSE),"")</f>
        <v/>
      </c>
      <c r="Y58" s="102" t="str">
        <f>IFERROR(VLOOKUP(TableHandbook[[#This Row],[UDC]],TableSPUCGRPDS[],7,FALSE),"")</f>
        <v/>
      </c>
      <c r="Z58" s="102" t="str">
        <f>IFERROR(VLOOKUP(TableHandbook[[#This Row],[UDC]],TableSPUCILLUS[],7,FALSE),"")</f>
        <v/>
      </c>
      <c r="AA58" s="102" t="str">
        <f>IFERROR(VLOOKUP(TableHandbook[[#This Row],[UDC]],TableSPUCPHOTO[],7,FALSE),"")</f>
        <v/>
      </c>
    </row>
    <row r="59" spans="1:27" x14ac:dyDescent="0.25">
      <c r="A59" t="s">
        <v>120</v>
      </c>
      <c r="B59" s="2">
        <v>2</v>
      </c>
      <c r="D59" t="s">
        <v>344</v>
      </c>
      <c r="E59" s="2">
        <v>25</v>
      </c>
      <c r="F59" s="106" t="s">
        <v>345</v>
      </c>
      <c r="G59" s="99" t="str">
        <f>IFERROR(IF(VLOOKUP(TableHandbook[[#This Row],[UDC]],TableAvailabilities[],2,FALSE)&gt;0,"Y",""),"")</f>
        <v>Y</v>
      </c>
      <c r="H59" s="99" t="str">
        <f>IFERROR(IF(VLOOKUP(TableHandbook[[#This Row],[UDC]],TableAvailabilities[],3,FALSE)&gt;0,"Y",""),"")</f>
        <v/>
      </c>
      <c r="I59" s="99" t="str">
        <f>IFERROR(IF(VLOOKUP(TableHandbook[[#This Row],[UDC]],TableAvailabilities[],4,FALSE)&gt;0,"Y",""),"")</f>
        <v/>
      </c>
      <c r="J59" s="99" t="str">
        <f>IFERROR(IF(VLOOKUP(TableHandbook[[#This Row],[UDC]],TableAvailabilities[],5,FALSE)&gt;0,"Y",""),"")</f>
        <v/>
      </c>
      <c r="K59" s="120"/>
      <c r="L59" s="102" t="str">
        <f>IFERROR(VLOOKUP(TableHandbook[[#This Row],[UDC]],TableBDESIGN[],7,FALSE),"")</f>
        <v/>
      </c>
      <c r="M59" s="121" t="str">
        <f>IFERROR(VLOOKUP(TableHandbook[[#This Row],[UDC]],TableMJRUADVDS[],7,FALSE),"")</f>
        <v/>
      </c>
      <c r="N59" s="102" t="str">
        <f>IFERROR(VLOOKUP(TableHandbook[[#This Row],[UDC]],TableMJRUANIGD[],7,FALSE),"")</f>
        <v>Core</v>
      </c>
      <c r="O59" s="102" t="str">
        <f>IFERROR(VLOOKUP(TableHandbook[[#This Row],[UDC]],TableMJRUDIGDE[],7,FALSE),"")</f>
        <v/>
      </c>
      <c r="P59" s="102" t="str">
        <f>IFERROR(VLOOKUP(TableHandbook[[#This Row],[UDC]],TableMJRUDINFB[],7,FALSE),"")</f>
        <v/>
      </c>
      <c r="Q59" s="102" t="str">
        <f>IFERROR(VLOOKUP(TableHandbook[[#This Row],[UDC]],TableMJRUFASHN[],7,FALSE),"")</f>
        <v/>
      </c>
      <c r="R59" s="102" t="str">
        <f>IFERROR(VLOOKUP(TableHandbook[[#This Row],[UDC]],TableMJRUGRPDS[],7,FALSE),"")</f>
        <v/>
      </c>
      <c r="S59" s="102" t="str">
        <f>IFERROR(VLOOKUP(TableHandbook[[#This Row],[UDC]],TableMJRUPHOTO[],7,FALSE),"")</f>
        <v/>
      </c>
      <c r="T59" s="121" t="str">
        <f>IFERROR(VLOOKUP(TableHandbook[[#This Row],[UDC]],TableSPUCANIGD[],7,FALSE),"")</f>
        <v/>
      </c>
      <c r="U59" s="102" t="str">
        <f>IFERROR(VLOOKUP(TableHandbook[[#This Row],[UDC]],TableSPUCCADES[],7,FALSE),"")</f>
        <v/>
      </c>
      <c r="V59" s="102" t="str">
        <f>IFERROR(VLOOKUP(TableHandbook[[#This Row],[UDC]],TableSPUCDIGDE[],7,FALSE),"")</f>
        <v/>
      </c>
      <c r="W59" s="102" t="str">
        <f>IFERROR(VLOOKUP(TableHandbook[[#This Row],[UDC]],TableSPUCFASHN[],7,FALSE),"")</f>
        <v/>
      </c>
      <c r="X59" s="102" t="str">
        <f>IFERROR(VLOOKUP(TableHandbook[[#This Row],[UDC]],TableSPUCFSHMK[],7,FALSE),"")</f>
        <v/>
      </c>
      <c r="Y59" s="102" t="str">
        <f>IFERROR(VLOOKUP(TableHandbook[[#This Row],[UDC]],TableSPUCGRPDS[],7,FALSE),"")</f>
        <v/>
      </c>
      <c r="Z59" s="102" t="str">
        <f>IFERROR(VLOOKUP(TableHandbook[[#This Row],[UDC]],TableSPUCILLUS[],7,FALSE),"")</f>
        <v/>
      </c>
      <c r="AA59" s="102" t="str">
        <f>IFERROR(VLOOKUP(TableHandbook[[#This Row],[UDC]],TableSPUCPHOTO[],7,FALSE),"")</f>
        <v/>
      </c>
    </row>
    <row r="60" spans="1:27" x14ac:dyDescent="0.25">
      <c r="A60" t="s">
        <v>133</v>
      </c>
      <c r="B60" s="2">
        <v>1</v>
      </c>
      <c r="D60" t="s">
        <v>346</v>
      </c>
      <c r="E60" s="2">
        <v>25</v>
      </c>
      <c r="F60" s="106" t="s">
        <v>347</v>
      </c>
      <c r="G60" s="99" t="str">
        <f>IFERROR(IF(VLOOKUP(TableHandbook[[#This Row],[UDC]],TableAvailabilities[],2,FALSE)&gt;0,"Y",""),"")</f>
        <v/>
      </c>
      <c r="H60" s="99" t="str">
        <f>IFERROR(IF(VLOOKUP(TableHandbook[[#This Row],[UDC]],TableAvailabilities[],3,FALSE)&gt;0,"Y",""),"")</f>
        <v/>
      </c>
      <c r="I60" s="99" t="str">
        <f>IFERROR(IF(VLOOKUP(TableHandbook[[#This Row],[UDC]],TableAvailabilities[],4,FALSE)&gt;0,"Y",""),"")</f>
        <v>Y</v>
      </c>
      <c r="J60" s="99" t="str">
        <f>IFERROR(IF(VLOOKUP(TableHandbook[[#This Row],[UDC]],TableAvailabilities[],5,FALSE)&gt;0,"Y",""),"")</f>
        <v/>
      </c>
      <c r="K60" s="120"/>
      <c r="L60" s="102" t="str">
        <f>IFERROR(VLOOKUP(TableHandbook[[#This Row],[UDC]],TableBDESIGN[],7,FALSE),"")</f>
        <v/>
      </c>
      <c r="M60" s="121" t="str">
        <f>IFERROR(VLOOKUP(TableHandbook[[#This Row],[UDC]],TableMJRUADVDS[],7,FALSE),"")</f>
        <v/>
      </c>
      <c r="N60" s="102" t="str">
        <f>IFERROR(VLOOKUP(TableHandbook[[#This Row],[UDC]],TableMJRUANIGD[],7,FALSE),"")</f>
        <v>Core</v>
      </c>
      <c r="O60" s="102" t="str">
        <f>IFERROR(VLOOKUP(TableHandbook[[#This Row],[UDC]],TableMJRUDIGDE[],7,FALSE),"")</f>
        <v/>
      </c>
      <c r="P60" s="102" t="str">
        <f>IFERROR(VLOOKUP(TableHandbook[[#This Row],[UDC]],TableMJRUDINFB[],7,FALSE),"")</f>
        <v/>
      </c>
      <c r="Q60" s="102" t="str">
        <f>IFERROR(VLOOKUP(TableHandbook[[#This Row],[UDC]],TableMJRUFASHN[],7,FALSE),"")</f>
        <v/>
      </c>
      <c r="R60" s="102" t="str">
        <f>IFERROR(VLOOKUP(TableHandbook[[#This Row],[UDC]],TableMJRUGRPDS[],7,FALSE),"")</f>
        <v/>
      </c>
      <c r="S60" s="102" t="str">
        <f>IFERROR(VLOOKUP(TableHandbook[[#This Row],[UDC]],TableMJRUPHOTO[],7,FALSE),"")</f>
        <v/>
      </c>
      <c r="T60" s="121" t="str">
        <f>IFERROR(VLOOKUP(TableHandbook[[#This Row],[UDC]],TableSPUCANIGD[],7,FALSE),"")</f>
        <v/>
      </c>
      <c r="U60" s="102" t="str">
        <f>IFERROR(VLOOKUP(TableHandbook[[#This Row],[UDC]],TableSPUCCADES[],7,FALSE),"")</f>
        <v/>
      </c>
      <c r="V60" s="102" t="str">
        <f>IFERROR(VLOOKUP(TableHandbook[[#This Row],[UDC]],TableSPUCDIGDE[],7,FALSE),"")</f>
        <v/>
      </c>
      <c r="W60" s="102" t="str">
        <f>IFERROR(VLOOKUP(TableHandbook[[#This Row],[UDC]],TableSPUCFASHN[],7,FALSE),"")</f>
        <v/>
      </c>
      <c r="X60" s="102" t="str">
        <f>IFERROR(VLOOKUP(TableHandbook[[#This Row],[UDC]],TableSPUCFSHMK[],7,FALSE),"")</f>
        <v/>
      </c>
      <c r="Y60" s="102" t="str">
        <f>IFERROR(VLOOKUP(TableHandbook[[#This Row],[UDC]],TableSPUCGRPDS[],7,FALSE),"")</f>
        <v/>
      </c>
      <c r="Z60" s="102" t="str">
        <f>IFERROR(VLOOKUP(TableHandbook[[#This Row],[UDC]],TableSPUCILLUS[],7,FALSE),"")</f>
        <v/>
      </c>
      <c r="AA60" s="102" t="str">
        <f>IFERROR(VLOOKUP(TableHandbook[[#This Row],[UDC]],TableSPUCPHOTO[],7,FALSE),"")</f>
        <v/>
      </c>
    </row>
    <row r="61" spans="1:27" x14ac:dyDescent="0.25">
      <c r="A61" t="s">
        <v>122</v>
      </c>
      <c r="B61" s="2">
        <v>3</v>
      </c>
      <c r="D61" t="s">
        <v>348</v>
      </c>
      <c r="E61" s="2">
        <v>25</v>
      </c>
      <c r="F61" s="106" t="s">
        <v>96</v>
      </c>
      <c r="G61" s="99" t="str">
        <f>IFERROR(IF(VLOOKUP(TableHandbook[[#This Row],[UDC]],TableAvailabilities[],2,FALSE)&gt;0,"Y",""),"")</f>
        <v/>
      </c>
      <c r="H61" s="99" t="str">
        <f>IFERROR(IF(VLOOKUP(TableHandbook[[#This Row],[UDC]],TableAvailabilities[],3,FALSE)&gt;0,"Y",""),"")</f>
        <v/>
      </c>
      <c r="I61" s="99" t="str">
        <f>IFERROR(IF(VLOOKUP(TableHandbook[[#This Row],[UDC]],TableAvailabilities[],4,FALSE)&gt;0,"Y",""),"")</f>
        <v>Y</v>
      </c>
      <c r="J61" s="99" t="str">
        <f>IFERROR(IF(VLOOKUP(TableHandbook[[#This Row],[UDC]],TableAvailabilities[],5,FALSE)&gt;0,"Y",""),"")</f>
        <v/>
      </c>
      <c r="K61" s="120"/>
      <c r="L61" s="102" t="str">
        <f>IFERROR(VLOOKUP(TableHandbook[[#This Row],[UDC]],TableBDESIGN[],7,FALSE),"")</f>
        <v/>
      </c>
      <c r="M61" s="121" t="str">
        <f>IFERROR(VLOOKUP(TableHandbook[[#This Row],[UDC]],TableMJRUADVDS[],7,FALSE),"")</f>
        <v/>
      </c>
      <c r="N61" s="102" t="str">
        <f>IFERROR(VLOOKUP(TableHandbook[[#This Row],[UDC]],TableMJRUANIGD[],7,FALSE),"")</f>
        <v/>
      </c>
      <c r="O61" s="102" t="str">
        <f>IFERROR(VLOOKUP(TableHandbook[[#This Row],[UDC]],TableMJRUDIGDE[],7,FALSE),"")</f>
        <v>Core</v>
      </c>
      <c r="P61" s="102" t="str">
        <f>IFERROR(VLOOKUP(TableHandbook[[#This Row],[UDC]],TableMJRUDINFB[],7,FALSE),"")</f>
        <v/>
      </c>
      <c r="Q61" s="102" t="str">
        <f>IFERROR(VLOOKUP(TableHandbook[[#This Row],[UDC]],TableMJRUFASHN[],7,FALSE),"")</f>
        <v/>
      </c>
      <c r="R61" s="102" t="str">
        <f>IFERROR(VLOOKUP(TableHandbook[[#This Row],[UDC]],TableMJRUGRPDS[],7,FALSE),"")</f>
        <v/>
      </c>
      <c r="S61" s="102" t="str">
        <f>IFERROR(VLOOKUP(TableHandbook[[#This Row],[UDC]],TableMJRUPHOTO[],7,FALSE),"")</f>
        <v/>
      </c>
      <c r="T61" s="121" t="str">
        <f>IFERROR(VLOOKUP(TableHandbook[[#This Row],[UDC]],TableSPUCANIGD[],7,FALSE),"")</f>
        <v/>
      </c>
      <c r="U61" s="102" t="str">
        <f>IFERROR(VLOOKUP(TableHandbook[[#This Row],[UDC]],TableSPUCCADES[],7,FALSE),"")</f>
        <v/>
      </c>
      <c r="V61" s="102" t="str">
        <f>IFERROR(VLOOKUP(TableHandbook[[#This Row],[UDC]],TableSPUCDIGDE[],7,FALSE),"")</f>
        <v/>
      </c>
      <c r="W61" s="102" t="str">
        <f>IFERROR(VLOOKUP(TableHandbook[[#This Row],[UDC]],TableSPUCFASHN[],7,FALSE),"")</f>
        <v/>
      </c>
      <c r="X61" s="102" t="str">
        <f>IFERROR(VLOOKUP(TableHandbook[[#This Row],[UDC]],TableSPUCFSHMK[],7,FALSE),"")</f>
        <v/>
      </c>
      <c r="Y61" s="102" t="str">
        <f>IFERROR(VLOOKUP(TableHandbook[[#This Row],[UDC]],TableSPUCGRPDS[],7,FALSE),"")</f>
        <v/>
      </c>
      <c r="Z61" s="102" t="str">
        <f>IFERROR(VLOOKUP(TableHandbook[[#This Row],[UDC]],TableSPUCILLUS[],7,FALSE),"")</f>
        <v/>
      </c>
      <c r="AA61" s="102" t="str">
        <f>IFERROR(VLOOKUP(TableHandbook[[#This Row],[UDC]],TableSPUCPHOTO[],7,FALSE),"")</f>
        <v/>
      </c>
    </row>
    <row r="62" spans="1:27" x14ac:dyDescent="0.25">
      <c r="A62" t="s">
        <v>110</v>
      </c>
      <c r="B62" s="2">
        <v>1</v>
      </c>
      <c r="D62" t="s">
        <v>349</v>
      </c>
      <c r="E62" s="2">
        <v>25</v>
      </c>
      <c r="F62" s="106" t="s">
        <v>63</v>
      </c>
      <c r="G62" s="99" t="str">
        <f>IFERROR(IF(VLOOKUP(TableHandbook[[#This Row],[UDC]],TableAvailabilities[],2,FALSE)&gt;0,"Y",""),"")</f>
        <v>Y</v>
      </c>
      <c r="H62" s="99" t="str">
        <f>IFERROR(IF(VLOOKUP(TableHandbook[[#This Row],[UDC]],TableAvailabilities[],3,FALSE)&gt;0,"Y",""),"")</f>
        <v/>
      </c>
      <c r="I62" s="99" t="str">
        <f>IFERROR(IF(VLOOKUP(TableHandbook[[#This Row],[UDC]],TableAvailabilities[],4,FALSE)&gt;0,"Y",""),"")</f>
        <v>Y</v>
      </c>
      <c r="J62" s="99" t="str">
        <f>IFERROR(IF(VLOOKUP(TableHandbook[[#This Row],[UDC]],TableAvailabilities[],5,FALSE)&gt;0,"Y",""),"")</f>
        <v/>
      </c>
      <c r="K62" s="120"/>
      <c r="L62" s="102" t="str">
        <f>IFERROR(VLOOKUP(TableHandbook[[#This Row],[UDC]],TableBDESIGN[],7,FALSE),"")</f>
        <v>Core</v>
      </c>
      <c r="M62" s="121" t="str">
        <f>IFERROR(VLOOKUP(TableHandbook[[#This Row],[UDC]],TableMJRUADVDS[],7,FALSE),"")</f>
        <v/>
      </c>
      <c r="N62" s="102" t="str">
        <f>IFERROR(VLOOKUP(TableHandbook[[#This Row],[UDC]],TableMJRUANIGD[],7,FALSE),"")</f>
        <v/>
      </c>
      <c r="O62" s="102" t="str">
        <f>IFERROR(VLOOKUP(TableHandbook[[#This Row],[UDC]],TableMJRUDIGDE[],7,FALSE),"")</f>
        <v/>
      </c>
      <c r="P62" s="102" t="str">
        <f>IFERROR(VLOOKUP(TableHandbook[[#This Row],[UDC]],TableMJRUDINFB[],7,FALSE),"")</f>
        <v/>
      </c>
      <c r="Q62" s="102" t="str">
        <f>IFERROR(VLOOKUP(TableHandbook[[#This Row],[UDC]],TableMJRUFASHN[],7,FALSE),"")</f>
        <v/>
      </c>
      <c r="R62" s="102" t="str">
        <f>IFERROR(VLOOKUP(TableHandbook[[#This Row],[UDC]],TableMJRUGRPDS[],7,FALSE),"")</f>
        <v/>
      </c>
      <c r="S62" s="102" t="str">
        <f>IFERROR(VLOOKUP(TableHandbook[[#This Row],[UDC]],TableMJRUPHOTO[],7,FALSE),"")</f>
        <v/>
      </c>
      <c r="T62" s="121" t="str">
        <f>IFERROR(VLOOKUP(TableHandbook[[#This Row],[UDC]],TableSPUCANIGD[],7,FALSE),"")</f>
        <v/>
      </c>
      <c r="U62" s="102" t="str">
        <f>IFERROR(VLOOKUP(TableHandbook[[#This Row],[UDC]],TableSPUCCADES[],7,FALSE),"")</f>
        <v/>
      </c>
      <c r="V62" s="102" t="str">
        <f>IFERROR(VLOOKUP(TableHandbook[[#This Row],[UDC]],TableSPUCDIGDE[],7,FALSE),"")</f>
        <v/>
      </c>
      <c r="W62" s="102" t="str">
        <f>IFERROR(VLOOKUP(TableHandbook[[#This Row],[UDC]],TableSPUCFASHN[],7,FALSE),"")</f>
        <v/>
      </c>
      <c r="X62" s="102" t="str">
        <f>IFERROR(VLOOKUP(TableHandbook[[#This Row],[UDC]],TableSPUCFSHMK[],7,FALSE),"")</f>
        <v/>
      </c>
      <c r="Y62" s="102" t="str">
        <f>IFERROR(VLOOKUP(TableHandbook[[#This Row],[UDC]],TableSPUCGRPDS[],7,FALSE),"")</f>
        <v/>
      </c>
      <c r="Z62" s="102" t="str">
        <f>IFERROR(VLOOKUP(TableHandbook[[#This Row],[UDC]],TableSPUCILLUS[],7,FALSE),"")</f>
        <v/>
      </c>
      <c r="AA62" s="102" t="str">
        <f>IFERROR(VLOOKUP(TableHandbook[[#This Row],[UDC]],TableSPUCPHOTO[],7,FALSE),"")</f>
        <v/>
      </c>
    </row>
    <row r="63" spans="1:27" x14ac:dyDescent="0.25">
      <c r="A63" t="s">
        <v>176</v>
      </c>
      <c r="B63" s="2">
        <v>1</v>
      </c>
      <c r="D63" t="s">
        <v>350</v>
      </c>
      <c r="E63" s="2">
        <v>25</v>
      </c>
      <c r="F63" s="106" t="s">
        <v>114</v>
      </c>
      <c r="G63" s="99" t="str">
        <f>IFERROR(IF(VLOOKUP(TableHandbook[[#This Row],[UDC]],TableAvailabilities[],2,FALSE)&gt;0,"Y",""),"")</f>
        <v>Y</v>
      </c>
      <c r="H63" s="99" t="str">
        <f>IFERROR(IF(VLOOKUP(TableHandbook[[#This Row],[UDC]],TableAvailabilities[],3,FALSE)&gt;0,"Y",""),"")</f>
        <v/>
      </c>
      <c r="I63" s="99" t="str">
        <f>IFERROR(IF(VLOOKUP(TableHandbook[[#This Row],[UDC]],TableAvailabilities[],4,FALSE)&gt;0,"Y",""),"")</f>
        <v>Y</v>
      </c>
      <c r="J63" s="99" t="str">
        <f>IFERROR(IF(VLOOKUP(TableHandbook[[#This Row],[UDC]],TableAvailabilities[],5,FALSE)&gt;0,"Y",""),"")</f>
        <v/>
      </c>
      <c r="K63" s="120"/>
      <c r="L63" s="102" t="str">
        <f>IFERROR(VLOOKUP(TableHandbook[[#This Row],[UDC]],TableBDESIGN[],7,FALSE),"")</f>
        <v/>
      </c>
      <c r="M63" s="121" t="str">
        <f>IFERROR(VLOOKUP(TableHandbook[[#This Row],[UDC]],TableMJRUADVDS[],7,FALSE),"")</f>
        <v/>
      </c>
      <c r="N63" s="102" t="str">
        <f>IFERROR(VLOOKUP(TableHandbook[[#This Row],[UDC]],TableMJRUANIGD[],7,FALSE),"")</f>
        <v/>
      </c>
      <c r="O63" s="102" t="str">
        <f>IFERROR(VLOOKUP(TableHandbook[[#This Row],[UDC]],TableMJRUDIGDE[],7,FALSE),"")</f>
        <v/>
      </c>
      <c r="P63" s="102" t="str">
        <f>IFERROR(VLOOKUP(TableHandbook[[#This Row],[UDC]],TableMJRUDINFB[],7,FALSE),"")</f>
        <v/>
      </c>
      <c r="Q63" s="102" t="str">
        <f>IFERROR(VLOOKUP(TableHandbook[[#This Row],[UDC]],TableMJRUFASHN[],7,FALSE),"")</f>
        <v/>
      </c>
      <c r="R63" s="102" t="str">
        <f>IFERROR(VLOOKUP(TableHandbook[[#This Row],[UDC]],TableMJRUGRPDS[],7,FALSE),"")</f>
        <v>Core</v>
      </c>
      <c r="S63" s="102" t="str">
        <f>IFERROR(VLOOKUP(TableHandbook[[#This Row],[UDC]],TableMJRUPHOTO[],7,FALSE),"")</f>
        <v/>
      </c>
      <c r="T63" s="121" t="str">
        <f>IFERROR(VLOOKUP(TableHandbook[[#This Row],[UDC]],TableSPUCANIGD[],7,FALSE),"")</f>
        <v/>
      </c>
      <c r="U63" s="102" t="str">
        <f>IFERROR(VLOOKUP(TableHandbook[[#This Row],[UDC]],TableSPUCCADES[],7,FALSE),"")</f>
        <v/>
      </c>
      <c r="V63" s="102" t="str">
        <f>IFERROR(VLOOKUP(TableHandbook[[#This Row],[UDC]],TableSPUCDIGDE[],7,FALSE),"")</f>
        <v/>
      </c>
      <c r="W63" s="102" t="str">
        <f>IFERROR(VLOOKUP(TableHandbook[[#This Row],[UDC]],TableSPUCFASHN[],7,FALSE),"")</f>
        <v/>
      </c>
      <c r="X63" s="102" t="str">
        <f>IFERROR(VLOOKUP(TableHandbook[[#This Row],[UDC]],TableSPUCFSHMK[],7,FALSE),"")</f>
        <v/>
      </c>
      <c r="Y63" s="102" t="str">
        <f>IFERROR(VLOOKUP(TableHandbook[[#This Row],[UDC]],TableSPUCGRPDS[],7,FALSE),"")</f>
        <v/>
      </c>
      <c r="Z63" s="102" t="str">
        <f>IFERROR(VLOOKUP(TableHandbook[[#This Row],[UDC]],TableSPUCILLUS[],7,FALSE),"")</f>
        <v/>
      </c>
      <c r="AA63" s="102" t="str">
        <f>IFERROR(VLOOKUP(TableHandbook[[#This Row],[UDC]],TableSPUCPHOTO[],7,FALSE),"")</f>
        <v/>
      </c>
    </row>
    <row r="64" spans="1:27" x14ac:dyDescent="0.25">
      <c r="A64" t="s">
        <v>144</v>
      </c>
      <c r="B64" s="2">
        <v>2</v>
      </c>
      <c r="D64" t="s">
        <v>426</v>
      </c>
      <c r="E64" s="2">
        <v>25</v>
      </c>
      <c r="F64" s="106" t="s">
        <v>123</v>
      </c>
      <c r="G64" s="99" t="str">
        <f>IFERROR(IF(VLOOKUP(TableHandbook[[#This Row],[UDC]],TableAvailabilities[],2,FALSE)&gt;0,"Y",""),"")</f>
        <v>Y</v>
      </c>
      <c r="H64" s="99" t="str">
        <f>IFERROR(IF(VLOOKUP(TableHandbook[[#This Row],[UDC]],TableAvailabilities[],3,FALSE)&gt;0,"Y",""),"")</f>
        <v/>
      </c>
      <c r="I64" s="99" t="str">
        <f>IFERROR(IF(VLOOKUP(TableHandbook[[#This Row],[UDC]],TableAvailabilities[],4,FALSE)&gt;0,"Y",""),"")</f>
        <v/>
      </c>
      <c r="J64" s="99" t="str">
        <f>IFERROR(IF(VLOOKUP(TableHandbook[[#This Row],[UDC]],TableAvailabilities[],5,FALSE)&gt;0,"Y",""),"")</f>
        <v/>
      </c>
      <c r="K64" s="120"/>
      <c r="L64" s="102" t="str">
        <f>IFERROR(VLOOKUP(TableHandbook[[#This Row],[UDC]],TableBDESIGN[],7,FALSE),"")</f>
        <v/>
      </c>
      <c r="M64" s="121" t="str">
        <f>IFERROR(VLOOKUP(TableHandbook[[#This Row],[UDC]],TableMJRUADVDS[],7,FALSE),"")</f>
        <v/>
      </c>
      <c r="N64" s="102" t="str">
        <f>IFERROR(VLOOKUP(TableHandbook[[#This Row],[UDC]],TableMJRUANIGD[],7,FALSE),"")</f>
        <v/>
      </c>
      <c r="O64" s="102" t="str">
        <f>IFERROR(VLOOKUP(TableHandbook[[#This Row],[UDC]],TableMJRUDIGDE[],7,FALSE),"")</f>
        <v/>
      </c>
      <c r="P64" s="102" t="str">
        <f>IFERROR(VLOOKUP(TableHandbook[[#This Row],[UDC]],TableMJRUDINFB[],7,FALSE),"")</f>
        <v>Core</v>
      </c>
      <c r="Q64" s="102" t="str">
        <f>IFERROR(VLOOKUP(TableHandbook[[#This Row],[UDC]],TableMJRUFASHN[],7,FALSE),"")</f>
        <v/>
      </c>
      <c r="R64" s="102" t="str">
        <f>IFERROR(VLOOKUP(TableHandbook[[#This Row],[UDC]],TableMJRUGRPDS[],7,FALSE),"")</f>
        <v/>
      </c>
      <c r="S64" s="102" t="str">
        <f>IFERROR(VLOOKUP(TableHandbook[[#This Row],[UDC]],TableMJRUPHOTO[],7,FALSE),"")</f>
        <v/>
      </c>
      <c r="T64" s="121" t="str">
        <f>IFERROR(VLOOKUP(TableHandbook[[#This Row],[UDC]],TableSPUCANIGD[],7,FALSE),"")</f>
        <v/>
      </c>
      <c r="U64" s="102" t="str">
        <f>IFERROR(VLOOKUP(TableHandbook[[#This Row],[UDC]],TableSPUCCADES[],7,FALSE),"")</f>
        <v/>
      </c>
      <c r="V64" s="102" t="str">
        <f>IFERROR(VLOOKUP(TableHandbook[[#This Row],[UDC]],TableSPUCDIGDE[],7,FALSE),"")</f>
        <v/>
      </c>
      <c r="W64" s="102" t="str">
        <f>IFERROR(VLOOKUP(TableHandbook[[#This Row],[UDC]],TableSPUCFASHN[],7,FALSE),"")</f>
        <v/>
      </c>
      <c r="X64" s="102" t="str">
        <f>IFERROR(VLOOKUP(TableHandbook[[#This Row],[UDC]],TableSPUCFSHMK[],7,FALSE),"")</f>
        <v/>
      </c>
      <c r="Y64" s="102" t="str">
        <f>IFERROR(VLOOKUP(TableHandbook[[#This Row],[UDC]],TableSPUCGRPDS[],7,FALSE),"")</f>
        <v/>
      </c>
      <c r="Z64" s="102" t="str">
        <f>IFERROR(VLOOKUP(TableHandbook[[#This Row],[UDC]],TableSPUCILLUS[],7,FALSE),"")</f>
        <v/>
      </c>
      <c r="AA64" s="102" t="str">
        <f>IFERROR(VLOOKUP(TableHandbook[[#This Row],[UDC]],TableSPUCPHOTO[],7,FALSE),"")</f>
        <v/>
      </c>
    </row>
    <row r="65" spans="1:27" x14ac:dyDescent="0.25">
      <c r="A65" t="s">
        <v>151</v>
      </c>
      <c r="B65" s="2">
        <v>2</v>
      </c>
      <c r="D65" t="s">
        <v>425</v>
      </c>
      <c r="E65" s="2">
        <v>25</v>
      </c>
      <c r="F65" s="106" t="s">
        <v>135</v>
      </c>
      <c r="G65" s="99" t="str">
        <f>IFERROR(IF(VLOOKUP(TableHandbook[[#This Row],[UDC]],TableAvailabilities[],2,FALSE)&gt;0,"Y",""),"")</f>
        <v>Y</v>
      </c>
      <c r="H65" s="99" t="str">
        <f>IFERROR(IF(VLOOKUP(TableHandbook[[#This Row],[UDC]],TableAvailabilities[],3,FALSE)&gt;0,"Y",""),"")</f>
        <v/>
      </c>
      <c r="I65" s="99" t="str">
        <f>IFERROR(IF(VLOOKUP(TableHandbook[[#This Row],[UDC]],TableAvailabilities[],4,FALSE)&gt;0,"Y",""),"")</f>
        <v/>
      </c>
      <c r="J65" s="99" t="str">
        <f>IFERROR(IF(VLOOKUP(TableHandbook[[#This Row],[UDC]],TableAvailabilities[],5,FALSE)&gt;0,"Y",""),"")</f>
        <v/>
      </c>
      <c r="K65" s="120"/>
      <c r="L65" s="102" t="str">
        <f>IFERROR(VLOOKUP(TableHandbook[[#This Row],[UDC]],TableBDESIGN[],7,FALSE),"")</f>
        <v/>
      </c>
      <c r="M65" s="121" t="str">
        <f>IFERROR(VLOOKUP(TableHandbook[[#This Row],[UDC]],TableMJRUADVDS[],7,FALSE),"")</f>
        <v/>
      </c>
      <c r="N65" s="102" t="str">
        <f>IFERROR(VLOOKUP(TableHandbook[[#This Row],[UDC]],TableMJRUANIGD[],7,FALSE),"")</f>
        <v/>
      </c>
      <c r="O65" s="102" t="str">
        <f>IFERROR(VLOOKUP(TableHandbook[[#This Row],[UDC]],TableMJRUDIGDE[],7,FALSE),"")</f>
        <v/>
      </c>
      <c r="P65" s="102" t="str">
        <f>IFERROR(VLOOKUP(TableHandbook[[#This Row],[UDC]],TableMJRUDINFB[],7,FALSE),"")</f>
        <v>Core</v>
      </c>
      <c r="Q65" s="102" t="str">
        <f>IFERROR(VLOOKUP(TableHandbook[[#This Row],[UDC]],TableMJRUFASHN[],7,FALSE),"")</f>
        <v/>
      </c>
      <c r="R65" s="102" t="str">
        <f>IFERROR(VLOOKUP(TableHandbook[[#This Row],[UDC]],TableMJRUGRPDS[],7,FALSE),"")</f>
        <v/>
      </c>
      <c r="S65" s="102" t="str">
        <f>IFERROR(VLOOKUP(TableHandbook[[#This Row],[UDC]],TableMJRUPHOTO[],7,FALSE),"")</f>
        <v/>
      </c>
      <c r="T65" s="121" t="str">
        <f>IFERROR(VLOOKUP(TableHandbook[[#This Row],[UDC]],TableSPUCANIGD[],7,FALSE),"")</f>
        <v/>
      </c>
      <c r="U65" s="102" t="str">
        <f>IFERROR(VLOOKUP(TableHandbook[[#This Row],[UDC]],TableSPUCCADES[],7,FALSE),"")</f>
        <v/>
      </c>
      <c r="V65" s="102" t="str">
        <f>IFERROR(VLOOKUP(TableHandbook[[#This Row],[UDC]],TableSPUCDIGDE[],7,FALSE),"")</f>
        <v/>
      </c>
      <c r="W65" s="102" t="str">
        <f>IFERROR(VLOOKUP(TableHandbook[[#This Row],[UDC]],TableSPUCFASHN[],7,FALSE),"")</f>
        <v/>
      </c>
      <c r="X65" s="102" t="str">
        <f>IFERROR(VLOOKUP(TableHandbook[[#This Row],[UDC]],TableSPUCFSHMK[],7,FALSE),"")</f>
        <v/>
      </c>
      <c r="Y65" s="102" t="str">
        <f>IFERROR(VLOOKUP(TableHandbook[[#This Row],[UDC]],TableSPUCGRPDS[],7,FALSE),"")</f>
        <v/>
      </c>
      <c r="Z65" s="102" t="str">
        <f>IFERROR(VLOOKUP(TableHandbook[[#This Row],[UDC]],TableSPUCILLUS[],7,FALSE),"")</f>
        <v/>
      </c>
      <c r="AA65" s="102" t="str">
        <f>IFERROR(VLOOKUP(TableHandbook[[#This Row],[UDC]],TableSPUCPHOTO[],7,FALSE),"")</f>
        <v/>
      </c>
    </row>
    <row r="66" spans="1:27" x14ac:dyDescent="0.25">
      <c r="A66" t="s">
        <v>174</v>
      </c>
      <c r="B66" s="2">
        <v>2</v>
      </c>
      <c r="D66" t="s">
        <v>427</v>
      </c>
      <c r="E66" s="2">
        <v>25</v>
      </c>
      <c r="F66" s="106" t="s">
        <v>151</v>
      </c>
      <c r="G66" s="99" t="str">
        <f>IFERROR(IF(VLOOKUP(TableHandbook[[#This Row],[UDC]],TableAvailabilities[],2,FALSE)&gt;0,"Y",""),"")</f>
        <v/>
      </c>
      <c r="H66" s="99" t="str">
        <f>IFERROR(IF(VLOOKUP(TableHandbook[[#This Row],[UDC]],TableAvailabilities[],3,FALSE)&gt;0,"Y",""),"")</f>
        <v/>
      </c>
      <c r="I66" s="99" t="str">
        <f>IFERROR(IF(VLOOKUP(TableHandbook[[#This Row],[UDC]],TableAvailabilities[],4,FALSE)&gt;0,"Y",""),"")</f>
        <v>Y</v>
      </c>
      <c r="J66" s="99" t="str">
        <f>IFERROR(IF(VLOOKUP(TableHandbook[[#This Row],[UDC]],TableAvailabilities[],5,FALSE)&gt;0,"Y",""),"")</f>
        <v/>
      </c>
      <c r="K66" s="120"/>
      <c r="L66" s="102" t="str">
        <f>IFERROR(VLOOKUP(TableHandbook[[#This Row],[UDC]],TableBDESIGN[],7,FALSE),"")</f>
        <v/>
      </c>
      <c r="M66" s="121" t="str">
        <f>IFERROR(VLOOKUP(TableHandbook[[#This Row],[UDC]],TableMJRUADVDS[],7,FALSE),"")</f>
        <v/>
      </c>
      <c r="N66" s="102" t="str">
        <f>IFERROR(VLOOKUP(TableHandbook[[#This Row],[UDC]],TableMJRUANIGD[],7,FALSE),"")</f>
        <v/>
      </c>
      <c r="O66" s="102" t="str">
        <f>IFERROR(VLOOKUP(TableHandbook[[#This Row],[UDC]],TableMJRUDIGDE[],7,FALSE),"")</f>
        <v/>
      </c>
      <c r="P66" s="102" t="str">
        <f>IFERROR(VLOOKUP(TableHandbook[[#This Row],[UDC]],TableMJRUDINFB[],7,FALSE),"")</f>
        <v>Core</v>
      </c>
      <c r="Q66" s="102" t="str">
        <f>IFERROR(VLOOKUP(TableHandbook[[#This Row],[UDC]],TableMJRUFASHN[],7,FALSE),"")</f>
        <v/>
      </c>
      <c r="R66" s="102" t="str">
        <f>IFERROR(VLOOKUP(TableHandbook[[#This Row],[UDC]],TableMJRUGRPDS[],7,FALSE),"")</f>
        <v/>
      </c>
      <c r="S66" s="102" t="str">
        <f>IFERROR(VLOOKUP(TableHandbook[[#This Row],[UDC]],TableMJRUPHOTO[],7,FALSE),"")</f>
        <v/>
      </c>
      <c r="T66" s="121" t="str">
        <f>IFERROR(VLOOKUP(TableHandbook[[#This Row],[UDC]],TableSPUCANIGD[],7,FALSE),"")</f>
        <v/>
      </c>
      <c r="U66" s="102" t="str">
        <f>IFERROR(VLOOKUP(TableHandbook[[#This Row],[UDC]],TableSPUCCADES[],7,FALSE),"")</f>
        <v/>
      </c>
      <c r="V66" s="102" t="str">
        <f>IFERROR(VLOOKUP(TableHandbook[[#This Row],[UDC]],TableSPUCDIGDE[],7,FALSE),"")</f>
        <v/>
      </c>
      <c r="W66" s="102" t="str">
        <f>IFERROR(VLOOKUP(TableHandbook[[#This Row],[UDC]],TableSPUCFASHN[],7,FALSE),"")</f>
        <v/>
      </c>
      <c r="X66" s="102" t="str">
        <f>IFERROR(VLOOKUP(TableHandbook[[#This Row],[UDC]],TableSPUCFSHMK[],7,FALSE),"")</f>
        <v/>
      </c>
      <c r="Y66" s="102" t="str">
        <f>IFERROR(VLOOKUP(TableHandbook[[#This Row],[UDC]],TableSPUCGRPDS[],7,FALSE),"")</f>
        <v/>
      </c>
      <c r="Z66" s="102" t="str">
        <f>IFERROR(VLOOKUP(TableHandbook[[#This Row],[UDC]],TableSPUCILLUS[],7,FALSE),"")</f>
        <v/>
      </c>
      <c r="AA66" s="102" t="str">
        <f>IFERROR(VLOOKUP(TableHandbook[[#This Row],[UDC]],TableSPUCPHOTO[],7,FALSE),"")</f>
        <v/>
      </c>
    </row>
    <row r="67" spans="1:27" x14ac:dyDescent="0.25">
      <c r="A67" t="s">
        <v>167</v>
      </c>
      <c r="B67" s="2">
        <v>1</v>
      </c>
      <c r="D67" t="s">
        <v>351</v>
      </c>
      <c r="E67" s="2">
        <v>25</v>
      </c>
      <c r="F67" s="106" t="s">
        <v>110</v>
      </c>
      <c r="G67" s="99" t="str">
        <f>IFERROR(IF(VLOOKUP(TableHandbook[[#This Row],[UDC]],TableAvailabilities[],2,FALSE)&gt;0,"Y",""),"")</f>
        <v>Y</v>
      </c>
      <c r="H67" s="99" t="str">
        <f>IFERROR(IF(VLOOKUP(TableHandbook[[#This Row],[UDC]],TableAvailabilities[],3,FALSE)&gt;0,"Y",""),"")</f>
        <v/>
      </c>
      <c r="I67" s="99" t="str">
        <f>IFERROR(IF(VLOOKUP(TableHandbook[[#This Row],[UDC]],TableAvailabilities[],4,FALSE)&gt;0,"Y",""),"")</f>
        <v>Y</v>
      </c>
      <c r="J67" s="99" t="str">
        <f>IFERROR(IF(VLOOKUP(TableHandbook[[#This Row],[UDC]],TableAvailabilities[],5,FALSE)&gt;0,"Y",""),"")</f>
        <v/>
      </c>
      <c r="K67" s="120"/>
      <c r="L67" s="102" t="str">
        <f>IFERROR(VLOOKUP(TableHandbook[[#This Row],[UDC]],TableBDESIGN[],7,FALSE),"")</f>
        <v/>
      </c>
      <c r="M67" s="121" t="str">
        <f>IFERROR(VLOOKUP(TableHandbook[[#This Row],[UDC]],TableMJRUADVDS[],7,FALSE),"")</f>
        <v/>
      </c>
      <c r="N67" s="102" t="str">
        <f>IFERROR(VLOOKUP(TableHandbook[[#This Row],[UDC]],TableMJRUANIGD[],7,FALSE),"")</f>
        <v/>
      </c>
      <c r="O67" s="102" t="str">
        <f>IFERROR(VLOOKUP(TableHandbook[[#This Row],[UDC]],TableMJRUDIGDE[],7,FALSE),"")</f>
        <v/>
      </c>
      <c r="P67" s="102" t="str">
        <f>IFERROR(VLOOKUP(TableHandbook[[#This Row],[UDC]],TableMJRUDINFB[],7,FALSE),"")</f>
        <v/>
      </c>
      <c r="Q67" s="102" t="str">
        <f>IFERROR(VLOOKUP(TableHandbook[[#This Row],[UDC]],TableMJRUFASHN[],7,FALSE),"")</f>
        <v/>
      </c>
      <c r="R67" s="102" t="str">
        <f>IFERROR(VLOOKUP(TableHandbook[[#This Row],[UDC]],TableMJRUGRPDS[],7,FALSE),"")</f>
        <v>Core</v>
      </c>
      <c r="S67" s="102" t="str">
        <f>IFERROR(VLOOKUP(TableHandbook[[#This Row],[UDC]],TableMJRUPHOTO[],7,FALSE),"")</f>
        <v/>
      </c>
      <c r="T67" s="121" t="str">
        <f>IFERROR(VLOOKUP(TableHandbook[[#This Row],[UDC]],TableSPUCANIGD[],7,FALSE),"")</f>
        <v/>
      </c>
      <c r="U67" s="102" t="str">
        <f>IFERROR(VLOOKUP(TableHandbook[[#This Row],[UDC]],TableSPUCCADES[],7,FALSE),"")</f>
        <v/>
      </c>
      <c r="V67" s="102" t="str">
        <f>IFERROR(VLOOKUP(TableHandbook[[#This Row],[UDC]],TableSPUCDIGDE[],7,FALSE),"")</f>
        <v/>
      </c>
      <c r="W67" s="102" t="str">
        <f>IFERROR(VLOOKUP(TableHandbook[[#This Row],[UDC]],TableSPUCFASHN[],7,FALSE),"")</f>
        <v/>
      </c>
      <c r="X67" s="102" t="str">
        <f>IFERROR(VLOOKUP(TableHandbook[[#This Row],[UDC]],TableSPUCFSHMK[],7,FALSE),"")</f>
        <v/>
      </c>
      <c r="Y67" s="102" t="str">
        <f>IFERROR(VLOOKUP(TableHandbook[[#This Row],[UDC]],TableSPUCGRPDS[],7,FALSE),"")</f>
        <v/>
      </c>
      <c r="Z67" s="102" t="str">
        <f>IFERROR(VLOOKUP(TableHandbook[[#This Row],[UDC]],TableSPUCILLUS[],7,FALSE),"")</f>
        <v/>
      </c>
      <c r="AA67" s="102" t="str">
        <f>IFERROR(VLOOKUP(TableHandbook[[#This Row],[UDC]],TableSPUCPHOTO[],7,FALSE),"")</f>
        <v/>
      </c>
    </row>
    <row r="68" spans="1:27" x14ac:dyDescent="0.25">
      <c r="A68" t="s">
        <v>184</v>
      </c>
      <c r="B68" s="2">
        <v>1</v>
      </c>
      <c r="D68" t="s">
        <v>352</v>
      </c>
      <c r="E68" s="2">
        <v>25</v>
      </c>
      <c r="F68" s="106" t="s">
        <v>153</v>
      </c>
      <c r="G68" s="99" t="str">
        <f>IFERROR(IF(VLOOKUP(TableHandbook[[#This Row],[UDC]],TableAvailabilities[],2,FALSE)&gt;0,"Y",""),"")</f>
        <v>Y</v>
      </c>
      <c r="H68" s="99" t="str">
        <f>IFERROR(IF(VLOOKUP(TableHandbook[[#This Row],[UDC]],TableAvailabilities[],3,FALSE)&gt;0,"Y",""),"")</f>
        <v/>
      </c>
      <c r="I68" s="99" t="str">
        <f>IFERROR(IF(VLOOKUP(TableHandbook[[#This Row],[UDC]],TableAvailabilities[],4,FALSE)&gt;0,"Y",""),"")</f>
        <v>Y</v>
      </c>
      <c r="J68" s="99" t="str">
        <f>IFERROR(IF(VLOOKUP(TableHandbook[[#This Row],[UDC]],TableAvailabilities[],5,FALSE)&gt;0,"Y",""),"")</f>
        <v/>
      </c>
      <c r="K68" s="120"/>
      <c r="L68" s="102" t="str">
        <f>IFERROR(VLOOKUP(TableHandbook[[#This Row],[UDC]],TableBDESIGN[],7,FALSE),"")</f>
        <v/>
      </c>
      <c r="M68" s="121" t="str">
        <f>IFERROR(VLOOKUP(TableHandbook[[#This Row],[UDC]],TableMJRUADVDS[],7,FALSE),"")</f>
        <v/>
      </c>
      <c r="N68" s="102" t="str">
        <f>IFERROR(VLOOKUP(TableHandbook[[#This Row],[UDC]],TableMJRUANIGD[],7,FALSE),"")</f>
        <v/>
      </c>
      <c r="O68" s="102" t="str">
        <f>IFERROR(VLOOKUP(TableHandbook[[#This Row],[UDC]],TableMJRUDIGDE[],7,FALSE),"")</f>
        <v/>
      </c>
      <c r="P68" s="102" t="str">
        <f>IFERROR(VLOOKUP(TableHandbook[[#This Row],[UDC]],TableMJRUDINFB[],7,FALSE),"")</f>
        <v/>
      </c>
      <c r="Q68" s="102" t="str">
        <f>IFERROR(VLOOKUP(TableHandbook[[#This Row],[UDC]],TableMJRUFASHN[],7,FALSE),"")</f>
        <v/>
      </c>
      <c r="R68" s="102" t="str">
        <f>IFERROR(VLOOKUP(TableHandbook[[#This Row],[UDC]],TableMJRUGRPDS[],7,FALSE),"")</f>
        <v>Core</v>
      </c>
      <c r="S68" s="102" t="str">
        <f>IFERROR(VLOOKUP(TableHandbook[[#This Row],[UDC]],TableMJRUPHOTO[],7,FALSE),"")</f>
        <v/>
      </c>
      <c r="T68" s="121" t="str">
        <f>IFERROR(VLOOKUP(TableHandbook[[#This Row],[UDC]],TableSPUCANIGD[],7,FALSE),"")</f>
        <v/>
      </c>
      <c r="U68" s="102" t="str">
        <f>IFERROR(VLOOKUP(TableHandbook[[#This Row],[UDC]],TableSPUCCADES[],7,FALSE),"")</f>
        <v/>
      </c>
      <c r="V68" s="102" t="str">
        <f>IFERROR(VLOOKUP(TableHandbook[[#This Row],[UDC]],TableSPUCDIGDE[],7,FALSE),"")</f>
        <v/>
      </c>
      <c r="W68" s="102" t="str">
        <f>IFERROR(VLOOKUP(TableHandbook[[#This Row],[UDC]],TableSPUCFASHN[],7,FALSE),"")</f>
        <v/>
      </c>
      <c r="X68" s="102" t="str">
        <f>IFERROR(VLOOKUP(TableHandbook[[#This Row],[UDC]],TableSPUCFSHMK[],7,FALSE),"")</f>
        <v/>
      </c>
      <c r="Y68" s="102" t="str">
        <f>IFERROR(VLOOKUP(TableHandbook[[#This Row],[UDC]],TableSPUCGRPDS[],7,FALSE),"")</f>
        <v/>
      </c>
      <c r="Z68" s="102" t="str">
        <f>IFERROR(VLOOKUP(TableHandbook[[#This Row],[UDC]],TableSPUCILLUS[],7,FALSE),"")</f>
        <v/>
      </c>
      <c r="AA68" s="102" t="str">
        <f>IFERROR(VLOOKUP(TableHandbook[[#This Row],[UDC]],TableSPUCPHOTO[],7,FALSE),"")</f>
        <v/>
      </c>
    </row>
    <row r="69" spans="1:27" x14ac:dyDescent="0.25">
      <c r="A69" t="s">
        <v>170</v>
      </c>
      <c r="B69" s="2">
        <v>1</v>
      </c>
      <c r="D69" t="s">
        <v>421</v>
      </c>
      <c r="E69" s="2">
        <v>25</v>
      </c>
      <c r="F69" s="106" t="s">
        <v>113</v>
      </c>
      <c r="G69" s="99" t="str">
        <f>IFERROR(IF(VLOOKUP(TableHandbook[[#This Row],[UDC]],TableAvailabilities[],2,FALSE)&gt;0,"Y",""),"")</f>
        <v>Y</v>
      </c>
      <c r="H69" s="99" t="str">
        <f>IFERROR(IF(VLOOKUP(TableHandbook[[#This Row],[UDC]],TableAvailabilities[],3,FALSE)&gt;0,"Y",""),"")</f>
        <v/>
      </c>
      <c r="I69" s="99" t="str">
        <f>IFERROR(IF(VLOOKUP(TableHandbook[[#This Row],[UDC]],TableAvailabilities[],4,FALSE)&gt;0,"Y",""),"")</f>
        <v/>
      </c>
      <c r="J69" s="99" t="str">
        <f>IFERROR(IF(VLOOKUP(TableHandbook[[#This Row],[UDC]],TableAvailabilities[],5,FALSE)&gt;0,"Y",""),"")</f>
        <v/>
      </c>
      <c r="K69" s="120"/>
      <c r="L69" s="102" t="str">
        <f>IFERROR(VLOOKUP(TableHandbook[[#This Row],[UDC]],TableBDESIGN[],7,FALSE),"")</f>
        <v/>
      </c>
      <c r="M69" s="121" t="str">
        <f>IFERROR(VLOOKUP(TableHandbook[[#This Row],[UDC]],TableMJRUADVDS[],7,FALSE),"")</f>
        <v>Core</v>
      </c>
      <c r="N69" s="102" t="str">
        <f>IFERROR(VLOOKUP(TableHandbook[[#This Row],[UDC]],TableMJRUANIGD[],7,FALSE),"")</f>
        <v/>
      </c>
      <c r="O69" s="102" t="str">
        <f>IFERROR(VLOOKUP(TableHandbook[[#This Row],[UDC]],TableMJRUDIGDE[],7,FALSE),"")</f>
        <v/>
      </c>
      <c r="P69" s="102" t="str">
        <f>IFERROR(VLOOKUP(TableHandbook[[#This Row],[UDC]],TableMJRUDINFB[],7,FALSE),"")</f>
        <v/>
      </c>
      <c r="Q69" s="102" t="str">
        <f>IFERROR(VLOOKUP(TableHandbook[[#This Row],[UDC]],TableMJRUFASHN[],7,FALSE),"")</f>
        <v/>
      </c>
      <c r="R69" s="102" t="str">
        <f>IFERROR(VLOOKUP(TableHandbook[[#This Row],[UDC]],TableMJRUGRPDS[],7,FALSE),"")</f>
        <v/>
      </c>
      <c r="S69" s="102" t="str">
        <f>IFERROR(VLOOKUP(TableHandbook[[#This Row],[UDC]],TableMJRUPHOTO[],7,FALSE),"")</f>
        <v/>
      </c>
      <c r="T69" s="121" t="str">
        <f>IFERROR(VLOOKUP(TableHandbook[[#This Row],[UDC]],TableSPUCANIGD[],7,FALSE),"")</f>
        <v/>
      </c>
      <c r="U69" s="102" t="str">
        <f>IFERROR(VLOOKUP(TableHandbook[[#This Row],[UDC]],TableSPUCCADES[],7,FALSE),"")</f>
        <v/>
      </c>
      <c r="V69" s="102" t="str">
        <f>IFERROR(VLOOKUP(TableHandbook[[#This Row],[UDC]],TableSPUCDIGDE[],7,FALSE),"")</f>
        <v/>
      </c>
      <c r="W69" s="102" t="str">
        <f>IFERROR(VLOOKUP(TableHandbook[[#This Row],[UDC]],TableSPUCFASHN[],7,FALSE),"")</f>
        <v/>
      </c>
      <c r="X69" s="102" t="str">
        <f>IFERROR(VLOOKUP(TableHandbook[[#This Row],[UDC]],TableSPUCFSHMK[],7,FALSE),"")</f>
        <v/>
      </c>
      <c r="Y69" s="102" t="str">
        <f>IFERROR(VLOOKUP(TableHandbook[[#This Row],[UDC]],TableSPUCGRPDS[],7,FALSE),"")</f>
        <v/>
      </c>
      <c r="Z69" s="102" t="str">
        <f>IFERROR(VLOOKUP(TableHandbook[[#This Row],[UDC]],TableSPUCILLUS[],7,FALSE),"")</f>
        <v/>
      </c>
      <c r="AA69" s="102" t="str">
        <f>IFERROR(VLOOKUP(TableHandbook[[#This Row],[UDC]],TableSPUCPHOTO[],7,FALSE),"")</f>
        <v/>
      </c>
    </row>
    <row r="70" spans="1:27" x14ac:dyDescent="0.25">
      <c r="A70" t="s">
        <v>171</v>
      </c>
      <c r="B70" s="2">
        <v>1</v>
      </c>
      <c r="D70" t="s">
        <v>422</v>
      </c>
      <c r="E70" s="2">
        <v>25</v>
      </c>
      <c r="F70" s="106" t="s">
        <v>113</v>
      </c>
      <c r="G70" s="99" t="str">
        <f>IFERROR(IF(VLOOKUP(TableHandbook[[#This Row],[UDC]],TableAvailabilities[],2,FALSE)&gt;0,"Y",""),"")</f>
        <v/>
      </c>
      <c r="H70" s="99" t="str">
        <f>IFERROR(IF(VLOOKUP(TableHandbook[[#This Row],[UDC]],TableAvailabilities[],3,FALSE)&gt;0,"Y",""),"")</f>
        <v/>
      </c>
      <c r="I70" s="99" t="str">
        <f>IFERROR(IF(VLOOKUP(TableHandbook[[#This Row],[UDC]],TableAvailabilities[],4,FALSE)&gt;0,"Y",""),"")</f>
        <v>Y</v>
      </c>
      <c r="J70" s="99" t="str">
        <f>IFERROR(IF(VLOOKUP(TableHandbook[[#This Row],[UDC]],TableAvailabilities[],5,FALSE)&gt;0,"Y",""),"")</f>
        <v/>
      </c>
      <c r="K70" s="120"/>
      <c r="L70" s="102" t="str">
        <f>IFERROR(VLOOKUP(TableHandbook[[#This Row],[UDC]],TableBDESIGN[],7,FALSE),"")</f>
        <v/>
      </c>
      <c r="M70" s="121" t="str">
        <f>IFERROR(VLOOKUP(TableHandbook[[#This Row],[UDC]],TableMJRUADVDS[],7,FALSE),"")</f>
        <v>Core</v>
      </c>
      <c r="N70" s="102" t="str">
        <f>IFERROR(VLOOKUP(TableHandbook[[#This Row],[UDC]],TableMJRUANIGD[],7,FALSE),"")</f>
        <v/>
      </c>
      <c r="O70" s="102" t="str">
        <f>IFERROR(VLOOKUP(TableHandbook[[#This Row],[UDC]],TableMJRUDIGDE[],7,FALSE),"")</f>
        <v/>
      </c>
      <c r="P70" s="102" t="str">
        <f>IFERROR(VLOOKUP(TableHandbook[[#This Row],[UDC]],TableMJRUDINFB[],7,FALSE),"")</f>
        <v/>
      </c>
      <c r="Q70" s="102" t="str">
        <f>IFERROR(VLOOKUP(TableHandbook[[#This Row],[UDC]],TableMJRUFASHN[],7,FALSE),"")</f>
        <v/>
      </c>
      <c r="R70" s="102" t="str">
        <f>IFERROR(VLOOKUP(TableHandbook[[#This Row],[UDC]],TableMJRUGRPDS[],7,FALSE),"")</f>
        <v/>
      </c>
      <c r="S70" s="102" t="str">
        <f>IFERROR(VLOOKUP(TableHandbook[[#This Row],[UDC]],TableMJRUPHOTO[],7,FALSE),"")</f>
        <v/>
      </c>
      <c r="T70" s="121" t="str">
        <f>IFERROR(VLOOKUP(TableHandbook[[#This Row],[UDC]],TableSPUCANIGD[],7,FALSE),"")</f>
        <v/>
      </c>
      <c r="U70" s="102" t="str">
        <f>IFERROR(VLOOKUP(TableHandbook[[#This Row],[UDC]],TableSPUCCADES[],7,FALSE),"")</f>
        <v/>
      </c>
      <c r="V70" s="102" t="str">
        <f>IFERROR(VLOOKUP(TableHandbook[[#This Row],[UDC]],TableSPUCDIGDE[],7,FALSE),"")</f>
        <v/>
      </c>
      <c r="W70" s="102" t="str">
        <f>IFERROR(VLOOKUP(TableHandbook[[#This Row],[UDC]],TableSPUCFASHN[],7,FALSE),"")</f>
        <v/>
      </c>
      <c r="X70" s="102" t="str">
        <f>IFERROR(VLOOKUP(TableHandbook[[#This Row],[UDC]],TableSPUCFSHMK[],7,FALSE),"")</f>
        <v/>
      </c>
      <c r="Y70" s="102" t="str">
        <f>IFERROR(VLOOKUP(TableHandbook[[#This Row],[UDC]],TableSPUCGRPDS[],7,FALSE),"")</f>
        <v/>
      </c>
      <c r="Z70" s="102" t="str">
        <f>IFERROR(VLOOKUP(TableHandbook[[#This Row],[UDC]],TableSPUCILLUS[],7,FALSE),"")</f>
        <v/>
      </c>
      <c r="AA70" s="102" t="str">
        <f>IFERROR(VLOOKUP(TableHandbook[[#This Row],[UDC]],TableSPUCPHOTO[],7,FALSE),"")</f>
        <v/>
      </c>
    </row>
    <row r="71" spans="1:27" x14ac:dyDescent="0.25">
      <c r="A71" t="s">
        <v>150</v>
      </c>
      <c r="B71" s="2">
        <v>4</v>
      </c>
      <c r="D71" t="s">
        <v>353</v>
      </c>
      <c r="E71" s="2">
        <v>25</v>
      </c>
      <c r="F71" s="106" t="s">
        <v>354</v>
      </c>
      <c r="G71" s="99" t="str">
        <f>IFERROR(IF(VLOOKUP(TableHandbook[[#This Row],[UDC]],TableAvailabilities[],2,FALSE)&gt;0,"Y",""),"")</f>
        <v>Y</v>
      </c>
      <c r="H71" s="99" t="str">
        <f>IFERROR(IF(VLOOKUP(TableHandbook[[#This Row],[UDC]],TableAvailabilities[],3,FALSE)&gt;0,"Y",""),"")</f>
        <v/>
      </c>
      <c r="I71" s="99" t="str">
        <f>IFERROR(IF(VLOOKUP(TableHandbook[[#This Row],[UDC]],TableAvailabilities[],4,FALSE)&gt;0,"Y",""),"")</f>
        <v/>
      </c>
      <c r="J71" s="99" t="str">
        <f>IFERROR(IF(VLOOKUP(TableHandbook[[#This Row],[UDC]],TableAvailabilities[],5,FALSE)&gt;0,"Y",""),"")</f>
        <v/>
      </c>
      <c r="K71" s="120"/>
      <c r="L71" s="102" t="str">
        <f>IFERROR(VLOOKUP(TableHandbook[[#This Row],[UDC]],TableBDESIGN[],7,FALSE),"")</f>
        <v/>
      </c>
      <c r="M71" s="121" t="str">
        <f>IFERROR(VLOOKUP(TableHandbook[[#This Row],[UDC]],TableMJRUADVDS[],7,FALSE),"")</f>
        <v/>
      </c>
      <c r="N71" s="102" t="str">
        <f>IFERROR(VLOOKUP(TableHandbook[[#This Row],[UDC]],TableMJRUANIGD[],7,FALSE),"")</f>
        <v/>
      </c>
      <c r="O71" s="102" t="str">
        <f>IFERROR(VLOOKUP(TableHandbook[[#This Row],[UDC]],TableMJRUDIGDE[],7,FALSE),"")</f>
        <v>Core</v>
      </c>
      <c r="P71" s="102" t="str">
        <f>IFERROR(VLOOKUP(TableHandbook[[#This Row],[UDC]],TableMJRUDINFB[],7,FALSE),"")</f>
        <v/>
      </c>
      <c r="Q71" s="102" t="str">
        <f>IFERROR(VLOOKUP(TableHandbook[[#This Row],[UDC]],TableMJRUFASHN[],7,FALSE),"")</f>
        <v/>
      </c>
      <c r="R71" s="102" t="str">
        <f>IFERROR(VLOOKUP(TableHandbook[[#This Row],[UDC]],TableMJRUGRPDS[],7,FALSE),"")</f>
        <v/>
      </c>
      <c r="S71" s="102" t="str">
        <f>IFERROR(VLOOKUP(TableHandbook[[#This Row],[UDC]],TableMJRUPHOTO[],7,FALSE),"")</f>
        <v/>
      </c>
      <c r="T71" s="121" t="str">
        <f>IFERROR(VLOOKUP(TableHandbook[[#This Row],[UDC]],TableSPUCANIGD[],7,FALSE),"")</f>
        <v/>
      </c>
      <c r="U71" s="102" t="str">
        <f>IFERROR(VLOOKUP(TableHandbook[[#This Row],[UDC]],TableSPUCCADES[],7,FALSE),"")</f>
        <v/>
      </c>
      <c r="V71" s="102" t="str">
        <f>IFERROR(VLOOKUP(TableHandbook[[#This Row],[UDC]],TableSPUCDIGDE[],7,FALSE),"")</f>
        <v/>
      </c>
      <c r="W71" s="102" t="str">
        <f>IFERROR(VLOOKUP(TableHandbook[[#This Row],[UDC]],TableSPUCFASHN[],7,FALSE),"")</f>
        <v/>
      </c>
      <c r="X71" s="102" t="str">
        <f>IFERROR(VLOOKUP(TableHandbook[[#This Row],[UDC]],TableSPUCFSHMK[],7,FALSE),"")</f>
        <v/>
      </c>
      <c r="Y71" s="102" t="str">
        <f>IFERROR(VLOOKUP(TableHandbook[[#This Row],[UDC]],TableSPUCGRPDS[],7,FALSE),"")</f>
        <v/>
      </c>
      <c r="Z71" s="102" t="str">
        <f>IFERROR(VLOOKUP(TableHandbook[[#This Row],[UDC]],TableSPUCILLUS[],7,FALSE),"")</f>
        <v/>
      </c>
      <c r="AA71" s="102" t="str">
        <f>IFERROR(VLOOKUP(TableHandbook[[#This Row],[UDC]],TableSPUCPHOTO[],7,FALSE),"")</f>
        <v/>
      </c>
    </row>
    <row r="72" spans="1:27" x14ac:dyDescent="0.25">
      <c r="A72" t="s">
        <v>172</v>
      </c>
      <c r="B72" s="2">
        <v>1</v>
      </c>
      <c r="D72" t="s">
        <v>355</v>
      </c>
      <c r="E72" s="2">
        <v>25</v>
      </c>
      <c r="F72" s="106" t="s">
        <v>356</v>
      </c>
      <c r="G72" s="99" t="str">
        <f>IFERROR(IF(VLOOKUP(TableHandbook[[#This Row],[UDC]],TableAvailabilities[],2,FALSE)&gt;0,"Y",""),"")</f>
        <v>Y</v>
      </c>
      <c r="H72" s="99" t="str">
        <f>IFERROR(IF(VLOOKUP(TableHandbook[[#This Row],[UDC]],TableAvailabilities[],3,FALSE)&gt;0,"Y",""),"")</f>
        <v/>
      </c>
      <c r="I72" s="99" t="str">
        <f>IFERROR(IF(VLOOKUP(TableHandbook[[#This Row],[UDC]],TableAvailabilities[],4,FALSE)&gt;0,"Y",""),"")</f>
        <v/>
      </c>
      <c r="J72" s="99" t="str">
        <f>IFERROR(IF(VLOOKUP(TableHandbook[[#This Row],[UDC]],TableAvailabilities[],5,FALSE)&gt;0,"Y",""),"")</f>
        <v/>
      </c>
      <c r="K72" s="120"/>
      <c r="L72" s="102" t="str">
        <f>IFERROR(VLOOKUP(TableHandbook[[#This Row],[UDC]],TableBDESIGN[],7,FALSE),"")</f>
        <v/>
      </c>
      <c r="M72" s="121" t="str">
        <f>IFERROR(VLOOKUP(TableHandbook[[#This Row],[UDC]],TableMJRUADVDS[],7,FALSE),"")</f>
        <v/>
      </c>
      <c r="N72" s="102" t="str">
        <f>IFERROR(VLOOKUP(TableHandbook[[#This Row],[UDC]],TableMJRUANIGD[],7,FALSE),"")</f>
        <v>Core</v>
      </c>
      <c r="O72" s="102" t="str">
        <f>IFERROR(VLOOKUP(TableHandbook[[#This Row],[UDC]],TableMJRUDIGDE[],7,FALSE),"")</f>
        <v/>
      </c>
      <c r="P72" s="102" t="str">
        <f>IFERROR(VLOOKUP(TableHandbook[[#This Row],[UDC]],TableMJRUDINFB[],7,FALSE),"")</f>
        <v/>
      </c>
      <c r="Q72" s="102" t="str">
        <f>IFERROR(VLOOKUP(TableHandbook[[#This Row],[UDC]],TableMJRUFASHN[],7,FALSE),"")</f>
        <v/>
      </c>
      <c r="R72" s="102" t="str">
        <f>IFERROR(VLOOKUP(TableHandbook[[#This Row],[UDC]],TableMJRUGRPDS[],7,FALSE),"")</f>
        <v/>
      </c>
      <c r="S72" s="102" t="str">
        <f>IFERROR(VLOOKUP(TableHandbook[[#This Row],[UDC]],TableMJRUPHOTO[],7,FALSE),"")</f>
        <v/>
      </c>
      <c r="T72" s="121" t="str">
        <f>IFERROR(VLOOKUP(TableHandbook[[#This Row],[UDC]],TableSPUCANIGD[],7,FALSE),"")</f>
        <v/>
      </c>
      <c r="U72" s="102" t="str">
        <f>IFERROR(VLOOKUP(TableHandbook[[#This Row],[UDC]],TableSPUCCADES[],7,FALSE),"")</f>
        <v/>
      </c>
      <c r="V72" s="102" t="str">
        <f>IFERROR(VLOOKUP(TableHandbook[[#This Row],[UDC]],TableSPUCDIGDE[],7,FALSE),"")</f>
        <v/>
      </c>
      <c r="W72" s="102" t="str">
        <f>IFERROR(VLOOKUP(TableHandbook[[#This Row],[UDC]],TableSPUCFASHN[],7,FALSE),"")</f>
        <v/>
      </c>
      <c r="X72" s="102" t="str">
        <f>IFERROR(VLOOKUP(TableHandbook[[#This Row],[UDC]],TableSPUCFSHMK[],7,FALSE),"")</f>
        <v/>
      </c>
      <c r="Y72" s="102" t="str">
        <f>IFERROR(VLOOKUP(TableHandbook[[#This Row],[UDC]],TableSPUCGRPDS[],7,FALSE),"")</f>
        <v/>
      </c>
      <c r="Z72" s="102" t="str">
        <f>IFERROR(VLOOKUP(TableHandbook[[#This Row],[UDC]],TableSPUCILLUS[],7,FALSE),"")</f>
        <v/>
      </c>
      <c r="AA72" s="102" t="str">
        <f>IFERROR(VLOOKUP(TableHandbook[[#This Row],[UDC]],TableSPUCPHOTO[],7,FALSE),"")</f>
        <v/>
      </c>
    </row>
    <row r="73" spans="1:27" x14ac:dyDescent="0.25">
      <c r="A73" t="s">
        <v>173</v>
      </c>
      <c r="B73" s="2">
        <v>4</v>
      </c>
      <c r="D73" t="s">
        <v>357</v>
      </c>
      <c r="E73" s="2">
        <v>25</v>
      </c>
      <c r="F73" s="106" t="s">
        <v>150</v>
      </c>
      <c r="G73" s="99" t="str">
        <f>IFERROR(IF(VLOOKUP(TableHandbook[[#This Row],[UDC]],TableAvailabilities[],2,FALSE)&gt;0,"Y",""),"")</f>
        <v/>
      </c>
      <c r="H73" s="99" t="str">
        <f>IFERROR(IF(VLOOKUP(TableHandbook[[#This Row],[UDC]],TableAvailabilities[],3,FALSE)&gt;0,"Y",""),"")</f>
        <v/>
      </c>
      <c r="I73" s="99" t="str">
        <f>IFERROR(IF(VLOOKUP(TableHandbook[[#This Row],[UDC]],TableAvailabilities[],4,FALSE)&gt;0,"Y",""),"")</f>
        <v>Y</v>
      </c>
      <c r="J73" s="99" t="str">
        <f>IFERROR(IF(VLOOKUP(TableHandbook[[#This Row],[UDC]],TableAvailabilities[],5,FALSE)&gt;0,"Y",""),"")</f>
        <v/>
      </c>
      <c r="K73" s="120"/>
      <c r="L73" s="102" t="str">
        <f>IFERROR(VLOOKUP(TableHandbook[[#This Row],[UDC]],TableBDESIGN[],7,FALSE),"")</f>
        <v/>
      </c>
      <c r="M73" s="121" t="str">
        <f>IFERROR(VLOOKUP(TableHandbook[[#This Row],[UDC]],TableMJRUADVDS[],7,FALSE),"")</f>
        <v/>
      </c>
      <c r="N73" s="102" t="str">
        <f>IFERROR(VLOOKUP(TableHandbook[[#This Row],[UDC]],TableMJRUANIGD[],7,FALSE),"")</f>
        <v/>
      </c>
      <c r="O73" s="102" t="str">
        <f>IFERROR(VLOOKUP(TableHandbook[[#This Row],[UDC]],TableMJRUDIGDE[],7,FALSE),"")</f>
        <v>Core</v>
      </c>
      <c r="P73" s="102" t="str">
        <f>IFERROR(VLOOKUP(TableHandbook[[#This Row],[UDC]],TableMJRUDINFB[],7,FALSE),"")</f>
        <v/>
      </c>
      <c r="Q73" s="102" t="str">
        <f>IFERROR(VLOOKUP(TableHandbook[[#This Row],[UDC]],TableMJRUFASHN[],7,FALSE),"")</f>
        <v/>
      </c>
      <c r="R73" s="102" t="str">
        <f>IFERROR(VLOOKUP(TableHandbook[[#This Row],[UDC]],TableMJRUGRPDS[],7,FALSE),"")</f>
        <v/>
      </c>
      <c r="S73" s="102" t="str">
        <f>IFERROR(VLOOKUP(TableHandbook[[#This Row],[UDC]],TableMJRUPHOTO[],7,FALSE),"")</f>
        <v/>
      </c>
      <c r="T73" s="121" t="str">
        <f>IFERROR(VLOOKUP(TableHandbook[[#This Row],[UDC]],TableSPUCANIGD[],7,FALSE),"")</f>
        <v/>
      </c>
      <c r="U73" s="102" t="str">
        <f>IFERROR(VLOOKUP(TableHandbook[[#This Row],[UDC]],TableSPUCCADES[],7,FALSE),"")</f>
        <v/>
      </c>
      <c r="V73" s="102" t="str">
        <f>IFERROR(VLOOKUP(TableHandbook[[#This Row],[UDC]],TableSPUCDIGDE[],7,FALSE),"")</f>
        <v/>
      </c>
      <c r="W73" s="102" t="str">
        <f>IFERROR(VLOOKUP(TableHandbook[[#This Row],[UDC]],TableSPUCFASHN[],7,FALSE),"")</f>
        <v/>
      </c>
      <c r="X73" s="102" t="str">
        <f>IFERROR(VLOOKUP(TableHandbook[[#This Row],[UDC]],TableSPUCFSHMK[],7,FALSE),"")</f>
        <v/>
      </c>
      <c r="Y73" s="102" t="str">
        <f>IFERROR(VLOOKUP(TableHandbook[[#This Row],[UDC]],TableSPUCGRPDS[],7,FALSE),"")</f>
        <v/>
      </c>
      <c r="Z73" s="102" t="str">
        <f>IFERROR(VLOOKUP(TableHandbook[[#This Row],[UDC]],TableSPUCILLUS[],7,FALSE),"")</f>
        <v/>
      </c>
      <c r="AA73" s="102" t="str">
        <f>IFERROR(VLOOKUP(TableHandbook[[#This Row],[UDC]],TableSPUCPHOTO[],7,FALSE),"")</f>
        <v/>
      </c>
    </row>
    <row r="74" spans="1:27" x14ac:dyDescent="0.25">
      <c r="A74" t="s">
        <v>219</v>
      </c>
      <c r="B74" s="2">
        <v>2</v>
      </c>
      <c r="D74" t="s">
        <v>358</v>
      </c>
      <c r="E74" s="2">
        <v>25</v>
      </c>
      <c r="F74" s="106" t="s">
        <v>359</v>
      </c>
      <c r="G74" s="99" t="str">
        <f>IFERROR(IF(VLOOKUP(TableHandbook[[#This Row],[UDC]],TableAvailabilities[],2,FALSE)&gt;0,"Y",""),"")</f>
        <v>Y</v>
      </c>
      <c r="H74" s="99" t="str">
        <f>IFERROR(IF(VLOOKUP(TableHandbook[[#This Row],[UDC]],TableAvailabilities[],3,FALSE)&gt;0,"Y",""),"")</f>
        <v/>
      </c>
      <c r="I74" s="99" t="str">
        <f>IFERROR(IF(VLOOKUP(TableHandbook[[#This Row],[UDC]],TableAvailabilities[],4,FALSE)&gt;0,"Y",""),"")</f>
        <v>Y</v>
      </c>
      <c r="J74" s="99" t="str">
        <f>IFERROR(IF(VLOOKUP(TableHandbook[[#This Row],[UDC]],TableAvailabilities[],5,FALSE)&gt;0,"Y",""),"")</f>
        <v/>
      </c>
      <c r="K74" s="120"/>
      <c r="L74" s="102" t="str">
        <f>IFERROR(VLOOKUP(TableHandbook[[#This Row],[UDC]],TableBDESIGN[],7,FALSE),"")</f>
        <v/>
      </c>
      <c r="M74" s="121" t="str">
        <f>IFERROR(VLOOKUP(TableHandbook[[#This Row],[UDC]],TableMJRUADVDS[],7,FALSE),"")</f>
        <v/>
      </c>
      <c r="N74" s="102" t="str">
        <f>IFERROR(VLOOKUP(TableHandbook[[#This Row],[UDC]],TableMJRUANIGD[],7,FALSE),"")</f>
        <v/>
      </c>
      <c r="O74" s="102" t="str">
        <f>IFERROR(VLOOKUP(TableHandbook[[#This Row],[UDC]],TableMJRUDIGDE[],7,FALSE),"")</f>
        <v/>
      </c>
      <c r="P74" s="102" t="str">
        <f>IFERROR(VLOOKUP(TableHandbook[[#This Row],[UDC]],TableMJRUDINFB[],7,FALSE),"")</f>
        <v/>
      </c>
      <c r="Q74" s="102" t="str">
        <f>IFERROR(VLOOKUP(TableHandbook[[#This Row],[UDC]],TableMJRUFASHN[],7,FALSE),"")</f>
        <v/>
      </c>
      <c r="R74" s="102" t="str">
        <f>IFERROR(VLOOKUP(TableHandbook[[#This Row],[UDC]],TableMJRUGRPDS[],7,FALSE),"")</f>
        <v/>
      </c>
      <c r="S74" s="102" t="str">
        <f>IFERROR(VLOOKUP(TableHandbook[[#This Row],[UDC]],TableMJRUPHOTO[],7,FALSE),"")</f>
        <v/>
      </c>
      <c r="T74" s="121" t="str">
        <f>IFERROR(VLOOKUP(TableHandbook[[#This Row],[UDC]],TableSPUCANIGD[],7,FALSE),"")</f>
        <v/>
      </c>
      <c r="U74" s="102" t="str">
        <f>IFERROR(VLOOKUP(TableHandbook[[#This Row],[UDC]],TableSPUCCADES[],7,FALSE),"")</f>
        <v/>
      </c>
      <c r="V74" s="102" t="str">
        <f>IFERROR(VLOOKUP(TableHandbook[[#This Row],[UDC]],TableSPUCDIGDE[],7,FALSE),"")</f>
        <v/>
      </c>
      <c r="W74" s="102" t="str">
        <f>IFERROR(VLOOKUP(TableHandbook[[#This Row],[UDC]],TableSPUCFASHN[],7,FALSE),"")</f>
        <v/>
      </c>
      <c r="X74" s="102" t="str">
        <f>IFERROR(VLOOKUP(TableHandbook[[#This Row],[UDC]],TableSPUCFSHMK[],7,FALSE),"")</f>
        <v/>
      </c>
      <c r="Y74" s="102" t="str">
        <f>IFERROR(VLOOKUP(TableHandbook[[#This Row],[UDC]],TableSPUCGRPDS[],7,FALSE),"")</f>
        <v/>
      </c>
      <c r="Z74" s="102" t="str">
        <f>IFERROR(VLOOKUP(TableHandbook[[#This Row],[UDC]],TableSPUCILLUS[],7,FALSE),"")</f>
        <v>Core</v>
      </c>
      <c r="AA74" s="102" t="str">
        <f>IFERROR(VLOOKUP(TableHandbook[[#This Row],[UDC]],TableSPUCPHOTO[],7,FALSE),"")</f>
        <v/>
      </c>
    </row>
    <row r="75" spans="1:27" x14ac:dyDescent="0.25">
      <c r="A75" t="s">
        <v>266</v>
      </c>
      <c r="B75" s="2">
        <v>1</v>
      </c>
      <c r="D75" t="s">
        <v>360</v>
      </c>
      <c r="E75" s="2">
        <v>25</v>
      </c>
      <c r="F75" s="106" t="s">
        <v>361</v>
      </c>
      <c r="G75" s="99" t="str">
        <f>IFERROR(IF(VLOOKUP(TableHandbook[[#This Row],[UDC]],TableAvailabilities[],2,FALSE)&gt;0,"Y",""),"")</f>
        <v/>
      </c>
      <c r="H75" s="99" t="str">
        <f>IFERROR(IF(VLOOKUP(TableHandbook[[#This Row],[UDC]],TableAvailabilities[],3,FALSE)&gt;0,"Y",""),"")</f>
        <v/>
      </c>
      <c r="I75" s="99" t="str">
        <f>IFERROR(IF(VLOOKUP(TableHandbook[[#This Row],[UDC]],TableAvailabilities[],4,FALSE)&gt;0,"Y",""),"")</f>
        <v>Y</v>
      </c>
      <c r="J75" s="99" t="str">
        <f>IFERROR(IF(VLOOKUP(TableHandbook[[#This Row],[UDC]],TableAvailabilities[],5,FALSE)&gt;0,"Y",""),"")</f>
        <v/>
      </c>
      <c r="K75" s="120"/>
      <c r="L75" s="102" t="str">
        <f>IFERROR(VLOOKUP(TableHandbook[[#This Row],[UDC]],TableBDESIGN[],7,FALSE),"")</f>
        <v>Option</v>
      </c>
      <c r="M75" s="121" t="str">
        <f>IFERROR(VLOOKUP(TableHandbook[[#This Row],[UDC]],TableMJRUADVDS[],7,FALSE),"")</f>
        <v/>
      </c>
      <c r="N75" s="102" t="str">
        <f>IFERROR(VLOOKUP(TableHandbook[[#This Row],[UDC]],TableMJRUANIGD[],7,FALSE),"")</f>
        <v/>
      </c>
      <c r="O75" s="102" t="str">
        <f>IFERROR(VLOOKUP(TableHandbook[[#This Row],[UDC]],TableMJRUDIGDE[],7,FALSE),"")</f>
        <v/>
      </c>
      <c r="P75" s="102" t="str">
        <f>IFERROR(VLOOKUP(TableHandbook[[#This Row],[UDC]],TableMJRUDINFB[],7,FALSE),"")</f>
        <v/>
      </c>
      <c r="Q75" s="102" t="str">
        <f>IFERROR(VLOOKUP(TableHandbook[[#This Row],[UDC]],TableMJRUFASHN[],7,FALSE),"")</f>
        <v/>
      </c>
      <c r="R75" s="102" t="str">
        <f>IFERROR(VLOOKUP(TableHandbook[[#This Row],[UDC]],TableMJRUGRPDS[],7,FALSE),"")</f>
        <v/>
      </c>
      <c r="S75" s="102" t="str">
        <f>IFERROR(VLOOKUP(TableHandbook[[#This Row],[UDC]],TableMJRUPHOTO[],7,FALSE),"")</f>
        <v/>
      </c>
      <c r="T75" s="121" t="str">
        <f>IFERROR(VLOOKUP(TableHandbook[[#This Row],[UDC]],TableSPUCANIGD[],7,FALSE),"")</f>
        <v/>
      </c>
      <c r="U75" s="102" t="str">
        <f>IFERROR(VLOOKUP(TableHandbook[[#This Row],[UDC]],TableSPUCCADES[],7,FALSE),"")</f>
        <v/>
      </c>
      <c r="V75" s="102" t="str">
        <f>IFERROR(VLOOKUP(TableHandbook[[#This Row],[UDC]],TableSPUCDIGDE[],7,FALSE),"")</f>
        <v/>
      </c>
      <c r="W75" s="102" t="str">
        <f>IFERROR(VLOOKUP(TableHandbook[[#This Row],[UDC]],TableSPUCFASHN[],7,FALSE),"")</f>
        <v/>
      </c>
      <c r="X75" s="102" t="str">
        <f>IFERROR(VLOOKUP(TableHandbook[[#This Row],[UDC]],TableSPUCFSHMK[],7,FALSE),"")</f>
        <v/>
      </c>
      <c r="Y75" s="102" t="str">
        <f>IFERROR(VLOOKUP(TableHandbook[[#This Row],[UDC]],TableSPUCGRPDS[],7,FALSE),"")</f>
        <v/>
      </c>
      <c r="Z75" s="102" t="str">
        <f>IFERROR(VLOOKUP(TableHandbook[[#This Row],[UDC]],TableSPUCILLUS[],7,FALSE),"")</f>
        <v/>
      </c>
      <c r="AA75" s="102" t="str">
        <f>IFERROR(VLOOKUP(TableHandbook[[#This Row],[UDC]],TableSPUCPHOTO[],7,FALSE),"")</f>
        <v/>
      </c>
    </row>
    <row r="76" spans="1:27" x14ac:dyDescent="0.25">
      <c r="A76" t="s">
        <v>180</v>
      </c>
      <c r="B76" s="2">
        <v>1</v>
      </c>
      <c r="D76" t="s">
        <v>362</v>
      </c>
      <c r="E76" s="2">
        <v>25</v>
      </c>
      <c r="F76" s="106" t="s">
        <v>363</v>
      </c>
      <c r="G76" s="99" t="str">
        <f>IFERROR(IF(VLOOKUP(TableHandbook[[#This Row],[UDC]],TableAvailabilities[],2,FALSE)&gt;0,"Y",""),"")</f>
        <v>Y</v>
      </c>
      <c r="H76" s="99" t="str">
        <f>IFERROR(IF(VLOOKUP(TableHandbook[[#This Row],[UDC]],TableAvailabilities[],3,FALSE)&gt;0,"Y",""),"")</f>
        <v/>
      </c>
      <c r="I76" s="99" t="str">
        <f>IFERROR(IF(VLOOKUP(TableHandbook[[#This Row],[UDC]],TableAvailabilities[],4,FALSE)&gt;0,"Y",""),"")</f>
        <v/>
      </c>
      <c r="J76" s="99" t="str">
        <f>IFERROR(IF(VLOOKUP(TableHandbook[[#This Row],[UDC]],TableAvailabilities[],5,FALSE)&gt;0,"Y",""),"")</f>
        <v/>
      </c>
      <c r="K76" s="120"/>
      <c r="L76" s="102" t="str">
        <f>IFERROR(VLOOKUP(TableHandbook[[#This Row],[UDC]],TableBDESIGN[],7,FALSE),"")</f>
        <v/>
      </c>
      <c r="M76" s="121" t="str">
        <f>IFERROR(VLOOKUP(TableHandbook[[#This Row],[UDC]],TableMJRUADVDS[],7,FALSE),"")</f>
        <v/>
      </c>
      <c r="N76" s="102" t="str">
        <f>IFERROR(VLOOKUP(TableHandbook[[#This Row],[UDC]],TableMJRUANIGD[],7,FALSE),"")</f>
        <v>Core</v>
      </c>
      <c r="O76" s="102" t="str">
        <f>IFERROR(VLOOKUP(TableHandbook[[#This Row],[UDC]],TableMJRUDIGDE[],7,FALSE),"")</f>
        <v/>
      </c>
      <c r="P76" s="102" t="str">
        <f>IFERROR(VLOOKUP(TableHandbook[[#This Row],[UDC]],TableMJRUDINFB[],7,FALSE),"")</f>
        <v/>
      </c>
      <c r="Q76" s="102" t="str">
        <f>IFERROR(VLOOKUP(TableHandbook[[#This Row],[UDC]],TableMJRUFASHN[],7,FALSE),"")</f>
        <v/>
      </c>
      <c r="R76" s="102" t="str">
        <f>IFERROR(VLOOKUP(TableHandbook[[#This Row],[UDC]],TableMJRUGRPDS[],7,FALSE),"")</f>
        <v/>
      </c>
      <c r="S76" s="102" t="str">
        <f>IFERROR(VLOOKUP(TableHandbook[[#This Row],[UDC]],TableMJRUPHOTO[],7,FALSE),"")</f>
        <v/>
      </c>
      <c r="T76" s="121" t="str">
        <f>IFERROR(VLOOKUP(TableHandbook[[#This Row],[UDC]],TableSPUCANIGD[],7,FALSE),"")</f>
        <v/>
      </c>
      <c r="U76" s="102" t="str">
        <f>IFERROR(VLOOKUP(TableHandbook[[#This Row],[UDC]],TableSPUCCADES[],7,FALSE),"")</f>
        <v/>
      </c>
      <c r="V76" s="102" t="str">
        <f>IFERROR(VLOOKUP(TableHandbook[[#This Row],[UDC]],TableSPUCDIGDE[],7,FALSE),"")</f>
        <v/>
      </c>
      <c r="W76" s="102" t="str">
        <f>IFERROR(VLOOKUP(TableHandbook[[#This Row],[UDC]],TableSPUCFASHN[],7,FALSE),"")</f>
        <v/>
      </c>
      <c r="X76" s="102" t="str">
        <f>IFERROR(VLOOKUP(TableHandbook[[#This Row],[UDC]],TableSPUCFSHMK[],7,FALSE),"")</f>
        <v/>
      </c>
      <c r="Y76" s="102" t="str">
        <f>IFERROR(VLOOKUP(TableHandbook[[#This Row],[UDC]],TableSPUCGRPDS[],7,FALSE),"")</f>
        <v/>
      </c>
      <c r="Z76" s="102" t="str">
        <f>IFERROR(VLOOKUP(TableHandbook[[#This Row],[UDC]],TableSPUCILLUS[],7,FALSE),"")</f>
        <v/>
      </c>
      <c r="AA76" s="102" t="str">
        <f>IFERROR(VLOOKUP(TableHandbook[[#This Row],[UDC]],TableSPUCPHOTO[],7,FALSE),"")</f>
        <v/>
      </c>
    </row>
    <row r="77" spans="1:27" x14ac:dyDescent="0.25">
      <c r="A77" t="s">
        <v>228</v>
      </c>
      <c r="B77" s="2">
        <v>2</v>
      </c>
      <c r="D77" t="s">
        <v>364</v>
      </c>
      <c r="E77" s="2">
        <v>25</v>
      </c>
      <c r="F77" s="106" t="s">
        <v>365</v>
      </c>
      <c r="G77" s="99" t="str">
        <f>IFERROR(IF(VLOOKUP(TableHandbook[[#This Row],[UDC]],TableAvailabilities[],2,FALSE)&gt;0,"Y",""),"")</f>
        <v/>
      </c>
      <c r="H77" s="99" t="str">
        <f>IFERROR(IF(VLOOKUP(TableHandbook[[#This Row],[UDC]],TableAvailabilities[],3,FALSE)&gt;0,"Y",""),"")</f>
        <v/>
      </c>
      <c r="I77" s="99" t="str">
        <f>IFERROR(IF(VLOOKUP(TableHandbook[[#This Row],[UDC]],TableAvailabilities[],4,FALSE)&gt;0,"Y",""),"")</f>
        <v>Y</v>
      </c>
      <c r="J77" s="99" t="str">
        <f>IFERROR(IF(VLOOKUP(TableHandbook[[#This Row],[UDC]],TableAvailabilities[],5,FALSE)&gt;0,"Y",""),"")</f>
        <v/>
      </c>
      <c r="K77" s="120"/>
      <c r="L77" s="102" t="str">
        <f>IFERROR(VLOOKUP(TableHandbook[[#This Row],[UDC]],TableBDESIGN[],7,FALSE),"")</f>
        <v>Option</v>
      </c>
      <c r="M77" s="121" t="str">
        <f>IFERROR(VLOOKUP(TableHandbook[[#This Row],[UDC]],TableMJRUADVDS[],7,FALSE),"")</f>
        <v/>
      </c>
      <c r="N77" s="102" t="str">
        <f>IFERROR(VLOOKUP(TableHandbook[[#This Row],[UDC]],TableMJRUANIGD[],7,FALSE),"")</f>
        <v/>
      </c>
      <c r="O77" s="102" t="str">
        <f>IFERROR(VLOOKUP(TableHandbook[[#This Row],[UDC]],TableMJRUDIGDE[],7,FALSE),"")</f>
        <v/>
      </c>
      <c r="P77" s="102" t="str">
        <f>IFERROR(VLOOKUP(TableHandbook[[#This Row],[UDC]],TableMJRUDINFB[],7,FALSE),"")</f>
        <v/>
      </c>
      <c r="Q77" s="102" t="str">
        <f>IFERROR(VLOOKUP(TableHandbook[[#This Row],[UDC]],TableMJRUFASHN[],7,FALSE),"")</f>
        <v/>
      </c>
      <c r="R77" s="102" t="str">
        <f>IFERROR(VLOOKUP(TableHandbook[[#This Row],[UDC]],TableMJRUGRPDS[],7,FALSE),"")</f>
        <v/>
      </c>
      <c r="S77" s="102" t="str">
        <f>IFERROR(VLOOKUP(TableHandbook[[#This Row],[UDC]],TableMJRUPHOTO[],7,FALSE),"")</f>
        <v/>
      </c>
      <c r="T77" s="121" t="str">
        <f>IFERROR(VLOOKUP(TableHandbook[[#This Row],[UDC]],TableSPUCANIGD[],7,FALSE),"")</f>
        <v>AltCore</v>
      </c>
      <c r="U77" s="102" t="str">
        <f>IFERROR(VLOOKUP(TableHandbook[[#This Row],[UDC]],TableSPUCCADES[],7,FALSE),"")</f>
        <v/>
      </c>
      <c r="V77" s="102" t="str">
        <f>IFERROR(VLOOKUP(TableHandbook[[#This Row],[UDC]],TableSPUCDIGDE[],7,FALSE),"")</f>
        <v/>
      </c>
      <c r="W77" s="102" t="str">
        <f>IFERROR(VLOOKUP(TableHandbook[[#This Row],[UDC]],TableSPUCFASHN[],7,FALSE),"")</f>
        <v/>
      </c>
      <c r="X77" s="102" t="str">
        <f>IFERROR(VLOOKUP(TableHandbook[[#This Row],[UDC]],TableSPUCFSHMK[],7,FALSE),"")</f>
        <v/>
      </c>
      <c r="Y77" s="102" t="str">
        <f>IFERROR(VLOOKUP(TableHandbook[[#This Row],[UDC]],TableSPUCGRPDS[],7,FALSE),"")</f>
        <v/>
      </c>
      <c r="Z77" s="102" t="str">
        <f>IFERROR(VLOOKUP(TableHandbook[[#This Row],[UDC]],TableSPUCILLUS[],7,FALSE),"")</f>
        <v/>
      </c>
      <c r="AA77" s="102" t="str">
        <f>IFERROR(VLOOKUP(TableHandbook[[#This Row],[UDC]],TableSPUCPHOTO[],7,FALSE),"")</f>
        <v/>
      </c>
    </row>
    <row r="78" spans="1:27" x14ac:dyDescent="0.25">
      <c r="A78" t="s">
        <v>178</v>
      </c>
      <c r="B78" s="2">
        <v>1</v>
      </c>
      <c r="D78" t="s">
        <v>366</v>
      </c>
      <c r="E78" s="2">
        <v>25</v>
      </c>
      <c r="F78" s="106" t="s">
        <v>126</v>
      </c>
      <c r="G78" s="99" t="str">
        <f>IFERROR(IF(VLOOKUP(TableHandbook[[#This Row],[UDC]],TableAvailabilities[],2,FALSE)&gt;0,"Y",""),"")</f>
        <v/>
      </c>
      <c r="H78" s="99" t="str">
        <f>IFERROR(IF(VLOOKUP(TableHandbook[[#This Row],[UDC]],TableAvailabilities[],3,FALSE)&gt;0,"Y",""),"")</f>
        <v/>
      </c>
      <c r="I78" s="99" t="str">
        <f>IFERROR(IF(VLOOKUP(TableHandbook[[#This Row],[UDC]],TableAvailabilities[],4,FALSE)&gt;0,"Y",""),"")</f>
        <v>Y</v>
      </c>
      <c r="J78" s="99" t="str">
        <f>IFERROR(IF(VLOOKUP(TableHandbook[[#This Row],[UDC]],TableAvailabilities[],5,FALSE)&gt;0,"Y",""),"")</f>
        <v/>
      </c>
      <c r="K78" s="120"/>
      <c r="L78" s="102" t="str">
        <f>IFERROR(VLOOKUP(TableHandbook[[#This Row],[UDC]],TableBDESIGN[],7,FALSE),"")</f>
        <v/>
      </c>
      <c r="M78" s="121" t="str">
        <f>IFERROR(VLOOKUP(TableHandbook[[#This Row],[UDC]],TableMJRUADVDS[],7,FALSE),"")</f>
        <v/>
      </c>
      <c r="N78" s="102" t="str">
        <f>IFERROR(VLOOKUP(TableHandbook[[#This Row],[UDC]],TableMJRUANIGD[],7,FALSE),"")</f>
        <v/>
      </c>
      <c r="O78" s="102" t="str">
        <f>IFERROR(VLOOKUP(TableHandbook[[#This Row],[UDC]],TableMJRUDIGDE[],7,FALSE),"")</f>
        <v/>
      </c>
      <c r="P78" s="102" t="str">
        <f>IFERROR(VLOOKUP(TableHandbook[[#This Row],[UDC]],TableMJRUDINFB[],7,FALSE),"")</f>
        <v/>
      </c>
      <c r="Q78" s="102" t="str">
        <f>IFERROR(VLOOKUP(TableHandbook[[#This Row],[UDC]],TableMJRUFASHN[],7,FALSE),"")</f>
        <v/>
      </c>
      <c r="R78" s="102" t="str">
        <f>IFERROR(VLOOKUP(TableHandbook[[#This Row],[UDC]],TableMJRUGRPDS[],7,FALSE),"")</f>
        <v/>
      </c>
      <c r="S78" s="102" t="str">
        <f>IFERROR(VLOOKUP(TableHandbook[[#This Row],[UDC]],TableMJRUPHOTO[],7,FALSE),"")</f>
        <v>Core</v>
      </c>
      <c r="T78" s="121" t="str">
        <f>IFERROR(VLOOKUP(TableHandbook[[#This Row],[UDC]],TableSPUCANIGD[],7,FALSE),"")</f>
        <v/>
      </c>
      <c r="U78" s="102" t="str">
        <f>IFERROR(VLOOKUP(TableHandbook[[#This Row],[UDC]],TableSPUCCADES[],7,FALSE),"")</f>
        <v/>
      </c>
      <c r="V78" s="102" t="str">
        <f>IFERROR(VLOOKUP(TableHandbook[[#This Row],[UDC]],TableSPUCDIGDE[],7,FALSE),"")</f>
        <v/>
      </c>
      <c r="W78" s="102" t="str">
        <f>IFERROR(VLOOKUP(TableHandbook[[#This Row],[UDC]],TableSPUCFASHN[],7,FALSE),"")</f>
        <v/>
      </c>
      <c r="X78" s="102" t="str">
        <f>IFERROR(VLOOKUP(TableHandbook[[#This Row],[UDC]],TableSPUCFSHMK[],7,FALSE),"")</f>
        <v/>
      </c>
      <c r="Y78" s="102" t="str">
        <f>IFERROR(VLOOKUP(TableHandbook[[#This Row],[UDC]],TableSPUCGRPDS[],7,FALSE),"")</f>
        <v/>
      </c>
      <c r="Z78" s="102" t="str">
        <f>IFERROR(VLOOKUP(TableHandbook[[#This Row],[UDC]],TableSPUCILLUS[],7,FALSE),"")</f>
        <v/>
      </c>
      <c r="AA78" s="102" t="str">
        <f>IFERROR(VLOOKUP(TableHandbook[[#This Row],[UDC]],TableSPUCPHOTO[],7,FALSE),"")</f>
        <v/>
      </c>
    </row>
    <row r="79" spans="1:27" x14ac:dyDescent="0.25">
      <c r="A79" t="s">
        <v>166</v>
      </c>
      <c r="B79" s="2">
        <v>1</v>
      </c>
      <c r="D79" t="s">
        <v>367</v>
      </c>
      <c r="E79" s="2">
        <v>25</v>
      </c>
      <c r="F79" s="106" t="s">
        <v>464</v>
      </c>
      <c r="G79" s="99" t="str">
        <f>IFERROR(IF(VLOOKUP(TableHandbook[[#This Row],[UDC]],TableAvailabilities[],2,FALSE)&gt;0,"Y",""),"")</f>
        <v>Y</v>
      </c>
      <c r="H79" s="99" t="str">
        <f>IFERROR(IF(VLOOKUP(TableHandbook[[#This Row],[UDC]],TableAvailabilities[],3,FALSE)&gt;0,"Y",""),"")</f>
        <v/>
      </c>
      <c r="I79" s="99" t="str">
        <f>IFERROR(IF(VLOOKUP(TableHandbook[[#This Row],[UDC]],TableAvailabilities[],4,FALSE)&gt;0,"Y",""),"")</f>
        <v>Y</v>
      </c>
      <c r="J79" s="99" t="str">
        <f>IFERROR(IF(VLOOKUP(TableHandbook[[#This Row],[UDC]],TableAvailabilities[],5,FALSE)&gt;0,"Y",""),"")</f>
        <v/>
      </c>
      <c r="K79" s="120"/>
      <c r="L79" s="102" t="str">
        <f>IFERROR(VLOOKUP(TableHandbook[[#This Row],[UDC]],TableBDESIGN[],7,FALSE),"")</f>
        <v>Core</v>
      </c>
      <c r="M79" s="121" t="str">
        <f>IFERROR(VLOOKUP(TableHandbook[[#This Row],[UDC]],TableMJRUADVDS[],7,FALSE),"")</f>
        <v/>
      </c>
      <c r="N79" s="102" t="str">
        <f>IFERROR(VLOOKUP(TableHandbook[[#This Row],[UDC]],TableMJRUANIGD[],7,FALSE),"")</f>
        <v/>
      </c>
      <c r="O79" s="102" t="str">
        <f>IFERROR(VLOOKUP(TableHandbook[[#This Row],[UDC]],TableMJRUDIGDE[],7,FALSE),"")</f>
        <v/>
      </c>
      <c r="P79" s="102" t="str">
        <f>IFERROR(VLOOKUP(TableHandbook[[#This Row],[UDC]],TableMJRUDINFB[],7,FALSE),"")</f>
        <v/>
      </c>
      <c r="Q79" s="102" t="str">
        <f>IFERROR(VLOOKUP(TableHandbook[[#This Row],[UDC]],TableMJRUFASHN[],7,FALSE),"")</f>
        <v/>
      </c>
      <c r="R79" s="102" t="str">
        <f>IFERROR(VLOOKUP(TableHandbook[[#This Row],[UDC]],TableMJRUGRPDS[],7,FALSE),"")</f>
        <v/>
      </c>
      <c r="S79" s="102" t="str">
        <f>IFERROR(VLOOKUP(TableHandbook[[#This Row],[UDC]],TableMJRUPHOTO[],7,FALSE),"")</f>
        <v/>
      </c>
      <c r="T79" s="121" t="str">
        <f>IFERROR(VLOOKUP(TableHandbook[[#This Row],[UDC]],TableSPUCANIGD[],7,FALSE),"")</f>
        <v/>
      </c>
      <c r="U79" s="102" t="str">
        <f>IFERROR(VLOOKUP(TableHandbook[[#This Row],[UDC]],TableSPUCCADES[],7,FALSE),"")</f>
        <v/>
      </c>
      <c r="V79" s="102" t="str">
        <f>IFERROR(VLOOKUP(TableHandbook[[#This Row],[UDC]],TableSPUCDIGDE[],7,FALSE),"")</f>
        <v/>
      </c>
      <c r="W79" s="102" t="str">
        <f>IFERROR(VLOOKUP(TableHandbook[[#This Row],[UDC]],TableSPUCFASHN[],7,FALSE),"")</f>
        <v/>
      </c>
      <c r="X79" s="102" t="str">
        <f>IFERROR(VLOOKUP(TableHandbook[[#This Row],[UDC]],TableSPUCFSHMK[],7,FALSE),"")</f>
        <v/>
      </c>
      <c r="Y79" s="102" t="str">
        <f>IFERROR(VLOOKUP(TableHandbook[[#This Row],[UDC]],TableSPUCGRPDS[],7,FALSE),"")</f>
        <v/>
      </c>
      <c r="Z79" s="102" t="str">
        <f>IFERROR(VLOOKUP(TableHandbook[[#This Row],[UDC]],TableSPUCILLUS[],7,FALSE),"")</f>
        <v/>
      </c>
      <c r="AA79" s="102" t="str">
        <f>IFERROR(VLOOKUP(TableHandbook[[#This Row],[UDC]],TableSPUCPHOTO[],7,FALSE),"")</f>
        <v/>
      </c>
    </row>
    <row r="80" spans="1:27" x14ac:dyDescent="0.25">
      <c r="A80" t="s">
        <v>177</v>
      </c>
      <c r="B80" s="2">
        <v>1</v>
      </c>
      <c r="D80" t="s">
        <v>368</v>
      </c>
      <c r="E80" s="2">
        <v>25</v>
      </c>
      <c r="F80" s="106" t="s">
        <v>286</v>
      </c>
      <c r="G80" s="99" t="str">
        <f>IFERROR(IF(VLOOKUP(TableHandbook[[#This Row],[UDC]],TableAvailabilities[],2,FALSE)&gt;0,"Y",""),"")</f>
        <v>Y</v>
      </c>
      <c r="H80" s="99" t="str">
        <f>IFERROR(IF(VLOOKUP(TableHandbook[[#This Row],[UDC]],TableAvailabilities[],3,FALSE)&gt;0,"Y",""),"")</f>
        <v/>
      </c>
      <c r="I80" s="99" t="str">
        <f>IFERROR(IF(VLOOKUP(TableHandbook[[#This Row],[UDC]],TableAvailabilities[],4,FALSE)&gt;0,"Y",""),"")</f>
        <v>Y</v>
      </c>
      <c r="J80" s="99" t="str">
        <f>IFERROR(IF(VLOOKUP(TableHandbook[[#This Row],[UDC]],TableAvailabilities[],5,FALSE)&gt;0,"Y",""),"")</f>
        <v/>
      </c>
      <c r="K80" s="120"/>
      <c r="L80" s="102" t="str">
        <f>IFERROR(VLOOKUP(TableHandbook[[#This Row],[UDC]],TableBDESIGN[],7,FALSE),"")</f>
        <v/>
      </c>
      <c r="M80" s="121" t="str">
        <f>IFERROR(VLOOKUP(TableHandbook[[#This Row],[UDC]],TableMJRUADVDS[],7,FALSE),"")</f>
        <v/>
      </c>
      <c r="N80" s="102" t="str">
        <f>IFERROR(VLOOKUP(TableHandbook[[#This Row],[UDC]],TableMJRUANIGD[],7,FALSE),"")</f>
        <v/>
      </c>
      <c r="O80" s="102" t="str">
        <f>IFERROR(VLOOKUP(TableHandbook[[#This Row],[UDC]],TableMJRUDIGDE[],7,FALSE),"")</f>
        <v/>
      </c>
      <c r="P80" s="102" t="str">
        <f>IFERROR(VLOOKUP(TableHandbook[[#This Row],[UDC]],TableMJRUDINFB[],7,FALSE),"")</f>
        <v/>
      </c>
      <c r="Q80" s="102" t="str">
        <f>IFERROR(VLOOKUP(TableHandbook[[#This Row],[UDC]],TableMJRUFASHN[],7,FALSE),"")</f>
        <v/>
      </c>
      <c r="R80" s="102" t="str">
        <f>IFERROR(VLOOKUP(TableHandbook[[#This Row],[UDC]],TableMJRUGRPDS[],7,FALSE),"")</f>
        <v/>
      </c>
      <c r="S80" s="102" t="str">
        <f>IFERROR(VLOOKUP(TableHandbook[[#This Row],[UDC]],TableMJRUPHOTO[],7,FALSE),"")</f>
        <v>Core</v>
      </c>
      <c r="T80" s="121" t="str">
        <f>IFERROR(VLOOKUP(TableHandbook[[#This Row],[UDC]],TableSPUCANIGD[],7,FALSE),"")</f>
        <v/>
      </c>
      <c r="U80" s="102" t="str">
        <f>IFERROR(VLOOKUP(TableHandbook[[#This Row],[UDC]],TableSPUCCADES[],7,FALSE),"")</f>
        <v/>
      </c>
      <c r="V80" s="102" t="str">
        <f>IFERROR(VLOOKUP(TableHandbook[[#This Row],[UDC]],TableSPUCDIGDE[],7,FALSE),"")</f>
        <v/>
      </c>
      <c r="W80" s="102" t="str">
        <f>IFERROR(VLOOKUP(TableHandbook[[#This Row],[UDC]],TableSPUCFASHN[],7,FALSE),"")</f>
        <v/>
      </c>
      <c r="X80" s="102" t="str">
        <f>IFERROR(VLOOKUP(TableHandbook[[#This Row],[UDC]],TableSPUCFSHMK[],7,FALSE),"")</f>
        <v/>
      </c>
      <c r="Y80" s="102" t="str">
        <f>IFERROR(VLOOKUP(TableHandbook[[#This Row],[UDC]],TableSPUCGRPDS[],7,FALSE),"")</f>
        <v/>
      </c>
      <c r="Z80" s="102" t="str">
        <f>IFERROR(VLOOKUP(TableHandbook[[#This Row],[UDC]],TableSPUCILLUS[],7,FALSE),"")</f>
        <v/>
      </c>
      <c r="AA80" s="102" t="str">
        <f>IFERROR(VLOOKUP(TableHandbook[[#This Row],[UDC]],TableSPUCPHOTO[],7,FALSE),"")</f>
        <v>Core</v>
      </c>
    </row>
    <row r="81" spans="1:27" x14ac:dyDescent="0.25">
      <c r="A81" t="s">
        <v>96</v>
      </c>
      <c r="B81" s="2">
        <v>4</v>
      </c>
      <c r="D81" t="s">
        <v>369</v>
      </c>
      <c r="E81" s="2">
        <v>25</v>
      </c>
      <c r="F81" s="106" t="s">
        <v>328</v>
      </c>
      <c r="G81" s="99" t="str">
        <f>IFERROR(IF(VLOOKUP(TableHandbook[[#This Row],[UDC]],TableAvailabilities[],2,FALSE)&gt;0,"Y",""),"")</f>
        <v>Y</v>
      </c>
      <c r="H81" s="99" t="str">
        <f>IFERROR(IF(VLOOKUP(TableHandbook[[#This Row],[UDC]],TableAvailabilities[],3,FALSE)&gt;0,"Y",""),"")</f>
        <v/>
      </c>
      <c r="I81" s="99" t="str">
        <f>IFERROR(IF(VLOOKUP(TableHandbook[[#This Row],[UDC]],TableAvailabilities[],4,FALSE)&gt;0,"Y",""),"")</f>
        <v/>
      </c>
      <c r="J81" s="99" t="str">
        <f>IFERROR(IF(VLOOKUP(TableHandbook[[#This Row],[UDC]],TableAvailabilities[],5,FALSE)&gt;0,"Y",""),"")</f>
        <v/>
      </c>
      <c r="K81" s="120" t="s">
        <v>461</v>
      </c>
      <c r="L81" s="102" t="str">
        <f>IFERROR(VLOOKUP(TableHandbook[[#This Row],[UDC]],TableBDESIGN[],7,FALSE),"")</f>
        <v/>
      </c>
      <c r="M81" s="121" t="str">
        <f>IFERROR(VLOOKUP(TableHandbook[[#This Row],[UDC]],TableMJRUADVDS[],7,FALSE),"")</f>
        <v/>
      </c>
      <c r="N81" s="102" t="str">
        <f>IFERROR(VLOOKUP(TableHandbook[[#This Row],[UDC]],TableMJRUANIGD[],7,FALSE),"")</f>
        <v/>
      </c>
      <c r="O81" s="102" t="str">
        <f>IFERROR(VLOOKUP(TableHandbook[[#This Row],[UDC]],TableMJRUDIGDE[],7,FALSE),"")</f>
        <v>Core</v>
      </c>
      <c r="P81" s="102" t="str">
        <f>IFERROR(VLOOKUP(TableHandbook[[#This Row],[UDC]],TableMJRUDINFB[],7,FALSE),"")</f>
        <v/>
      </c>
      <c r="Q81" s="102" t="str">
        <f>IFERROR(VLOOKUP(TableHandbook[[#This Row],[UDC]],TableMJRUFASHN[],7,FALSE),"")</f>
        <v/>
      </c>
      <c r="R81" s="102" t="str">
        <f>IFERROR(VLOOKUP(TableHandbook[[#This Row],[UDC]],TableMJRUGRPDS[],7,FALSE),"")</f>
        <v/>
      </c>
      <c r="S81" s="102" t="str">
        <f>IFERROR(VLOOKUP(TableHandbook[[#This Row],[UDC]],TableMJRUPHOTO[],7,FALSE),"")</f>
        <v/>
      </c>
      <c r="T81" s="121" t="str">
        <f>IFERROR(VLOOKUP(TableHandbook[[#This Row],[UDC]],TableSPUCANIGD[],7,FALSE),"")</f>
        <v/>
      </c>
      <c r="U81" s="102" t="str">
        <f>IFERROR(VLOOKUP(TableHandbook[[#This Row],[UDC]],TableSPUCCADES[],7,FALSE),"")</f>
        <v/>
      </c>
      <c r="V81" s="102" t="str">
        <f>IFERROR(VLOOKUP(TableHandbook[[#This Row],[UDC]],TableSPUCDIGDE[],7,FALSE),"")</f>
        <v>Core</v>
      </c>
      <c r="W81" s="102" t="str">
        <f>IFERROR(VLOOKUP(TableHandbook[[#This Row],[UDC]],TableSPUCFASHN[],7,FALSE),"")</f>
        <v/>
      </c>
      <c r="X81" s="102" t="str">
        <f>IFERROR(VLOOKUP(TableHandbook[[#This Row],[UDC]],TableSPUCFSHMK[],7,FALSE),"")</f>
        <v/>
      </c>
      <c r="Y81" s="102" t="str">
        <f>IFERROR(VLOOKUP(TableHandbook[[#This Row],[UDC]],TableSPUCGRPDS[],7,FALSE),"")</f>
        <v/>
      </c>
      <c r="Z81" s="102" t="str">
        <f>IFERROR(VLOOKUP(TableHandbook[[#This Row],[UDC]],TableSPUCILLUS[],7,FALSE),"")</f>
        <v/>
      </c>
      <c r="AA81" s="102" t="str">
        <f>IFERROR(VLOOKUP(TableHandbook[[#This Row],[UDC]],TableSPUCPHOTO[],7,FALSE),"")</f>
        <v/>
      </c>
    </row>
    <row r="82" spans="1:27" x14ac:dyDescent="0.25">
      <c r="A82" t="s">
        <v>460</v>
      </c>
      <c r="B82" s="2">
        <v>3</v>
      </c>
      <c r="D82" t="s">
        <v>369</v>
      </c>
      <c r="E82" s="2">
        <v>25</v>
      </c>
      <c r="F82" s="106" t="s">
        <v>328</v>
      </c>
      <c r="G82" s="99" t="str">
        <f>IFERROR(IF(VLOOKUP(TableHandbook[[#This Row],[UDC]],TableAvailabilities[],2,FALSE)&gt;0,"Y",""),"")</f>
        <v/>
      </c>
      <c r="H82" s="99" t="str">
        <f>IFERROR(IF(VLOOKUP(TableHandbook[[#This Row],[UDC]],TableAvailabilities[],3,FALSE)&gt;0,"Y",""),"")</f>
        <v/>
      </c>
      <c r="I82" s="99" t="str">
        <f>IFERROR(IF(VLOOKUP(TableHandbook[[#This Row],[UDC]],TableAvailabilities[],4,FALSE)&gt;0,"Y",""),"")</f>
        <v/>
      </c>
      <c r="J82" s="99" t="str">
        <f>IFERROR(IF(VLOOKUP(TableHandbook[[#This Row],[UDC]],TableAvailabilities[],5,FALSE)&gt;0,"Y",""),"")</f>
        <v/>
      </c>
      <c r="K82" s="120" t="s">
        <v>306</v>
      </c>
      <c r="L82" s="102" t="str">
        <f>IFERROR(VLOOKUP(TableHandbook[[#This Row],[UDC]],TableBDESIGN[],7,FALSE),"")</f>
        <v/>
      </c>
      <c r="M82" s="121" t="str">
        <f>IFERROR(VLOOKUP(TableHandbook[[#This Row],[UDC]],TableMJRUADVDS[],7,FALSE),"")</f>
        <v/>
      </c>
      <c r="N82" s="102" t="str">
        <f>IFERROR(VLOOKUP(TableHandbook[[#This Row],[UDC]],TableMJRUANIGD[],7,FALSE),"")</f>
        <v/>
      </c>
      <c r="O82" s="102" t="str">
        <f>IFERROR(VLOOKUP(TableHandbook[[#This Row],[UDC]],TableMJRUDIGDE[],7,FALSE),"")</f>
        <v/>
      </c>
      <c r="P82" s="102" t="str">
        <f>IFERROR(VLOOKUP(TableHandbook[[#This Row],[UDC]],TableMJRUDINFB[],7,FALSE),"")</f>
        <v/>
      </c>
      <c r="Q82" s="102" t="str">
        <f>IFERROR(VLOOKUP(TableHandbook[[#This Row],[UDC]],TableMJRUFASHN[],7,FALSE),"")</f>
        <v/>
      </c>
      <c r="R82" s="102" t="str">
        <f>IFERROR(VLOOKUP(TableHandbook[[#This Row],[UDC]],TableMJRUGRPDS[],7,FALSE),"")</f>
        <v/>
      </c>
      <c r="S82" s="102" t="str">
        <f>IFERROR(VLOOKUP(TableHandbook[[#This Row],[UDC]],TableMJRUPHOTO[],7,FALSE),"")</f>
        <v/>
      </c>
      <c r="T82" s="121" t="str">
        <f>IFERROR(VLOOKUP(TableHandbook[[#This Row],[UDC]],TableSPUCANIGD[],7,FALSE),"")</f>
        <v/>
      </c>
      <c r="U82" s="102" t="str">
        <f>IFERROR(VLOOKUP(TableHandbook[[#This Row],[UDC]],TableSPUCCADES[],7,FALSE),"")</f>
        <v/>
      </c>
      <c r="V82" s="102" t="str">
        <f>IFERROR(VLOOKUP(TableHandbook[[#This Row],[UDC]],TableSPUCDIGDE[],7,FALSE),"")</f>
        <v/>
      </c>
      <c r="W82" s="102" t="str">
        <f>IFERROR(VLOOKUP(TableHandbook[[#This Row],[UDC]],TableSPUCFASHN[],7,FALSE),"")</f>
        <v/>
      </c>
      <c r="X82" s="102" t="str">
        <f>IFERROR(VLOOKUP(TableHandbook[[#This Row],[UDC]],TableSPUCFSHMK[],7,FALSE),"")</f>
        <v/>
      </c>
      <c r="Y82" s="102" t="str">
        <f>IFERROR(VLOOKUP(TableHandbook[[#This Row],[UDC]],TableSPUCGRPDS[],7,FALSE),"")</f>
        <v/>
      </c>
      <c r="Z82" s="102" t="str">
        <f>IFERROR(VLOOKUP(TableHandbook[[#This Row],[UDC]],TableSPUCILLUS[],7,FALSE),"")</f>
        <v/>
      </c>
      <c r="AA82" s="102" t="str">
        <f>IFERROR(VLOOKUP(TableHandbook[[#This Row],[UDC]],TableSPUCPHOTO[],7,FALSE),"")</f>
        <v/>
      </c>
    </row>
    <row r="83" spans="1:27" x14ac:dyDescent="0.25">
      <c r="A83" t="s">
        <v>97</v>
      </c>
      <c r="B83" s="2">
        <v>1</v>
      </c>
      <c r="D83" t="s">
        <v>370</v>
      </c>
      <c r="E83" s="2">
        <v>25</v>
      </c>
      <c r="F83" s="106" t="s">
        <v>466</v>
      </c>
      <c r="G83" s="99" t="str">
        <f>IFERROR(IF(VLOOKUP(TableHandbook[[#This Row],[UDC]],TableAvailabilities[],2,FALSE)&gt;0,"Y",""),"")</f>
        <v>Y</v>
      </c>
      <c r="H83" s="99" t="str">
        <f>IFERROR(IF(VLOOKUP(TableHandbook[[#This Row],[UDC]],TableAvailabilities[],3,FALSE)&gt;0,"Y",""),"")</f>
        <v/>
      </c>
      <c r="I83" s="99" t="str">
        <f>IFERROR(IF(VLOOKUP(TableHandbook[[#This Row],[UDC]],TableAvailabilities[],4,FALSE)&gt;0,"Y",""),"")</f>
        <v/>
      </c>
      <c r="J83" s="99" t="str">
        <f>IFERROR(IF(VLOOKUP(TableHandbook[[#This Row],[UDC]],TableAvailabilities[],5,FALSE)&gt;0,"Y",""),"")</f>
        <v/>
      </c>
      <c r="K83" s="125" t="s">
        <v>471</v>
      </c>
      <c r="L83" s="102" t="str">
        <f>IFERROR(VLOOKUP(TableHandbook[[#This Row],[UDC]],TableBDESIGN[],7,FALSE),"")</f>
        <v/>
      </c>
      <c r="M83" s="121" t="str">
        <f>IFERROR(VLOOKUP(TableHandbook[[#This Row],[UDC]],TableMJRUADVDS[],7,FALSE),"")</f>
        <v/>
      </c>
      <c r="N83" s="102" t="str">
        <f>IFERROR(VLOOKUP(TableHandbook[[#This Row],[UDC]],TableMJRUANIGD[],7,FALSE),"")</f>
        <v/>
      </c>
      <c r="O83" s="102" t="str">
        <f>IFERROR(VLOOKUP(TableHandbook[[#This Row],[UDC]],TableMJRUDIGDE[],7,FALSE),"")</f>
        <v/>
      </c>
      <c r="P83" s="102" t="str">
        <f>IFERROR(VLOOKUP(TableHandbook[[#This Row],[UDC]],TableMJRUDINFB[],7,FALSE),"")</f>
        <v>Core</v>
      </c>
      <c r="Q83" s="102" t="str">
        <f>IFERROR(VLOOKUP(TableHandbook[[#This Row],[UDC]],TableMJRUFASHN[],7,FALSE),"")</f>
        <v/>
      </c>
      <c r="R83" s="102" t="str">
        <f>IFERROR(VLOOKUP(TableHandbook[[#This Row],[UDC]],TableMJRUGRPDS[],7,FALSE),"")</f>
        <v/>
      </c>
      <c r="S83" s="102" t="str">
        <f>IFERROR(VLOOKUP(TableHandbook[[#This Row],[UDC]],TableMJRUPHOTO[],7,FALSE),"")</f>
        <v/>
      </c>
      <c r="T83" s="121" t="str">
        <f>IFERROR(VLOOKUP(TableHandbook[[#This Row],[UDC]],TableSPUCANIGD[],7,FALSE),"")</f>
        <v/>
      </c>
      <c r="U83" s="102" t="str">
        <f>IFERROR(VLOOKUP(TableHandbook[[#This Row],[UDC]],TableSPUCCADES[],7,FALSE),"")</f>
        <v/>
      </c>
      <c r="V83" s="102" t="str">
        <f>IFERROR(VLOOKUP(TableHandbook[[#This Row],[UDC]],TableSPUCDIGDE[],7,FALSE),"")</f>
        <v/>
      </c>
      <c r="W83" s="102" t="str">
        <f>IFERROR(VLOOKUP(TableHandbook[[#This Row],[UDC]],TableSPUCFASHN[],7,FALSE),"")</f>
        <v/>
      </c>
      <c r="X83" s="102" t="str">
        <f>IFERROR(VLOOKUP(TableHandbook[[#This Row],[UDC]],TableSPUCFSHMK[],7,FALSE),"")</f>
        <v/>
      </c>
      <c r="Y83" s="102" t="str">
        <f>IFERROR(VLOOKUP(TableHandbook[[#This Row],[UDC]],TableSPUCGRPDS[],7,FALSE),"")</f>
        <v/>
      </c>
      <c r="Z83" s="102" t="str">
        <f>IFERROR(VLOOKUP(TableHandbook[[#This Row],[UDC]],TableSPUCILLUS[],7,FALSE),"")</f>
        <v/>
      </c>
      <c r="AA83" s="102" t="str">
        <f>IFERROR(VLOOKUP(TableHandbook[[#This Row],[UDC]],TableSPUCPHOTO[],7,FALSE),"")</f>
        <v/>
      </c>
    </row>
    <row r="84" spans="1:27" x14ac:dyDescent="0.25">
      <c r="A84" t="s">
        <v>371</v>
      </c>
      <c r="B84" s="2">
        <v>0</v>
      </c>
      <c r="D84" t="s">
        <v>372</v>
      </c>
      <c r="E84" s="2">
        <v>200</v>
      </c>
      <c r="F84" s="106" t="s">
        <v>373</v>
      </c>
      <c r="G84" s="99" t="str">
        <f>IFERROR(IF(VLOOKUP(TableHandbook[[#This Row],[UDC]],TableAvailabilities[],2,FALSE)&gt;0,"Y",""),"")</f>
        <v/>
      </c>
      <c r="H84" s="99" t="str">
        <f>IFERROR(IF(VLOOKUP(TableHandbook[[#This Row],[UDC]],TableAvailabilities[],3,FALSE)&gt;0,"Y",""),"")</f>
        <v/>
      </c>
      <c r="I84" s="99" t="str">
        <f>IFERROR(IF(VLOOKUP(TableHandbook[[#This Row],[UDC]],TableAvailabilities[],4,FALSE)&gt;0,"Y",""),"")</f>
        <v/>
      </c>
      <c r="J84" s="99" t="str">
        <f>IFERROR(IF(VLOOKUP(TableHandbook[[#This Row],[UDC]],TableAvailabilities[],5,FALSE)&gt;0,"Y",""),"")</f>
        <v/>
      </c>
      <c r="K84" s="120"/>
      <c r="L84" s="102" t="str">
        <f>IFERROR(VLOOKUP(TableHandbook[[#This Row],[UDC]],TableBDESIGN[],7,FALSE),"")</f>
        <v>AltCore</v>
      </c>
      <c r="M84" s="121" t="str">
        <f>IFERROR(VLOOKUP(TableHandbook[[#This Row],[UDC]],TableMJRUADVDS[],7,FALSE),"")</f>
        <v/>
      </c>
      <c r="N84" s="102" t="str">
        <f>IFERROR(VLOOKUP(TableHandbook[[#This Row],[UDC]],TableMJRUANIGD[],7,FALSE),"")</f>
        <v/>
      </c>
      <c r="O84" s="102" t="str">
        <f>IFERROR(VLOOKUP(TableHandbook[[#This Row],[UDC]],TableMJRUDIGDE[],7,FALSE),"")</f>
        <v/>
      </c>
      <c r="P84" s="102" t="str">
        <f>IFERROR(VLOOKUP(TableHandbook[[#This Row],[UDC]],TableMJRUDINFB[],7,FALSE),"")</f>
        <v/>
      </c>
      <c r="Q84" s="102" t="str">
        <f>IFERROR(VLOOKUP(TableHandbook[[#This Row],[UDC]],TableMJRUFASHN[],7,FALSE),"")</f>
        <v/>
      </c>
      <c r="R84" s="102" t="str">
        <f>IFERROR(VLOOKUP(TableHandbook[[#This Row],[UDC]],TableMJRUGRPDS[],7,FALSE),"")</f>
        <v/>
      </c>
      <c r="S84" s="102" t="str">
        <f>IFERROR(VLOOKUP(TableHandbook[[#This Row],[UDC]],TableMJRUPHOTO[],7,FALSE),"")</f>
        <v/>
      </c>
      <c r="T84" s="121" t="str">
        <f>IFERROR(VLOOKUP(TableHandbook[[#This Row],[UDC]],TableSPUCANIGD[],7,FALSE),"")</f>
        <v/>
      </c>
      <c r="U84" s="102" t="str">
        <f>IFERROR(VLOOKUP(TableHandbook[[#This Row],[UDC]],TableSPUCCADES[],7,FALSE),"")</f>
        <v/>
      </c>
      <c r="V84" s="102" t="str">
        <f>IFERROR(VLOOKUP(TableHandbook[[#This Row],[UDC]],TableSPUCDIGDE[],7,FALSE),"")</f>
        <v/>
      </c>
      <c r="W84" s="102" t="str">
        <f>IFERROR(VLOOKUP(TableHandbook[[#This Row],[UDC]],TableSPUCFASHN[],7,FALSE),"")</f>
        <v/>
      </c>
      <c r="X84" s="102" t="str">
        <f>IFERROR(VLOOKUP(TableHandbook[[#This Row],[UDC]],TableSPUCFSHMK[],7,FALSE),"")</f>
        <v/>
      </c>
      <c r="Y84" s="102" t="str">
        <f>IFERROR(VLOOKUP(TableHandbook[[#This Row],[UDC]],TableSPUCGRPDS[],7,FALSE),"")</f>
        <v/>
      </c>
      <c r="Z84" s="102" t="str">
        <f>IFERROR(VLOOKUP(TableHandbook[[#This Row],[UDC]],TableSPUCILLUS[],7,FALSE),"")</f>
        <v/>
      </c>
      <c r="AA84" s="102" t="str">
        <f>IFERROR(VLOOKUP(TableHandbook[[#This Row],[UDC]],TableSPUCPHOTO[],7,FALSE),"")</f>
        <v/>
      </c>
    </row>
    <row r="85" spans="1:27" x14ac:dyDescent="0.25">
      <c r="A85" t="s">
        <v>128</v>
      </c>
      <c r="B85" s="2">
        <v>1</v>
      </c>
      <c r="D85" t="s">
        <v>14</v>
      </c>
      <c r="E85" s="2">
        <v>200</v>
      </c>
      <c r="F85" s="106" t="s">
        <v>373</v>
      </c>
      <c r="G85" s="99" t="str">
        <f>IFERROR(IF(VLOOKUP(TableHandbook[[#This Row],[UDC]],TableAvailabilities[],2,FALSE)&gt;0,"Y",""),"")</f>
        <v/>
      </c>
      <c r="H85" s="99" t="str">
        <f>IFERROR(IF(VLOOKUP(TableHandbook[[#This Row],[UDC]],TableAvailabilities[],3,FALSE)&gt;0,"Y",""),"")</f>
        <v/>
      </c>
      <c r="I85" s="99" t="str">
        <f>IFERROR(IF(VLOOKUP(TableHandbook[[#This Row],[UDC]],TableAvailabilities[],4,FALSE)&gt;0,"Y",""),"")</f>
        <v/>
      </c>
      <c r="J85" s="99" t="str">
        <f>IFERROR(IF(VLOOKUP(TableHandbook[[#This Row],[UDC]],TableAvailabilities[],5,FALSE)&gt;0,"Y",""),"")</f>
        <v/>
      </c>
      <c r="K85" s="120"/>
      <c r="L85" s="102" t="str">
        <f>IFERROR(VLOOKUP(TableHandbook[[#This Row],[UDC]],TableBDESIGN[],7,FALSE),"")</f>
        <v>AltCore</v>
      </c>
      <c r="M85" s="121" t="str">
        <f>IFERROR(VLOOKUP(TableHandbook[[#This Row],[UDC]],TableMJRUADVDS[],7,FALSE),"")</f>
        <v/>
      </c>
      <c r="N85" s="102" t="str">
        <f>IFERROR(VLOOKUP(TableHandbook[[#This Row],[UDC]],TableMJRUANIGD[],7,FALSE),"")</f>
        <v/>
      </c>
      <c r="O85" s="102" t="str">
        <f>IFERROR(VLOOKUP(TableHandbook[[#This Row],[UDC]],TableMJRUDIGDE[],7,FALSE),"")</f>
        <v/>
      </c>
      <c r="P85" s="102" t="str">
        <f>IFERROR(VLOOKUP(TableHandbook[[#This Row],[UDC]],TableMJRUDINFB[],7,FALSE),"")</f>
        <v/>
      </c>
      <c r="Q85" s="102" t="str">
        <f>IFERROR(VLOOKUP(TableHandbook[[#This Row],[UDC]],TableMJRUFASHN[],7,FALSE),"")</f>
        <v/>
      </c>
      <c r="R85" s="102" t="str">
        <f>IFERROR(VLOOKUP(TableHandbook[[#This Row],[UDC]],TableMJRUGRPDS[],7,FALSE),"")</f>
        <v/>
      </c>
      <c r="S85" s="102" t="str">
        <f>IFERROR(VLOOKUP(TableHandbook[[#This Row],[UDC]],TableMJRUPHOTO[],7,FALSE),"")</f>
        <v/>
      </c>
      <c r="T85" s="121" t="str">
        <f>IFERROR(VLOOKUP(TableHandbook[[#This Row],[UDC]],TableSPUCANIGD[],7,FALSE),"")</f>
        <v/>
      </c>
      <c r="U85" s="102" t="str">
        <f>IFERROR(VLOOKUP(TableHandbook[[#This Row],[UDC]],TableSPUCCADES[],7,FALSE),"")</f>
        <v/>
      </c>
      <c r="V85" s="102" t="str">
        <f>IFERROR(VLOOKUP(TableHandbook[[#This Row],[UDC]],TableSPUCDIGDE[],7,FALSE),"")</f>
        <v/>
      </c>
      <c r="W85" s="102" t="str">
        <f>IFERROR(VLOOKUP(TableHandbook[[#This Row],[UDC]],TableSPUCFASHN[],7,FALSE),"")</f>
        <v/>
      </c>
      <c r="X85" s="102" t="str">
        <f>IFERROR(VLOOKUP(TableHandbook[[#This Row],[UDC]],TableSPUCFSHMK[],7,FALSE),"")</f>
        <v/>
      </c>
      <c r="Y85" s="102" t="str">
        <f>IFERROR(VLOOKUP(TableHandbook[[#This Row],[UDC]],TableSPUCGRPDS[],7,FALSE),"")</f>
        <v/>
      </c>
      <c r="Z85" s="102" t="str">
        <f>IFERROR(VLOOKUP(TableHandbook[[#This Row],[UDC]],TableSPUCILLUS[],7,FALSE),"")</f>
        <v/>
      </c>
      <c r="AA85" s="102" t="str">
        <f>IFERROR(VLOOKUP(TableHandbook[[#This Row],[UDC]],TableSPUCPHOTO[],7,FALSE),"")</f>
        <v/>
      </c>
    </row>
    <row r="86" spans="1:27" x14ac:dyDescent="0.25">
      <c r="A86" t="s">
        <v>138</v>
      </c>
      <c r="B86" s="2">
        <v>2</v>
      </c>
      <c r="D86" t="s">
        <v>137</v>
      </c>
      <c r="E86" s="2">
        <v>200</v>
      </c>
      <c r="F86" s="106" t="s">
        <v>373</v>
      </c>
      <c r="G86" s="99" t="str">
        <f>IFERROR(IF(VLOOKUP(TableHandbook[[#This Row],[UDC]],TableAvailabilities[],2,FALSE)&gt;0,"Y",""),"")</f>
        <v/>
      </c>
      <c r="H86" s="99" t="str">
        <f>IFERROR(IF(VLOOKUP(TableHandbook[[#This Row],[UDC]],TableAvailabilities[],3,FALSE)&gt;0,"Y",""),"")</f>
        <v/>
      </c>
      <c r="I86" s="99" t="str">
        <f>IFERROR(IF(VLOOKUP(TableHandbook[[#This Row],[UDC]],TableAvailabilities[],4,FALSE)&gt;0,"Y",""),"")</f>
        <v/>
      </c>
      <c r="J86" s="99" t="str">
        <f>IFERROR(IF(VLOOKUP(TableHandbook[[#This Row],[UDC]],TableAvailabilities[],5,FALSE)&gt;0,"Y",""),"")</f>
        <v/>
      </c>
      <c r="K86" s="120"/>
      <c r="L86" s="102" t="str">
        <f>IFERROR(VLOOKUP(TableHandbook[[#This Row],[UDC]],TableBDESIGN[],7,FALSE),"")</f>
        <v>AltCore</v>
      </c>
      <c r="M86" s="121" t="str">
        <f>IFERROR(VLOOKUP(TableHandbook[[#This Row],[UDC]],TableMJRUADVDS[],7,FALSE),"")</f>
        <v/>
      </c>
      <c r="N86" s="102" t="str">
        <f>IFERROR(VLOOKUP(TableHandbook[[#This Row],[UDC]],TableMJRUANIGD[],7,FALSE),"")</f>
        <v/>
      </c>
      <c r="O86" s="102" t="str">
        <f>IFERROR(VLOOKUP(TableHandbook[[#This Row],[UDC]],TableMJRUDIGDE[],7,FALSE),"")</f>
        <v/>
      </c>
      <c r="P86" s="102" t="str">
        <f>IFERROR(VLOOKUP(TableHandbook[[#This Row],[UDC]],TableMJRUDINFB[],7,FALSE),"")</f>
        <v/>
      </c>
      <c r="Q86" s="102" t="str">
        <f>IFERROR(VLOOKUP(TableHandbook[[#This Row],[UDC]],TableMJRUFASHN[],7,FALSE),"")</f>
        <v/>
      </c>
      <c r="R86" s="102" t="str">
        <f>IFERROR(VLOOKUP(TableHandbook[[#This Row],[UDC]],TableMJRUGRPDS[],7,FALSE),"")</f>
        <v/>
      </c>
      <c r="S86" s="102" t="str">
        <f>IFERROR(VLOOKUP(TableHandbook[[#This Row],[UDC]],TableMJRUPHOTO[],7,FALSE),"")</f>
        <v/>
      </c>
      <c r="T86" s="121" t="str">
        <f>IFERROR(VLOOKUP(TableHandbook[[#This Row],[UDC]],TableSPUCANIGD[],7,FALSE),"")</f>
        <v/>
      </c>
      <c r="U86" s="102" t="str">
        <f>IFERROR(VLOOKUP(TableHandbook[[#This Row],[UDC]],TableSPUCCADES[],7,FALSE),"")</f>
        <v/>
      </c>
      <c r="V86" s="102" t="str">
        <f>IFERROR(VLOOKUP(TableHandbook[[#This Row],[UDC]],TableSPUCDIGDE[],7,FALSE),"")</f>
        <v/>
      </c>
      <c r="W86" s="102" t="str">
        <f>IFERROR(VLOOKUP(TableHandbook[[#This Row],[UDC]],TableSPUCFASHN[],7,FALSE),"")</f>
        <v/>
      </c>
      <c r="X86" s="102" t="str">
        <f>IFERROR(VLOOKUP(TableHandbook[[#This Row],[UDC]],TableSPUCFSHMK[],7,FALSE),"")</f>
        <v/>
      </c>
      <c r="Y86" s="102" t="str">
        <f>IFERROR(VLOOKUP(TableHandbook[[#This Row],[UDC]],TableSPUCGRPDS[],7,FALSE),"")</f>
        <v/>
      </c>
      <c r="Z86" s="102" t="str">
        <f>IFERROR(VLOOKUP(TableHandbook[[#This Row],[UDC]],TableSPUCILLUS[],7,FALSE),"")</f>
        <v/>
      </c>
      <c r="AA86" s="102" t="str">
        <f>IFERROR(VLOOKUP(TableHandbook[[#This Row],[UDC]],TableSPUCPHOTO[],7,FALSE),"")</f>
        <v/>
      </c>
    </row>
    <row r="87" spans="1:27" x14ac:dyDescent="0.25">
      <c r="A87" t="s">
        <v>147</v>
      </c>
      <c r="B87" s="2">
        <v>4</v>
      </c>
      <c r="D87" t="s">
        <v>146</v>
      </c>
      <c r="E87" s="2">
        <v>200</v>
      </c>
      <c r="F87" s="106" t="s">
        <v>373</v>
      </c>
      <c r="G87" s="99" t="str">
        <f>IFERROR(IF(VLOOKUP(TableHandbook[[#This Row],[UDC]],TableAvailabilities[],2,FALSE)&gt;0,"Y",""),"")</f>
        <v/>
      </c>
      <c r="H87" s="99" t="str">
        <f>IFERROR(IF(VLOOKUP(TableHandbook[[#This Row],[UDC]],TableAvailabilities[],3,FALSE)&gt;0,"Y",""),"")</f>
        <v/>
      </c>
      <c r="I87" s="99" t="str">
        <f>IFERROR(IF(VLOOKUP(TableHandbook[[#This Row],[UDC]],TableAvailabilities[],4,FALSE)&gt;0,"Y",""),"")</f>
        <v/>
      </c>
      <c r="J87" s="99" t="str">
        <f>IFERROR(IF(VLOOKUP(TableHandbook[[#This Row],[UDC]],TableAvailabilities[],5,FALSE)&gt;0,"Y",""),"")</f>
        <v/>
      </c>
      <c r="K87" s="120"/>
      <c r="L87" s="102" t="str">
        <f>IFERROR(VLOOKUP(TableHandbook[[#This Row],[UDC]],TableBDESIGN[],7,FALSE),"")</f>
        <v>AltCore</v>
      </c>
      <c r="M87" s="121" t="str">
        <f>IFERROR(VLOOKUP(TableHandbook[[#This Row],[UDC]],TableMJRUADVDS[],7,FALSE),"")</f>
        <v/>
      </c>
      <c r="N87" s="102" t="str">
        <f>IFERROR(VLOOKUP(TableHandbook[[#This Row],[UDC]],TableMJRUANIGD[],7,FALSE),"")</f>
        <v/>
      </c>
      <c r="O87" s="102" t="str">
        <f>IFERROR(VLOOKUP(TableHandbook[[#This Row],[UDC]],TableMJRUDIGDE[],7,FALSE),"")</f>
        <v/>
      </c>
      <c r="P87" s="102" t="str">
        <f>IFERROR(VLOOKUP(TableHandbook[[#This Row],[UDC]],TableMJRUDINFB[],7,FALSE),"")</f>
        <v/>
      </c>
      <c r="Q87" s="102" t="str">
        <f>IFERROR(VLOOKUP(TableHandbook[[#This Row],[UDC]],TableMJRUFASHN[],7,FALSE),"")</f>
        <v/>
      </c>
      <c r="R87" s="102" t="str">
        <f>IFERROR(VLOOKUP(TableHandbook[[#This Row],[UDC]],TableMJRUGRPDS[],7,FALSE),"")</f>
        <v/>
      </c>
      <c r="S87" s="102" t="str">
        <f>IFERROR(VLOOKUP(TableHandbook[[#This Row],[UDC]],TableMJRUPHOTO[],7,FALSE),"")</f>
        <v/>
      </c>
      <c r="T87" s="121" t="str">
        <f>IFERROR(VLOOKUP(TableHandbook[[#This Row],[UDC]],TableSPUCANIGD[],7,FALSE),"")</f>
        <v/>
      </c>
      <c r="U87" s="102" t="str">
        <f>IFERROR(VLOOKUP(TableHandbook[[#This Row],[UDC]],TableSPUCCADES[],7,FALSE),"")</f>
        <v/>
      </c>
      <c r="V87" s="102" t="str">
        <f>IFERROR(VLOOKUP(TableHandbook[[#This Row],[UDC]],TableSPUCDIGDE[],7,FALSE),"")</f>
        <v/>
      </c>
      <c r="W87" s="102" t="str">
        <f>IFERROR(VLOOKUP(TableHandbook[[#This Row],[UDC]],TableSPUCFASHN[],7,FALSE),"")</f>
        <v/>
      </c>
      <c r="X87" s="102" t="str">
        <f>IFERROR(VLOOKUP(TableHandbook[[#This Row],[UDC]],TableSPUCFSHMK[],7,FALSE),"")</f>
        <v/>
      </c>
      <c r="Y87" s="102" t="str">
        <f>IFERROR(VLOOKUP(TableHandbook[[#This Row],[UDC]],TableSPUCGRPDS[],7,FALSE),"")</f>
        <v/>
      </c>
      <c r="Z87" s="102" t="str">
        <f>IFERROR(VLOOKUP(TableHandbook[[#This Row],[UDC]],TableSPUCILLUS[],7,FALSE),"")</f>
        <v/>
      </c>
      <c r="AA87" s="102" t="str">
        <f>IFERROR(VLOOKUP(TableHandbook[[#This Row],[UDC]],TableSPUCPHOTO[],7,FALSE),"")</f>
        <v/>
      </c>
    </row>
    <row r="88" spans="1:27" x14ac:dyDescent="0.25">
      <c r="A88" t="s">
        <v>142</v>
      </c>
      <c r="B88" s="2">
        <v>2</v>
      </c>
      <c r="D88" t="s">
        <v>141</v>
      </c>
      <c r="E88" s="2">
        <v>200</v>
      </c>
      <c r="F88" s="106"/>
      <c r="G88" s="99" t="str">
        <f>IFERROR(IF(VLOOKUP(TableHandbook[[#This Row],[UDC]],TableAvailabilities[],2,FALSE)&gt;0,"Y",""),"")</f>
        <v/>
      </c>
      <c r="H88" s="99" t="str">
        <f>IFERROR(IF(VLOOKUP(TableHandbook[[#This Row],[UDC]],TableAvailabilities[],3,FALSE)&gt;0,"Y",""),"")</f>
        <v/>
      </c>
      <c r="I88" s="99" t="str">
        <f>IFERROR(IF(VLOOKUP(TableHandbook[[#This Row],[UDC]],TableAvailabilities[],4,FALSE)&gt;0,"Y",""),"")</f>
        <v/>
      </c>
      <c r="J88" s="99" t="str">
        <f>IFERROR(IF(VLOOKUP(TableHandbook[[#This Row],[UDC]],TableAvailabilities[],5,FALSE)&gt;0,"Y",""),"")</f>
        <v/>
      </c>
      <c r="K88" s="120"/>
      <c r="L88" s="102" t="str">
        <f>IFERROR(VLOOKUP(TableHandbook[[#This Row],[UDC]],TableBDESIGN[],7,FALSE),"")</f>
        <v>AltCore</v>
      </c>
      <c r="M88" s="121" t="str">
        <f>IFERROR(VLOOKUP(TableHandbook[[#This Row],[UDC]],TableMJRUADVDS[],7,FALSE),"")</f>
        <v/>
      </c>
      <c r="N88" s="102" t="str">
        <f>IFERROR(VLOOKUP(TableHandbook[[#This Row],[UDC]],TableMJRUANIGD[],7,FALSE),"")</f>
        <v/>
      </c>
      <c r="O88" s="102" t="str">
        <f>IFERROR(VLOOKUP(TableHandbook[[#This Row],[UDC]],TableMJRUDIGDE[],7,FALSE),"")</f>
        <v/>
      </c>
      <c r="P88" s="102" t="str">
        <f>IFERROR(VLOOKUP(TableHandbook[[#This Row],[UDC]],TableMJRUDINFB[],7,FALSE),"")</f>
        <v/>
      </c>
      <c r="Q88" s="102" t="str">
        <f>IFERROR(VLOOKUP(TableHandbook[[#This Row],[UDC]],TableMJRUFASHN[],7,FALSE),"")</f>
        <v/>
      </c>
      <c r="R88" s="102" t="str">
        <f>IFERROR(VLOOKUP(TableHandbook[[#This Row],[UDC]],TableMJRUGRPDS[],7,FALSE),"")</f>
        <v/>
      </c>
      <c r="S88" s="102" t="str">
        <f>IFERROR(VLOOKUP(TableHandbook[[#This Row],[UDC]],TableMJRUPHOTO[],7,FALSE),"")</f>
        <v/>
      </c>
      <c r="T88" s="121" t="str">
        <f>IFERROR(VLOOKUP(TableHandbook[[#This Row],[UDC]],TableSPUCANIGD[],7,FALSE),"")</f>
        <v/>
      </c>
      <c r="U88" s="102" t="str">
        <f>IFERROR(VLOOKUP(TableHandbook[[#This Row],[UDC]],TableSPUCCADES[],7,FALSE),"")</f>
        <v/>
      </c>
      <c r="V88" s="102" t="str">
        <f>IFERROR(VLOOKUP(TableHandbook[[#This Row],[UDC]],TableSPUCDIGDE[],7,FALSE),"")</f>
        <v/>
      </c>
      <c r="W88" s="102" t="str">
        <f>IFERROR(VLOOKUP(TableHandbook[[#This Row],[UDC]],TableSPUCFASHN[],7,FALSE),"")</f>
        <v/>
      </c>
      <c r="X88" s="102" t="str">
        <f>IFERROR(VLOOKUP(TableHandbook[[#This Row],[UDC]],TableSPUCFSHMK[],7,FALSE),"")</f>
        <v/>
      </c>
      <c r="Y88" s="102" t="str">
        <f>IFERROR(VLOOKUP(TableHandbook[[#This Row],[UDC]],TableSPUCGRPDS[],7,FALSE),"")</f>
        <v/>
      </c>
      <c r="Z88" s="102" t="str">
        <f>IFERROR(VLOOKUP(TableHandbook[[#This Row],[UDC]],TableSPUCILLUS[],7,FALSE),"")</f>
        <v/>
      </c>
      <c r="AA88" s="102" t="str">
        <f>IFERROR(VLOOKUP(TableHandbook[[#This Row],[UDC]],TableSPUCPHOTO[],7,FALSE),"")</f>
        <v/>
      </c>
    </row>
    <row r="89" spans="1:27" x14ac:dyDescent="0.25">
      <c r="A89" t="s">
        <v>156</v>
      </c>
      <c r="B89" s="2">
        <v>2</v>
      </c>
      <c r="D89" t="s">
        <v>155</v>
      </c>
      <c r="E89" s="2">
        <v>200</v>
      </c>
      <c r="F89" s="106" t="s">
        <v>373</v>
      </c>
      <c r="G89" s="99" t="str">
        <f>IFERROR(IF(VLOOKUP(TableHandbook[[#This Row],[UDC]],TableAvailabilities[],2,FALSE)&gt;0,"Y",""),"")</f>
        <v/>
      </c>
      <c r="H89" s="99" t="str">
        <f>IFERROR(IF(VLOOKUP(TableHandbook[[#This Row],[UDC]],TableAvailabilities[],3,FALSE)&gt;0,"Y",""),"")</f>
        <v/>
      </c>
      <c r="I89" s="99" t="str">
        <f>IFERROR(IF(VLOOKUP(TableHandbook[[#This Row],[UDC]],TableAvailabilities[],4,FALSE)&gt;0,"Y",""),"")</f>
        <v/>
      </c>
      <c r="J89" s="99" t="str">
        <f>IFERROR(IF(VLOOKUP(TableHandbook[[#This Row],[UDC]],TableAvailabilities[],5,FALSE)&gt;0,"Y",""),"")</f>
        <v/>
      </c>
      <c r="K89" s="120"/>
      <c r="L89" s="102" t="str">
        <f>IFERROR(VLOOKUP(TableHandbook[[#This Row],[UDC]],TableBDESIGN[],7,FALSE),"")</f>
        <v>AltCore</v>
      </c>
      <c r="M89" s="121" t="str">
        <f>IFERROR(VLOOKUP(TableHandbook[[#This Row],[UDC]],TableMJRUADVDS[],7,FALSE),"")</f>
        <v/>
      </c>
      <c r="N89" s="102" t="str">
        <f>IFERROR(VLOOKUP(TableHandbook[[#This Row],[UDC]],TableMJRUANIGD[],7,FALSE),"")</f>
        <v/>
      </c>
      <c r="O89" s="102" t="str">
        <f>IFERROR(VLOOKUP(TableHandbook[[#This Row],[UDC]],TableMJRUDIGDE[],7,FALSE),"")</f>
        <v/>
      </c>
      <c r="P89" s="102" t="str">
        <f>IFERROR(VLOOKUP(TableHandbook[[#This Row],[UDC]],TableMJRUDINFB[],7,FALSE),"")</f>
        <v/>
      </c>
      <c r="Q89" s="102" t="str">
        <f>IFERROR(VLOOKUP(TableHandbook[[#This Row],[UDC]],TableMJRUFASHN[],7,FALSE),"")</f>
        <v/>
      </c>
      <c r="R89" s="102" t="str">
        <f>IFERROR(VLOOKUP(TableHandbook[[#This Row],[UDC]],TableMJRUGRPDS[],7,FALSE),"")</f>
        <v/>
      </c>
      <c r="S89" s="102" t="str">
        <f>IFERROR(VLOOKUP(TableHandbook[[#This Row],[UDC]],TableMJRUPHOTO[],7,FALSE),"")</f>
        <v/>
      </c>
      <c r="T89" s="121" t="str">
        <f>IFERROR(VLOOKUP(TableHandbook[[#This Row],[UDC]],TableSPUCANIGD[],7,FALSE),"")</f>
        <v/>
      </c>
      <c r="U89" s="102" t="str">
        <f>IFERROR(VLOOKUP(TableHandbook[[#This Row],[UDC]],TableSPUCCADES[],7,FALSE),"")</f>
        <v/>
      </c>
      <c r="V89" s="102" t="str">
        <f>IFERROR(VLOOKUP(TableHandbook[[#This Row],[UDC]],TableSPUCDIGDE[],7,FALSE),"")</f>
        <v/>
      </c>
      <c r="W89" s="102" t="str">
        <f>IFERROR(VLOOKUP(TableHandbook[[#This Row],[UDC]],TableSPUCFASHN[],7,FALSE),"")</f>
        <v/>
      </c>
      <c r="X89" s="102" t="str">
        <f>IFERROR(VLOOKUP(TableHandbook[[#This Row],[UDC]],TableSPUCFSHMK[],7,FALSE),"")</f>
        <v/>
      </c>
      <c r="Y89" s="102" t="str">
        <f>IFERROR(VLOOKUP(TableHandbook[[#This Row],[UDC]],TableSPUCGRPDS[],7,FALSE),"")</f>
        <v/>
      </c>
      <c r="Z89" s="102" t="str">
        <f>IFERROR(VLOOKUP(TableHandbook[[#This Row],[UDC]],TableSPUCILLUS[],7,FALSE),"")</f>
        <v/>
      </c>
      <c r="AA89" s="102" t="str">
        <f>IFERROR(VLOOKUP(TableHandbook[[#This Row],[UDC]],TableSPUCPHOTO[],7,FALSE),"")</f>
        <v/>
      </c>
    </row>
    <row r="90" spans="1:27" x14ac:dyDescent="0.25">
      <c r="A90" t="s">
        <v>158</v>
      </c>
      <c r="B90" s="2">
        <v>1</v>
      </c>
      <c r="D90" t="s">
        <v>157</v>
      </c>
      <c r="E90" s="2">
        <v>200</v>
      </c>
      <c r="F90" s="106" t="s">
        <v>373</v>
      </c>
      <c r="G90" s="99" t="str">
        <f>IFERROR(IF(VLOOKUP(TableHandbook[[#This Row],[UDC]],TableAvailabilities[],2,FALSE)&gt;0,"Y",""),"")</f>
        <v/>
      </c>
      <c r="H90" s="99" t="str">
        <f>IFERROR(IF(VLOOKUP(TableHandbook[[#This Row],[UDC]],TableAvailabilities[],3,FALSE)&gt;0,"Y",""),"")</f>
        <v/>
      </c>
      <c r="I90" s="99" t="str">
        <f>IFERROR(IF(VLOOKUP(TableHandbook[[#This Row],[UDC]],TableAvailabilities[],4,FALSE)&gt;0,"Y",""),"")</f>
        <v/>
      </c>
      <c r="J90" s="99" t="str">
        <f>IFERROR(IF(VLOOKUP(TableHandbook[[#This Row],[UDC]],TableAvailabilities[],5,FALSE)&gt;0,"Y",""),"")</f>
        <v/>
      </c>
      <c r="K90" s="120"/>
      <c r="L90" s="102" t="str">
        <f>IFERROR(VLOOKUP(TableHandbook[[#This Row],[UDC]],TableBDESIGN[],7,FALSE),"")</f>
        <v>AltCore</v>
      </c>
      <c r="M90" s="121" t="str">
        <f>IFERROR(VLOOKUP(TableHandbook[[#This Row],[UDC]],TableMJRUADVDS[],7,FALSE),"")</f>
        <v/>
      </c>
      <c r="N90" s="102" t="str">
        <f>IFERROR(VLOOKUP(TableHandbook[[#This Row],[UDC]],TableMJRUANIGD[],7,FALSE),"")</f>
        <v/>
      </c>
      <c r="O90" s="102" t="str">
        <f>IFERROR(VLOOKUP(TableHandbook[[#This Row],[UDC]],TableMJRUDIGDE[],7,FALSE),"")</f>
        <v/>
      </c>
      <c r="P90" s="102" t="str">
        <f>IFERROR(VLOOKUP(TableHandbook[[#This Row],[UDC]],TableMJRUDINFB[],7,FALSE),"")</f>
        <v/>
      </c>
      <c r="Q90" s="102" t="str">
        <f>IFERROR(VLOOKUP(TableHandbook[[#This Row],[UDC]],TableMJRUFASHN[],7,FALSE),"")</f>
        <v/>
      </c>
      <c r="R90" s="102" t="str">
        <f>IFERROR(VLOOKUP(TableHandbook[[#This Row],[UDC]],TableMJRUGRPDS[],7,FALSE),"")</f>
        <v/>
      </c>
      <c r="S90" s="102" t="str">
        <f>IFERROR(VLOOKUP(TableHandbook[[#This Row],[UDC]],TableMJRUPHOTO[],7,FALSE),"")</f>
        <v/>
      </c>
      <c r="T90" s="121" t="str">
        <f>IFERROR(VLOOKUP(TableHandbook[[#This Row],[UDC]],TableSPUCANIGD[],7,FALSE),"")</f>
        <v/>
      </c>
      <c r="U90" s="102" t="str">
        <f>IFERROR(VLOOKUP(TableHandbook[[#This Row],[UDC]],TableSPUCCADES[],7,FALSE),"")</f>
        <v/>
      </c>
      <c r="V90" s="102" t="str">
        <f>IFERROR(VLOOKUP(TableHandbook[[#This Row],[UDC]],TableSPUCDIGDE[],7,FALSE),"")</f>
        <v/>
      </c>
      <c r="W90" s="102" t="str">
        <f>IFERROR(VLOOKUP(TableHandbook[[#This Row],[UDC]],TableSPUCFASHN[],7,FALSE),"")</f>
        <v/>
      </c>
      <c r="X90" s="102" t="str">
        <f>IFERROR(VLOOKUP(TableHandbook[[#This Row],[UDC]],TableSPUCFSHMK[],7,FALSE),"")</f>
        <v/>
      </c>
      <c r="Y90" s="102" t="str">
        <f>IFERROR(VLOOKUP(TableHandbook[[#This Row],[UDC]],TableSPUCGRPDS[],7,FALSE),"")</f>
        <v/>
      </c>
      <c r="Z90" s="102" t="str">
        <f>IFERROR(VLOOKUP(TableHandbook[[#This Row],[UDC]],TableSPUCILLUS[],7,FALSE),"")</f>
        <v/>
      </c>
      <c r="AA90" s="102" t="str">
        <f>IFERROR(VLOOKUP(TableHandbook[[#This Row],[UDC]],TableSPUCPHOTO[],7,FALSE),"")</f>
        <v/>
      </c>
    </row>
    <row r="91" spans="1:27" x14ac:dyDescent="0.25">
      <c r="A91" t="s">
        <v>160</v>
      </c>
      <c r="B91" s="2">
        <v>1</v>
      </c>
      <c r="D91" t="s">
        <v>159</v>
      </c>
      <c r="E91" s="2">
        <v>200</v>
      </c>
      <c r="F91" s="106" t="s">
        <v>373</v>
      </c>
      <c r="G91" s="99" t="str">
        <f>IFERROR(IF(VLOOKUP(TableHandbook[[#This Row],[UDC]],TableAvailabilities[],2,FALSE)&gt;0,"Y",""),"")</f>
        <v/>
      </c>
      <c r="H91" s="99" t="str">
        <f>IFERROR(IF(VLOOKUP(TableHandbook[[#This Row],[UDC]],TableAvailabilities[],3,FALSE)&gt;0,"Y",""),"")</f>
        <v/>
      </c>
      <c r="I91" s="99" t="str">
        <f>IFERROR(IF(VLOOKUP(TableHandbook[[#This Row],[UDC]],TableAvailabilities[],4,FALSE)&gt;0,"Y",""),"")</f>
        <v/>
      </c>
      <c r="J91" s="99" t="str">
        <f>IFERROR(IF(VLOOKUP(TableHandbook[[#This Row],[UDC]],TableAvailabilities[],5,FALSE)&gt;0,"Y",""),"")</f>
        <v/>
      </c>
      <c r="K91" s="120"/>
      <c r="L91" s="102" t="str">
        <f>IFERROR(VLOOKUP(TableHandbook[[#This Row],[UDC]],TableBDESIGN[],7,FALSE),"")</f>
        <v>AltCore</v>
      </c>
      <c r="M91" s="121" t="str">
        <f>IFERROR(VLOOKUP(TableHandbook[[#This Row],[UDC]],TableMJRUADVDS[],7,FALSE),"")</f>
        <v/>
      </c>
      <c r="N91" s="102" t="str">
        <f>IFERROR(VLOOKUP(TableHandbook[[#This Row],[UDC]],TableMJRUANIGD[],7,FALSE),"")</f>
        <v/>
      </c>
      <c r="O91" s="102" t="str">
        <f>IFERROR(VLOOKUP(TableHandbook[[#This Row],[UDC]],TableMJRUDIGDE[],7,FALSE),"")</f>
        <v/>
      </c>
      <c r="P91" s="102" t="str">
        <f>IFERROR(VLOOKUP(TableHandbook[[#This Row],[UDC]],TableMJRUDINFB[],7,FALSE),"")</f>
        <v/>
      </c>
      <c r="Q91" s="102" t="str">
        <f>IFERROR(VLOOKUP(TableHandbook[[#This Row],[UDC]],TableMJRUFASHN[],7,FALSE),"")</f>
        <v/>
      </c>
      <c r="R91" s="102" t="str">
        <f>IFERROR(VLOOKUP(TableHandbook[[#This Row],[UDC]],TableMJRUGRPDS[],7,FALSE),"")</f>
        <v/>
      </c>
      <c r="S91" s="102" t="str">
        <f>IFERROR(VLOOKUP(TableHandbook[[#This Row],[UDC]],TableMJRUPHOTO[],7,FALSE),"")</f>
        <v/>
      </c>
      <c r="T91" s="121" t="str">
        <f>IFERROR(VLOOKUP(TableHandbook[[#This Row],[UDC]],TableSPUCANIGD[],7,FALSE),"")</f>
        <v/>
      </c>
      <c r="U91" s="102" t="str">
        <f>IFERROR(VLOOKUP(TableHandbook[[#This Row],[UDC]],TableSPUCCADES[],7,FALSE),"")</f>
        <v/>
      </c>
      <c r="V91" s="102" t="str">
        <f>IFERROR(VLOOKUP(TableHandbook[[#This Row],[UDC]],TableSPUCDIGDE[],7,FALSE),"")</f>
        <v/>
      </c>
      <c r="W91" s="102" t="str">
        <f>IFERROR(VLOOKUP(TableHandbook[[#This Row],[UDC]],TableSPUCFASHN[],7,FALSE),"")</f>
        <v/>
      </c>
      <c r="X91" s="102" t="str">
        <f>IFERROR(VLOOKUP(TableHandbook[[#This Row],[UDC]],TableSPUCFSHMK[],7,FALSE),"")</f>
        <v/>
      </c>
      <c r="Y91" s="102" t="str">
        <f>IFERROR(VLOOKUP(TableHandbook[[#This Row],[UDC]],TableSPUCGRPDS[],7,FALSE),"")</f>
        <v/>
      </c>
      <c r="Z91" s="102" t="str">
        <f>IFERROR(VLOOKUP(TableHandbook[[#This Row],[UDC]],TableSPUCILLUS[],7,FALSE),"")</f>
        <v/>
      </c>
      <c r="AA91" s="102" t="str">
        <f>IFERROR(VLOOKUP(TableHandbook[[#This Row],[UDC]],TableSPUCPHOTO[],7,FALSE),"")</f>
        <v/>
      </c>
    </row>
    <row r="92" spans="1:27" x14ac:dyDescent="0.25">
      <c r="A92" t="s">
        <v>206</v>
      </c>
      <c r="B92" s="2">
        <v>1</v>
      </c>
      <c r="D92" t="s">
        <v>374</v>
      </c>
      <c r="E92" s="2">
        <v>25</v>
      </c>
      <c r="F92" s="106" t="s">
        <v>286</v>
      </c>
      <c r="G92" s="99" t="str">
        <f>IFERROR(IF(VLOOKUP(TableHandbook[[#This Row],[UDC]],TableAvailabilities[],2,FALSE)&gt;0,"Y",""),"")</f>
        <v>Y</v>
      </c>
      <c r="H92" s="99" t="str">
        <f>IFERROR(IF(VLOOKUP(TableHandbook[[#This Row],[UDC]],TableAvailabilities[],3,FALSE)&gt;0,"Y",""),"")</f>
        <v>Y</v>
      </c>
      <c r="I92" s="99" t="str">
        <f>IFERROR(IF(VLOOKUP(TableHandbook[[#This Row],[UDC]],TableAvailabilities[],4,FALSE)&gt;0,"Y",""),"")</f>
        <v>Y</v>
      </c>
      <c r="J92" s="99" t="str">
        <f>IFERROR(IF(VLOOKUP(TableHandbook[[#This Row],[UDC]],TableAvailabilities[],5,FALSE)&gt;0,"Y",""),"")</f>
        <v>Y</v>
      </c>
      <c r="K92" s="120"/>
      <c r="L92" s="102" t="str">
        <f>IFERROR(VLOOKUP(TableHandbook[[#This Row],[UDC]],TableBDESIGN[],7,FALSE),"")</f>
        <v/>
      </c>
      <c r="M92" s="121" t="str">
        <f>IFERROR(VLOOKUP(TableHandbook[[#This Row],[UDC]],TableMJRUADVDS[],7,FALSE),"")</f>
        <v/>
      </c>
      <c r="N92" s="102" t="str">
        <f>IFERROR(VLOOKUP(TableHandbook[[#This Row],[UDC]],TableMJRUANIGD[],7,FALSE),"")</f>
        <v/>
      </c>
      <c r="O92" s="102" t="str">
        <f>IFERROR(VLOOKUP(TableHandbook[[#This Row],[UDC]],TableMJRUDIGDE[],7,FALSE),"")</f>
        <v/>
      </c>
      <c r="P92" s="102" t="str">
        <f>IFERROR(VLOOKUP(TableHandbook[[#This Row],[UDC]],TableMJRUDINFB[],7,FALSE),"")</f>
        <v/>
      </c>
      <c r="Q92" s="102" t="str">
        <f>IFERROR(VLOOKUP(TableHandbook[[#This Row],[UDC]],TableMJRUFASHN[],7,FALSE),"")</f>
        <v/>
      </c>
      <c r="R92" s="102" t="str">
        <f>IFERROR(VLOOKUP(TableHandbook[[#This Row],[UDC]],TableMJRUGRPDS[],7,FALSE),"")</f>
        <v/>
      </c>
      <c r="S92" s="102" t="str">
        <f>IFERROR(VLOOKUP(TableHandbook[[#This Row],[UDC]],TableMJRUPHOTO[],7,FALSE),"")</f>
        <v/>
      </c>
      <c r="T92" s="121" t="str">
        <f>IFERROR(VLOOKUP(TableHandbook[[#This Row],[UDC]],TableSPUCANIGD[],7,FALSE),"")</f>
        <v/>
      </c>
      <c r="U92" s="102" t="str">
        <f>IFERROR(VLOOKUP(TableHandbook[[#This Row],[UDC]],TableSPUCCADES[],7,FALSE),"")</f>
        <v/>
      </c>
      <c r="V92" s="102" t="str">
        <f>IFERROR(VLOOKUP(TableHandbook[[#This Row],[UDC]],TableSPUCDIGDE[],7,FALSE),"")</f>
        <v/>
      </c>
      <c r="W92" s="102" t="str">
        <f>IFERROR(VLOOKUP(TableHandbook[[#This Row],[UDC]],TableSPUCFASHN[],7,FALSE),"")</f>
        <v/>
      </c>
      <c r="X92" s="102" t="str">
        <f>IFERROR(VLOOKUP(TableHandbook[[#This Row],[UDC]],TableSPUCFSHMK[],7,FALSE),"")</f>
        <v>Option</v>
      </c>
      <c r="Y92" s="102" t="str">
        <f>IFERROR(VLOOKUP(TableHandbook[[#This Row],[UDC]],TableSPUCGRPDS[],7,FALSE),"")</f>
        <v/>
      </c>
      <c r="Z92" s="102" t="str">
        <f>IFERROR(VLOOKUP(TableHandbook[[#This Row],[UDC]],TableSPUCILLUS[],7,FALSE),"")</f>
        <v/>
      </c>
      <c r="AA92" s="102" t="str">
        <f>IFERROR(VLOOKUP(TableHandbook[[#This Row],[UDC]],TableSPUCPHOTO[],7,FALSE),"")</f>
        <v/>
      </c>
    </row>
    <row r="93" spans="1:27" x14ac:dyDescent="0.25">
      <c r="A93" t="s">
        <v>112</v>
      </c>
      <c r="B93" s="2">
        <v>1</v>
      </c>
      <c r="D93" t="s">
        <v>375</v>
      </c>
      <c r="E93" s="2">
        <v>25</v>
      </c>
      <c r="F93" s="106" t="s">
        <v>286</v>
      </c>
      <c r="G93" s="99" t="str">
        <f>IFERROR(IF(VLOOKUP(TableHandbook[[#This Row],[UDC]],TableAvailabilities[],2,FALSE)&gt;0,"Y",""),"")</f>
        <v>Y</v>
      </c>
      <c r="H93" s="99" t="str">
        <f>IFERROR(IF(VLOOKUP(TableHandbook[[#This Row],[UDC]],TableAvailabilities[],3,FALSE)&gt;0,"Y",""),"")</f>
        <v>Y</v>
      </c>
      <c r="I93" s="99" t="str">
        <f>IFERROR(IF(VLOOKUP(TableHandbook[[#This Row],[UDC]],TableAvailabilities[],4,FALSE)&gt;0,"Y",""),"")</f>
        <v/>
      </c>
      <c r="J93" s="99" t="str">
        <f>IFERROR(IF(VLOOKUP(TableHandbook[[#This Row],[UDC]],TableAvailabilities[],5,FALSE)&gt;0,"Y",""),"")</f>
        <v/>
      </c>
      <c r="K93" s="120"/>
      <c r="L93" s="102" t="str">
        <f>IFERROR(VLOOKUP(TableHandbook[[#This Row],[UDC]],TableBDESIGN[],7,FALSE),"")</f>
        <v/>
      </c>
      <c r="M93" s="121" t="str">
        <f>IFERROR(VLOOKUP(TableHandbook[[#This Row],[UDC]],TableMJRUADVDS[],7,FALSE),"")</f>
        <v>Core</v>
      </c>
      <c r="N93" s="102" t="str">
        <f>IFERROR(VLOOKUP(TableHandbook[[#This Row],[UDC]],TableMJRUANIGD[],7,FALSE),"")</f>
        <v/>
      </c>
      <c r="O93" s="102" t="str">
        <f>IFERROR(VLOOKUP(TableHandbook[[#This Row],[UDC]],TableMJRUDIGDE[],7,FALSE),"")</f>
        <v/>
      </c>
      <c r="P93" s="102" t="str">
        <f>IFERROR(VLOOKUP(TableHandbook[[#This Row],[UDC]],TableMJRUDINFB[],7,FALSE),"")</f>
        <v/>
      </c>
      <c r="Q93" s="102" t="str">
        <f>IFERROR(VLOOKUP(TableHandbook[[#This Row],[UDC]],TableMJRUFASHN[],7,FALSE),"")</f>
        <v/>
      </c>
      <c r="R93" s="102" t="str">
        <f>IFERROR(VLOOKUP(TableHandbook[[#This Row],[UDC]],TableMJRUGRPDS[],7,FALSE),"")</f>
        <v/>
      </c>
      <c r="S93" s="102" t="str">
        <f>IFERROR(VLOOKUP(TableHandbook[[#This Row],[UDC]],TableMJRUPHOTO[],7,FALSE),"")</f>
        <v/>
      </c>
      <c r="T93" s="121" t="str">
        <f>IFERROR(VLOOKUP(TableHandbook[[#This Row],[UDC]],TableSPUCANIGD[],7,FALSE),"")</f>
        <v/>
      </c>
      <c r="U93" s="102" t="str">
        <f>IFERROR(VLOOKUP(TableHandbook[[#This Row],[UDC]],TableSPUCCADES[],7,FALSE),"")</f>
        <v/>
      </c>
      <c r="V93" s="102" t="str">
        <f>IFERROR(VLOOKUP(TableHandbook[[#This Row],[UDC]],TableSPUCDIGDE[],7,FALSE),"")</f>
        <v/>
      </c>
      <c r="W93" s="102" t="str">
        <f>IFERROR(VLOOKUP(TableHandbook[[#This Row],[UDC]],TableSPUCFASHN[],7,FALSE),"")</f>
        <v/>
      </c>
      <c r="X93" s="102" t="str">
        <f>IFERROR(VLOOKUP(TableHandbook[[#This Row],[UDC]],TableSPUCFSHMK[],7,FALSE),"")</f>
        <v/>
      </c>
      <c r="Y93" s="102" t="str">
        <f>IFERROR(VLOOKUP(TableHandbook[[#This Row],[UDC]],TableSPUCGRPDS[],7,FALSE),"")</f>
        <v/>
      </c>
      <c r="Z93" s="102" t="str">
        <f>IFERROR(VLOOKUP(TableHandbook[[#This Row],[UDC]],TableSPUCILLUS[],7,FALSE),"")</f>
        <v/>
      </c>
      <c r="AA93" s="102" t="str">
        <f>IFERROR(VLOOKUP(TableHandbook[[#This Row],[UDC]],TableSPUCPHOTO[],7,FALSE),"")</f>
        <v/>
      </c>
    </row>
    <row r="94" spans="1:27" x14ac:dyDescent="0.25">
      <c r="A94" t="s">
        <v>210</v>
      </c>
      <c r="B94" s="2">
        <v>1</v>
      </c>
      <c r="D94" t="s">
        <v>376</v>
      </c>
      <c r="E94" s="2">
        <v>25</v>
      </c>
      <c r="F94" s="106" t="s">
        <v>286</v>
      </c>
      <c r="G94" s="99" t="str">
        <f>IFERROR(IF(VLOOKUP(TableHandbook[[#This Row],[UDC]],TableAvailabilities[],2,FALSE)&gt;0,"Y",""),"")</f>
        <v/>
      </c>
      <c r="H94" s="99" t="str">
        <f>IFERROR(IF(VLOOKUP(TableHandbook[[#This Row],[UDC]],TableAvailabilities[],3,FALSE)&gt;0,"Y",""),"")</f>
        <v/>
      </c>
      <c r="I94" s="99" t="str">
        <f>IFERROR(IF(VLOOKUP(TableHandbook[[#This Row],[UDC]],TableAvailabilities[],4,FALSE)&gt;0,"Y",""),"")</f>
        <v>Y</v>
      </c>
      <c r="J94" s="99" t="str">
        <f>IFERROR(IF(VLOOKUP(TableHandbook[[#This Row],[UDC]],TableAvailabilities[],5,FALSE)&gt;0,"Y",""),"")</f>
        <v/>
      </c>
      <c r="K94" s="120"/>
      <c r="L94" s="102" t="str">
        <f>IFERROR(VLOOKUP(TableHandbook[[#This Row],[UDC]],TableBDESIGN[],7,FALSE),"")</f>
        <v/>
      </c>
      <c r="M94" s="121" t="str">
        <f>IFERROR(VLOOKUP(TableHandbook[[#This Row],[UDC]],TableMJRUADVDS[],7,FALSE),"")</f>
        <v>AltCore</v>
      </c>
      <c r="N94" s="102" t="str">
        <f>IFERROR(VLOOKUP(TableHandbook[[#This Row],[UDC]],TableMJRUANIGD[],7,FALSE),"")</f>
        <v/>
      </c>
      <c r="O94" s="102" t="str">
        <f>IFERROR(VLOOKUP(TableHandbook[[#This Row],[UDC]],TableMJRUDIGDE[],7,FALSE),"")</f>
        <v/>
      </c>
      <c r="P94" s="102" t="str">
        <f>IFERROR(VLOOKUP(TableHandbook[[#This Row],[UDC]],TableMJRUDINFB[],7,FALSE),"")</f>
        <v/>
      </c>
      <c r="Q94" s="102" t="str">
        <f>IFERROR(VLOOKUP(TableHandbook[[#This Row],[UDC]],TableMJRUFASHN[],7,FALSE),"")</f>
        <v/>
      </c>
      <c r="R94" s="102" t="str">
        <f>IFERROR(VLOOKUP(TableHandbook[[#This Row],[UDC]],TableMJRUGRPDS[],7,FALSE),"")</f>
        <v/>
      </c>
      <c r="S94" s="102" t="str">
        <f>IFERROR(VLOOKUP(TableHandbook[[#This Row],[UDC]],TableMJRUPHOTO[],7,FALSE),"")</f>
        <v/>
      </c>
      <c r="T94" s="121" t="str">
        <f>IFERROR(VLOOKUP(TableHandbook[[#This Row],[UDC]],TableSPUCANIGD[],7,FALSE),"")</f>
        <v/>
      </c>
      <c r="U94" s="102" t="str">
        <f>IFERROR(VLOOKUP(TableHandbook[[#This Row],[UDC]],TableSPUCCADES[],7,FALSE),"")</f>
        <v/>
      </c>
      <c r="V94" s="102" t="str">
        <f>IFERROR(VLOOKUP(TableHandbook[[#This Row],[UDC]],TableSPUCDIGDE[],7,FALSE),"")</f>
        <v/>
      </c>
      <c r="W94" s="102" t="str">
        <f>IFERROR(VLOOKUP(TableHandbook[[#This Row],[UDC]],TableSPUCFASHN[],7,FALSE),"")</f>
        <v/>
      </c>
      <c r="X94" s="102" t="str">
        <f>IFERROR(VLOOKUP(TableHandbook[[#This Row],[UDC]],TableSPUCFSHMK[],7,FALSE),"")</f>
        <v>Core</v>
      </c>
      <c r="Y94" s="102" t="str">
        <f>IFERROR(VLOOKUP(TableHandbook[[#This Row],[UDC]],TableSPUCGRPDS[],7,FALSE),"")</f>
        <v/>
      </c>
      <c r="Z94" s="102" t="str">
        <f>IFERROR(VLOOKUP(TableHandbook[[#This Row],[UDC]],TableSPUCILLUS[],7,FALSE),"")</f>
        <v/>
      </c>
      <c r="AA94" s="102" t="str">
        <f>IFERROR(VLOOKUP(TableHandbook[[#This Row],[UDC]],TableSPUCPHOTO[],7,FALSE),"")</f>
        <v/>
      </c>
    </row>
    <row r="95" spans="1:27" x14ac:dyDescent="0.25">
      <c r="A95" t="s">
        <v>457</v>
      </c>
      <c r="B95" s="2">
        <v>2</v>
      </c>
      <c r="D95" t="s">
        <v>458</v>
      </c>
      <c r="E95" s="2">
        <v>25</v>
      </c>
      <c r="F95" s="106" t="s">
        <v>467</v>
      </c>
      <c r="G95" s="99" t="str">
        <f>IFERROR(IF(VLOOKUP(TableHandbook[[#This Row],[UDC]],TableAvailabilities[],2,FALSE)&gt;0,"Y",""),"")</f>
        <v>Y</v>
      </c>
      <c r="H95" s="99" t="str">
        <f>IFERROR(IF(VLOOKUP(TableHandbook[[#This Row],[UDC]],TableAvailabilities[],3,FALSE)&gt;0,"Y",""),"")</f>
        <v>Y</v>
      </c>
      <c r="I95" s="99" t="str">
        <f>IFERROR(IF(VLOOKUP(TableHandbook[[#This Row],[UDC]],TableAvailabilities[],4,FALSE)&gt;0,"Y",""),"")</f>
        <v>Y</v>
      </c>
      <c r="J95" s="99" t="str">
        <f>IFERROR(IF(VLOOKUP(TableHandbook[[#This Row],[UDC]],TableAvailabilities[],5,FALSE)&gt;0,"Y",""),"")</f>
        <v>Y</v>
      </c>
      <c r="K95" s="120"/>
      <c r="L95" s="102" t="str">
        <f>IFERROR(VLOOKUP(TableHandbook[[#This Row],[UDC]],TableBDESIGN[],7,FALSE),"")</f>
        <v/>
      </c>
      <c r="M95" s="121" t="str">
        <f>IFERROR(VLOOKUP(TableHandbook[[#This Row],[UDC]],TableMJRUADVDS[],7,FALSE),"")</f>
        <v/>
      </c>
      <c r="N95" s="102" t="str">
        <f>IFERROR(VLOOKUP(TableHandbook[[#This Row],[UDC]],TableMJRUANIGD[],7,FALSE),"")</f>
        <v/>
      </c>
      <c r="O95" s="102" t="str">
        <f>IFERROR(VLOOKUP(TableHandbook[[#This Row],[UDC]],TableMJRUDIGDE[],7,FALSE),"")</f>
        <v/>
      </c>
      <c r="P95" s="102" t="str">
        <f>IFERROR(VLOOKUP(TableHandbook[[#This Row],[UDC]],TableMJRUDINFB[],7,FALSE),"")</f>
        <v/>
      </c>
      <c r="Q95" s="102" t="str">
        <f>IFERROR(VLOOKUP(TableHandbook[[#This Row],[UDC]],TableMJRUFASHN[],7,FALSE),"")</f>
        <v/>
      </c>
      <c r="R95" s="102" t="str">
        <f>IFERROR(VLOOKUP(TableHandbook[[#This Row],[UDC]],TableMJRUGRPDS[],7,FALSE),"")</f>
        <v/>
      </c>
      <c r="S95" s="102" t="str">
        <f>IFERROR(VLOOKUP(TableHandbook[[#This Row],[UDC]],TableMJRUPHOTO[],7,FALSE),"")</f>
        <v/>
      </c>
      <c r="T95" s="121" t="str">
        <f>IFERROR(VLOOKUP(TableHandbook[[#This Row],[UDC]],TableSPUCANIGD[],7,FALSE),"")</f>
        <v/>
      </c>
      <c r="U95" s="102" t="str">
        <f>IFERROR(VLOOKUP(TableHandbook[[#This Row],[UDC]],TableSPUCCADES[],7,FALSE),"")</f>
        <v/>
      </c>
      <c r="V95" s="102" t="str">
        <f>IFERROR(VLOOKUP(TableHandbook[[#This Row],[UDC]],TableSPUCDIGDE[],7,FALSE),"")</f>
        <v/>
      </c>
      <c r="W95" s="102" t="str">
        <f>IFERROR(VLOOKUP(TableHandbook[[#This Row],[UDC]],TableSPUCFASHN[],7,FALSE),"")</f>
        <v/>
      </c>
      <c r="X95" s="102" t="str">
        <f>IFERROR(VLOOKUP(TableHandbook[[#This Row],[UDC]],TableSPUCFSHMK[],7,FALSE),"")</f>
        <v>Option</v>
      </c>
      <c r="Y95" s="102" t="str">
        <f>IFERROR(VLOOKUP(TableHandbook[[#This Row],[UDC]],TableSPUCGRPDS[],7,FALSE),"")</f>
        <v/>
      </c>
      <c r="Z95" s="102" t="str">
        <f>IFERROR(VLOOKUP(TableHandbook[[#This Row],[UDC]],TableSPUCILLUS[],7,FALSE),"")</f>
        <v/>
      </c>
      <c r="AA95" s="102" t="str">
        <f>IFERROR(VLOOKUP(TableHandbook[[#This Row],[UDC]],TableSPUCPHOTO[],7,FALSE),"")</f>
        <v/>
      </c>
    </row>
    <row r="96" spans="1:27" x14ac:dyDescent="0.25">
      <c r="A96" t="s">
        <v>243</v>
      </c>
      <c r="B96" s="2">
        <v>1</v>
      </c>
      <c r="D96" t="s">
        <v>377</v>
      </c>
      <c r="E96" s="2">
        <v>25</v>
      </c>
      <c r="F96" s="106" t="s">
        <v>286</v>
      </c>
      <c r="G96" s="99" t="str">
        <f>IFERROR(IF(VLOOKUP(TableHandbook[[#This Row],[UDC]],TableAvailabilities[],2,FALSE)&gt;0,"Y",""),"")</f>
        <v>Y</v>
      </c>
      <c r="H96" s="99" t="str">
        <f>IFERROR(IF(VLOOKUP(TableHandbook[[#This Row],[UDC]],TableAvailabilities[],3,FALSE)&gt;0,"Y",""),"")</f>
        <v>Y</v>
      </c>
      <c r="I96" s="99" t="str">
        <f>IFERROR(IF(VLOOKUP(TableHandbook[[#This Row],[UDC]],TableAvailabilities[],4,FALSE)&gt;0,"Y",""),"")</f>
        <v>Y</v>
      </c>
      <c r="J96" s="99" t="str">
        <f>IFERROR(IF(VLOOKUP(TableHandbook[[#This Row],[UDC]],TableAvailabilities[],5,FALSE)&gt;0,"Y",""),"")</f>
        <v>Y</v>
      </c>
      <c r="K96" s="120"/>
      <c r="L96" s="102" t="str">
        <f>IFERROR(VLOOKUP(TableHandbook[[#This Row],[UDC]],TableBDESIGN[],7,FALSE),"")</f>
        <v/>
      </c>
      <c r="M96" s="121" t="str">
        <f>IFERROR(VLOOKUP(TableHandbook[[#This Row],[UDC]],TableMJRUADVDS[],7,FALSE),"")</f>
        <v/>
      </c>
      <c r="N96" s="102" t="str">
        <f>IFERROR(VLOOKUP(TableHandbook[[#This Row],[UDC]],TableMJRUANIGD[],7,FALSE),"")</f>
        <v/>
      </c>
      <c r="O96" s="102" t="str">
        <f>IFERROR(VLOOKUP(TableHandbook[[#This Row],[UDC]],TableMJRUDIGDE[],7,FALSE),"")</f>
        <v/>
      </c>
      <c r="P96" s="102" t="str">
        <f>IFERROR(VLOOKUP(TableHandbook[[#This Row],[UDC]],TableMJRUDINFB[],7,FALSE),"")</f>
        <v/>
      </c>
      <c r="Q96" s="102" t="str">
        <f>IFERROR(VLOOKUP(TableHandbook[[#This Row],[UDC]],TableMJRUFASHN[],7,FALSE),"")</f>
        <v/>
      </c>
      <c r="R96" s="102" t="str">
        <f>IFERROR(VLOOKUP(TableHandbook[[#This Row],[UDC]],TableMJRUGRPDS[],7,FALSE),"")</f>
        <v/>
      </c>
      <c r="S96" s="102" t="str">
        <f>IFERROR(VLOOKUP(TableHandbook[[#This Row],[UDC]],TableMJRUPHOTO[],7,FALSE),"")</f>
        <v/>
      </c>
      <c r="T96" s="121" t="str">
        <f>IFERROR(VLOOKUP(TableHandbook[[#This Row],[UDC]],TableSPUCANIGD[],7,FALSE),"")</f>
        <v/>
      </c>
      <c r="U96" s="102" t="str">
        <f>IFERROR(VLOOKUP(TableHandbook[[#This Row],[UDC]],TableSPUCCADES[],7,FALSE),"")</f>
        <v/>
      </c>
      <c r="V96" s="102" t="str">
        <f>IFERROR(VLOOKUP(TableHandbook[[#This Row],[UDC]],TableSPUCDIGDE[],7,FALSE),"")</f>
        <v/>
      </c>
      <c r="W96" s="102" t="str">
        <f>IFERROR(VLOOKUP(TableHandbook[[#This Row],[UDC]],TableSPUCFASHN[],7,FALSE),"")</f>
        <v/>
      </c>
      <c r="X96" s="102" t="str">
        <f>IFERROR(VLOOKUP(TableHandbook[[#This Row],[UDC]],TableSPUCFSHMK[],7,FALSE),"")</f>
        <v>Option</v>
      </c>
      <c r="Y96" s="102" t="str">
        <f>IFERROR(VLOOKUP(TableHandbook[[#This Row],[UDC]],TableSPUCGRPDS[],7,FALSE),"")</f>
        <v/>
      </c>
      <c r="Z96" s="102" t="str">
        <f>IFERROR(VLOOKUP(TableHandbook[[#This Row],[UDC]],TableSPUCILLUS[],7,FALSE),"")</f>
        <v/>
      </c>
      <c r="AA96" s="102" t="str">
        <f>IFERROR(VLOOKUP(TableHandbook[[#This Row],[UDC]],TableSPUCPHOTO[],7,FALSE),"")</f>
        <v/>
      </c>
    </row>
    <row r="97" spans="1:27" x14ac:dyDescent="0.25">
      <c r="A97" t="s">
        <v>165</v>
      </c>
      <c r="B97" s="2">
        <v>3</v>
      </c>
      <c r="D97" t="s">
        <v>456</v>
      </c>
      <c r="E97" s="2">
        <v>25</v>
      </c>
      <c r="F97" s="106" t="s">
        <v>112</v>
      </c>
      <c r="G97" s="99" t="str">
        <f>IFERROR(IF(VLOOKUP(TableHandbook[[#This Row],[UDC]],TableAvailabilities[],2,FALSE)&gt;0,"Y",""),"")</f>
        <v>Y</v>
      </c>
      <c r="H97" s="99" t="str">
        <f>IFERROR(IF(VLOOKUP(TableHandbook[[#This Row],[UDC]],TableAvailabilities[],3,FALSE)&gt;0,"Y",""),"")</f>
        <v/>
      </c>
      <c r="I97" s="99" t="str">
        <f>IFERROR(IF(VLOOKUP(TableHandbook[[#This Row],[UDC]],TableAvailabilities[],4,FALSE)&gt;0,"Y",""),"")</f>
        <v/>
      </c>
      <c r="J97" s="99" t="str">
        <f>IFERROR(IF(VLOOKUP(TableHandbook[[#This Row],[UDC]],TableAvailabilities[],5,FALSE)&gt;0,"Y",""),"")</f>
        <v/>
      </c>
      <c r="K97" s="120" t="s">
        <v>461</v>
      </c>
      <c r="L97" s="102" t="str">
        <f>IFERROR(VLOOKUP(TableHandbook[[#This Row],[UDC]],TableBDESIGN[],7,FALSE),"")</f>
        <v/>
      </c>
      <c r="M97" s="121" t="str">
        <f>IFERROR(VLOOKUP(TableHandbook[[#This Row],[UDC]],TableMJRUADVDS[],7,FALSE),"")</f>
        <v>Core</v>
      </c>
      <c r="N97" s="102" t="str">
        <f>IFERROR(VLOOKUP(TableHandbook[[#This Row],[UDC]],TableMJRUANIGD[],7,FALSE),"")</f>
        <v/>
      </c>
      <c r="O97" s="102" t="str">
        <f>IFERROR(VLOOKUP(TableHandbook[[#This Row],[UDC]],TableMJRUDIGDE[],7,FALSE),"")</f>
        <v/>
      </c>
      <c r="P97" s="102" t="str">
        <f>IFERROR(VLOOKUP(TableHandbook[[#This Row],[UDC]],TableMJRUDINFB[],7,FALSE),"")</f>
        <v/>
      </c>
      <c r="Q97" s="102" t="str">
        <f>IFERROR(VLOOKUP(TableHandbook[[#This Row],[UDC]],TableMJRUFASHN[],7,FALSE),"")</f>
        <v/>
      </c>
      <c r="R97" s="102" t="str">
        <f>IFERROR(VLOOKUP(TableHandbook[[#This Row],[UDC]],TableMJRUGRPDS[],7,FALSE),"")</f>
        <v/>
      </c>
      <c r="S97" s="102" t="str">
        <f>IFERROR(VLOOKUP(TableHandbook[[#This Row],[UDC]],TableMJRUPHOTO[],7,FALSE),"")</f>
        <v/>
      </c>
      <c r="T97" s="121" t="str">
        <f>IFERROR(VLOOKUP(TableHandbook[[#This Row],[UDC]],TableSPUCANIGD[],7,FALSE),"")</f>
        <v/>
      </c>
      <c r="U97" s="102" t="str">
        <f>IFERROR(VLOOKUP(TableHandbook[[#This Row],[UDC]],TableSPUCCADES[],7,FALSE),"")</f>
        <v/>
      </c>
      <c r="V97" s="102" t="str">
        <f>IFERROR(VLOOKUP(TableHandbook[[#This Row],[UDC]],TableSPUCDIGDE[],7,FALSE),"")</f>
        <v/>
      </c>
      <c r="W97" s="102" t="str">
        <f>IFERROR(VLOOKUP(TableHandbook[[#This Row],[UDC]],TableSPUCFASHN[],7,FALSE),"")</f>
        <v/>
      </c>
      <c r="X97" s="102" t="str">
        <f>IFERROR(VLOOKUP(TableHandbook[[#This Row],[UDC]],TableSPUCFSHMK[],7,FALSE),"")</f>
        <v/>
      </c>
      <c r="Y97" s="102" t="str">
        <f>IFERROR(VLOOKUP(TableHandbook[[#This Row],[UDC]],TableSPUCGRPDS[],7,FALSE),"")</f>
        <v/>
      </c>
      <c r="Z97" s="102" t="str">
        <f>IFERROR(VLOOKUP(TableHandbook[[#This Row],[UDC]],TableSPUCILLUS[],7,FALSE),"")</f>
        <v/>
      </c>
      <c r="AA97" s="102" t="str">
        <f>IFERROR(VLOOKUP(TableHandbook[[#This Row],[UDC]],TableSPUCPHOTO[],7,FALSE),"")</f>
        <v/>
      </c>
    </row>
    <row r="98" spans="1:27" x14ac:dyDescent="0.25">
      <c r="A98" t="s">
        <v>462</v>
      </c>
      <c r="B98" s="2">
        <v>2</v>
      </c>
      <c r="D98" t="s">
        <v>378</v>
      </c>
      <c r="E98" s="2">
        <v>25</v>
      </c>
      <c r="F98" s="106" t="s">
        <v>112</v>
      </c>
      <c r="G98" s="99" t="str">
        <f>IFERROR(IF(VLOOKUP(TableHandbook[[#This Row],[UDC]],TableAvailabilities[],2,FALSE)&gt;0,"Y",""),"")</f>
        <v/>
      </c>
      <c r="H98" s="99" t="str">
        <f>IFERROR(IF(VLOOKUP(TableHandbook[[#This Row],[UDC]],TableAvailabilities[],3,FALSE)&gt;0,"Y",""),"")</f>
        <v/>
      </c>
      <c r="I98" s="99" t="str">
        <f>IFERROR(IF(VLOOKUP(TableHandbook[[#This Row],[UDC]],TableAvailabilities[],4,FALSE)&gt;0,"Y",""),"")</f>
        <v/>
      </c>
      <c r="J98" s="99" t="str">
        <f>IFERROR(IF(VLOOKUP(TableHandbook[[#This Row],[UDC]],TableAvailabilities[],5,FALSE)&gt;0,"Y",""),"")</f>
        <v/>
      </c>
      <c r="K98" s="120" t="s">
        <v>306</v>
      </c>
      <c r="L98" s="102" t="str">
        <f>IFERROR(VLOOKUP(TableHandbook[[#This Row],[UDC]],TableBDESIGN[],7,FALSE),"")</f>
        <v/>
      </c>
      <c r="M98" s="121" t="str">
        <f>IFERROR(VLOOKUP(TableHandbook[[#This Row],[UDC]],TableMJRUADVDS[],7,FALSE),"")</f>
        <v/>
      </c>
      <c r="N98" s="102" t="str">
        <f>IFERROR(VLOOKUP(TableHandbook[[#This Row],[UDC]],TableMJRUANIGD[],7,FALSE),"")</f>
        <v/>
      </c>
      <c r="O98" s="102" t="str">
        <f>IFERROR(VLOOKUP(TableHandbook[[#This Row],[UDC]],TableMJRUDIGDE[],7,FALSE),"")</f>
        <v/>
      </c>
      <c r="P98" s="102" t="str">
        <f>IFERROR(VLOOKUP(TableHandbook[[#This Row],[UDC]],TableMJRUDINFB[],7,FALSE),"")</f>
        <v/>
      </c>
      <c r="Q98" s="102" t="str">
        <f>IFERROR(VLOOKUP(TableHandbook[[#This Row],[UDC]],TableMJRUFASHN[],7,FALSE),"")</f>
        <v/>
      </c>
      <c r="R98" s="102" t="str">
        <f>IFERROR(VLOOKUP(TableHandbook[[#This Row],[UDC]],TableMJRUGRPDS[],7,FALSE),"")</f>
        <v/>
      </c>
      <c r="S98" s="102" t="str">
        <f>IFERROR(VLOOKUP(TableHandbook[[#This Row],[UDC]],TableMJRUPHOTO[],7,FALSE),"")</f>
        <v/>
      </c>
      <c r="T98" s="121" t="str">
        <f>IFERROR(VLOOKUP(TableHandbook[[#This Row],[UDC]],TableSPUCANIGD[],7,FALSE),"")</f>
        <v/>
      </c>
      <c r="U98" s="102" t="str">
        <f>IFERROR(VLOOKUP(TableHandbook[[#This Row],[UDC]],TableSPUCCADES[],7,FALSE),"")</f>
        <v/>
      </c>
      <c r="V98" s="102" t="str">
        <f>IFERROR(VLOOKUP(TableHandbook[[#This Row],[UDC]],TableSPUCDIGDE[],7,FALSE),"")</f>
        <v/>
      </c>
      <c r="W98" s="102" t="str">
        <f>IFERROR(VLOOKUP(TableHandbook[[#This Row],[UDC]],TableSPUCFASHN[],7,FALSE),"")</f>
        <v/>
      </c>
      <c r="X98" s="102" t="str">
        <f>IFERROR(VLOOKUP(TableHandbook[[#This Row],[UDC]],TableSPUCFSHMK[],7,FALSE),"")</f>
        <v/>
      </c>
      <c r="Y98" s="102" t="str">
        <f>IFERROR(VLOOKUP(TableHandbook[[#This Row],[UDC]],TableSPUCGRPDS[],7,FALSE),"")</f>
        <v/>
      </c>
      <c r="Z98" s="102" t="str">
        <f>IFERROR(VLOOKUP(TableHandbook[[#This Row],[UDC]],TableSPUCILLUS[],7,FALSE),"")</f>
        <v/>
      </c>
      <c r="AA98" s="102" t="str">
        <f>IFERROR(VLOOKUP(TableHandbook[[#This Row],[UDC]],TableSPUCPHOTO[],7,FALSE),"")</f>
        <v/>
      </c>
    </row>
    <row r="99" spans="1:27" x14ac:dyDescent="0.25">
      <c r="A99" t="s">
        <v>269</v>
      </c>
      <c r="B99" s="2">
        <v>4</v>
      </c>
      <c r="D99" t="s">
        <v>379</v>
      </c>
      <c r="E99" s="2">
        <v>25</v>
      </c>
      <c r="F99" s="106" t="s">
        <v>380</v>
      </c>
      <c r="G99" s="99" t="str">
        <f>IFERROR(IF(VLOOKUP(TableHandbook[[#This Row],[UDC]],TableAvailabilities[],2,FALSE)&gt;0,"Y",""),"")</f>
        <v>Y</v>
      </c>
      <c r="H99" s="99" t="str">
        <f>IFERROR(IF(VLOOKUP(TableHandbook[[#This Row],[UDC]],TableAvailabilities[],3,FALSE)&gt;0,"Y",""),"")</f>
        <v/>
      </c>
      <c r="I99" s="99" t="str">
        <f>IFERROR(IF(VLOOKUP(TableHandbook[[#This Row],[UDC]],TableAvailabilities[],4,FALSE)&gt;0,"Y",""),"")</f>
        <v>Y</v>
      </c>
      <c r="J99" s="99" t="str">
        <f>IFERROR(IF(VLOOKUP(TableHandbook[[#This Row],[UDC]],TableAvailabilities[],5,FALSE)&gt;0,"Y",""),"")</f>
        <v/>
      </c>
      <c r="K99" s="120"/>
      <c r="L99" s="102" t="str">
        <f>IFERROR(VLOOKUP(TableHandbook[[#This Row],[UDC]],TableBDESIGN[],7,FALSE),"")</f>
        <v>Option</v>
      </c>
      <c r="M99" s="121" t="str">
        <f>IFERROR(VLOOKUP(TableHandbook[[#This Row],[UDC]],TableMJRUADVDS[],7,FALSE),"")</f>
        <v/>
      </c>
      <c r="N99" s="102" t="str">
        <f>IFERROR(VLOOKUP(TableHandbook[[#This Row],[UDC]],TableMJRUANIGD[],7,FALSE),"")</f>
        <v/>
      </c>
      <c r="O99" s="102" t="str">
        <f>IFERROR(VLOOKUP(TableHandbook[[#This Row],[UDC]],TableMJRUDIGDE[],7,FALSE),"")</f>
        <v/>
      </c>
      <c r="P99" s="102" t="str">
        <f>IFERROR(VLOOKUP(TableHandbook[[#This Row],[UDC]],TableMJRUDINFB[],7,FALSE),"")</f>
        <v/>
      </c>
      <c r="Q99" s="102" t="str">
        <f>IFERROR(VLOOKUP(TableHandbook[[#This Row],[UDC]],TableMJRUFASHN[],7,FALSE),"")</f>
        <v/>
      </c>
      <c r="R99" s="102" t="str">
        <f>IFERROR(VLOOKUP(TableHandbook[[#This Row],[UDC]],TableMJRUGRPDS[],7,FALSE),"")</f>
        <v/>
      </c>
      <c r="S99" s="102" t="str">
        <f>IFERROR(VLOOKUP(TableHandbook[[#This Row],[UDC]],TableMJRUPHOTO[],7,FALSE),"")</f>
        <v/>
      </c>
      <c r="T99" s="121" t="str">
        <f>IFERROR(VLOOKUP(TableHandbook[[#This Row],[UDC]],TableSPUCANIGD[],7,FALSE),"")</f>
        <v/>
      </c>
      <c r="U99" s="102" t="str">
        <f>IFERROR(VLOOKUP(TableHandbook[[#This Row],[UDC]],TableSPUCCADES[],7,FALSE),"")</f>
        <v/>
      </c>
      <c r="V99" s="102" t="str">
        <f>IFERROR(VLOOKUP(TableHandbook[[#This Row],[UDC]],TableSPUCDIGDE[],7,FALSE),"")</f>
        <v/>
      </c>
      <c r="W99" s="102" t="str">
        <f>IFERROR(VLOOKUP(TableHandbook[[#This Row],[UDC]],TableSPUCFASHN[],7,FALSE),"")</f>
        <v/>
      </c>
      <c r="X99" s="102" t="str">
        <f>IFERROR(VLOOKUP(TableHandbook[[#This Row],[UDC]],TableSPUCFSHMK[],7,FALSE),"")</f>
        <v/>
      </c>
      <c r="Y99" s="102" t="str">
        <f>IFERROR(VLOOKUP(TableHandbook[[#This Row],[UDC]],TableSPUCGRPDS[],7,FALSE),"")</f>
        <v/>
      </c>
      <c r="Z99" s="102" t="str">
        <f>IFERROR(VLOOKUP(TableHandbook[[#This Row],[UDC]],TableSPUCILLUS[],7,FALSE),"")</f>
        <v/>
      </c>
      <c r="AA99" s="102" t="str">
        <f>IFERROR(VLOOKUP(TableHandbook[[#This Row],[UDC]],TableSPUCPHOTO[],7,FALSE),"")</f>
        <v/>
      </c>
    </row>
    <row r="100" spans="1:27" x14ac:dyDescent="0.25">
      <c r="A100" t="s">
        <v>218</v>
      </c>
      <c r="D100" t="s">
        <v>381</v>
      </c>
      <c r="E100" s="2">
        <v>50</v>
      </c>
      <c r="F100" s="106" t="s">
        <v>284</v>
      </c>
      <c r="G100" s="99" t="str">
        <f>IFERROR(IF(VLOOKUP(TableHandbook[[#This Row],[UDC]],TableAvailabilities[],2,FALSE)&gt;0,"Y",""),"")</f>
        <v/>
      </c>
      <c r="H100" s="99" t="str">
        <f>IFERROR(IF(VLOOKUP(TableHandbook[[#This Row],[UDC]],TableAvailabilities[],3,FALSE)&gt;0,"Y",""),"")</f>
        <v/>
      </c>
      <c r="I100" s="99" t="str">
        <f>IFERROR(IF(VLOOKUP(TableHandbook[[#This Row],[UDC]],TableAvailabilities[],4,FALSE)&gt;0,"Y",""),"")</f>
        <v/>
      </c>
      <c r="J100" s="99" t="str">
        <f>IFERROR(IF(VLOOKUP(TableHandbook[[#This Row],[UDC]],TableAvailabilities[],5,FALSE)&gt;0,"Y",""),"")</f>
        <v/>
      </c>
      <c r="K100" s="120"/>
      <c r="L100" s="102" t="str">
        <f>IFERROR(VLOOKUP(TableHandbook[[#This Row],[UDC]],TableBDESIGN[],7,FALSE),"")</f>
        <v/>
      </c>
      <c r="M100" s="121" t="str">
        <f>IFERROR(VLOOKUP(TableHandbook[[#This Row],[UDC]],TableMJRUADVDS[],7,FALSE),"")</f>
        <v/>
      </c>
      <c r="N100" s="102" t="str">
        <f>IFERROR(VLOOKUP(TableHandbook[[#This Row],[UDC]],TableMJRUANIGD[],7,FALSE),"")</f>
        <v/>
      </c>
      <c r="O100" s="102" t="str">
        <f>IFERROR(VLOOKUP(TableHandbook[[#This Row],[UDC]],TableMJRUDIGDE[],7,FALSE),"")</f>
        <v/>
      </c>
      <c r="P100" s="102" t="str">
        <f>IFERROR(VLOOKUP(TableHandbook[[#This Row],[UDC]],TableMJRUDINFB[],7,FALSE),"")</f>
        <v/>
      </c>
      <c r="Q100" s="102" t="str">
        <f>IFERROR(VLOOKUP(TableHandbook[[#This Row],[UDC]],TableMJRUFASHN[],7,FALSE),"")</f>
        <v/>
      </c>
      <c r="R100" s="102" t="str">
        <f>IFERROR(VLOOKUP(TableHandbook[[#This Row],[UDC]],TableMJRUGRPDS[],7,FALSE),"")</f>
        <v/>
      </c>
      <c r="S100" s="102" t="str">
        <f>IFERROR(VLOOKUP(TableHandbook[[#This Row],[UDC]],TableMJRUPHOTO[],7,FALSE),"")</f>
        <v/>
      </c>
      <c r="T100" s="121" t="str">
        <f>IFERROR(VLOOKUP(TableHandbook[[#This Row],[UDC]],TableSPUCANIGD[],7,FALSE),"")</f>
        <v/>
      </c>
      <c r="U100" s="102" t="str">
        <f>IFERROR(VLOOKUP(TableHandbook[[#This Row],[UDC]],TableSPUCCADES[],7,FALSE),"")</f>
        <v/>
      </c>
      <c r="V100" s="102" t="str">
        <f>IFERROR(VLOOKUP(TableHandbook[[#This Row],[UDC]],TableSPUCDIGDE[],7,FALSE),"")</f>
        <v/>
      </c>
      <c r="W100" s="102" t="str">
        <f>IFERROR(VLOOKUP(TableHandbook[[#This Row],[UDC]],TableSPUCFASHN[],7,FALSE),"")</f>
        <v>Option</v>
      </c>
      <c r="X100" s="102" t="str">
        <f>IFERROR(VLOOKUP(TableHandbook[[#This Row],[UDC]],TableSPUCFSHMK[],7,FALSE),"")</f>
        <v/>
      </c>
      <c r="Y100" s="102" t="str">
        <f>IFERROR(VLOOKUP(TableHandbook[[#This Row],[UDC]],TableSPUCGRPDS[],7,FALSE),"")</f>
        <v/>
      </c>
      <c r="Z100" s="102" t="str">
        <f>IFERROR(VLOOKUP(TableHandbook[[#This Row],[UDC]],TableSPUCILLUS[],7,FALSE),"")</f>
        <v/>
      </c>
      <c r="AA100" s="102" t="str">
        <f>IFERROR(VLOOKUP(TableHandbook[[#This Row],[UDC]],TableSPUCPHOTO[],7,FALSE),"")</f>
        <v/>
      </c>
    </row>
    <row r="101" spans="1:27" x14ac:dyDescent="0.25">
      <c r="A101" t="s">
        <v>230</v>
      </c>
      <c r="D101" t="s">
        <v>381</v>
      </c>
      <c r="E101" s="2">
        <v>50</v>
      </c>
      <c r="F101" s="106" t="s">
        <v>284</v>
      </c>
      <c r="G101" s="99" t="str">
        <f>IFERROR(IF(VLOOKUP(TableHandbook[[#This Row],[UDC]],TableAvailabilities[],2,FALSE)&gt;0,"Y",""),"")</f>
        <v/>
      </c>
      <c r="H101" s="99" t="str">
        <f>IFERROR(IF(VLOOKUP(TableHandbook[[#This Row],[UDC]],TableAvailabilities[],3,FALSE)&gt;0,"Y",""),"")</f>
        <v/>
      </c>
      <c r="I101" s="99" t="str">
        <f>IFERROR(IF(VLOOKUP(TableHandbook[[#This Row],[UDC]],TableAvailabilities[],4,FALSE)&gt;0,"Y",""),"")</f>
        <v/>
      </c>
      <c r="J101" s="99" t="str">
        <f>IFERROR(IF(VLOOKUP(TableHandbook[[#This Row],[UDC]],TableAvailabilities[],5,FALSE)&gt;0,"Y",""),"")</f>
        <v/>
      </c>
      <c r="K101" s="120"/>
      <c r="L101" s="102" t="str">
        <f>IFERROR(VLOOKUP(TableHandbook[[#This Row],[UDC]],TableBDESIGN[],7,FALSE),"")</f>
        <v/>
      </c>
      <c r="M101" s="121" t="str">
        <f>IFERROR(VLOOKUP(TableHandbook[[#This Row],[UDC]],TableMJRUADVDS[],7,FALSE),"")</f>
        <v/>
      </c>
      <c r="N101" s="102" t="str">
        <f>IFERROR(VLOOKUP(TableHandbook[[#This Row],[UDC]],TableMJRUANIGD[],7,FALSE),"")</f>
        <v/>
      </c>
      <c r="O101" s="102" t="str">
        <f>IFERROR(VLOOKUP(TableHandbook[[#This Row],[UDC]],TableMJRUDIGDE[],7,FALSE),"")</f>
        <v/>
      </c>
      <c r="P101" s="102" t="str">
        <f>IFERROR(VLOOKUP(TableHandbook[[#This Row],[UDC]],TableMJRUDINFB[],7,FALSE),"")</f>
        <v/>
      </c>
      <c r="Q101" s="102" t="str">
        <f>IFERROR(VLOOKUP(TableHandbook[[#This Row],[UDC]],TableMJRUFASHN[],7,FALSE),"")</f>
        <v/>
      </c>
      <c r="R101" s="102" t="str">
        <f>IFERROR(VLOOKUP(TableHandbook[[#This Row],[UDC]],TableMJRUGRPDS[],7,FALSE),"")</f>
        <v/>
      </c>
      <c r="S101" s="102" t="str">
        <f>IFERROR(VLOOKUP(TableHandbook[[#This Row],[UDC]],TableMJRUPHOTO[],7,FALSE),"")</f>
        <v/>
      </c>
      <c r="T101" s="121" t="str">
        <f>IFERROR(VLOOKUP(TableHandbook[[#This Row],[UDC]],TableSPUCANIGD[],7,FALSE),"")</f>
        <v/>
      </c>
      <c r="U101" s="102" t="str">
        <f>IFERROR(VLOOKUP(TableHandbook[[#This Row],[UDC]],TableSPUCCADES[],7,FALSE),"")</f>
        <v/>
      </c>
      <c r="V101" s="102" t="str">
        <f>IFERROR(VLOOKUP(TableHandbook[[#This Row],[UDC]],TableSPUCDIGDE[],7,FALSE),"")</f>
        <v/>
      </c>
      <c r="W101" s="102" t="str">
        <f>IFERROR(VLOOKUP(TableHandbook[[#This Row],[UDC]],TableSPUCFASHN[],7,FALSE),"")</f>
        <v/>
      </c>
      <c r="X101" s="102" t="str">
        <f>IFERROR(VLOOKUP(TableHandbook[[#This Row],[UDC]],TableSPUCFSHMK[],7,FALSE),"")</f>
        <v>Option</v>
      </c>
      <c r="Y101" s="102" t="str">
        <f>IFERROR(VLOOKUP(TableHandbook[[#This Row],[UDC]],TableSPUCGRPDS[],7,FALSE),"")</f>
        <v/>
      </c>
      <c r="Z101" s="102" t="str">
        <f>IFERROR(VLOOKUP(TableHandbook[[#This Row],[UDC]],TableSPUCILLUS[],7,FALSE),"")</f>
        <v/>
      </c>
      <c r="AA101" s="102" t="str">
        <f>IFERROR(VLOOKUP(TableHandbook[[#This Row],[UDC]],TableSPUCPHOTO[],7,FALSE),"")</f>
        <v/>
      </c>
    </row>
    <row r="102" spans="1:27" x14ac:dyDescent="0.25">
      <c r="A102" t="s">
        <v>252</v>
      </c>
      <c r="D102" t="s">
        <v>382</v>
      </c>
      <c r="E102" s="2">
        <v>25</v>
      </c>
      <c r="F102" s="106"/>
      <c r="G102" s="99" t="str">
        <f>IFERROR(IF(VLOOKUP(TableHandbook[[#This Row],[UDC]],TableAvailabilities[],2,FALSE)&gt;0,"Y",""),"")</f>
        <v/>
      </c>
      <c r="H102" s="99" t="str">
        <f>IFERROR(IF(VLOOKUP(TableHandbook[[#This Row],[UDC]],TableAvailabilities[],3,FALSE)&gt;0,"Y",""),"")</f>
        <v/>
      </c>
      <c r="I102" s="99" t="str">
        <f>IFERROR(IF(VLOOKUP(TableHandbook[[#This Row],[UDC]],TableAvailabilities[],4,FALSE)&gt;0,"Y",""),"")</f>
        <v/>
      </c>
      <c r="J102" s="99" t="str">
        <f>IFERROR(IF(VLOOKUP(TableHandbook[[#This Row],[UDC]],TableAvailabilities[],5,FALSE)&gt;0,"Y",""),"")</f>
        <v/>
      </c>
      <c r="K102" s="120"/>
      <c r="L102" s="102" t="str">
        <f>IFERROR(VLOOKUP(TableHandbook[[#This Row],[UDC]],TableBDESIGN[],7,FALSE),"")</f>
        <v/>
      </c>
      <c r="M102" s="121" t="str">
        <f>IFERROR(VLOOKUP(TableHandbook[[#This Row],[UDC]],TableMJRUADVDS[],7,FALSE),"")</f>
        <v/>
      </c>
      <c r="N102" s="102" t="str">
        <f>IFERROR(VLOOKUP(TableHandbook[[#This Row],[UDC]],TableMJRUANIGD[],7,FALSE),"")</f>
        <v/>
      </c>
      <c r="O102" s="102" t="str">
        <f>IFERROR(VLOOKUP(TableHandbook[[#This Row],[UDC]],TableMJRUDIGDE[],7,FALSE),"")</f>
        <v/>
      </c>
      <c r="P102" s="102" t="str">
        <f>IFERROR(VLOOKUP(TableHandbook[[#This Row],[UDC]],TableMJRUDINFB[],7,FALSE),"")</f>
        <v/>
      </c>
      <c r="Q102" s="102" t="str">
        <f>IFERROR(VLOOKUP(TableHandbook[[#This Row],[UDC]],TableMJRUFASHN[],7,FALSE),"")</f>
        <v/>
      </c>
      <c r="R102" s="102" t="str">
        <f>IFERROR(VLOOKUP(TableHandbook[[#This Row],[UDC]],TableMJRUGRPDS[],7,FALSE),"")</f>
        <v/>
      </c>
      <c r="S102" s="102" t="str">
        <f>IFERROR(VLOOKUP(TableHandbook[[#This Row],[UDC]],TableMJRUPHOTO[],7,FALSE),"")</f>
        <v/>
      </c>
      <c r="T102" s="121" t="str">
        <f>IFERROR(VLOOKUP(TableHandbook[[#This Row],[UDC]],TableSPUCANIGD[],7,FALSE),"")</f>
        <v/>
      </c>
      <c r="U102" s="102" t="str">
        <f>IFERROR(VLOOKUP(TableHandbook[[#This Row],[UDC]],TableSPUCCADES[],7,FALSE),"")</f>
        <v/>
      </c>
      <c r="V102" s="102" t="str">
        <f>IFERROR(VLOOKUP(TableHandbook[[#This Row],[UDC]],TableSPUCDIGDE[],7,FALSE),"")</f>
        <v/>
      </c>
      <c r="W102" s="102" t="str">
        <f>IFERROR(VLOOKUP(TableHandbook[[#This Row],[UDC]],TableSPUCFASHN[],7,FALSE),"")</f>
        <v/>
      </c>
      <c r="X102" s="102" t="str">
        <f>IFERROR(VLOOKUP(TableHandbook[[#This Row],[UDC]],TableSPUCFSHMK[],7,FALSE),"")</f>
        <v/>
      </c>
      <c r="Y102" s="102" t="str">
        <f>IFERROR(VLOOKUP(TableHandbook[[#This Row],[UDC]],TableSPUCGRPDS[],7,FALSE),"")</f>
        <v/>
      </c>
      <c r="Z102" s="102" t="str">
        <f>IFERROR(VLOOKUP(TableHandbook[[#This Row],[UDC]],TableSPUCILLUS[],7,FALSE),"")</f>
        <v/>
      </c>
      <c r="AA102" s="102" t="str">
        <f>IFERROR(VLOOKUP(TableHandbook[[#This Row],[UDC]],TableSPUCPHOTO[],7,FALSE),"")</f>
        <v/>
      </c>
    </row>
    <row r="103" spans="1:27" x14ac:dyDescent="0.25">
      <c r="A103" t="s">
        <v>72</v>
      </c>
      <c r="B103" s="2">
        <v>0</v>
      </c>
      <c r="D103" t="s">
        <v>383</v>
      </c>
      <c r="E103" s="2">
        <v>25</v>
      </c>
      <c r="F103" s="106" t="s">
        <v>284</v>
      </c>
      <c r="G103" s="99" t="str">
        <f>IFERROR(IF(VLOOKUP(TableHandbook[[#This Row],[UDC]],TableAvailabilities[],2,FALSE)&gt;0,"Y",""),"")</f>
        <v/>
      </c>
      <c r="H103" s="99" t="str">
        <f>IFERROR(IF(VLOOKUP(TableHandbook[[#This Row],[UDC]],TableAvailabilities[],3,FALSE)&gt;0,"Y",""),"")</f>
        <v/>
      </c>
      <c r="I103" s="99" t="str">
        <f>IFERROR(IF(VLOOKUP(TableHandbook[[#This Row],[UDC]],TableAvailabilities[],4,FALSE)&gt;0,"Y",""),"")</f>
        <v/>
      </c>
      <c r="J103" s="99" t="str">
        <f>IFERROR(IF(VLOOKUP(TableHandbook[[#This Row],[UDC]],TableAvailabilities[],5,FALSE)&gt;0,"Y",""),"")</f>
        <v/>
      </c>
      <c r="K103" s="120"/>
      <c r="L103" s="102" t="str">
        <f>IFERROR(VLOOKUP(TableHandbook[[#This Row],[UDC]],TableBDESIGN[],7,FALSE),"")</f>
        <v/>
      </c>
      <c r="M103" s="121" t="str">
        <f>IFERROR(VLOOKUP(TableHandbook[[#This Row],[UDC]],TableMJRUADVDS[],7,FALSE),"")</f>
        <v/>
      </c>
      <c r="N103" s="102" t="str">
        <f>IFERROR(VLOOKUP(TableHandbook[[#This Row],[UDC]],TableMJRUANIGD[],7,FALSE),"")</f>
        <v/>
      </c>
      <c r="O103" s="102" t="str">
        <f>IFERROR(VLOOKUP(TableHandbook[[#This Row],[UDC]],TableMJRUDIGDE[],7,FALSE),"")</f>
        <v/>
      </c>
      <c r="P103" s="102" t="str">
        <f>IFERROR(VLOOKUP(TableHandbook[[#This Row],[UDC]],TableMJRUDINFB[],7,FALSE),"")</f>
        <v/>
      </c>
      <c r="Q103" s="102" t="str">
        <f>IFERROR(VLOOKUP(TableHandbook[[#This Row],[UDC]],TableMJRUFASHN[],7,FALSE),"")</f>
        <v/>
      </c>
      <c r="R103" s="102" t="str">
        <f>IFERROR(VLOOKUP(TableHandbook[[#This Row],[UDC]],TableMJRUGRPDS[],7,FALSE),"")</f>
        <v/>
      </c>
      <c r="S103" s="102" t="str">
        <f>IFERROR(VLOOKUP(TableHandbook[[#This Row],[UDC]],TableMJRUPHOTO[],7,FALSE),"")</f>
        <v/>
      </c>
      <c r="T103" s="121" t="str">
        <f>IFERROR(VLOOKUP(TableHandbook[[#This Row],[UDC]],TableSPUCANIGD[],7,FALSE),"")</f>
        <v/>
      </c>
      <c r="U103" s="102" t="str">
        <f>IFERROR(VLOOKUP(TableHandbook[[#This Row],[UDC]],TableSPUCCADES[],7,FALSE),"")</f>
        <v/>
      </c>
      <c r="V103" s="102" t="str">
        <f>IFERROR(VLOOKUP(TableHandbook[[#This Row],[UDC]],TableSPUCDIGDE[],7,FALSE),"")</f>
        <v/>
      </c>
      <c r="W103" s="102" t="str">
        <f>IFERROR(VLOOKUP(TableHandbook[[#This Row],[UDC]],TableSPUCFASHN[],7,FALSE),"")</f>
        <v/>
      </c>
      <c r="X103" s="102" t="str">
        <f>IFERROR(VLOOKUP(TableHandbook[[#This Row],[UDC]],TableSPUCFSHMK[],7,FALSE),"")</f>
        <v/>
      </c>
      <c r="Y103" s="102" t="str">
        <f>IFERROR(VLOOKUP(TableHandbook[[#This Row],[UDC]],TableSPUCGRPDS[],7,FALSE),"")</f>
        <v/>
      </c>
      <c r="Z103" s="102" t="str">
        <f>IFERROR(VLOOKUP(TableHandbook[[#This Row],[UDC]],TableSPUCILLUS[],7,FALSE),"")</f>
        <v/>
      </c>
      <c r="AA103" s="102" t="str">
        <f>IFERROR(VLOOKUP(TableHandbook[[#This Row],[UDC]],TableSPUCPHOTO[],7,FALSE),"")</f>
        <v/>
      </c>
    </row>
    <row r="104" spans="1:27" x14ac:dyDescent="0.25">
      <c r="A104" t="s">
        <v>163</v>
      </c>
      <c r="B104" s="2">
        <v>0</v>
      </c>
      <c r="D104" t="s">
        <v>384</v>
      </c>
      <c r="E104" s="2">
        <v>25</v>
      </c>
      <c r="F104" s="106" t="s">
        <v>284</v>
      </c>
      <c r="G104" s="99" t="str">
        <f>IFERROR(IF(VLOOKUP(TableHandbook[[#This Row],[UDC]],TableAvailabilities[],2,FALSE)&gt;0,"Y",""),"")</f>
        <v/>
      </c>
      <c r="H104" s="99" t="str">
        <f>IFERROR(IF(VLOOKUP(TableHandbook[[#This Row],[UDC]],TableAvailabilities[],3,FALSE)&gt;0,"Y",""),"")</f>
        <v/>
      </c>
      <c r="I104" s="99" t="str">
        <f>IFERROR(IF(VLOOKUP(TableHandbook[[#This Row],[UDC]],TableAvailabilities[],4,FALSE)&gt;0,"Y",""),"")</f>
        <v/>
      </c>
      <c r="J104" s="99" t="str">
        <f>IFERROR(IF(VLOOKUP(TableHandbook[[#This Row],[UDC]],TableAvailabilities[],5,FALSE)&gt;0,"Y",""),"")</f>
        <v/>
      </c>
      <c r="K104" s="120"/>
      <c r="L104" s="102" t="str">
        <f>IFERROR(VLOOKUP(TableHandbook[[#This Row],[UDC]],TableBDESIGN[],7,FALSE),"")</f>
        <v/>
      </c>
      <c r="M104" s="121" t="str">
        <f>IFERROR(VLOOKUP(TableHandbook[[#This Row],[UDC]],TableMJRUADVDS[],7,FALSE),"")</f>
        <v/>
      </c>
      <c r="N104" s="102" t="str">
        <f>IFERROR(VLOOKUP(TableHandbook[[#This Row],[UDC]],TableMJRUANIGD[],7,FALSE),"")</f>
        <v/>
      </c>
      <c r="O104" s="102" t="str">
        <f>IFERROR(VLOOKUP(TableHandbook[[#This Row],[UDC]],TableMJRUDIGDE[],7,FALSE),"")</f>
        <v/>
      </c>
      <c r="P104" s="102" t="str">
        <f>IFERROR(VLOOKUP(TableHandbook[[#This Row],[UDC]],TableMJRUDINFB[],7,FALSE),"")</f>
        <v/>
      </c>
      <c r="Q104" s="102" t="str">
        <f>IFERROR(VLOOKUP(TableHandbook[[#This Row],[UDC]],TableMJRUFASHN[],7,FALSE),"")</f>
        <v/>
      </c>
      <c r="R104" s="102" t="str">
        <f>IFERROR(VLOOKUP(TableHandbook[[#This Row],[UDC]],TableMJRUGRPDS[],7,FALSE),"")</f>
        <v/>
      </c>
      <c r="S104" s="102" t="str">
        <f>IFERROR(VLOOKUP(TableHandbook[[#This Row],[UDC]],TableMJRUPHOTO[],7,FALSE),"")</f>
        <v/>
      </c>
      <c r="T104" s="121" t="str">
        <f>IFERROR(VLOOKUP(TableHandbook[[#This Row],[UDC]],TableSPUCANIGD[],7,FALSE),"")</f>
        <v/>
      </c>
      <c r="U104" s="102" t="str">
        <f>IFERROR(VLOOKUP(TableHandbook[[#This Row],[UDC]],TableSPUCCADES[],7,FALSE),"")</f>
        <v/>
      </c>
      <c r="V104" s="102" t="str">
        <f>IFERROR(VLOOKUP(TableHandbook[[#This Row],[UDC]],TableSPUCDIGDE[],7,FALSE),"")</f>
        <v/>
      </c>
      <c r="W104" s="102" t="str">
        <f>IFERROR(VLOOKUP(TableHandbook[[#This Row],[UDC]],TableSPUCFASHN[],7,FALSE),"")</f>
        <v/>
      </c>
      <c r="X104" s="102" t="str">
        <f>IFERROR(VLOOKUP(TableHandbook[[#This Row],[UDC]],TableSPUCFSHMK[],7,FALSE),"")</f>
        <v/>
      </c>
      <c r="Y104" s="102" t="str">
        <f>IFERROR(VLOOKUP(TableHandbook[[#This Row],[UDC]],TableSPUCGRPDS[],7,FALSE),"")</f>
        <v/>
      </c>
      <c r="Z104" s="102" t="str">
        <f>IFERROR(VLOOKUP(TableHandbook[[#This Row],[UDC]],TableSPUCILLUS[],7,FALSE),"")</f>
        <v/>
      </c>
      <c r="AA104" s="102" t="str">
        <f>IFERROR(VLOOKUP(TableHandbook[[#This Row],[UDC]],TableSPUCPHOTO[],7,FALSE),"")</f>
        <v/>
      </c>
    </row>
    <row r="105" spans="1:27" x14ac:dyDescent="0.25">
      <c r="A105" t="s">
        <v>102</v>
      </c>
      <c r="D105" t="s">
        <v>385</v>
      </c>
      <c r="E105" s="2">
        <v>25</v>
      </c>
      <c r="F105" s="106" t="s">
        <v>361</v>
      </c>
      <c r="G105" s="99" t="str">
        <f>IFERROR(IF(VLOOKUP(TableHandbook[[#This Row],[UDC]],TableAvailabilities[],2,FALSE)&gt;0,"Y",""),"")</f>
        <v/>
      </c>
      <c r="H105" s="99" t="str">
        <f>IFERROR(IF(VLOOKUP(TableHandbook[[#This Row],[UDC]],TableAvailabilities[],3,FALSE)&gt;0,"Y",""),"")</f>
        <v/>
      </c>
      <c r="I105" s="99" t="str">
        <f>IFERROR(IF(VLOOKUP(TableHandbook[[#This Row],[UDC]],TableAvailabilities[],4,FALSE)&gt;0,"Y",""),"")</f>
        <v/>
      </c>
      <c r="J105" s="99" t="str">
        <f>IFERROR(IF(VLOOKUP(TableHandbook[[#This Row],[UDC]],TableAvailabilities[],5,FALSE)&gt;0,"Y",""),"")</f>
        <v/>
      </c>
      <c r="K105" s="120"/>
      <c r="L105" s="102" t="str">
        <f>IFERROR(VLOOKUP(TableHandbook[[#This Row],[UDC]],TableBDESIGN[],7,FALSE),"")</f>
        <v/>
      </c>
      <c r="M105" s="121" t="str">
        <f>IFERROR(VLOOKUP(TableHandbook[[#This Row],[UDC]],TableMJRUADVDS[],7,FALSE),"")</f>
        <v/>
      </c>
      <c r="N105" s="102" t="str">
        <f>IFERROR(VLOOKUP(TableHandbook[[#This Row],[UDC]],TableMJRUANIGD[],7,FALSE),"")</f>
        <v/>
      </c>
      <c r="O105" s="102" t="str">
        <f>IFERROR(VLOOKUP(TableHandbook[[#This Row],[UDC]],TableMJRUDIGDE[],7,FALSE),"")</f>
        <v/>
      </c>
      <c r="P105" s="102" t="str">
        <f>IFERROR(VLOOKUP(TableHandbook[[#This Row],[UDC]],TableMJRUDINFB[],7,FALSE),"")</f>
        <v/>
      </c>
      <c r="Q105" s="102" t="str">
        <f>IFERROR(VLOOKUP(TableHandbook[[#This Row],[UDC]],TableMJRUFASHN[],7,FALSE),"")</f>
        <v/>
      </c>
      <c r="R105" s="102" t="str">
        <f>IFERROR(VLOOKUP(TableHandbook[[#This Row],[UDC]],TableMJRUGRPDS[],7,FALSE),"")</f>
        <v/>
      </c>
      <c r="S105" s="102" t="str">
        <f>IFERROR(VLOOKUP(TableHandbook[[#This Row],[UDC]],TableMJRUPHOTO[],7,FALSE),"")</f>
        <v/>
      </c>
      <c r="T105" s="121" t="str">
        <f>IFERROR(VLOOKUP(TableHandbook[[#This Row],[UDC]],TableSPUCANIGD[],7,FALSE),"")</f>
        <v/>
      </c>
      <c r="U105" s="102" t="str">
        <f>IFERROR(VLOOKUP(TableHandbook[[#This Row],[UDC]],TableSPUCCADES[],7,FALSE),"")</f>
        <v/>
      </c>
      <c r="V105" s="102" t="str">
        <f>IFERROR(VLOOKUP(TableHandbook[[#This Row],[UDC]],TableSPUCDIGDE[],7,FALSE),"")</f>
        <v/>
      </c>
      <c r="W105" s="102" t="str">
        <f>IFERROR(VLOOKUP(TableHandbook[[#This Row],[UDC]],TableSPUCFASHN[],7,FALSE),"")</f>
        <v/>
      </c>
      <c r="X105" s="102" t="str">
        <f>IFERROR(VLOOKUP(TableHandbook[[#This Row],[UDC]],TableSPUCFSHMK[],7,FALSE),"")</f>
        <v/>
      </c>
      <c r="Y105" s="102" t="str">
        <f>IFERROR(VLOOKUP(TableHandbook[[#This Row],[UDC]],TableSPUCGRPDS[],7,FALSE),"")</f>
        <v/>
      </c>
      <c r="Z105" s="102" t="str">
        <f>IFERROR(VLOOKUP(TableHandbook[[#This Row],[UDC]],TableSPUCILLUS[],7,FALSE),"")</f>
        <v/>
      </c>
      <c r="AA105" s="102" t="str">
        <f>IFERROR(VLOOKUP(TableHandbook[[#This Row],[UDC]],TableSPUCPHOTO[],7,FALSE),"")</f>
        <v/>
      </c>
    </row>
    <row r="106" spans="1:27" x14ac:dyDescent="0.25">
      <c r="A106" t="s">
        <v>80</v>
      </c>
      <c r="D106" t="s">
        <v>489</v>
      </c>
      <c r="E106" s="2">
        <v>25</v>
      </c>
      <c r="F106" s="106" t="s">
        <v>386</v>
      </c>
      <c r="G106" s="99" t="str">
        <f>IFERROR(IF(VLOOKUP(TableHandbook[[#This Row],[UDC]],TableAvailabilities[],2,FALSE)&gt;0,"Y",""),"")</f>
        <v/>
      </c>
      <c r="H106" s="99" t="str">
        <f>IFERROR(IF(VLOOKUP(TableHandbook[[#This Row],[UDC]],TableAvailabilities[],3,FALSE)&gt;0,"Y",""),"")</f>
        <v/>
      </c>
      <c r="I106" s="99" t="str">
        <f>IFERROR(IF(VLOOKUP(TableHandbook[[#This Row],[UDC]],TableAvailabilities[],4,FALSE)&gt;0,"Y",""),"")</f>
        <v/>
      </c>
      <c r="J106" s="99" t="str">
        <f>IFERROR(IF(VLOOKUP(TableHandbook[[#This Row],[UDC]],TableAvailabilities[],5,FALSE)&gt;0,"Y",""),"")</f>
        <v/>
      </c>
      <c r="K106" s="120"/>
      <c r="L106" s="102" t="str">
        <f>IFERROR(VLOOKUP(TableHandbook[[#This Row],[UDC]],TableBDESIGN[],7,FALSE),"")</f>
        <v/>
      </c>
      <c r="M106" s="121" t="str">
        <f>IFERROR(VLOOKUP(TableHandbook[[#This Row],[UDC]],TableMJRUADVDS[],7,FALSE),"")</f>
        <v/>
      </c>
      <c r="N106" s="102" t="str">
        <f>IFERROR(VLOOKUP(TableHandbook[[#This Row],[UDC]],TableMJRUANIGD[],7,FALSE),"")</f>
        <v/>
      </c>
      <c r="O106" s="102" t="str">
        <f>IFERROR(VLOOKUP(TableHandbook[[#This Row],[UDC]],TableMJRUDIGDE[],7,FALSE),"")</f>
        <v/>
      </c>
      <c r="P106" s="102" t="str">
        <f>IFERROR(VLOOKUP(TableHandbook[[#This Row],[UDC]],TableMJRUDINFB[],7,FALSE),"")</f>
        <v/>
      </c>
      <c r="Q106" s="102" t="str">
        <f>IFERROR(VLOOKUP(TableHandbook[[#This Row],[UDC]],TableMJRUFASHN[],7,FALSE),"")</f>
        <v/>
      </c>
      <c r="R106" s="102" t="str">
        <f>IFERROR(VLOOKUP(TableHandbook[[#This Row],[UDC]],TableMJRUGRPDS[],7,FALSE),"")</f>
        <v/>
      </c>
      <c r="S106" s="102" t="str">
        <f>IFERROR(VLOOKUP(TableHandbook[[#This Row],[UDC]],TableMJRUPHOTO[],7,FALSE),"")</f>
        <v/>
      </c>
      <c r="T106" s="121" t="str">
        <f>IFERROR(VLOOKUP(TableHandbook[[#This Row],[UDC]],TableSPUCANIGD[],7,FALSE),"")</f>
        <v/>
      </c>
      <c r="U106" s="102" t="str">
        <f>IFERROR(VLOOKUP(TableHandbook[[#This Row],[UDC]],TableSPUCCADES[],7,FALSE),"")</f>
        <v/>
      </c>
      <c r="V106" s="102" t="str">
        <f>IFERROR(VLOOKUP(TableHandbook[[#This Row],[UDC]],TableSPUCDIGDE[],7,FALSE),"")</f>
        <v/>
      </c>
      <c r="W106" s="102" t="str">
        <f>IFERROR(VLOOKUP(TableHandbook[[#This Row],[UDC]],TableSPUCFASHN[],7,FALSE),"")</f>
        <v/>
      </c>
      <c r="X106" s="102" t="str">
        <f>IFERROR(VLOOKUP(TableHandbook[[#This Row],[UDC]],TableSPUCFSHMK[],7,FALSE),"")</f>
        <v/>
      </c>
      <c r="Y106" s="102" t="str">
        <f>IFERROR(VLOOKUP(TableHandbook[[#This Row],[UDC]],TableSPUCGRPDS[],7,FALSE),"")</f>
        <v/>
      </c>
      <c r="Z106" s="102" t="str">
        <f>IFERROR(VLOOKUP(TableHandbook[[#This Row],[UDC]],TableSPUCILLUS[],7,FALSE),"")</f>
        <v/>
      </c>
      <c r="AA106" s="102" t="str">
        <f>IFERROR(VLOOKUP(TableHandbook[[#This Row],[UDC]],TableSPUCPHOTO[],7,FALSE),"")</f>
        <v/>
      </c>
    </row>
    <row r="107" spans="1:27" x14ac:dyDescent="0.25">
      <c r="A107" t="s">
        <v>387</v>
      </c>
      <c r="B107" s="2">
        <v>0</v>
      </c>
      <c r="D107" t="s">
        <v>388</v>
      </c>
      <c r="E107" s="2">
        <v>100</v>
      </c>
      <c r="F107" s="106" t="s">
        <v>373</v>
      </c>
      <c r="G107" s="99" t="str">
        <f>IFERROR(IF(VLOOKUP(TableHandbook[[#This Row],[UDC]],TableAvailabilities[],2,FALSE)&gt;0,"Y",""),"")</f>
        <v/>
      </c>
      <c r="H107" s="99" t="str">
        <f>IFERROR(IF(VLOOKUP(TableHandbook[[#This Row],[UDC]],TableAvailabilities[],3,FALSE)&gt;0,"Y",""),"")</f>
        <v/>
      </c>
      <c r="I107" s="99" t="str">
        <f>IFERROR(IF(VLOOKUP(TableHandbook[[#This Row],[UDC]],TableAvailabilities[],4,FALSE)&gt;0,"Y",""),"")</f>
        <v/>
      </c>
      <c r="J107" s="99" t="str">
        <f>IFERROR(IF(VLOOKUP(TableHandbook[[#This Row],[UDC]],TableAvailabilities[],5,FALSE)&gt;0,"Y",""),"")</f>
        <v/>
      </c>
      <c r="K107" s="120"/>
      <c r="L107" s="102" t="str">
        <f>IFERROR(VLOOKUP(TableHandbook[[#This Row],[UDC]],TableBDESIGN[],7,FALSE),"")</f>
        <v>AltCore</v>
      </c>
      <c r="M107" s="121" t="str">
        <f>IFERROR(VLOOKUP(TableHandbook[[#This Row],[UDC]],TableMJRUADVDS[],7,FALSE),"")</f>
        <v/>
      </c>
      <c r="N107" s="102" t="str">
        <f>IFERROR(VLOOKUP(TableHandbook[[#This Row],[UDC]],TableMJRUANIGD[],7,FALSE),"")</f>
        <v/>
      </c>
      <c r="O107" s="102" t="str">
        <f>IFERROR(VLOOKUP(TableHandbook[[#This Row],[UDC]],TableMJRUDIGDE[],7,FALSE),"")</f>
        <v/>
      </c>
      <c r="P107" s="102" t="str">
        <f>IFERROR(VLOOKUP(TableHandbook[[#This Row],[UDC]],TableMJRUDINFB[],7,FALSE),"")</f>
        <v/>
      </c>
      <c r="Q107" s="102" t="str">
        <f>IFERROR(VLOOKUP(TableHandbook[[#This Row],[UDC]],TableMJRUFASHN[],7,FALSE),"")</f>
        <v/>
      </c>
      <c r="R107" s="102" t="str">
        <f>IFERROR(VLOOKUP(TableHandbook[[#This Row],[UDC]],TableMJRUGRPDS[],7,FALSE),"")</f>
        <v/>
      </c>
      <c r="S107" s="102" t="str">
        <f>IFERROR(VLOOKUP(TableHandbook[[#This Row],[UDC]],TableMJRUPHOTO[],7,FALSE),"")</f>
        <v/>
      </c>
      <c r="T107" s="121" t="str">
        <f>IFERROR(VLOOKUP(TableHandbook[[#This Row],[UDC]],TableSPUCANIGD[],7,FALSE),"")</f>
        <v/>
      </c>
      <c r="U107" s="102" t="str">
        <f>IFERROR(VLOOKUP(TableHandbook[[#This Row],[UDC]],TableSPUCCADES[],7,FALSE),"")</f>
        <v/>
      </c>
      <c r="V107" s="102" t="str">
        <f>IFERROR(VLOOKUP(TableHandbook[[#This Row],[UDC]],TableSPUCDIGDE[],7,FALSE),"")</f>
        <v/>
      </c>
      <c r="W107" s="102" t="str">
        <f>IFERROR(VLOOKUP(TableHandbook[[#This Row],[UDC]],TableSPUCFASHN[],7,FALSE),"")</f>
        <v/>
      </c>
      <c r="X107" s="102" t="str">
        <f>IFERROR(VLOOKUP(TableHandbook[[#This Row],[UDC]],TableSPUCFSHMK[],7,FALSE),"")</f>
        <v/>
      </c>
      <c r="Y107" s="102" t="str">
        <f>IFERROR(VLOOKUP(TableHandbook[[#This Row],[UDC]],TableSPUCGRPDS[],7,FALSE),"")</f>
        <v/>
      </c>
      <c r="Z107" s="102" t="str">
        <f>IFERROR(VLOOKUP(TableHandbook[[#This Row],[UDC]],TableSPUCILLUS[],7,FALSE),"")</f>
        <v/>
      </c>
      <c r="AA107" s="102" t="str">
        <f>IFERROR(VLOOKUP(TableHandbook[[#This Row],[UDC]],TableSPUCPHOTO[],7,FALSE),"")</f>
        <v/>
      </c>
    </row>
    <row r="108" spans="1:27" x14ac:dyDescent="0.25">
      <c r="A108" t="s">
        <v>181</v>
      </c>
      <c r="B108" s="2">
        <v>2</v>
      </c>
      <c r="D108" t="s">
        <v>73</v>
      </c>
      <c r="E108" s="2">
        <v>100</v>
      </c>
      <c r="F108" s="106" t="s">
        <v>373</v>
      </c>
      <c r="G108" s="99" t="str">
        <f>IFERROR(IF(VLOOKUP(TableHandbook[[#This Row],[UDC]],TableAvailabilities[],2,FALSE)&gt;0,"Y",""),"")</f>
        <v/>
      </c>
      <c r="H108" s="99" t="str">
        <f>IFERROR(IF(VLOOKUP(TableHandbook[[#This Row],[UDC]],TableAvailabilities[],3,FALSE)&gt;0,"Y",""),"")</f>
        <v/>
      </c>
      <c r="I108" s="99" t="str">
        <f>IFERROR(IF(VLOOKUP(TableHandbook[[#This Row],[UDC]],TableAvailabilities[],4,FALSE)&gt;0,"Y",""),"")</f>
        <v/>
      </c>
      <c r="J108" s="99" t="str">
        <f>IFERROR(IF(VLOOKUP(TableHandbook[[#This Row],[UDC]],TableAvailabilities[],5,FALSE)&gt;0,"Y",""),"")</f>
        <v/>
      </c>
      <c r="K108" s="120"/>
      <c r="L108" s="102" t="str">
        <f>IFERROR(VLOOKUP(TableHandbook[[#This Row],[UDC]],TableBDESIGN[],7,FALSE),"")</f>
        <v>AltCore</v>
      </c>
      <c r="M108" s="121" t="str">
        <f>IFERROR(VLOOKUP(TableHandbook[[#This Row],[UDC]],TableMJRUADVDS[],7,FALSE),"")</f>
        <v/>
      </c>
      <c r="N108" s="102" t="str">
        <f>IFERROR(VLOOKUP(TableHandbook[[#This Row],[UDC]],TableMJRUANIGD[],7,FALSE),"")</f>
        <v/>
      </c>
      <c r="O108" s="102" t="str">
        <f>IFERROR(VLOOKUP(TableHandbook[[#This Row],[UDC]],TableMJRUDIGDE[],7,FALSE),"")</f>
        <v/>
      </c>
      <c r="P108" s="102" t="str">
        <f>IFERROR(VLOOKUP(TableHandbook[[#This Row],[UDC]],TableMJRUDINFB[],7,FALSE),"")</f>
        <v/>
      </c>
      <c r="Q108" s="102" t="str">
        <f>IFERROR(VLOOKUP(TableHandbook[[#This Row],[UDC]],TableMJRUFASHN[],7,FALSE),"")</f>
        <v/>
      </c>
      <c r="R108" s="102" t="str">
        <f>IFERROR(VLOOKUP(TableHandbook[[#This Row],[UDC]],TableMJRUGRPDS[],7,FALSE),"")</f>
        <v/>
      </c>
      <c r="S108" s="102" t="str">
        <f>IFERROR(VLOOKUP(TableHandbook[[#This Row],[UDC]],TableMJRUPHOTO[],7,FALSE),"")</f>
        <v/>
      </c>
      <c r="T108" s="121" t="str">
        <f>IFERROR(VLOOKUP(TableHandbook[[#This Row],[UDC]],TableSPUCANIGD[],7,FALSE),"")</f>
        <v/>
      </c>
      <c r="U108" s="102" t="str">
        <f>IFERROR(VLOOKUP(TableHandbook[[#This Row],[UDC]],TableSPUCCADES[],7,FALSE),"")</f>
        <v/>
      </c>
      <c r="V108" s="102" t="str">
        <f>IFERROR(VLOOKUP(TableHandbook[[#This Row],[UDC]],TableSPUCDIGDE[],7,FALSE),"")</f>
        <v/>
      </c>
      <c r="W108" s="102" t="str">
        <f>IFERROR(VLOOKUP(TableHandbook[[#This Row],[UDC]],TableSPUCFASHN[],7,FALSE),"")</f>
        <v/>
      </c>
      <c r="X108" s="102" t="str">
        <f>IFERROR(VLOOKUP(TableHandbook[[#This Row],[UDC]],TableSPUCFSHMK[],7,FALSE),"")</f>
        <v/>
      </c>
      <c r="Y108" s="102" t="str">
        <f>IFERROR(VLOOKUP(TableHandbook[[#This Row],[UDC]],TableSPUCGRPDS[],7,FALSE),"")</f>
        <v/>
      </c>
      <c r="Z108" s="102" t="str">
        <f>IFERROR(VLOOKUP(TableHandbook[[#This Row],[UDC]],TableSPUCILLUS[],7,FALSE),"")</f>
        <v/>
      </c>
      <c r="AA108" s="102" t="str">
        <f>IFERROR(VLOOKUP(TableHandbook[[#This Row],[UDC]],TableSPUCPHOTO[],7,FALSE),"")</f>
        <v/>
      </c>
    </row>
    <row r="109" spans="1:27" x14ac:dyDescent="0.25">
      <c r="A109" t="s">
        <v>183</v>
      </c>
      <c r="B109" s="2">
        <v>2</v>
      </c>
      <c r="D109" t="s">
        <v>132</v>
      </c>
      <c r="E109" s="2">
        <v>100</v>
      </c>
      <c r="F109" s="106" t="s">
        <v>373</v>
      </c>
      <c r="G109" s="99" t="str">
        <f>IFERROR(IF(VLOOKUP(TableHandbook[[#This Row],[UDC]],TableAvailabilities[],2,FALSE)&gt;0,"Y",""),"")</f>
        <v/>
      </c>
      <c r="H109" s="99" t="str">
        <f>IFERROR(IF(VLOOKUP(TableHandbook[[#This Row],[UDC]],TableAvailabilities[],3,FALSE)&gt;0,"Y",""),"")</f>
        <v/>
      </c>
      <c r="I109" s="99" t="str">
        <f>IFERROR(IF(VLOOKUP(TableHandbook[[#This Row],[UDC]],TableAvailabilities[],4,FALSE)&gt;0,"Y",""),"")</f>
        <v/>
      </c>
      <c r="J109" s="99" t="str">
        <f>IFERROR(IF(VLOOKUP(TableHandbook[[#This Row],[UDC]],TableAvailabilities[],5,FALSE)&gt;0,"Y",""),"")</f>
        <v/>
      </c>
      <c r="K109" s="120"/>
      <c r="L109" s="102" t="str">
        <f>IFERROR(VLOOKUP(TableHandbook[[#This Row],[UDC]],TableBDESIGN[],7,FALSE),"")</f>
        <v>AltCore</v>
      </c>
      <c r="M109" s="121" t="str">
        <f>IFERROR(VLOOKUP(TableHandbook[[#This Row],[UDC]],TableMJRUADVDS[],7,FALSE),"")</f>
        <v/>
      </c>
      <c r="N109" s="102" t="str">
        <f>IFERROR(VLOOKUP(TableHandbook[[#This Row],[UDC]],TableMJRUANIGD[],7,FALSE),"")</f>
        <v/>
      </c>
      <c r="O109" s="102" t="str">
        <f>IFERROR(VLOOKUP(TableHandbook[[#This Row],[UDC]],TableMJRUDIGDE[],7,FALSE),"")</f>
        <v/>
      </c>
      <c r="P109" s="102" t="str">
        <f>IFERROR(VLOOKUP(TableHandbook[[#This Row],[UDC]],TableMJRUDINFB[],7,FALSE),"")</f>
        <v/>
      </c>
      <c r="Q109" s="102" t="str">
        <f>IFERROR(VLOOKUP(TableHandbook[[#This Row],[UDC]],TableMJRUFASHN[],7,FALSE),"")</f>
        <v/>
      </c>
      <c r="R109" s="102" t="str">
        <f>IFERROR(VLOOKUP(TableHandbook[[#This Row],[UDC]],TableMJRUGRPDS[],7,FALSE),"")</f>
        <v/>
      </c>
      <c r="S109" s="102" t="str">
        <f>IFERROR(VLOOKUP(TableHandbook[[#This Row],[UDC]],TableMJRUPHOTO[],7,FALSE),"")</f>
        <v/>
      </c>
      <c r="T109" s="121" t="str">
        <f>IFERROR(VLOOKUP(TableHandbook[[#This Row],[UDC]],TableSPUCANIGD[],7,FALSE),"")</f>
        <v/>
      </c>
      <c r="U109" s="102" t="str">
        <f>IFERROR(VLOOKUP(TableHandbook[[#This Row],[UDC]],TableSPUCCADES[],7,FALSE),"")</f>
        <v/>
      </c>
      <c r="V109" s="102" t="str">
        <f>IFERROR(VLOOKUP(TableHandbook[[#This Row],[UDC]],TableSPUCDIGDE[],7,FALSE),"")</f>
        <v/>
      </c>
      <c r="W109" s="102" t="str">
        <f>IFERROR(VLOOKUP(TableHandbook[[#This Row],[UDC]],TableSPUCFASHN[],7,FALSE),"")</f>
        <v/>
      </c>
      <c r="X109" s="102" t="str">
        <f>IFERROR(VLOOKUP(TableHandbook[[#This Row],[UDC]],TableSPUCFSHMK[],7,FALSE),"")</f>
        <v/>
      </c>
      <c r="Y109" s="102" t="str">
        <f>IFERROR(VLOOKUP(TableHandbook[[#This Row],[UDC]],TableSPUCGRPDS[],7,FALSE),"")</f>
        <v/>
      </c>
      <c r="Z109" s="102" t="str">
        <f>IFERROR(VLOOKUP(TableHandbook[[#This Row],[UDC]],TableSPUCILLUS[],7,FALSE),"")</f>
        <v/>
      </c>
      <c r="AA109" s="102" t="str">
        <f>IFERROR(VLOOKUP(TableHandbook[[#This Row],[UDC]],TableSPUCPHOTO[],7,FALSE),"")</f>
        <v/>
      </c>
    </row>
    <row r="110" spans="1:27" x14ac:dyDescent="0.25">
      <c r="A110" t="s">
        <v>185</v>
      </c>
      <c r="B110" s="2">
        <v>1</v>
      </c>
      <c r="D110" t="s">
        <v>76</v>
      </c>
      <c r="E110" s="2">
        <v>100</v>
      </c>
      <c r="F110" s="106" t="s">
        <v>373</v>
      </c>
      <c r="G110" s="99" t="str">
        <f>IFERROR(IF(VLOOKUP(TableHandbook[[#This Row],[UDC]],TableAvailabilities[],2,FALSE)&gt;0,"Y",""),"")</f>
        <v/>
      </c>
      <c r="H110" s="99" t="str">
        <f>IFERROR(IF(VLOOKUP(TableHandbook[[#This Row],[UDC]],TableAvailabilities[],3,FALSE)&gt;0,"Y",""),"")</f>
        <v/>
      </c>
      <c r="I110" s="99" t="str">
        <f>IFERROR(IF(VLOOKUP(TableHandbook[[#This Row],[UDC]],TableAvailabilities[],4,FALSE)&gt;0,"Y",""),"")</f>
        <v/>
      </c>
      <c r="J110" s="99" t="str">
        <f>IFERROR(IF(VLOOKUP(TableHandbook[[#This Row],[UDC]],TableAvailabilities[],5,FALSE)&gt;0,"Y",""),"")</f>
        <v/>
      </c>
      <c r="K110" s="120"/>
      <c r="L110" s="102" t="str">
        <f>IFERROR(VLOOKUP(TableHandbook[[#This Row],[UDC]],TableBDESIGN[],7,FALSE),"")</f>
        <v>AltCore</v>
      </c>
      <c r="M110" s="121" t="str">
        <f>IFERROR(VLOOKUP(TableHandbook[[#This Row],[UDC]],TableMJRUADVDS[],7,FALSE),"")</f>
        <v/>
      </c>
      <c r="N110" s="102" t="str">
        <f>IFERROR(VLOOKUP(TableHandbook[[#This Row],[UDC]],TableMJRUANIGD[],7,FALSE),"")</f>
        <v/>
      </c>
      <c r="O110" s="102" t="str">
        <f>IFERROR(VLOOKUP(TableHandbook[[#This Row],[UDC]],TableMJRUDIGDE[],7,FALSE),"")</f>
        <v/>
      </c>
      <c r="P110" s="102" t="str">
        <f>IFERROR(VLOOKUP(TableHandbook[[#This Row],[UDC]],TableMJRUDINFB[],7,FALSE),"")</f>
        <v/>
      </c>
      <c r="Q110" s="102" t="str">
        <f>IFERROR(VLOOKUP(TableHandbook[[#This Row],[UDC]],TableMJRUFASHN[],7,FALSE),"")</f>
        <v/>
      </c>
      <c r="R110" s="102" t="str">
        <f>IFERROR(VLOOKUP(TableHandbook[[#This Row],[UDC]],TableMJRUGRPDS[],7,FALSE),"")</f>
        <v/>
      </c>
      <c r="S110" s="102" t="str">
        <f>IFERROR(VLOOKUP(TableHandbook[[#This Row],[UDC]],TableMJRUPHOTO[],7,FALSE),"")</f>
        <v/>
      </c>
      <c r="T110" s="121" t="str">
        <f>IFERROR(VLOOKUP(TableHandbook[[#This Row],[UDC]],TableSPUCANIGD[],7,FALSE),"")</f>
        <v/>
      </c>
      <c r="U110" s="102" t="str">
        <f>IFERROR(VLOOKUP(TableHandbook[[#This Row],[UDC]],TableSPUCCADES[],7,FALSE),"")</f>
        <v/>
      </c>
      <c r="V110" s="102" t="str">
        <f>IFERROR(VLOOKUP(TableHandbook[[#This Row],[UDC]],TableSPUCDIGDE[],7,FALSE),"")</f>
        <v/>
      </c>
      <c r="W110" s="102" t="str">
        <f>IFERROR(VLOOKUP(TableHandbook[[#This Row],[UDC]],TableSPUCFASHN[],7,FALSE),"")</f>
        <v/>
      </c>
      <c r="X110" s="102" t="str">
        <f>IFERROR(VLOOKUP(TableHandbook[[#This Row],[UDC]],TableSPUCFSHMK[],7,FALSE),"")</f>
        <v/>
      </c>
      <c r="Y110" s="102" t="str">
        <f>IFERROR(VLOOKUP(TableHandbook[[#This Row],[UDC]],TableSPUCGRPDS[],7,FALSE),"")</f>
        <v/>
      </c>
      <c r="Z110" s="102" t="str">
        <f>IFERROR(VLOOKUP(TableHandbook[[#This Row],[UDC]],TableSPUCILLUS[],7,FALSE),"")</f>
        <v/>
      </c>
      <c r="AA110" s="102" t="str">
        <f>IFERROR(VLOOKUP(TableHandbook[[#This Row],[UDC]],TableSPUCPHOTO[],7,FALSE),"")</f>
        <v/>
      </c>
    </row>
    <row r="111" spans="1:27" x14ac:dyDescent="0.25">
      <c r="A111" t="s">
        <v>186</v>
      </c>
      <c r="B111" s="2">
        <v>1</v>
      </c>
      <c r="D111" t="s">
        <v>17</v>
      </c>
      <c r="E111" s="2">
        <v>100</v>
      </c>
      <c r="F111" s="106" t="s">
        <v>373</v>
      </c>
      <c r="G111" s="99" t="str">
        <f>IFERROR(IF(VLOOKUP(TableHandbook[[#This Row],[UDC]],TableAvailabilities[],2,FALSE)&gt;0,"Y",""),"")</f>
        <v/>
      </c>
      <c r="H111" s="99" t="str">
        <f>IFERROR(IF(VLOOKUP(TableHandbook[[#This Row],[UDC]],TableAvailabilities[],3,FALSE)&gt;0,"Y",""),"")</f>
        <v/>
      </c>
      <c r="I111" s="99" t="str">
        <f>IFERROR(IF(VLOOKUP(TableHandbook[[#This Row],[UDC]],TableAvailabilities[],4,FALSE)&gt;0,"Y",""),"")</f>
        <v/>
      </c>
      <c r="J111" s="99" t="str">
        <f>IFERROR(IF(VLOOKUP(TableHandbook[[#This Row],[UDC]],TableAvailabilities[],5,FALSE)&gt;0,"Y",""),"")</f>
        <v/>
      </c>
      <c r="K111" s="120"/>
      <c r="L111" s="102" t="str">
        <f>IFERROR(VLOOKUP(TableHandbook[[#This Row],[UDC]],TableBDESIGN[],7,FALSE),"")</f>
        <v>AltCore</v>
      </c>
      <c r="M111" s="121" t="str">
        <f>IFERROR(VLOOKUP(TableHandbook[[#This Row],[UDC]],TableMJRUADVDS[],7,FALSE),"")</f>
        <v/>
      </c>
      <c r="N111" s="102" t="str">
        <f>IFERROR(VLOOKUP(TableHandbook[[#This Row],[UDC]],TableMJRUANIGD[],7,FALSE),"")</f>
        <v/>
      </c>
      <c r="O111" s="102" t="str">
        <f>IFERROR(VLOOKUP(TableHandbook[[#This Row],[UDC]],TableMJRUDIGDE[],7,FALSE),"")</f>
        <v/>
      </c>
      <c r="P111" s="102" t="str">
        <f>IFERROR(VLOOKUP(TableHandbook[[#This Row],[UDC]],TableMJRUDINFB[],7,FALSE),"")</f>
        <v/>
      </c>
      <c r="Q111" s="102" t="str">
        <f>IFERROR(VLOOKUP(TableHandbook[[#This Row],[UDC]],TableMJRUFASHN[],7,FALSE),"")</f>
        <v/>
      </c>
      <c r="R111" s="102" t="str">
        <f>IFERROR(VLOOKUP(TableHandbook[[#This Row],[UDC]],TableMJRUGRPDS[],7,FALSE),"")</f>
        <v/>
      </c>
      <c r="S111" s="102" t="str">
        <f>IFERROR(VLOOKUP(TableHandbook[[#This Row],[UDC]],TableMJRUPHOTO[],7,FALSE),"")</f>
        <v/>
      </c>
      <c r="T111" s="121" t="str">
        <f>IFERROR(VLOOKUP(TableHandbook[[#This Row],[UDC]],TableSPUCANIGD[],7,FALSE),"")</f>
        <v/>
      </c>
      <c r="U111" s="102" t="str">
        <f>IFERROR(VLOOKUP(TableHandbook[[#This Row],[UDC]],TableSPUCCADES[],7,FALSE),"")</f>
        <v/>
      </c>
      <c r="V111" s="102" t="str">
        <f>IFERROR(VLOOKUP(TableHandbook[[#This Row],[UDC]],TableSPUCDIGDE[],7,FALSE),"")</f>
        <v/>
      </c>
      <c r="W111" s="102" t="str">
        <f>IFERROR(VLOOKUP(TableHandbook[[#This Row],[UDC]],TableSPUCFASHN[],7,FALSE),"")</f>
        <v/>
      </c>
      <c r="X111" s="102" t="str">
        <f>IFERROR(VLOOKUP(TableHandbook[[#This Row],[UDC]],TableSPUCFSHMK[],7,FALSE),"")</f>
        <v/>
      </c>
      <c r="Y111" s="102" t="str">
        <f>IFERROR(VLOOKUP(TableHandbook[[#This Row],[UDC]],TableSPUCGRPDS[],7,FALSE),"")</f>
        <v/>
      </c>
      <c r="Z111" s="102" t="str">
        <f>IFERROR(VLOOKUP(TableHandbook[[#This Row],[UDC]],TableSPUCILLUS[],7,FALSE),"")</f>
        <v/>
      </c>
      <c r="AA111" s="102" t="str">
        <f>IFERROR(VLOOKUP(TableHandbook[[#This Row],[UDC]],TableSPUCPHOTO[],7,FALSE),"")</f>
        <v/>
      </c>
    </row>
    <row r="112" spans="1:27" x14ac:dyDescent="0.25">
      <c r="A112" t="s">
        <v>187</v>
      </c>
      <c r="B112" s="2">
        <v>2</v>
      </c>
      <c r="D112" t="s">
        <v>92</v>
      </c>
      <c r="E112" s="2">
        <v>100</v>
      </c>
      <c r="F112" s="106"/>
      <c r="G112" s="99" t="str">
        <f>IFERROR(IF(VLOOKUP(TableHandbook[[#This Row],[UDC]],TableAvailabilities[],2,FALSE)&gt;0,"Y",""),"")</f>
        <v/>
      </c>
      <c r="H112" s="99" t="str">
        <f>IFERROR(IF(VLOOKUP(TableHandbook[[#This Row],[UDC]],TableAvailabilities[],3,FALSE)&gt;0,"Y",""),"")</f>
        <v/>
      </c>
      <c r="I112" s="99" t="str">
        <f>IFERROR(IF(VLOOKUP(TableHandbook[[#This Row],[UDC]],TableAvailabilities[],4,FALSE)&gt;0,"Y",""),"")</f>
        <v/>
      </c>
      <c r="J112" s="99" t="str">
        <f>IFERROR(IF(VLOOKUP(TableHandbook[[#This Row],[UDC]],TableAvailabilities[],5,FALSE)&gt;0,"Y",""),"")</f>
        <v/>
      </c>
      <c r="K112" s="120" t="s">
        <v>461</v>
      </c>
      <c r="L112" s="102" t="str">
        <f>IFERROR(VLOOKUP(TableHandbook[[#This Row],[UDC]],TableBDESIGN[],7,FALSE),"")</f>
        <v>AltCore</v>
      </c>
      <c r="M112" s="121" t="str">
        <f>IFERROR(VLOOKUP(TableHandbook[[#This Row],[UDC]],TableMJRUADVDS[],7,FALSE),"")</f>
        <v/>
      </c>
      <c r="N112" s="102" t="str">
        <f>IFERROR(VLOOKUP(TableHandbook[[#This Row],[UDC]],TableMJRUANIGD[],7,FALSE),"")</f>
        <v/>
      </c>
      <c r="O112" s="102" t="str">
        <f>IFERROR(VLOOKUP(TableHandbook[[#This Row],[UDC]],TableMJRUDIGDE[],7,FALSE),"")</f>
        <v/>
      </c>
      <c r="P112" s="102" t="str">
        <f>IFERROR(VLOOKUP(TableHandbook[[#This Row],[UDC]],TableMJRUDINFB[],7,FALSE),"")</f>
        <v/>
      </c>
      <c r="Q112" s="102" t="str">
        <f>IFERROR(VLOOKUP(TableHandbook[[#This Row],[UDC]],TableMJRUFASHN[],7,FALSE),"")</f>
        <v/>
      </c>
      <c r="R112" s="102" t="str">
        <f>IFERROR(VLOOKUP(TableHandbook[[#This Row],[UDC]],TableMJRUGRPDS[],7,FALSE),"")</f>
        <v/>
      </c>
      <c r="S112" s="102" t="str">
        <f>IFERROR(VLOOKUP(TableHandbook[[#This Row],[UDC]],TableMJRUPHOTO[],7,FALSE),"")</f>
        <v/>
      </c>
      <c r="T112" s="121" t="str">
        <f>IFERROR(VLOOKUP(TableHandbook[[#This Row],[UDC]],TableSPUCANIGD[],7,FALSE),"")</f>
        <v/>
      </c>
      <c r="U112" s="102" t="str">
        <f>IFERROR(VLOOKUP(TableHandbook[[#This Row],[UDC]],TableSPUCCADES[],7,FALSE),"")</f>
        <v/>
      </c>
      <c r="V112" s="102" t="str">
        <f>IFERROR(VLOOKUP(TableHandbook[[#This Row],[UDC]],TableSPUCDIGDE[],7,FALSE),"")</f>
        <v/>
      </c>
      <c r="W112" s="102" t="str">
        <f>IFERROR(VLOOKUP(TableHandbook[[#This Row],[UDC]],TableSPUCFASHN[],7,FALSE),"")</f>
        <v/>
      </c>
      <c r="X112" s="102" t="str">
        <f>IFERROR(VLOOKUP(TableHandbook[[#This Row],[UDC]],TableSPUCFSHMK[],7,FALSE),"")</f>
        <v/>
      </c>
      <c r="Y112" s="102" t="str">
        <f>IFERROR(VLOOKUP(TableHandbook[[#This Row],[UDC]],TableSPUCGRPDS[],7,FALSE),"")</f>
        <v/>
      </c>
      <c r="Z112" s="102" t="str">
        <f>IFERROR(VLOOKUP(TableHandbook[[#This Row],[UDC]],TableSPUCILLUS[],7,FALSE),"")</f>
        <v/>
      </c>
      <c r="AA112" s="102" t="str">
        <f>IFERROR(VLOOKUP(TableHandbook[[#This Row],[UDC]],TableSPUCPHOTO[],7,FALSE),"")</f>
        <v/>
      </c>
    </row>
    <row r="113" spans="1:27" x14ac:dyDescent="0.25">
      <c r="A113" t="s">
        <v>463</v>
      </c>
      <c r="B113" s="2">
        <v>1</v>
      </c>
      <c r="D113" t="s">
        <v>92</v>
      </c>
      <c r="E113" s="2">
        <v>100</v>
      </c>
      <c r="F113" s="106" t="s">
        <v>373</v>
      </c>
      <c r="G113" s="99" t="str">
        <f>IFERROR(IF(VLOOKUP(TableHandbook[[#This Row],[UDC]],TableAvailabilities[],2,FALSE)&gt;0,"Y",""),"")</f>
        <v/>
      </c>
      <c r="H113" s="99" t="str">
        <f>IFERROR(IF(VLOOKUP(TableHandbook[[#This Row],[UDC]],TableAvailabilities[],3,FALSE)&gt;0,"Y",""),"")</f>
        <v/>
      </c>
      <c r="I113" s="99" t="str">
        <f>IFERROR(IF(VLOOKUP(TableHandbook[[#This Row],[UDC]],TableAvailabilities[],4,FALSE)&gt;0,"Y",""),"")</f>
        <v/>
      </c>
      <c r="J113" s="99" t="str">
        <f>IFERROR(IF(VLOOKUP(TableHandbook[[#This Row],[UDC]],TableAvailabilities[],5,FALSE)&gt;0,"Y",""),"")</f>
        <v/>
      </c>
      <c r="K113" s="120" t="s">
        <v>306</v>
      </c>
      <c r="L113" s="102" t="str">
        <f>IFERROR(VLOOKUP(TableHandbook[[#This Row],[UDC]],TableBDESIGN[],7,FALSE),"")</f>
        <v/>
      </c>
      <c r="M113" s="121" t="str">
        <f>IFERROR(VLOOKUP(TableHandbook[[#This Row],[UDC]],TableMJRUADVDS[],7,FALSE),"")</f>
        <v/>
      </c>
      <c r="N113" s="102" t="str">
        <f>IFERROR(VLOOKUP(TableHandbook[[#This Row],[UDC]],TableMJRUANIGD[],7,FALSE),"")</f>
        <v/>
      </c>
      <c r="O113" s="102" t="str">
        <f>IFERROR(VLOOKUP(TableHandbook[[#This Row],[UDC]],TableMJRUDIGDE[],7,FALSE),"")</f>
        <v/>
      </c>
      <c r="P113" s="102" t="str">
        <f>IFERROR(VLOOKUP(TableHandbook[[#This Row],[UDC]],TableMJRUDINFB[],7,FALSE),"")</f>
        <v/>
      </c>
      <c r="Q113" s="102" t="str">
        <f>IFERROR(VLOOKUP(TableHandbook[[#This Row],[UDC]],TableMJRUFASHN[],7,FALSE),"")</f>
        <v/>
      </c>
      <c r="R113" s="102" t="str">
        <f>IFERROR(VLOOKUP(TableHandbook[[#This Row],[UDC]],TableMJRUGRPDS[],7,FALSE),"")</f>
        <v/>
      </c>
      <c r="S113" s="102" t="str">
        <f>IFERROR(VLOOKUP(TableHandbook[[#This Row],[UDC]],TableMJRUPHOTO[],7,FALSE),"")</f>
        <v/>
      </c>
      <c r="T113" s="121" t="str">
        <f>IFERROR(VLOOKUP(TableHandbook[[#This Row],[UDC]],TableSPUCANIGD[],7,FALSE),"")</f>
        <v/>
      </c>
      <c r="U113" s="102" t="str">
        <f>IFERROR(VLOOKUP(TableHandbook[[#This Row],[UDC]],TableSPUCCADES[],7,FALSE),"")</f>
        <v/>
      </c>
      <c r="V113" s="102" t="str">
        <f>IFERROR(VLOOKUP(TableHandbook[[#This Row],[UDC]],TableSPUCDIGDE[],7,FALSE),"")</f>
        <v/>
      </c>
      <c r="W113" s="102" t="str">
        <f>IFERROR(VLOOKUP(TableHandbook[[#This Row],[UDC]],TableSPUCFASHN[],7,FALSE),"")</f>
        <v/>
      </c>
      <c r="X113" s="102" t="str">
        <f>IFERROR(VLOOKUP(TableHandbook[[#This Row],[UDC]],TableSPUCFSHMK[],7,FALSE),"")</f>
        <v/>
      </c>
      <c r="Y113" s="102" t="str">
        <f>IFERROR(VLOOKUP(TableHandbook[[#This Row],[UDC]],TableSPUCGRPDS[],7,FALSE),"")</f>
        <v/>
      </c>
      <c r="Z113" s="102" t="str">
        <f>IFERROR(VLOOKUP(TableHandbook[[#This Row],[UDC]],TableSPUCILLUS[],7,FALSE),"")</f>
        <v/>
      </c>
      <c r="AA113" s="102" t="str">
        <f>IFERROR(VLOOKUP(TableHandbook[[#This Row],[UDC]],TableSPUCPHOTO[],7,FALSE),"")</f>
        <v/>
      </c>
    </row>
    <row r="114" spans="1:27" x14ac:dyDescent="0.25">
      <c r="A114" t="s">
        <v>196</v>
      </c>
      <c r="B114" s="2">
        <v>1</v>
      </c>
      <c r="D114" t="s">
        <v>94</v>
      </c>
      <c r="E114" s="2">
        <v>100</v>
      </c>
      <c r="F114" s="106" t="s">
        <v>373</v>
      </c>
      <c r="G114" s="99" t="str">
        <f>IFERROR(IF(VLOOKUP(TableHandbook[[#This Row],[UDC]],TableAvailabilities[],2,FALSE)&gt;0,"Y",""),"")</f>
        <v/>
      </c>
      <c r="H114" s="99" t="str">
        <f>IFERROR(IF(VLOOKUP(TableHandbook[[#This Row],[UDC]],TableAvailabilities[],3,FALSE)&gt;0,"Y",""),"")</f>
        <v/>
      </c>
      <c r="I114" s="99" t="str">
        <f>IFERROR(IF(VLOOKUP(TableHandbook[[#This Row],[UDC]],TableAvailabilities[],4,FALSE)&gt;0,"Y",""),"")</f>
        <v/>
      </c>
      <c r="J114" s="99" t="str">
        <f>IFERROR(IF(VLOOKUP(TableHandbook[[#This Row],[UDC]],TableAvailabilities[],5,FALSE)&gt;0,"Y",""),"")</f>
        <v/>
      </c>
      <c r="K114" s="120"/>
      <c r="L114" s="102" t="str">
        <f>IFERROR(VLOOKUP(TableHandbook[[#This Row],[UDC]],TableBDESIGN[],7,FALSE),"")</f>
        <v>AltCore</v>
      </c>
      <c r="M114" s="121" t="str">
        <f>IFERROR(VLOOKUP(TableHandbook[[#This Row],[UDC]],TableMJRUADVDS[],7,FALSE),"")</f>
        <v/>
      </c>
      <c r="N114" s="102" t="str">
        <f>IFERROR(VLOOKUP(TableHandbook[[#This Row],[UDC]],TableMJRUANIGD[],7,FALSE),"")</f>
        <v/>
      </c>
      <c r="O114" s="102" t="str">
        <f>IFERROR(VLOOKUP(TableHandbook[[#This Row],[UDC]],TableMJRUDIGDE[],7,FALSE),"")</f>
        <v/>
      </c>
      <c r="P114" s="102" t="str">
        <f>IFERROR(VLOOKUP(TableHandbook[[#This Row],[UDC]],TableMJRUDINFB[],7,FALSE),"")</f>
        <v/>
      </c>
      <c r="Q114" s="102" t="str">
        <f>IFERROR(VLOOKUP(TableHandbook[[#This Row],[UDC]],TableMJRUFASHN[],7,FALSE),"")</f>
        <v/>
      </c>
      <c r="R114" s="102" t="str">
        <f>IFERROR(VLOOKUP(TableHandbook[[#This Row],[UDC]],TableMJRUGRPDS[],7,FALSE),"")</f>
        <v/>
      </c>
      <c r="S114" s="102" t="str">
        <f>IFERROR(VLOOKUP(TableHandbook[[#This Row],[UDC]],TableMJRUPHOTO[],7,FALSE),"")</f>
        <v/>
      </c>
      <c r="T114" s="121" t="str">
        <f>IFERROR(VLOOKUP(TableHandbook[[#This Row],[UDC]],TableSPUCANIGD[],7,FALSE),"")</f>
        <v/>
      </c>
      <c r="U114" s="102" t="str">
        <f>IFERROR(VLOOKUP(TableHandbook[[#This Row],[UDC]],TableSPUCCADES[],7,FALSE),"")</f>
        <v/>
      </c>
      <c r="V114" s="102" t="str">
        <f>IFERROR(VLOOKUP(TableHandbook[[#This Row],[UDC]],TableSPUCDIGDE[],7,FALSE),"")</f>
        <v/>
      </c>
      <c r="W114" s="102" t="str">
        <f>IFERROR(VLOOKUP(TableHandbook[[#This Row],[UDC]],TableSPUCFASHN[],7,FALSE),"")</f>
        <v/>
      </c>
      <c r="X114" s="102" t="str">
        <f>IFERROR(VLOOKUP(TableHandbook[[#This Row],[UDC]],TableSPUCFSHMK[],7,FALSE),"")</f>
        <v/>
      </c>
      <c r="Y114" s="102" t="str">
        <f>IFERROR(VLOOKUP(TableHandbook[[#This Row],[UDC]],TableSPUCGRPDS[],7,FALSE),"")</f>
        <v/>
      </c>
      <c r="Z114" s="102" t="str">
        <f>IFERROR(VLOOKUP(TableHandbook[[#This Row],[UDC]],TableSPUCILLUS[],7,FALSE),"")</f>
        <v/>
      </c>
      <c r="AA114" s="102" t="str">
        <f>IFERROR(VLOOKUP(TableHandbook[[#This Row],[UDC]],TableSPUCPHOTO[],7,FALSE),"")</f>
        <v/>
      </c>
    </row>
    <row r="115" spans="1:27" x14ac:dyDescent="0.25">
      <c r="A115" t="s">
        <v>198</v>
      </c>
      <c r="B115" s="2">
        <v>1</v>
      </c>
      <c r="D115" t="s">
        <v>101</v>
      </c>
      <c r="E115" s="2">
        <v>100</v>
      </c>
      <c r="F115" s="106" t="s">
        <v>373</v>
      </c>
      <c r="G115" s="99" t="str">
        <f>IFERROR(IF(VLOOKUP(TableHandbook[[#This Row],[UDC]],TableAvailabilities[],2,FALSE)&gt;0,"Y",""),"")</f>
        <v/>
      </c>
      <c r="H115" s="99" t="str">
        <f>IFERROR(IF(VLOOKUP(TableHandbook[[#This Row],[UDC]],TableAvailabilities[],3,FALSE)&gt;0,"Y",""),"")</f>
        <v/>
      </c>
      <c r="I115" s="99" t="str">
        <f>IFERROR(IF(VLOOKUP(TableHandbook[[#This Row],[UDC]],TableAvailabilities[],4,FALSE)&gt;0,"Y",""),"")</f>
        <v/>
      </c>
      <c r="J115" s="99" t="str">
        <f>IFERROR(IF(VLOOKUP(TableHandbook[[#This Row],[UDC]],TableAvailabilities[],5,FALSE)&gt;0,"Y",""),"")</f>
        <v/>
      </c>
      <c r="K115" s="120"/>
      <c r="L115" s="102" t="str">
        <f>IFERROR(VLOOKUP(TableHandbook[[#This Row],[UDC]],TableBDESIGN[],7,FALSE),"")</f>
        <v>AltCore</v>
      </c>
      <c r="M115" s="121" t="str">
        <f>IFERROR(VLOOKUP(TableHandbook[[#This Row],[UDC]],TableMJRUADVDS[],7,FALSE),"")</f>
        <v/>
      </c>
      <c r="N115" s="102" t="str">
        <f>IFERROR(VLOOKUP(TableHandbook[[#This Row],[UDC]],TableMJRUANIGD[],7,FALSE),"")</f>
        <v/>
      </c>
      <c r="O115" s="102" t="str">
        <f>IFERROR(VLOOKUP(TableHandbook[[#This Row],[UDC]],TableMJRUDIGDE[],7,FALSE),"")</f>
        <v/>
      </c>
      <c r="P115" s="102" t="str">
        <f>IFERROR(VLOOKUP(TableHandbook[[#This Row],[UDC]],TableMJRUDINFB[],7,FALSE),"")</f>
        <v/>
      </c>
      <c r="Q115" s="102" t="str">
        <f>IFERROR(VLOOKUP(TableHandbook[[#This Row],[UDC]],TableMJRUFASHN[],7,FALSE),"")</f>
        <v/>
      </c>
      <c r="R115" s="102" t="str">
        <f>IFERROR(VLOOKUP(TableHandbook[[#This Row],[UDC]],TableMJRUGRPDS[],7,FALSE),"")</f>
        <v/>
      </c>
      <c r="S115" s="102" t="str">
        <f>IFERROR(VLOOKUP(TableHandbook[[#This Row],[UDC]],TableMJRUPHOTO[],7,FALSE),"")</f>
        <v/>
      </c>
      <c r="T115" s="121" t="str">
        <f>IFERROR(VLOOKUP(TableHandbook[[#This Row],[UDC]],TableSPUCANIGD[],7,FALSE),"")</f>
        <v/>
      </c>
      <c r="U115" s="102" t="str">
        <f>IFERROR(VLOOKUP(TableHandbook[[#This Row],[UDC]],TableSPUCCADES[],7,FALSE),"")</f>
        <v/>
      </c>
      <c r="V115" s="102" t="str">
        <f>IFERROR(VLOOKUP(TableHandbook[[#This Row],[UDC]],TableSPUCDIGDE[],7,FALSE),"")</f>
        <v/>
      </c>
      <c r="W115" s="102" t="str">
        <f>IFERROR(VLOOKUP(TableHandbook[[#This Row],[UDC]],TableSPUCFASHN[],7,FALSE),"")</f>
        <v/>
      </c>
      <c r="X115" s="102" t="str">
        <f>IFERROR(VLOOKUP(TableHandbook[[#This Row],[UDC]],TableSPUCFSHMK[],7,FALSE),"")</f>
        <v/>
      </c>
      <c r="Y115" s="102" t="str">
        <f>IFERROR(VLOOKUP(TableHandbook[[#This Row],[UDC]],TableSPUCGRPDS[],7,FALSE),"")</f>
        <v/>
      </c>
      <c r="Z115" s="102" t="str">
        <f>IFERROR(VLOOKUP(TableHandbook[[#This Row],[UDC]],TableSPUCILLUS[],7,FALSE),"")</f>
        <v/>
      </c>
      <c r="AA115" s="102" t="str">
        <f>IFERROR(VLOOKUP(TableHandbook[[#This Row],[UDC]],TableSPUCPHOTO[],7,FALSE),"")</f>
        <v/>
      </c>
    </row>
    <row r="116" spans="1:27" x14ac:dyDescent="0.25">
      <c r="A116" t="s">
        <v>200</v>
      </c>
      <c r="B116" s="2">
        <v>1</v>
      </c>
      <c r="D116" t="s">
        <v>108</v>
      </c>
      <c r="E116" s="2">
        <v>100</v>
      </c>
      <c r="F116" s="106" t="s">
        <v>373</v>
      </c>
      <c r="G116" s="99" t="str">
        <f>IFERROR(IF(VLOOKUP(TableHandbook[[#This Row],[UDC]],TableAvailabilities[],2,FALSE)&gt;0,"Y",""),"")</f>
        <v/>
      </c>
      <c r="H116" s="99" t="str">
        <f>IFERROR(IF(VLOOKUP(TableHandbook[[#This Row],[UDC]],TableAvailabilities[],3,FALSE)&gt;0,"Y",""),"")</f>
        <v/>
      </c>
      <c r="I116" s="99" t="str">
        <f>IFERROR(IF(VLOOKUP(TableHandbook[[#This Row],[UDC]],TableAvailabilities[],4,FALSE)&gt;0,"Y",""),"")</f>
        <v/>
      </c>
      <c r="J116" s="99" t="str">
        <f>IFERROR(IF(VLOOKUP(TableHandbook[[#This Row],[UDC]],TableAvailabilities[],5,FALSE)&gt;0,"Y",""),"")</f>
        <v/>
      </c>
      <c r="K116" s="120"/>
      <c r="L116" s="102" t="str">
        <f>IFERROR(VLOOKUP(TableHandbook[[#This Row],[UDC]],TableBDESIGN[],7,FALSE),"")</f>
        <v>AltCore</v>
      </c>
      <c r="M116" s="121" t="str">
        <f>IFERROR(VLOOKUP(TableHandbook[[#This Row],[UDC]],TableMJRUADVDS[],7,FALSE),"")</f>
        <v/>
      </c>
      <c r="N116" s="102" t="str">
        <f>IFERROR(VLOOKUP(TableHandbook[[#This Row],[UDC]],TableMJRUANIGD[],7,FALSE),"")</f>
        <v/>
      </c>
      <c r="O116" s="102" t="str">
        <f>IFERROR(VLOOKUP(TableHandbook[[#This Row],[UDC]],TableMJRUDIGDE[],7,FALSE),"")</f>
        <v/>
      </c>
      <c r="P116" s="102" t="str">
        <f>IFERROR(VLOOKUP(TableHandbook[[#This Row],[UDC]],TableMJRUDINFB[],7,FALSE),"")</f>
        <v/>
      </c>
      <c r="Q116" s="102" t="str">
        <f>IFERROR(VLOOKUP(TableHandbook[[#This Row],[UDC]],TableMJRUFASHN[],7,FALSE),"")</f>
        <v/>
      </c>
      <c r="R116" s="102" t="str">
        <f>IFERROR(VLOOKUP(TableHandbook[[#This Row],[UDC]],TableMJRUGRPDS[],7,FALSE),"")</f>
        <v/>
      </c>
      <c r="S116" s="102" t="str">
        <f>IFERROR(VLOOKUP(TableHandbook[[#This Row],[UDC]],TableMJRUPHOTO[],7,FALSE),"")</f>
        <v/>
      </c>
      <c r="T116" s="121" t="str">
        <f>IFERROR(VLOOKUP(TableHandbook[[#This Row],[UDC]],TableSPUCANIGD[],7,FALSE),"")</f>
        <v/>
      </c>
      <c r="U116" s="102" t="str">
        <f>IFERROR(VLOOKUP(TableHandbook[[#This Row],[UDC]],TableSPUCCADES[],7,FALSE),"")</f>
        <v/>
      </c>
      <c r="V116" s="102" t="str">
        <f>IFERROR(VLOOKUP(TableHandbook[[#This Row],[UDC]],TableSPUCDIGDE[],7,FALSE),"")</f>
        <v/>
      </c>
      <c r="W116" s="102" t="str">
        <f>IFERROR(VLOOKUP(TableHandbook[[#This Row],[UDC]],TableSPUCFASHN[],7,FALSE),"")</f>
        <v/>
      </c>
      <c r="X116" s="102" t="str">
        <f>IFERROR(VLOOKUP(TableHandbook[[#This Row],[UDC]],TableSPUCFSHMK[],7,FALSE),"")</f>
        <v/>
      </c>
      <c r="Y116" s="102" t="str">
        <f>IFERROR(VLOOKUP(TableHandbook[[#This Row],[UDC]],TableSPUCGRPDS[],7,FALSE),"")</f>
        <v/>
      </c>
      <c r="Z116" s="102" t="str">
        <f>IFERROR(VLOOKUP(TableHandbook[[#This Row],[UDC]],TableSPUCILLUS[],7,FALSE),"")</f>
        <v/>
      </c>
      <c r="AA116" s="102" t="str">
        <f>IFERROR(VLOOKUP(TableHandbook[[#This Row],[UDC]],TableSPUCPHOTO[],7,FALSE),"")</f>
        <v/>
      </c>
    </row>
    <row r="117" spans="1:27" x14ac:dyDescent="0.25">
      <c r="A117" t="s">
        <v>154</v>
      </c>
      <c r="B117" s="2">
        <v>1</v>
      </c>
      <c r="D117" t="s">
        <v>389</v>
      </c>
      <c r="E117" s="2">
        <v>25</v>
      </c>
      <c r="F117" s="106" t="s">
        <v>127</v>
      </c>
      <c r="G117" s="99" t="str">
        <f>IFERROR(IF(VLOOKUP(TableHandbook[[#This Row],[UDC]],TableAvailabilities[],2,FALSE)&gt;0,"Y",""),"")</f>
        <v>Y</v>
      </c>
      <c r="H117" s="99" t="str">
        <f>IFERROR(IF(VLOOKUP(TableHandbook[[#This Row],[UDC]],TableAvailabilities[],3,FALSE)&gt;0,"Y",""),"")</f>
        <v/>
      </c>
      <c r="I117" s="99" t="str">
        <f>IFERROR(IF(VLOOKUP(TableHandbook[[#This Row],[UDC]],TableAvailabilities[],4,FALSE)&gt;0,"Y",""),"")</f>
        <v/>
      </c>
      <c r="J117" s="99" t="str">
        <f>IFERROR(IF(VLOOKUP(TableHandbook[[#This Row],[UDC]],TableAvailabilities[],5,FALSE)&gt;0,"Y",""),"")</f>
        <v/>
      </c>
      <c r="K117" s="120"/>
      <c r="L117" s="102" t="str">
        <f>IFERROR(VLOOKUP(TableHandbook[[#This Row],[UDC]],TableBDESIGN[],7,FALSE),"")</f>
        <v/>
      </c>
      <c r="M117" s="121" t="str">
        <f>IFERROR(VLOOKUP(TableHandbook[[#This Row],[UDC]],TableMJRUADVDS[],7,FALSE),"")</f>
        <v/>
      </c>
      <c r="N117" s="102" t="str">
        <f>IFERROR(VLOOKUP(TableHandbook[[#This Row],[UDC]],TableMJRUANIGD[],7,FALSE),"")</f>
        <v/>
      </c>
      <c r="O117" s="102" t="str">
        <f>IFERROR(VLOOKUP(TableHandbook[[#This Row],[UDC]],TableMJRUDIGDE[],7,FALSE),"")</f>
        <v/>
      </c>
      <c r="P117" s="102" t="str">
        <f>IFERROR(VLOOKUP(TableHandbook[[#This Row],[UDC]],TableMJRUDINFB[],7,FALSE),"")</f>
        <v/>
      </c>
      <c r="Q117" s="102" t="str">
        <f>IFERROR(VLOOKUP(TableHandbook[[#This Row],[UDC]],TableMJRUFASHN[],7,FALSE),"")</f>
        <v/>
      </c>
      <c r="R117" s="102" t="str">
        <f>IFERROR(VLOOKUP(TableHandbook[[#This Row],[UDC]],TableMJRUGRPDS[],7,FALSE),"")</f>
        <v/>
      </c>
      <c r="S117" s="102" t="str">
        <f>IFERROR(VLOOKUP(TableHandbook[[#This Row],[UDC]],TableMJRUPHOTO[],7,FALSE),"")</f>
        <v>Core</v>
      </c>
      <c r="T117" s="121" t="str">
        <f>IFERROR(VLOOKUP(TableHandbook[[#This Row],[UDC]],TableSPUCANIGD[],7,FALSE),"")</f>
        <v/>
      </c>
      <c r="U117" s="102" t="str">
        <f>IFERROR(VLOOKUP(TableHandbook[[#This Row],[UDC]],TableSPUCCADES[],7,FALSE),"")</f>
        <v/>
      </c>
      <c r="V117" s="102" t="str">
        <f>IFERROR(VLOOKUP(TableHandbook[[#This Row],[UDC]],TableSPUCDIGDE[],7,FALSE),"")</f>
        <v/>
      </c>
      <c r="W117" s="102" t="str">
        <f>IFERROR(VLOOKUP(TableHandbook[[#This Row],[UDC]],TableSPUCFASHN[],7,FALSE),"")</f>
        <v/>
      </c>
      <c r="X117" s="102" t="str">
        <f>IFERROR(VLOOKUP(TableHandbook[[#This Row],[UDC]],TableSPUCFSHMK[],7,FALSE),"")</f>
        <v/>
      </c>
      <c r="Y117" s="102" t="str">
        <f>IFERROR(VLOOKUP(TableHandbook[[#This Row],[UDC]],TableSPUCGRPDS[],7,FALSE),"")</f>
        <v/>
      </c>
      <c r="Z117" s="102" t="str">
        <f>IFERROR(VLOOKUP(TableHandbook[[#This Row],[UDC]],TableSPUCILLUS[],7,FALSE),"")</f>
        <v/>
      </c>
      <c r="AA117" s="102" t="str">
        <f>IFERROR(VLOOKUP(TableHandbook[[#This Row],[UDC]],TableSPUCPHOTO[],7,FALSE),"")</f>
        <v>Core</v>
      </c>
    </row>
    <row r="118" spans="1:27" x14ac:dyDescent="0.25">
      <c r="A118" t="s">
        <v>168</v>
      </c>
      <c r="B118" s="2">
        <v>1</v>
      </c>
      <c r="D118" t="s">
        <v>390</v>
      </c>
      <c r="E118" s="2">
        <v>25</v>
      </c>
      <c r="F118" s="106" t="s">
        <v>154</v>
      </c>
      <c r="G118" s="99" t="str">
        <f>IFERROR(IF(VLOOKUP(TableHandbook[[#This Row],[UDC]],TableAvailabilities[],2,FALSE)&gt;0,"Y",""),"")</f>
        <v/>
      </c>
      <c r="H118" s="99" t="str">
        <f>IFERROR(IF(VLOOKUP(TableHandbook[[#This Row],[UDC]],TableAvailabilities[],3,FALSE)&gt;0,"Y",""),"")</f>
        <v/>
      </c>
      <c r="I118" s="99" t="str">
        <f>IFERROR(IF(VLOOKUP(TableHandbook[[#This Row],[UDC]],TableAvailabilities[],4,FALSE)&gt;0,"Y",""),"")</f>
        <v>Y</v>
      </c>
      <c r="J118" s="99" t="str">
        <f>IFERROR(IF(VLOOKUP(TableHandbook[[#This Row],[UDC]],TableAvailabilities[],5,FALSE)&gt;0,"Y",""),"")</f>
        <v/>
      </c>
      <c r="K118" s="120"/>
      <c r="L118" s="102" t="str">
        <f>IFERROR(VLOOKUP(TableHandbook[[#This Row],[UDC]],TableBDESIGN[],7,FALSE),"")</f>
        <v/>
      </c>
      <c r="M118" s="121" t="str">
        <f>IFERROR(VLOOKUP(TableHandbook[[#This Row],[UDC]],TableMJRUADVDS[],7,FALSE),"")</f>
        <v/>
      </c>
      <c r="N118" s="102" t="str">
        <f>IFERROR(VLOOKUP(TableHandbook[[#This Row],[UDC]],TableMJRUANIGD[],7,FALSE),"")</f>
        <v/>
      </c>
      <c r="O118" s="102" t="str">
        <f>IFERROR(VLOOKUP(TableHandbook[[#This Row],[UDC]],TableMJRUDIGDE[],7,FALSE),"")</f>
        <v/>
      </c>
      <c r="P118" s="102" t="str">
        <f>IFERROR(VLOOKUP(TableHandbook[[#This Row],[UDC]],TableMJRUDINFB[],7,FALSE),"")</f>
        <v/>
      </c>
      <c r="Q118" s="102" t="str">
        <f>IFERROR(VLOOKUP(TableHandbook[[#This Row],[UDC]],TableMJRUFASHN[],7,FALSE),"")</f>
        <v/>
      </c>
      <c r="R118" s="102" t="str">
        <f>IFERROR(VLOOKUP(TableHandbook[[#This Row],[UDC]],TableMJRUGRPDS[],7,FALSE),"")</f>
        <v/>
      </c>
      <c r="S118" s="102" t="str">
        <f>IFERROR(VLOOKUP(TableHandbook[[#This Row],[UDC]],TableMJRUPHOTO[],7,FALSE),"")</f>
        <v>Core</v>
      </c>
      <c r="T118" s="121" t="str">
        <f>IFERROR(VLOOKUP(TableHandbook[[#This Row],[UDC]],TableSPUCANIGD[],7,FALSE),"")</f>
        <v/>
      </c>
      <c r="U118" s="102" t="str">
        <f>IFERROR(VLOOKUP(TableHandbook[[#This Row],[UDC]],TableSPUCCADES[],7,FALSE),"")</f>
        <v/>
      </c>
      <c r="V118" s="102" t="str">
        <f>IFERROR(VLOOKUP(TableHandbook[[#This Row],[UDC]],TableSPUCDIGDE[],7,FALSE),"")</f>
        <v/>
      </c>
      <c r="W118" s="102" t="str">
        <f>IFERROR(VLOOKUP(TableHandbook[[#This Row],[UDC]],TableSPUCFASHN[],7,FALSE),"")</f>
        <v/>
      </c>
      <c r="X118" s="102" t="str">
        <f>IFERROR(VLOOKUP(TableHandbook[[#This Row],[UDC]],TableSPUCFSHMK[],7,FALSE),"")</f>
        <v/>
      </c>
      <c r="Y118" s="102" t="str">
        <f>IFERROR(VLOOKUP(TableHandbook[[#This Row],[UDC]],TableSPUCGRPDS[],7,FALSE),"")</f>
        <v/>
      </c>
      <c r="Z118" s="102" t="str">
        <f>IFERROR(VLOOKUP(TableHandbook[[#This Row],[UDC]],TableSPUCILLUS[],7,FALSE),"")</f>
        <v/>
      </c>
      <c r="AA118" s="102" t="str">
        <f>IFERROR(VLOOKUP(TableHandbook[[#This Row],[UDC]],TableSPUCPHOTO[],7,FALSE),"")</f>
        <v/>
      </c>
    </row>
    <row r="119" spans="1:27" x14ac:dyDescent="0.25">
      <c r="A119" t="s">
        <v>234</v>
      </c>
      <c r="B119" s="2">
        <v>2</v>
      </c>
      <c r="D119" t="s">
        <v>391</v>
      </c>
      <c r="E119" s="2">
        <v>25</v>
      </c>
      <c r="F119" s="106" t="s">
        <v>361</v>
      </c>
      <c r="G119" s="99" t="str">
        <f>IFERROR(IF(VLOOKUP(TableHandbook[[#This Row],[UDC]],TableAvailabilities[],2,FALSE)&gt;0,"Y",""),"")</f>
        <v/>
      </c>
      <c r="H119" s="99" t="str">
        <f>IFERROR(IF(VLOOKUP(TableHandbook[[#This Row],[UDC]],TableAvailabilities[],3,FALSE)&gt;0,"Y",""),"")</f>
        <v/>
      </c>
      <c r="I119" s="99" t="str">
        <f>IFERROR(IF(VLOOKUP(TableHandbook[[#This Row],[UDC]],TableAvailabilities[],4,FALSE)&gt;0,"Y",""),"")</f>
        <v/>
      </c>
      <c r="J119" s="99" t="str">
        <f>IFERROR(IF(VLOOKUP(TableHandbook[[#This Row],[UDC]],TableAvailabilities[],5,FALSE)&gt;0,"Y",""),"")</f>
        <v/>
      </c>
      <c r="K119" s="120"/>
      <c r="L119" s="102" t="str">
        <f>IFERROR(VLOOKUP(TableHandbook[[#This Row],[UDC]],TableBDESIGN[],7,FALSE),"")</f>
        <v>Option</v>
      </c>
      <c r="M119" s="121" t="str">
        <f>IFERROR(VLOOKUP(TableHandbook[[#This Row],[UDC]],TableMJRUADVDS[],7,FALSE),"")</f>
        <v/>
      </c>
      <c r="N119" s="102" t="str">
        <f>IFERROR(VLOOKUP(TableHandbook[[#This Row],[UDC]],TableMJRUANIGD[],7,FALSE),"")</f>
        <v/>
      </c>
      <c r="O119" s="102" t="str">
        <f>IFERROR(VLOOKUP(TableHandbook[[#This Row],[UDC]],TableMJRUDIGDE[],7,FALSE),"")</f>
        <v/>
      </c>
      <c r="P119" s="102" t="str">
        <f>IFERROR(VLOOKUP(TableHandbook[[#This Row],[UDC]],TableMJRUDINFB[],7,FALSE),"")</f>
        <v/>
      </c>
      <c r="Q119" s="102" t="str">
        <f>IFERROR(VLOOKUP(TableHandbook[[#This Row],[UDC]],TableMJRUFASHN[],7,FALSE),"")</f>
        <v/>
      </c>
      <c r="R119" s="102" t="str">
        <f>IFERROR(VLOOKUP(TableHandbook[[#This Row],[UDC]],TableMJRUGRPDS[],7,FALSE),"")</f>
        <v/>
      </c>
      <c r="S119" s="102" t="str">
        <f>IFERROR(VLOOKUP(TableHandbook[[#This Row],[UDC]],TableMJRUPHOTO[],7,FALSE),"")</f>
        <v/>
      </c>
      <c r="T119" s="121" t="str">
        <f>IFERROR(VLOOKUP(TableHandbook[[#This Row],[UDC]],TableSPUCANIGD[],7,FALSE),"")</f>
        <v>AltCore</v>
      </c>
      <c r="U119" s="102" t="str">
        <f>IFERROR(VLOOKUP(TableHandbook[[#This Row],[UDC]],TableSPUCCADES[],7,FALSE),"")</f>
        <v/>
      </c>
      <c r="V119" s="102" t="str">
        <f>IFERROR(VLOOKUP(TableHandbook[[#This Row],[UDC]],TableSPUCDIGDE[],7,FALSE),"")</f>
        <v/>
      </c>
      <c r="W119" s="102" t="str">
        <f>IFERROR(VLOOKUP(TableHandbook[[#This Row],[UDC]],TableSPUCFASHN[],7,FALSE),"")</f>
        <v/>
      </c>
      <c r="X119" s="102" t="str">
        <f>IFERROR(VLOOKUP(TableHandbook[[#This Row],[UDC]],TableSPUCFSHMK[],7,FALSE),"")</f>
        <v/>
      </c>
      <c r="Y119" s="102" t="str">
        <f>IFERROR(VLOOKUP(TableHandbook[[#This Row],[UDC]],TableSPUCGRPDS[],7,FALSE),"")</f>
        <v/>
      </c>
      <c r="Z119" s="102" t="str">
        <f>IFERROR(VLOOKUP(TableHandbook[[#This Row],[UDC]],TableSPUCILLUS[],7,FALSE),"")</f>
        <v/>
      </c>
      <c r="AA119" s="102" t="str">
        <f>IFERROR(VLOOKUP(TableHandbook[[#This Row],[UDC]],TableSPUCPHOTO[],7,FALSE),"")</f>
        <v/>
      </c>
    </row>
    <row r="120" spans="1:27" x14ac:dyDescent="0.25">
      <c r="A120" t="s">
        <v>272</v>
      </c>
      <c r="B120" s="2">
        <v>2</v>
      </c>
      <c r="D120" t="s">
        <v>392</v>
      </c>
      <c r="E120" s="2">
        <v>25</v>
      </c>
      <c r="F120" s="106" t="s">
        <v>361</v>
      </c>
      <c r="G120" s="99" t="str">
        <f>IFERROR(IF(VLOOKUP(TableHandbook[[#This Row],[UDC]],TableAvailabilities[],2,FALSE)&gt;0,"Y",""),"")</f>
        <v/>
      </c>
      <c r="H120" s="99" t="str">
        <f>IFERROR(IF(VLOOKUP(TableHandbook[[#This Row],[UDC]],TableAvailabilities[],3,FALSE)&gt;0,"Y",""),"")</f>
        <v/>
      </c>
      <c r="I120" s="99" t="str">
        <f>IFERROR(IF(VLOOKUP(TableHandbook[[#This Row],[UDC]],TableAvailabilities[],4,FALSE)&gt;0,"Y",""),"")</f>
        <v/>
      </c>
      <c r="J120" s="99" t="str">
        <f>IFERROR(IF(VLOOKUP(TableHandbook[[#This Row],[UDC]],TableAvailabilities[],5,FALSE)&gt;0,"Y",""),"")</f>
        <v/>
      </c>
      <c r="K120" s="120"/>
      <c r="L120" s="102" t="str">
        <f>IFERROR(VLOOKUP(TableHandbook[[#This Row],[UDC]],TableBDESIGN[],7,FALSE),"")</f>
        <v>Option</v>
      </c>
      <c r="M120" s="121" t="str">
        <f>IFERROR(VLOOKUP(TableHandbook[[#This Row],[UDC]],TableMJRUADVDS[],7,FALSE),"")</f>
        <v/>
      </c>
      <c r="N120" s="102" t="str">
        <f>IFERROR(VLOOKUP(TableHandbook[[#This Row],[UDC]],TableMJRUANIGD[],7,FALSE),"")</f>
        <v/>
      </c>
      <c r="O120" s="102" t="str">
        <f>IFERROR(VLOOKUP(TableHandbook[[#This Row],[UDC]],TableMJRUDIGDE[],7,FALSE),"")</f>
        <v/>
      </c>
      <c r="P120" s="102" t="str">
        <f>IFERROR(VLOOKUP(TableHandbook[[#This Row],[UDC]],TableMJRUDINFB[],7,FALSE),"")</f>
        <v/>
      </c>
      <c r="Q120" s="102" t="str">
        <f>IFERROR(VLOOKUP(TableHandbook[[#This Row],[UDC]],TableMJRUFASHN[],7,FALSE),"")</f>
        <v/>
      </c>
      <c r="R120" s="102" t="str">
        <f>IFERROR(VLOOKUP(TableHandbook[[#This Row],[UDC]],TableMJRUGRPDS[],7,FALSE),"")</f>
        <v/>
      </c>
      <c r="S120" s="102" t="str">
        <f>IFERROR(VLOOKUP(TableHandbook[[#This Row],[UDC]],TableMJRUPHOTO[],7,FALSE),"")</f>
        <v/>
      </c>
      <c r="T120" s="121" t="str">
        <f>IFERROR(VLOOKUP(TableHandbook[[#This Row],[UDC]],TableSPUCANIGD[],7,FALSE),"")</f>
        <v/>
      </c>
      <c r="U120" s="102" t="str">
        <f>IFERROR(VLOOKUP(TableHandbook[[#This Row],[UDC]],TableSPUCCADES[],7,FALSE),"")</f>
        <v/>
      </c>
      <c r="V120" s="102" t="str">
        <f>IFERROR(VLOOKUP(TableHandbook[[#This Row],[UDC]],TableSPUCDIGDE[],7,FALSE),"")</f>
        <v/>
      </c>
      <c r="W120" s="102" t="str">
        <f>IFERROR(VLOOKUP(TableHandbook[[#This Row],[UDC]],TableSPUCFASHN[],7,FALSE),"")</f>
        <v/>
      </c>
      <c r="X120" s="102" t="str">
        <f>IFERROR(VLOOKUP(TableHandbook[[#This Row],[UDC]],TableSPUCFSHMK[],7,FALSE),"")</f>
        <v/>
      </c>
      <c r="Y120" s="102" t="str">
        <f>IFERROR(VLOOKUP(TableHandbook[[#This Row],[UDC]],TableSPUCGRPDS[],7,FALSE),"")</f>
        <v/>
      </c>
      <c r="Z120" s="102" t="str">
        <f>IFERROR(VLOOKUP(TableHandbook[[#This Row],[UDC]],TableSPUCILLUS[],7,FALSE),"")</f>
        <v/>
      </c>
      <c r="AA120" s="102" t="str">
        <f>IFERROR(VLOOKUP(TableHandbook[[#This Row],[UDC]],TableSPUCPHOTO[],7,FALSE),"")</f>
        <v/>
      </c>
    </row>
    <row r="121" spans="1:27" x14ac:dyDescent="0.25">
      <c r="B121"/>
      <c r="E121"/>
      <c r="N121"/>
      <c r="O121"/>
      <c r="P121"/>
      <c r="Q121"/>
    </row>
    <row r="122" spans="1:27" x14ac:dyDescent="0.25">
      <c r="B122"/>
      <c r="E122"/>
      <c r="N122"/>
      <c r="O122"/>
      <c r="P122"/>
      <c r="Q122"/>
    </row>
    <row r="123" spans="1:27" x14ac:dyDescent="0.25">
      <c r="B123"/>
      <c r="E123"/>
      <c r="N123"/>
      <c r="O123"/>
      <c r="P123"/>
      <c r="Q123"/>
    </row>
    <row r="124" spans="1:27" x14ac:dyDescent="0.25">
      <c r="B124"/>
      <c r="E124"/>
      <c r="N124"/>
      <c r="O124"/>
      <c r="P124"/>
      <c r="Q124"/>
    </row>
    <row r="125" spans="1:27" x14ac:dyDescent="0.25">
      <c r="B125"/>
      <c r="E125"/>
      <c r="N125"/>
      <c r="O125"/>
      <c r="P125"/>
      <c r="Q125"/>
    </row>
    <row r="126" spans="1:27" x14ac:dyDescent="0.25">
      <c r="B126"/>
      <c r="E126"/>
      <c r="N126"/>
      <c r="O126"/>
      <c r="P126"/>
      <c r="Q126"/>
    </row>
    <row r="127" spans="1:27" x14ac:dyDescent="0.25">
      <c r="B127"/>
      <c r="E127"/>
      <c r="N127"/>
      <c r="O127"/>
      <c r="P127"/>
      <c r="Q127"/>
    </row>
    <row r="128" spans="1:27" x14ac:dyDescent="0.25">
      <c r="B128"/>
      <c r="E128"/>
      <c r="N128"/>
      <c r="O128"/>
      <c r="P128"/>
      <c r="Q128"/>
    </row>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sheetData>
  <conditionalFormatting sqref="A3:A120">
    <cfRule type="duplicateValues" dxfId="66"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178"/>
  <sheetViews>
    <sheetView topLeftCell="A115" zoomScale="70" zoomScaleNormal="70" workbookViewId="0">
      <selection activeCell="A24" sqref="A24:A31"/>
    </sheetView>
  </sheetViews>
  <sheetFormatPr defaultRowHeight="15.75" x14ac:dyDescent="0.25"/>
  <cols>
    <col min="1" max="1" width="18.25" bestFit="1" customWidth="1"/>
    <col min="2" max="2" width="6.875" style="2" bestFit="1" customWidth="1"/>
    <col min="3" max="3" width="12" bestFit="1" customWidth="1"/>
    <col min="4" max="4" width="41.75" bestFit="1" customWidth="1"/>
    <col min="5" max="5" width="8.625" style="2" bestFit="1" customWidth="1"/>
    <col min="6" max="6" width="6.5" bestFit="1" customWidth="1"/>
    <col min="7" max="7" width="18.5" customWidth="1"/>
    <col min="8" max="8" width="12" bestFit="1" customWidth="1"/>
    <col min="9" max="9" width="14.5" bestFit="1" customWidth="1"/>
    <col min="10" max="10" width="21.125" bestFit="1" customWidth="1"/>
    <col min="11" max="11" width="6.25" bestFit="1" customWidth="1"/>
    <col min="12" max="12" width="41.75" bestFit="1" customWidth="1"/>
    <col min="13" max="13" width="14.375" customWidth="1"/>
    <col min="14" max="14" width="11.25" style="23" bestFit="1" customWidth="1"/>
    <col min="15" max="15" width="12.25" bestFit="1" customWidth="1"/>
    <col min="16" max="16" width="10.875" bestFit="1" customWidth="1"/>
    <col min="17" max="17" width="15.5" bestFit="1" customWidth="1"/>
    <col min="18" max="18" width="11.5" customWidth="1"/>
    <col min="19" max="19" width="14" customWidth="1"/>
    <col min="20" max="20" width="20.25" customWidth="1"/>
    <col min="21" max="21" width="5.75" customWidth="1"/>
    <col min="22" max="22" width="56.625" customWidth="1"/>
    <col min="23" max="23" width="13.875" customWidth="1"/>
    <col min="24" max="24" width="10.625" bestFit="1" customWidth="1"/>
  </cols>
  <sheetData>
    <row r="1" spans="1:18" x14ac:dyDescent="0.25">
      <c r="B1"/>
      <c r="E1"/>
      <c r="F1" s="17"/>
      <c r="G1" s="18" t="s">
        <v>393</v>
      </c>
      <c r="H1" s="114">
        <v>44927</v>
      </c>
      <c r="I1" s="18"/>
      <c r="J1" s="115" t="s">
        <v>66</v>
      </c>
      <c r="K1" s="116" t="s">
        <v>67</v>
      </c>
      <c r="L1" s="21" t="s">
        <v>11</v>
      </c>
      <c r="M1" s="18"/>
      <c r="N1" s="24" t="s">
        <v>394</v>
      </c>
      <c r="O1" s="23">
        <v>45601</v>
      </c>
      <c r="P1" s="117">
        <v>45292</v>
      </c>
      <c r="Q1" s="22" t="s">
        <v>395</v>
      </c>
    </row>
    <row r="2" spans="1:18" x14ac:dyDescent="0.25">
      <c r="A2" t="s">
        <v>0</v>
      </c>
      <c r="B2" s="2" t="s">
        <v>396</v>
      </c>
      <c r="C2" t="s">
        <v>397</v>
      </c>
      <c r="D2" t="s">
        <v>3</v>
      </c>
      <c r="E2" s="19" t="s">
        <v>398</v>
      </c>
      <c r="F2" t="s">
        <v>399</v>
      </c>
      <c r="G2" t="s">
        <v>400</v>
      </c>
      <c r="H2" t="s">
        <v>401</v>
      </c>
      <c r="I2" t="s">
        <v>24</v>
      </c>
      <c r="J2" t="s">
        <v>402</v>
      </c>
      <c r="K2" t="s">
        <v>1</v>
      </c>
      <c r="L2" t="s">
        <v>403</v>
      </c>
      <c r="M2" t="s">
        <v>60</v>
      </c>
      <c r="N2" t="s">
        <v>404</v>
      </c>
      <c r="O2" t="s">
        <v>405</v>
      </c>
      <c r="Q2" t="s">
        <v>116</v>
      </c>
      <c r="R2" t="s">
        <v>406</v>
      </c>
    </row>
    <row r="3" spans="1:18" x14ac:dyDescent="0.25">
      <c r="A3" t="str">
        <f>TableBDESIGN[[#This Row],[Study Package Code]]</f>
        <v>GRDE1004</v>
      </c>
      <c r="B3" s="2">
        <f>TableBDESIGN[[#This Row],[Ver]]</f>
        <v>2</v>
      </c>
      <c r="D3" t="str">
        <f>TableBDESIGN[[#This Row],[Structure Line]]</f>
        <v>Design Computing</v>
      </c>
      <c r="E3" s="19">
        <f>TableBDESIGN[[#This Row],[Credit Points]]</f>
        <v>25</v>
      </c>
      <c r="F3">
        <v>1</v>
      </c>
      <c r="G3" t="s">
        <v>407</v>
      </c>
      <c r="H3">
        <v>1</v>
      </c>
      <c r="I3" t="s">
        <v>408</v>
      </c>
      <c r="J3" t="s">
        <v>65</v>
      </c>
      <c r="K3">
        <v>2</v>
      </c>
      <c r="L3" t="s">
        <v>307</v>
      </c>
      <c r="M3">
        <v>25</v>
      </c>
      <c r="N3" s="23">
        <v>43101</v>
      </c>
      <c r="O3" s="23"/>
      <c r="Q3" t="s">
        <v>65</v>
      </c>
      <c r="R3">
        <v>2</v>
      </c>
    </row>
    <row r="4" spans="1:18" x14ac:dyDescent="0.25">
      <c r="A4" t="str">
        <f>TableBDESIGN[[#This Row],[Study Package Code]]</f>
        <v>GRDE1006</v>
      </c>
      <c r="B4" s="2">
        <f>TableBDESIGN[[#This Row],[Ver]]</f>
        <v>2</v>
      </c>
      <c r="D4" t="str">
        <f>TableBDESIGN[[#This Row],[Structure Line]]</f>
        <v>Design Principles and Process</v>
      </c>
      <c r="E4" s="19">
        <f>TableBDESIGN[[#This Row],[Credit Points]]</f>
        <v>25</v>
      </c>
      <c r="F4">
        <v>2</v>
      </c>
      <c r="G4" t="s">
        <v>407</v>
      </c>
      <c r="H4">
        <v>1</v>
      </c>
      <c r="I4" t="s">
        <v>408</v>
      </c>
      <c r="J4" t="s">
        <v>71</v>
      </c>
      <c r="K4">
        <v>2</v>
      </c>
      <c r="L4" t="s">
        <v>309</v>
      </c>
      <c r="M4">
        <v>25</v>
      </c>
      <c r="N4" s="23">
        <v>42186</v>
      </c>
      <c r="O4" s="23"/>
      <c r="Q4" t="s">
        <v>71</v>
      </c>
      <c r="R4">
        <v>2</v>
      </c>
    </row>
    <row r="5" spans="1:18" x14ac:dyDescent="0.25">
      <c r="A5" t="str">
        <f>TableBDESIGN[[#This Row],[Study Package Code]]</f>
        <v>GRDE1024</v>
      </c>
      <c r="B5" s="2">
        <f>TableBDESIGN[[#This Row],[Ver]]</f>
        <v>1</v>
      </c>
      <c r="D5" t="str">
        <f>TableBDESIGN[[#This Row],[Structure Line]]</f>
        <v>Design Theory in Practice</v>
      </c>
      <c r="E5" s="19">
        <f>TableBDESIGN[[#This Row],[Credit Points]]</f>
        <v>25</v>
      </c>
      <c r="F5">
        <v>3</v>
      </c>
      <c r="G5" t="s">
        <v>407</v>
      </c>
      <c r="H5">
        <v>1</v>
      </c>
      <c r="I5" t="s">
        <v>408</v>
      </c>
      <c r="J5" t="s">
        <v>63</v>
      </c>
      <c r="K5">
        <v>1</v>
      </c>
      <c r="L5" t="s">
        <v>316</v>
      </c>
      <c r="M5">
        <v>25</v>
      </c>
      <c r="N5" s="23">
        <v>43466</v>
      </c>
      <c r="O5" s="23"/>
      <c r="Q5" t="s">
        <v>63</v>
      </c>
      <c r="R5">
        <v>1</v>
      </c>
    </row>
    <row r="6" spans="1:18" x14ac:dyDescent="0.25">
      <c r="A6" t="str">
        <f>TableBDESIGN[[#This Row],[Study Package Code]]</f>
        <v>COMS1003</v>
      </c>
      <c r="B6" s="2">
        <f>TableBDESIGN[[#This Row],[Ver]]</f>
        <v>3</v>
      </c>
      <c r="D6" t="str">
        <f>TableBDESIGN[[#This Row],[Structure Line]]</f>
        <v>Culture to Cultures</v>
      </c>
      <c r="E6" s="19">
        <f>TableBDESIGN[[#This Row],[Credit Points]]</f>
        <v>25</v>
      </c>
      <c r="F6">
        <v>4</v>
      </c>
      <c r="G6" t="s">
        <v>407</v>
      </c>
      <c r="H6">
        <v>1</v>
      </c>
      <c r="I6" t="s">
        <v>408</v>
      </c>
      <c r="J6" t="s">
        <v>89</v>
      </c>
      <c r="K6">
        <v>3</v>
      </c>
      <c r="L6" t="s">
        <v>285</v>
      </c>
      <c r="M6">
        <v>25</v>
      </c>
      <c r="N6" s="23">
        <v>44562</v>
      </c>
      <c r="O6" s="23"/>
      <c r="Q6" t="s">
        <v>89</v>
      </c>
      <c r="R6">
        <v>3</v>
      </c>
    </row>
    <row r="7" spans="1:18" x14ac:dyDescent="0.25">
      <c r="A7" t="str">
        <f>TableBDESIGN[[#This Row],[Study Package Code]]</f>
        <v>OptionY1</v>
      </c>
      <c r="B7" s="2">
        <f>TableBDESIGN[[#This Row],[Ver]]</f>
        <v>0</v>
      </c>
      <c r="D7" t="str">
        <f>TableBDESIGN[[#This Row],[Structure Line]]</f>
        <v>Choose First Year Options</v>
      </c>
      <c r="E7" s="19">
        <f>TableBDESIGN[[#This Row],[Credit Points]]</f>
        <v>25</v>
      </c>
      <c r="F7">
        <v>5</v>
      </c>
      <c r="G7" t="s">
        <v>409</v>
      </c>
      <c r="H7">
        <v>1</v>
      </c>
      <c r="I7" t="s">
        <v>408</v>
      </c>
      <c r="J7" t="s">
        <v>410</v>
      </c>
      <c r="K7">
        <v>0</v>
      </c>
      <c r="L7" t="s">
        <v>411</v>
      </c>
      <c r="M7">
        <v>25</v>
      </c>
      <c r="O7" s="23"/>
      <c r="Q7" t="s">
        <v>410</v>
      </c>
      <c r="R7">
        <v>0</v>
      </c>
    </row>
    <row r="8" spans="1:18" x14ac:dyDescent="0.25">
      <c r="A8" t="str">
        <f>TableBDESIGN[[#This Row],[Study Package Code]]</f>
        <v>Elective</v>
      </c>
      <c r="B8" s="2">
        <f>TableBDESIGN[[#This Row],[Ver]]</f>
        <v>0</v>
      </c>
      <c r="D8" t="str">
        <f>TableBDESIGN[[#This Row],[Structure Line]]</f>
        <v>Personalise your degree</v>
      </c>
      <c r="E8" s="19">
        <f>TableBDESIGN[[#This Row],[Credit Points]]</f>
        <v>100</v>
      </c>
      <c r="F8">
        <v>6</v>
      </c>
      <c r="G8" t="s">
        <v>412</v>
      </c>
      <c r="H8">
        <v>0</v>
      </c>
      <c r="I8" t="s">
        <v>408</v>
      </c>
      <c r="J8" t="s">
        <v>412</v>
      </c>
      <c r="L8" t="s">
        <v>413</v>
      </c>
      <c r="M8">
        <v>100</v>
      </c>
      <c r="O8" s="23"/>
      <c r="Q8" t="s">
        <v>412</v>
      </c>
    </row>
    <row r="9" spans="1:18" x14ac:dyDescent="0.25">
      <c r="A9" t="str">
        <f>TableBDESIGN[[#This Row],[Study Package Code]]</f>
        <v>Major</v>
      </c>
      <c r="B9" s="2">
        <f>TableBDESIGN[[#This Row],[Ver]]</f>
        <v>0</v>
      </c>
      <c r="D9" t="str">
        <f>TableBDESIGN[[#This Row],[Structure Line]]</f>
        <v>Choose a Design Major</v>
      </c>
      <c r="E9" s="19">
        <f>TableBDESIGN[[#This Row],[Credit Points]]</f>
        <v>200</v>
      </c>
      <c r="F9">
        <v>7</v>
      </c>
      <c r="G9" t="s">
        <v>414</v>
      </c>
      <c r="H9">
        <v>0</v>
      </c>
      <c r="I9" t="s">
        <v>408</v>
      </c>
      <c r="J9" t="s">
        <v>371</v>
      </c>
      <c r="K9">
        <v>0</v>
      </c>
      <c r="L9" t="s">
        <v>372</v>
      </c>
      <c r="M9">
        <v>200</v>
      </c>
      <c r="O9" s="23"/>
      <c r="Q9" t="s">
        <v>371</v>
      </c>
      <c r="R9">
        <v>0</v>
      </c>
    </row>
    <row r="10" spans="1:18" x14ac:dyDescent="0.25">
      <c r="A10" t="str">
        <f>TableBDESIGN[[#This Row],[Study Package Code]]</f>
        <v>GRDE2044</v>
      </c>
      <c r="B10" s="2">
        <f>TableBDESIGN[[#This Row],[Ver]]</f>
        <v>1</v>
      </c>
      <c r="D10" t="str">
        <f>TableBDESIGN[[#This Row],[Structure Line]]</f>
        <v>Design History and Culture</v>
      </c>
      <c r="E10" s="19">
        <f>TableBDESIGN[[#This Row],[Credit Points]]</f>
        <v>25</v>
      </c>
      <c r="F10">
        <v>8</v>
      </c>
      <c r="G10" t="s">
        <v>407</v>
      </c>
      <c r="H10">
        <v>2</v>
      </c>
      <c r="I10" t="s">
        <v>408</v>
      </c>
      <c r="J10" t="s">
        <v>110</v>
      </c>
      <c r="K10">
        <v>1</v>
      </c>
      <c r="L10" t="s">
        <v>349</v>
      </c>
      <c r="M10">
        <v>25</v>
      </c>
      <c r="N10" s="23">
        <v>43831</v>
      </c>
      <c r="O10" s="23"/>
      <c r="Q10" t="s">
        <v>110</v>
      </c>
      <c r="R10">
        <v>1</v>
      </c>
    </row>
    <row r="11" spans="1:18" x14ac:dyDescent="0.25">
      <c r="A11" t="str">
        <f>TableBDESIGN[[#This Row],[Study Package Code]]</f>
        <v>GRDE3034</v>
      </c>
      <c r="B11" s="2">
        <f>TableBDESIGN[[#This Row],[Ver]]</f>
        <v>1</v>
      </c>
      <c r="D11" t="str">
        <f>TableBDESIGN[[#This Row],[Structure Line]]</f>
        <v>Design Capstone Project</v>
      </c>
      <c r="E11" s="19">
        <f>TableBDESIGN[[#This Row],[Credit Points]]</f>
        <v>25</v>
      </c>
      <c r="F11">
        <v>9</v>
      </c>
      <c r="G11" t="s">
        <v>407</v>
      </c>
      <c r="H11">
        <v>3</v>
      </c>
      <c r="I11" t="s">
        <v>408</v>
      </c>
      <c r="J11" t="s">
        <v>166</v>
      </c>
      <c r="K11">
        <v>1</v>
      </c>
      <c r="L11" t="s">
        <v>367</v>
      </c>
      <c r="M11">
        <v>25</v>
      </c>
      <c r="N11" s="23">
        <v>43466</v>
      </c>
      <c r="O11" s="23"/>
      <c r="Q11" t="s">
        <v>166</v>
      </c>
      <c r="R11">
        <v>1</v>
      </c>
    </row>
    <row r="12" spans="1:18" x14ac:dyDescent="0.25">
      <c r="A12" t="str">
        <f>TableBDESIGN[[#This Row],[Study Package Code]]</f>
        <v>Specialisation</v>
      </c>
      <c r="B12" s="2">
        <f>TableBDESIGN[[#This Row],[Ver]]</f>
        <v>0</v>
      </c>
      <c r="D12" t="str">
        <f>TableBDESIGN[[#This Row],[Structure Line]]</f>
        <v>Choose a Design Specialisation</v>
      </c>
      <c r="E12" s="19">
        <f>TableBDESIGN[[#This Row],[Credit Points]]</f>
        <v>100</v>
      </c>
      <c r="F12">
        <v>10</v>
      </c>
      <c r="G12" t="s">
        <v>414</v>
      </c>
      <c r="H12">
        <v>0</v>
      </c>
      <c r="I12" t="s">
        <v>408</v>
      </c>
      <c r="J12" t="s">
        <v>387</v>
      </c>
      <c r="K12">
        <v>0</v>
      </c>
      <c r="L12" t="s">
        <v>388</v>
      </c>
      <c r="M12">
        <v>100</v>
      </c>
      <c r="O12" s="23"/>
      <c r="Q12" t="s">
        <v>387</v>
      </c>
      <c r="R12">
        <v>0</v>
      </c>
    </row>
    <row r="13" spans="1:18" x14ac:dyDescent="0.25">
      <c r="A13" t="str">
        <f>TableBDESIGN[[#This Row],[Study Package Code]]</f>
        <v>OptionY3</v>
      </c>
      <c r="B13" s="2">
        <f>TableBDESIGN[[#This Row],[Ver]]</f>
        <v>0</v>
      </c>
      <c r="D13" t="str">
        <f>TableBDESIGN[[#This Row],[Structure Line]]</f>
        <v>Choose Third Year Options</v>
      </c>
      <c r="E13" s="19">
        <f>TableBDESIGN[[#This Row],[Credit Points]]</f>
        <v>25</v>
      </c>
      <c r="F13">
        <v>11</v>
      </c>
      <c r="G13" t="s">
        <v>409</v>
      </c>
      <c r="H13">
        <v>0</v>
      </c>
      <c r="I13" t="s">
        <v>408</v>
      </c>
      <c r="J13" t="s">
        <v>415</v>
      </c>
      <c r="K13">
        <v>0</v>
      </c>
      <c r="L13" t="s">
        <v>416</v>
      </c>
      <c r="M13">
        <v>25</v>
      </c>
      <c r="O13" s="23"/>
      <c r="Q13" t="s">
        <v>415</v>
      </c>
      <c r="R13">
        <v>0</v>
      </c>
    </row>
    <row r="14" spans="1:18" x14ac:dyDescent="0.25">
      <c r="A14" t="str">
        <f>TableBDESIGN[[#This Row],[Study Package Code]]</f>
        <v>FASH1001</v>
      </c>
      <c r="B14" s="2">
        <f>TableBDESIGN[[#This Row],[Ver]]</f>
        <v>1</v>
      </c>
      <c r="D14" t="str">
        <f>TableBDESIGN[[#This Row],[Structure Line]]</f>
        <v>Style Hunting</v>
      </c>
      <c r="E14" s="19">
        <f>TableBDESIGN[[#This Row],[Credit Points]]</f>
        <v>25</v>
      </c>
      <c r="F14">
        <v>5</v>
      </c>
      <c r="G14" t="s">
        <v>409</v>
      </c>
      <c r="H14">
        <v>1</v>
      </c>
      <c r="I14" t="s">
        <v>408</v>
      </c>
      <c r="J14" t="s">
        <v>223</v>
      </c>
      <c r="K14">
        <v>1</v>
      </c>
      <c r="L14" t="s">
        <v>289</v>
      </c>
      <c r="M14">
        <v>25</v>
      </c>
      <c r="N14" s="23">
        <v>42005</v>
      </c>
      <c r="O14" s="23"/>
      <c r="Q14" t="s">
        <v>223</v>
      </c>
      <c r="R14">
        <v>1</v>
      </c>
    </row>
    <row r="15" spans="1:18" x14ac:dyDescent="0.25">
      <c r="A15" t="str">
        <f>TableBDESIGN[[#This Row],[Study Package Code]]</f>
        <v>GRDE1001</v>
      </c>
      <c r="B15" s="2">
        <f>TableBDESIGN[[#This Row],[Ver]]</f>
        <v>1</v>
      </c>
      <c r="D15" t="str">
        <f>TableBDESIGN[[#This Row],[Structure Line]]</f>
        <v>Animation Design Introduction</v>
      </c>
      <c r="E15" s="19">
        <f>TableBDESIGN[[#This Row],[Credit Points]]</f>
        <v>25</v>
      </c>
      <c r="F15">
        <v>5</v>
      </c>
      <c r="G15" t="s">
        <v>409</v>
      </c>
      <c r="H15">
        <v>1</v>
      </c>
      <c r="I15" t="s">
        <v>408</v>
      </c>
      <c r="J15" t="s">
        <v>78</v>
      </c>
      <c r="K15">
        <v>1</v>
      </c>
      <c r="L15" t="s">
        <v>303</v>
      </c>
      <c r="M15">
        <v>25</v>
      </c>
      <c r="N15" s="23">
        <v>42005</v>
      </c>
      <c r="O15" s="23"/>
      <c r="Q15" t="s">
        <v>78</v>
      </c>
      <c r="R15">
        <v>1</v>
      </c>
    </row>
    <row r="16" spans="1:18" x14ac:dyDescent="0.25">
      <c r="A16" t="str">
        <f>TableBDESIGN[[#This Row],[Study Package Code]]</f>
        <v>GRDE1003</v>
      </c>
      <c r="B16" s="2">
        <f>TableBDESIGN[[#This Row],[Ver]]</f>
        <v>2</v>
      </c>
      <c r="D16" t="str">
        <f>TableBDESIGN[[#This Row],[Structure Line]]</f>
        <v>3D Design Practice</v>
      </c>
      <c r="E16" s="19">
        <f>TableBDESIGN[[#This Row],[Credit Points]]</f>
        <v>25</v>
      </c>
      <c r="F16">
        <v>5</v>
      </c>
      <c r="G16" t="s">
        <v>409</v>
      </c>
      <c r="H16">
        <v>1</v>
      </c>
      <c r="I16" t="s">
        <v>408</v>
      </c>
      <c r="J16" t="s">
        <v>82</v>
      </c>
      <c r="K16">
        <v>2</v>
      </c>
      <c r="L16" t="s">
        <v>305</v>
      </c>
      <c r="M16">
        <v>25</v>
      </c>
      <c r="N16" s="23">
        <v>45292</v>
      </c>
      <c r="O16" s="23"/>
      <c r="Q16" t="s">
        <v>82</v>
      </c>
      <c r="R16">
        <v>2</v>
      </c>
    </row>
    <row r="17" spans="1:18" x14ac:dyDescent="0.25">
      <c r="A17" t="str">
        <f>TableBDESIGN[[#This Row],[Study Package Code]]</f>
        <v>GRDE1008</v>
      </c>
      <c r="B17" s="2">
        <f>TableBDESIGN[[#This Row],[Ver]]</f>
        <v>1</v>
      </c>
      <c r="D17" t="str">
        <f>TableBDESIGN[[#This Row],[Structure Line]]</f>
        <v>Art and Design Fundamentals</v>
      </c>
      <c r="E17" s="19">
        <f>TableBDESIGN[[#This Row],[Credit Points]]</f>
        <v>25</v>
      </c>
      <c r="F17">
        <v>5</v>
      </c>
      <c r="G17" t="s">
        <v>409</v>
      </c>
      <c r="H17">
        <v>1</v>
      </c>
      <c r="I17" t="s">
        <v>408</v>
      </c>
      <c r="J17" t="s">
        <v>273</v>
      </c>
      <c r="K17">
        <v>1</v>
      </c>
      <c r="L17" t="s">
        <v>310</v>
      </c>
      <c r="M17">
        <v>25</v>
      </c>
      <c r="N17" s="23">
        <v>42005</v>
      </c>
      <c r="O17" s="23"/>
      <c r="Q17" t="s">
        <v>273</v>
      </c>
      <c r="R17">
        <v>1</v>
      </c>
    </row>
    <row r="18" spans="1:18" x14ac:dyDescent="0.25">
      <c r="A18" t="str">
        <f>TableBDESIGN[[#This Row],[Study Package Code]]</f>
        <v>GRDE1015</v>
      </c>
      <c r="B18" s="2">
        <f>TableBDESIGN[[#This Row],[Ver]]</f>
        <v>1</v>
      </c>
      <c r="D18" t="str">
        <f>TableBDESIGN[[#This Row],[Structure Line]]</f>
        <v>Illustration Fundamentals</v>
      </c>
      <c r="E18" s="19">
        <f>TableBDESIGN[[#This Row],[Credit Points]]</f>
        <v>25</v>
      </c>
      <c r="F18">
        <v>5</v>
      </c>
      <c r="G18" t="s">
        <v>409</v>
      </c>
      <c r="H18">
        <v>1</v>
      </c>
      <c r="I18" t="s">
        <v>408</v>
      </c>
      <c r="J18" t="s">
        <v>207</v>
      </c>
      <c r="K18">
        <v>1</v>
      </c>
      <c r="L18" t="s">
        <v>311</v>
      </c>
      <c r="M18">
        <v>25</v>
      </c>
      <c r="N18" s="23">
        <v>42552</v>
      </c>
      <c r="O18" s="23"/>
      <c r="Q18" t="s">
        <v>207</v>
      </c>
      <c r="R18">
        <v>1</v>
      </c>
    </row>
    <row r="19" spans="1:18" x14ac:dyDescent="0.25">
      <c r="A19" t="str">
        <f>TableBDESIGN[[#This Row],[Study Package Code]]</f>
        <v>GRDE1018</v>
      </c>
      <c r="B19" s="2">
        <f>TableBDESIGN[[#This Row],[Ver]]</f>
        <v>3</v>
      </c>
      <c r="D19" t="str">
        <f>TableBDESIGN[[#This Row],[Structure Line]]</f>
        <v>UX Design 1</v>
      </c>
      <c r="E19" s="19">
        <f>TableBDESIGN[[#This Row],[Credit Points]]</f>
        <v>25</v>
      </c>
      <c r="F19">
        <v>5</v>
      </c>
      <c r="G19" t="s">
        <v>409</v>
      </c>
      <c r="H19">
        <v>1</v>
      </c>
      <c r="I19" t="s">
        <v>408</v>
      </c>
      <c r="J19" t="s">
        <v>81</v>
      </c>
      <c r="K19">
        <v>3</v>
      </c>
      <c r="L19" t="s">
        <v>313</v>
      </c>
      <c r="M19">
        <v>25</v>
      </c>
      <c r="N19" s="23">
        <v>45658</v>
      </c>
      <c r="O19" s="23"/>
      <c r="Q19" t="s">
        <v>81</v>
      </c>
      <c r="R19">
        <v>2</v>
      </c>
    </row>
    <row r="20" spans="1:18" x14ac:dyDescent="0.25">
      <c r="A20" t="str">
        <f>TableBDESIGN[[#This Row],[Study Package Code]]</f>
        <v>GRDE1023</v>
      </c>
      <c r="B20" s="2">
        <f>TableBDESIGN[[#This Row],[Ver]]</f>
        <v>1</v>
      </c>
      <c r="D20" t="str">
        <f>TableBDESIGN[[#This Row],[Structure Line]]</f>
        <v>Photomedia</v>
      </c>
      <c r="E20" s="19">
        <f>TableBDESIGN[[#This Row],[Credit Points]]</f>
        <v>25</v>
      </c>
      <c r="F20">
        <v>5</v>
      </c>
      <c r="G20" t="s">
        <v>409</v>
      </c>
      <c r="H20">
        <v>1</v>
      </c>
      <c r="I20" t="s">
        <v>408</v>
      </c>
      <c r="J20" t="s">
        <v>255</v>
      </c>
      <c r="K20">
        <v>1</v>
      </c>
      <c r="L20" t="s">
        <v>315</v>
      </c>
      <c r="M20">
        <v>25</v>
      </c>
      <c r="N20" s="23">
        <v>43466</v>
      </c>
      <c r="O20" s="23"/>
      <c r="Q20" t="s">
        <v>255</v>
      </c>
      <c r="R20">
        <v>1</v>
      </c>
    </row>
    <row r="21" spans="1:18" x14ac:dyDescent="0.25">
      <c r="A21" t="str">
        <f>TableBDESIGN[[#This Row],[Study Package Code]]</f>
        <v>GRDE1026</v>
      </c>
      <c r="B21" s="2">
        <f>TableBDESIGN[[#This Row],[Ver]]</f>
        <v>1</v>
      </c>
      <c r="D21" t="str">
        <f>TableBDESIGN[[#This Row],[Structure Line]]</f>
        <v>Start Design Thinking</v>
      </c>
      <c r="E21" s="19">
        <f>TableBDESIGN[[#This Row],[Credit Points]]</f>
        <v>25</v>
      </c>
      <c r="F21">
        <v>5</v>
      </c>
      <c r="G21" t="s">
        <v>409</v>
      </c>
      <c r="H21">
        <v>1</v>
      </c>
      <c r="I21" t="s">
        <v>408</v>
      </c>
      <c r="J21" t="s">
        <v>84</v>
      </c>
      <c r="K21">
        <v>1</v>
      </c>
      <c r="L21" t="s">
        <v>317</v>
      </c>
      <c r="M21">
        <v>25</v>
      </c>
      <c r="N21" s="23">
        <v>43466</v>
      </c>
      <c r="O21" s="23"/>
      <c r="Q21" t="s">
        <v>84</v>
      </c>
      <c r="R21">
        <v>1</v>
      </c>
    </row>
    <row r="22" spans="1:18" x14ac:dyDescent="0.25">
      <c r="A22" t="str">
        <f>TableBDESIGN[[#This Row],[Study Package Code]]</f>
        <v>MJRU-ADVDS</v>
      </c>
      <c r="B22" s="2">
        <f>TableBDESIGN[[#This Row],[Ver]]</f>
        <v>1</v>
      </c>
      <c r="D22" t="str">
        <f>TableBDESIGN[[#This Row],[Structure Line]]</f>
        <v>Advertising and Design Major</v>
      </c>
      <c r="E22" s="19">
        <f>TableBDESIGN[[#This Row],[Credit Points]]</f>
        <v>200</v>
      </c>
      <c r="F22">
        <v>7</v>
      </c>
      <c r="G22" t="s">
        <v>414</v>
      </c>
      <c r="H22">
        <v>0</v>
      </c>
      <c r="I22" t="s">
        <v>408</v>
      </c>
      <c r="J22" t="s">
        <v>128</v>
      </c>
      <c r="K22">
        <v>1</v>
      </c>
      <c r="L22" t="s">
        <v>14</v>
      </c>
      <c r="M22">
        <v>200</v>
      </c>
      <c r="N22" s="23">
        <v>44927</v>
      </c>
      <c r="O22" s="23"/>
      <c r="Q22" t="s">
        <v>128</v>
      </c>
      <c r="R22">
        <v>1</v>
      </c>
    </row>
    <row r="23" spans="1:18" x14ac:dyDescent="0.25">
      <c r="A23" t="str">
        <f>TableBDESIGN[[#This Row],[Study Package Code]]</f>
        <v>MJRU-ANIGD</v>
      </c>
      <c r="B23" s="2">
        <f>TableBDESIGN[[#This Row],[Ver]]</f>
        <v>2</v>
      </c>
      <c r="D23" t="str">
        <f>TableBDESIGN[[#This Row],[Structure Line]]</f>
        <v>Animation and Game Design Major</v>
      </c>
      <c r="E23" s="19">
        <f>TableBDESIGN[[#This Row],[Credit Points]]</f>
        <v>200</v>
      </c>
      <c r="F23">
        <v>7</v>
      </c>
      <c r="G23" t="s">
        <v>414</v>
      </c>
      <c r="H23">
        <v>0</v>
      </c>
      <c r="I23" t="s">
        <v>408</v>
      </c>
      <c r="J23" t="s">
        <v>138</v>
      </c>
      <c r="K23">
        <v>2</v>
      </c>
      <c r="L23" t="s">
        <v>137</v>
      </c>
      <c r="M23">
        <v>200</v>
      </c>
      <c r="N23" s="23">
        <v>43466</v>
      </c>
      <c r="O23" s="23"/>
      <c r="Q23" t="s">
        <v>138</v>
      </c>
      <c r="R23">
        <v>2</v>
      </c>
    </row>
    <row r="24" spans="1:18" x14ac:dyDescent="0.25">
      <c r="A24" t="str">
        <f>TableBDESIGN[[#This Row],[Study Package Code]]</f>
        <v>MJRU-DIGDE</v>
      </c>
      <c r="B24" s="2">
        <f>TableBDESIGN[[#This Row],[Ver]]</f>
        <v>4</v>
      </c>
      <c r="D24" t="str">
        <f>TableBDESIGN[[#This Row],[Structure Line]]</f>
        <v>Digital Experience and Interaction Design Major</v>
      </c>
      <c r="E24" s="19">
        <f>TableBDESIGN[[#This Row],[Credit Points]]</f>
        <v>200</v>
      </c>
      <c r="F24">
        <v>7</v>
      </c>
      <c r="G24" t="s">
        <v>414</v>
      </c>
      <c r="H24">
        <v>0</v>
      </c>
      <c r="I24" t="s">
        <v>408</v>
      </c>
      <c r="J24" t="s">
        <v>147</v>
      </c>
      <c r="K24">
        <v>4</v>
      </c>
      <c r="L24" t="s">
        <v>146</v>
      </c>
      <c r="M24">
        <v>200</v>
      </c>
      <c r="N24" s="23">
        <v>43831</v>
      </c>
      <c r="O24" s="23"/>
      <c r="Q24" t="s">
        <v>147</v>
      </c>
      <c r="R24">
        <v>4</v>
      </c>
    </row>
    <row r="25" spans="1:18" x14ac:dyDescent="0.25">
      <c r="A25" t="str">
        <f>TableBDESIGN[[#This Row],[Study Package Code]]</f>
        <v>MJRU-DINFB</v>
      </c>
      <c r="B25" s="2">
        <f>TableBDESIGN[[#This Row],[Ver]]</f>
        <v>2</v>
      </c>
      <c r="D25" t="str">
        <f>TableBDESIGN[[#This Row],[Structure Line]]</f>
        <v>Design Innovation and Fabrication Major</v>
      </c>
      <c r="E25" s="19">
        <f>TableBDESIGN[[#This Row],[Credit Points]]</f>
        <v>200</v>
      </c>
      <c r="F25">
        <v>7</v>
      </c>
      <c r="G25" t="s">
        <v>414</v>
      </c>
      <c r="H25">
        <v>0</v>
      </c>
      <c r="I25" t="s">
        <v>408</v>
      </c>
      <c r="J25" t="s">
        <v>142</v>
      </c>
      <c r="K25">
        <v>2</v>
      </c>
      <c r="L25" t="s">
        <v>141</v>
      </c>
      <c r="M25">
        <v>200</v>
      </c>
      <c r="N25" s="23">
        <v>45292</v>
      </c>
      <c r="O25" s="23"/>
      <c r="Q25" t="s">
        <v>142</v>
      </c>
      <c r="R25">
        <v>2</v>
      </c>
    </row>
    <row r="26" spans="1:18" x14ac:dyDescent="0.25">
      <c r="A26" t="str">
        <f>TableBDESIGN[[#This Row],[Study Package Code]]</f>
        <v>MJRU-FASHN</v>
      </c>
      <c r="B26" s="2">
        <f>TableBDESIGN[[#This Row],[Ver]]</f>
        <v>2</v>
      </c>
      <c r="D26" t="str">
        <f>TableBDESIGN[[#This Row],[Structure Line]]</f>
        <v>Fashion Design Major</v>
      </c>
      <c r="E26" s="19">
        <f>TableBDESIGN[[#This Row],[Credit Points]]</f>
        <v>200</v>
      </c>
      <c r="F26">
        <v>7</v>
      </c>
      <c r="G26" t="s">
        <v>414</v>
      </c>
      <c r="H26">
        <v>0</v>
      </c>
      <c r="I26" t="s">
        <v>408</v>
      </c>
      <c r="J26" t="s">
        <v>156</v>
      </c>
      <c r="K26">
        <v>2</v>
      </c>
      <c r="L26" t="s">
        <v>155</v>
      </c>
      <c r="M26">
        <v>200</v>
      </c>
      <c r="N26" s="23">
        <v>43466</v>
      </c>
      <c r="O26" s="23"/>
      <c r="Q26" t="s">
        <v>156</v>
      </c>
      <c r="R26">
        <v>2</v>
      </c>
    </row>
    <row r="27" spans="1:18" x14ac:dyDescent="0.25">
      <c r="A27" t="str">
        <f>TableBDESIGN[[#This Row],[Study Package Code]]</f>
        <v>MJRU-GRPDS</v>
      </c>
      <c r="B27" s="2">
        <f>TableBDESIGN[[#This Row],[Ver]]</f>
        <v>1</v>
      </c>
      <c r="D27" t="str">
        <f>TableBDESIGN[[#This Row],[Structure Line]]</f>
        <v>Graphic Design Major</v>
      </c>
      <c r="E27" s="19">
        <f>TableBDESIGN[[#This Row],[Credit Points]]</f>
        <v>200</v>
      </c>
      <c r="F27">
        <v>7</v>
      </c>
      <c r="G27" t="s">
        <v>414</v>
      </c>
      <c r="H27">
        <v>0</v>
      </c>
      <c r="I27" t="s">
        <v>408</v>
      </c>
      <c r="J27" t="s">
        <v>158</v>
      </c>
      <c r="K27">
        <v>1</v>
      </c>
      <c r="L27" t="s">
        <v>157</v>
      </c>
      <c r="M27">
        <v>200</v>
      </c>
      <c r="N27" s="23">
        <v>43466</v>
      </c>
      <c r="O27" s="23"/>
      <c r="Q27" t="s">
        <v>158</v>
      </c>
      <c r="R27">
        <v>1</v>
      </c>
    </row>
    <row r="28" spans="1:18" x14ac:dyDescent="0.25">
      <c r="A28" t="str">
        <f>TableBDESIGN[[#This Row],[Study Package Code]]</f>
        <v>MJRU-PHOTO</v>
      </c>
      <c r="B28" s="2">
        <f>TableBDESIGN[[#This Row],[Ver]]</f>
        <v>1</v>
      </c>
      <c r="D28" t="str">
        <f>TableBDESIGN[[#This Row],[Structure Line]]</f>
        <v>Photography Major</v>
      </c>
      <c r="E28" s="19">
        <f>TableBDESIGN[[#This Row],[Credit Points]]</f>
        <v>200</v>
      </c>
      <c r="F28">
        <v>7</v>
      </c>
      <c r="G28" t="s">
        <v>414</v>
      </c>
      <c r="H28">
        <v>0</v>
      </c>
      <c r="I28" t="s">
        <v>408</v>
      </c>
      <c r="J28" t="s">
        <v>160</v>
      </c>
      <c r="K28">
        <v>1</v>
      </c>
      <c r="L28" t="s">
        <v>159</v>
      </c>
      <c r="M28">
        <v>200</v>
      </c>
      <c r="N28" s="23">
        <v>43466</v>
      </c>
      <c r="O28" s="23"/>
      <c r="Q28" t="s">
        <v>160</v>
      </c>
      <c r="R28">
        <v>1</v>
      </c>
    </row>
    <row r="29" spans="1:18" x14ac:dyDescent="0.25">
      <c r="A29" t="str">
        <f>TableBDESIGN[[#This Row],[Study Package Code]]</f>
        <v>SPUC-ANIGD</v>
      </c>
      <c r="B29" s="2">
        <f>TableBDESIGN[[#This Row],[Ver]]</f>
        <v>2</v>
      </c>
      <c r="D29" t="str">
        <f>TableBDESIGN[[#This Row],[Structure Line]]</f>
        <v>Animation and Game Design Specialisation</v>
      </c>
      <c r="E29" s="19">
        <f>TableBDESIGN[[#This Row],[Credit Points]]</f>
        <v>100</v>
      </c>
      <c r="F29">
        <v>10</v>
      </c>
      <c r="G29" t="s">
        <v>414</v>
      </c>
      <c r="H29">
        <v>0</v>
      </c>
      <c r="I29" t="s">
        <v>408</v>
      </c>
      <c r="J29" t="s">
        <v>181</v>
      </c>
      <c r="K29">
        <v>2</v>
      </c>
      <c r="L29" t="s">
        <v>73</v>
      </c>
      <c r="M29">
        <v>100</v>
      </c>
      <c r="N29" s="23">
        <v>44927</v>
      </c>
      <c r="O29" s="23"/>
      <c r="Q29" t="s">
        <v>181</v>
      </c>
      <c r="R29">
        <v>2</v>
      </c>
    </row>
    <row r="30" spans="1:18" x14ac:dyDescent="0.25">
      <c r="A30" t="str">
        <f>TableBDESIGN[[#This Row],[Study Package Code]]</f>
        <v>SPUC-CADES</v>
      </c>
      <c r="B30" s="2">
        <f>TableBDESIGN[[#This Row],[Ver]]</f>
        <v>2</v>
      </c>
      <c r="D30" t="str">
        <f>TableBDESIGN[[#This Row],[Structure Line]]</f>
        <v>Creative Advertising Design Specialisation</v>
      </c>
      <c r="E30" s="19">
        <f>TableBDESIGN[[#This Row],[Credit Points]]</f>
        <v>100</v>
      </c>
      <c r="F30">
        <v>10</v>
      </c>
      <c r="G30" t="s">
        <v>414</v>
      </c>
      <c r="H30">
        <v>0</v>
      </c>
      <c r="I30" t="s">
        <v>408</v>
      </c>
      <c r="J30" t="s">
        <v>183</v>
      </c>
      <c r="K30">
        <v>2</v>
      </c>
      <c r="L30" t="s">
        <v>132</v>
      </c>
      <c r="M30">
        <v>100</v>
      </c>
      <c r="N30" s="23">
        <v>44927</v>
      </c>
      <c r="O30" s="23"/>
      <c r="Q30" t="s">
        <v>183</v>
      </c>
      <c r="R30">
        <v>2</v>
      </c>
    </row>
    <row r="31" spans="1:18" x14ac:dyDescent="0.25">
      <c r="A31" t="str">
        <f>TableBDESIGN[[#This Row],[Study Package Code]]</f>
        <v>SPUC-DIGDE</v>
      </c>
      <c r="B31" s="2">
        <f>TableBDESIGN[[#This Row],[Ver]]</f>
        <v>1</v>
      </c>
      <c r="D31" t="str">
        <f>TableBDESIGN[[#This Row],[Structure Line]]</f>
        <v>Digital Design Specialisation</v>
      </c>
      <c r="E31" s="19">
        <f>TableBDESIGN[[#This Row],[Credit Points]]</f>
        <v>100</v>
      </c>
      <c r="F31">
        <v>10</v>
      </c>
      <c r="G31" t="s">
        <v>414</v>
      </c>
      <c r="H31">
        <v>0</v>
      </c>
      <c r="I31" t="s">
        <v>408</v>
      </c>
      <c r="J31" t="s">
        <v>185</v>
      </c>
      <c r="K31">
        <v>1</v>
      </c>
      <c r="L31" t="s">
        <v>76</v>
      </c>
      <c r="M31">
        <v>100</v>
      </c>
      <c r="N31" s="23">
        <v>44197</v>
      </c>
      <c r="O31" s="23"/>
      <c r="Q31" t="s">
        <v>185</v>
      </c>
      <c r="R31">
        <v>1</v>
      </c>
    </row>
    <row r="32" spans="1:18" x14ac:dyDescent="0.25">
      <c r="A32" t="str">
        <f>TableBDESIGN[[#This Row],[Study Package Code]]</f>
        <v>SPUC-FASHN</v>
      </c>
      <c r="B32" s="2">
        <f>TableBDESIGN[[#This Row],[Ver]]</f>
        <v>1</v>
      </c>
      <c r="D32" t="str">
        <f>TableBDESIGN[[#This Row],[Structure Line]]</f>
        <v>Fashion Design Specialisation</v>
      </c>
      <c r="E32" s="19">
        <f>TableBDESIGN[[#This Row],[Credit Points]]</f>
        <v>100</v>
      </c>
      <c r="F32">
        <v>10</v>
      </c>
      <c r="G32" t="s">
        <v>414</v>
      </c>
      <c r="H32">
        <v>0</v>
      </c>
      <c r="I32" t="s">
        <v>408</v>
      </c>
      <c r="J32" t="s">
        <v>186</v>
      </c>
      <c r="K32">
        <v>1</v>
      </c>
      <c r="L32" t="s">
        <v>17</v>
      </c>
      <c r="M32">
        <v>100</v>
      </c>
      <c r="N32" s="23">
        <v>44197</v>
      </c>
      <c r="O32" s="23"/>
      <c r="Q32" t="s">
        <v>186</v>
      </c>
      <c r="R32">
        <v>1</v>
      </c>
    </row>
    <row r="33" spans="1:18" x14ac:dyDescent="0.25">
      <c r="A33" t="str">
        <f>TableBDESIGN[[#This Row],[Study Package Code]]</f>
        <v>SPUC-FSHMK</v>
      </c>
      <c r="B33" s="2">
        <f>TableBDESIGN[[#This Row],[Ver]]</f>
        <v>2</v>
      </c>
      <c r="D33" t="str">
        <f>TableBDESIGN[[#This Row],[Structure Line]]</f>
        <v>Fashion Marketing Specialisation</v>
      </c>
      <c r="E33" s="19">
        <f>TableBDESIGN[[#This Row],[Credit Points]]</f>
        <v>100</v>
      </c>
      <c r="F33">
        <v>10</v>
      </c>
      <c r="G33" t="s">
        <v>414</v>
      </c>
      <c r="H33">
        <v>0</v>
      </c>
      <c r="I33" t="s">
        <v>408</v>
      </c>
      <c r="J33" s="66" t="s">
        <v>187</v>
      </c>
      <c r="K33" s="66">
        <v>2</v>
      </c>
      <c r="L33" s="66" t="s">
        <v>92</v>
      </c>
      <c r="M33" s="66">
        <v>100</v>
      </c>
      <c r="N33" s="23">
        <v>45658</v>
      </c>
      <c r="O33" s="23"/>
      <c r="Q33" t="s">
        <v>187</v>
      </c>
      <c r="R33">
        <v>1</v>
      </c>
    </row>
    <row r="34" spans="1:18" x14ac:dyDescent="0.25">
      <c r="A34" t="str">
        <f>TableBDESIGN[[#This Row],[Study Package Code]]</f>
        <v>SPUC-GRPDS</v>
      </c>
      <c r="B34" s="2">
        <f>TableBDESIGN[[#This Row],[Ver]]</f>
        <v>1</v>
      </c>
      <c r="D34" t="str">
        <f>TableBDESIGN[[#This Row],[Structure Line]]</f>
        <v>Graphic Design Specialisation</v>
      </c>
      <c r="E34" s="19">
        <f>TableBDESIGN[[#This Row],[Credit Points]]</f>
        <v>100</v>
      </c>
      <c r="F34">
        <v>10</v>
      </c>
      <c r="G34" t="s">
        <v>414</v>
      </c>
      <c r="H34">
        <v>0</v>
      </c>
      <c r="I34" t="s">
        <v>408</v>
      </c>
      <c r="J34" t="s">
        <v>196</v>
      </c>
      <c r="K34">
        <v>1</v>
      </c>
      <c r="L34" t="s">
        <v>94</v>
      </c>
      <c r="M34">
        <v>100</v>
      </c>
      <c r="N34" s="23">
        <v>44197</v>
      </c>
      <c r="O34" s="23"/>
      <c r="Q34" t="s">
        <v>196</v>
      </c>
      <c r="R34">
        <v>1</v>
      </c>
    </row>
    <row r="35" spans="1:18" x14ac:dyDescent="0.25">
      <c r="A35" t="str">
        <f>TableBDESIGN[[#This Row],[Study Package Code]]</f>
        <v>SPUC-ILLUS</v>
      </c>
      <c r="B35" s="2">
        <f>TableBDESIGN[[#This Row],[Ver]]</f>
        <v>1</v>
      </c>
      <c r="D35" t="str">
        <f>TableBDESIGN[[#This Row],[Structure Line]]</f>
        <v>Illustration Specialisation</v>
      </c>
      <c r="E35" s="19">
        <f>TableBDESIGN[[#This Row],[Credit Points]]</f>
        <v>100</v>
      </c>
      <c r="F35">
        <v>10</v>
      </c>
      <c r="G35" t="s">
        <v>414</v>
      </c>
      <c r="H35">
        <v>0</v>
      </c>
      <c r="I35" t="s">
        <v>408</v>
      </c>
      <c r="J35" t="s">
        <v>198</v>
      </c>
      <c r="K35">
        <v>1</v>
      </c>
      <c r="L35" t="s">
        <v>101</v>
      </c>
      <c r="M35">
        <v>100</v>
      </c>
      <c r="N35" s="23">
        <v>44197</v>
      </c>
      <c r="O35" s="23"/>
      <c r="Q35" t="s">
        <v>198</v>
      </c>
      <c r="R35">
        <v>1</v>
      </c>
    </row>
    <row r="36" spans="1:18" x14ac:dyDescent="0.25">
      <c r="A36" t="str">
        <f>TableBDESIGN[[#This Row],[Study Package Code]]</f>
        <v>SPUC-PHOTO</v>
      </c>
      <c r="B36" s="2">
        <f>TableBDESIGN[[#This Row],[Ver]]</f>
        <v>1</v>
      </c>
      <c r="D36" t="str">
        <f>TableBDESIGN[[#This Row],[Structure Line]]</f>
        <v>Photography Specialisation</v>
      </c>
      <c r="E36" s="19">
        <f>TableBDESIGN[[#This Row],[Credit Points]]</f>
        <v>100</v>
      </c>
      <c r="F36">
        <v>10</v>
      </c>
      <c r="G36" t="s">
        <v>414</v>
      </c>
      <c r="H36">
        <v>0</v>
      </c>
      <c r="I36" t="s">
        <v>408</v>
      </c>
      <c r="J36" t="s">
        <v>200</v>
      </c>
      <c r="K36">
        <v>1</v>
      </c>
      <c r="L36" t="s">
        <v>108</v>
      </c>
      <c r="M36">
        <v>100</v>
      </c>
      <c r="N36" s="23">
        <v>44197</v>
      </c>
      <c r="O36" s="23"/>
      <c r="Q36" t="s">
        <v>200</v>
      </c>
      <c r="R36">
        <v>1</v>
      </c>
    </row>
    <row r="37" spans="1:18" x14ac:dyDescent="0.25">
      <c r="A37" t="str">
        <f>TableBDESIGN[[#This Row],[Study Package Code]]</f>
        <v>GRDE3025</v>
      </c>
      <c r="B37" s="2">
        <f>TableBDESIGN[[#This Row],[Ver]]</f>
        <v>1</v>
      </c>
      <c r="D37" t="str">
        <f>TableBDESIGN[[#This Row],[Structure Line]]</f>
        <v>Creative Design Project</v>
      </c>
      <c r="E37" s="19">
        <f>TableBDESIGN[[#This Row],[Credit Points]]</f>
        <v>25</v>
      </c>
      <c r="F37">
        <v>11</v>
      </c>
      <c r="G37" t="s">
        <v>409</v>
      </c>
      <c r="H37">
        <v>0</v>
      </c>
      <c r="I37" t="s">
        <v>408</v>
      </c>
      <c r="J37" t="s">
        <v>266</v>
      </c>
      <c r="K37">
        <v>1</v>
      </c>
      <c r="L37" t="s">
        <v>417</v>
      </c>
      <c r="M37">
        <v>25</v>
      </c>
      <c r="N37" s="23">
        <v>42005</v>
      </c>
      <c r="O37" s="23"/>
      <c r="Q37" t="s">
        <v>266</v>
      </c>
      <c r="R37">
        <v>1</v>
      </c>
    </row>
    <row r="38" spans="1:18" x14ac:dyDescent="0.25">
      <c r="A38" t="str">
        <f>TableBDESIGN[[#This Row],[Study Package Code]]</f>
        <v>GRDE3030</v>
      </c>
      <c r="B38" s="2">
        <f>TableBDESIGN[[#This Row],[Ver]]</f>
        <v>2</v>
      </c>
      <c r="D38" t="str">
        <f>TableBDESIGN[[#This Row],[Structure Line]]</f>
        <v>Industry Project Development</v>
      </c>
      <c r="E38" s="19">
        <f>TableBDESIGN[[#This Row],[Credit Points]]</f>
        <v>25</v>
      </c>
      <c r="F38">
        <v>11</v>
      </c>
      <c r="G38" t="s">
        <v>409</v>
      </c>
      <c r="H38">
        <v>0</v>
      </c>
      <c r="I38" t="s">
        <v>408</v>
      </c>
      <c r="J38" t="s">
        <v>228</v>
      </c>
      <c r="K38">
        <v>2</v>
      </c>
      <c r="L38" t="s">
        <v>364</v>
      </c>
      <c r="M38">
        <v>25</v>
      </c>
      <c r="N38" s="23">
        <v>43831</v>
      </c>
      <c r="O38" s="23"/>
      <c r="Q38" t="s">
        <v>228</v>
      </c>
      <c r="R38">
        <v>2</v>
      </c>
    </row>
    <row r="39" spans="1:18" x14ac:dyDescent="0.25">
      <c r="A39" t="str">
        <f>TableBDESIGN[[#This Row],[Study Package Code]]</f>
        <v>MKTG3009</v>
      </c>
      <c r="B39" s="2">
        <f>TableBDESIGN[[#This Row],[Ver]]</f>
        <v>4</v>
      </c>
      <c r="D39" t="str">
        <f>TableBDESIGN[[#This Row],[Structure Line]]</f>
        <v>Business Internship</v>
      </c>
      <c r="E39" s="19">
        <f>TableBDESIGN[[#This Row],[Credit Points]]</f>
        <v>25</v>
      </c>
      <c r="F39">
        <v>11</v>
      </c>
      <c r="G39" t="s">
        <v>409</v>
      </c>
      <c r="H39">
        <v>0</v>
      </c>
      <c r="I39" t="s">
        <v>408</v>
      </c>
      <c r="J39" t="s">
        <v>269</v>
      </c>
      <c r="K39">
        <v>4</v>
      </c>
      <c r="L39" t="s">
        <v>418</v>
      </c>
      <c r="M39">
        <v>25</v>
      </c>
      <c r="N39" s="23">
        <v>43647</v>
      </c>
      <c r="O39" s="23"/>
      <c r="Q39" t="s">
        <v>269</v>
      </c>
      <c r="R39">
        <v>4</v>
      </c>
    </row>
    <row r="40" spans="1:18" x14ac:dyDescent="0.25">
      <c r="A40" t="str">
        <f>TableBDESIGN[[#This Row],[Study Package Code]]</f>
        <v>WORK3000</v>
      </c>
      <c r="B40" s="2">
        <f>TableBDESIGN[[#This Row],[Ver]]</f>
        <v>2</v>
      </c>
      <c r="D40" t="str">
        <f>TableBDESIGN[[#This Row],[Structure Line]]</f>
        <v>Work Based Project</v>
      </c>
      <c r="E40" s="19">
        <f>TableBDESIGN[[#This Row],[Credit Points]]</f>
        <v>25</v>
      </c>
      <c r="F40">
        <v>11</v>
      </c>
      <c r="G40" t="s">
        <v>409</v>
      </c>
      <c r="H40">
        <v>0</v>
      </c>
      <c r="I40" t="s">
        <v>408</v>
      </c>
      <c r="J40" t="s">
        <v>234</v>
      </c>
      <c r="K40">
        <v>2</v>
      </c>
      <c r="L40" t="s">
        <v>419</v>
      </c>
      <c r="M40">
        <v>25</v>
      </c>
      <c r="N40" s="23">
        <v>42736</v>
      </c>
      <c r="O40" s="23"/>
      <c r="Q40" t="s">
        <v>234</v>
      </c>
      <c r="R40">
        <v>2</v>
      </c>
    </row>
    <row r="41" spans="1:18" x14ac:dyDescent="0.25">
      <c r="A41" t="str">
        <f>TableBDESIGN[[#This Row],[Study Package Code]]</f>
        <v>XINO3000</v>
      </c>
      <c r="B41" s="2">
        <f>TableBDESIGN[[#This Row],[Ver]]</f>
        <v>2</v>
      </c>
      <c r="D41" t="str">
        <f>TableBDESIGN[[#This Row],[Structure Line]]</f>
        <v>International Study Tour</v>
      </c>
      <c r="E41" s="19">
        <f>TableBDESIGN[[#This Row],[Credit Points]]</f>
        <v>25</v>
      </c>
      <c r="F41">
        <v>11</v>
      </c>
      <c r="G41" t="s">
        <v>409</v>
      </c>
      <c r="H41">
        <v>0</v>
      </c>
      <c r="I41" t="s">
        <v>408</v>
      </c>
      <c r="J41" t="s">
        <v>272</v>
      </c>
      <c r="K41">
        <v>2</v>
      </c>
      <c r="L41" t="s">
        <v>420</v>
      </c>
      <c r="M41">
        <v>25</v>
      </c>
      <c r="N41" s="23">
        <v>42552</v>
      </c>
      <c r="O41" s="23"/>
      <c r="Q41" t="s">
        <v>272</v>
      </c>
      <c r="R41">
        <v>2</v>
      </c>
    </row>
    <row r="42" spans="1:18" x14ac:dyDescent="0.25">
      <c r="A42" s="44"/>
      <c r="B42" s="99"/>
      <c r="C42" s="44"/>
      <c r="D42" s="44"/>
      <c r="E42" s="99"/>
      <c r="F42" s="44"/>
      <c r="G42" s="44"/>
      <c r="H42" s="44"/>
      <c r="I42" s="44"/>
      <c r="J42" s="44"/>
      <c r="K42" s="44"/>
      <c r="L42" s="44"/>
      <c r="M42" s="44"/>
      <c r="N42" s="100"/>
      <c r="O42" s="100"/>
    </row>
    <row r="43" spans="1:18" x14ac:dyDescent="0.25">
      <c r="B43"/>
      <c r="E43"/>
      <c r="F43" s="17"/>
      <c r="G43" s="18" t="s">
        <v>393</v>
      </c>
      <c r="H43" s="114">
        <v>44927</v>
      </c>
      <c r="I43" s="18"/>
      <c r="J43" s="115" t="s">
        <v>128</v>
      </c>
      <c r="K43" s="116" t="s">
        <v>129</v>
      </c>
      <c r="L43" s="21" t="s">
        <v>14</v>
      </c>
      <c r="M43" s="18"/>
      <c r="N43" s="24" t="s">
        <v>394</v>
      </c>
      <c r="O43" s="101">
        <v>45601</v>
      </c>
    </row>
    <row r="44" spans="1:18" x14ac:dyDescent="0.25">
      <c r="A44" t="s">
        <v>0</v>
      </c>
      <c r="B44" s="2" t="s">
        <v>396</v>
      </c>
      <c r="C44" t="s">
        <v>397</v>
      </c>
      <c r="D44" t="s">
        <v>3</v>
      </c>
      <c r="E44" s="19" t="s">
        <v>398</v>
      </c>
      <c r="F44" t="s">
        <v>399</v>
      </c>
      <c r="G44" t="s">
        <v>400</v>
      </c>
      <c r="H44" t="s">
        <v>401</v>
      </c>
      <c r="I44" t="s">
        <v>24</v>
      </c>
      <c r="J44" t="s">
        <v>402</v>
      </c>
      <c r="K44" t="s">
        <v>1</v>
      </c>
      <c r="L44" t="s">
        <v>403</v>
      </c>
      <c r="M44" t="s">
        <v>60</v>
      </c>
      <c r="N44" t="s">
        <v>404</v>
      </c>
      <c r="O44" t="s">
        <v>405</v>
      </c>
      <c r="Q44" t="s">
        <v>116</v>
      </c>
      <c r="R44" t="s">
        <v>406</v>
      </c>
    </row>
    <row r="45" spans="1:18" x14ac:dyDescent="0.25">
      <c r="A45" t="str">
        <f>TableMJRUADVDS[[#This Row],[Study Package Code]]</f>
        <v>GRDE2009</v>
      </c>
      <c r="B45" s="2">
        <f>TableMJRUADVDS[[#This Row],[Ver]]</f>
        <v>1</v>
      </c>
      <c r="D45" t="str">
        <f>TableMJRUADVDS[[#This Row],[Structure Line]]</f>
        <v>Advertising Design 2</v>
      </c>
      <c r="E45" s="19">
        <f>TableMJRUADVDS[[#This Row],[Credit Points]]</f>
        <v>25</v>
      </c>
      <c r="F45">
        <v>1</v>
      </c>
      <c r="G45" t="s">
        <v>407</v>
      </c>
      <c r="H45">
        <v>0</v>
      </c>
      <c r="I45" t="s">
        <v>408</v>
      </c>
      <c r="J45" t="s">
        <v>113</v>
      </c>
      <c r="K45">
        <v>1</v>
      </c>
      <c r="L45" t="s">
        <v>326</v>
      </c>
      <c r="M45">
        <v>25</v>
      </c>
      <c r="N45" s="23">
        <v>42005</v>
      </c>
      <c r="O45" s="23"/>
      <c r="Q45" t="s">
        <v>113</v>
      </c>
      <c r="R45">
        <v>1</v>
      </c>
    </row>
    <row r="46" spans="1:18" x14ac:dyDescent="0.25">
      <c r="A46" t="str">
        <f>TableMJRUADVDS[[#This Row],[Study Package Code]]</f>
        <v>MKTG2000</v>
      </c>
      <c r="B46" s="2">
        <f>TableMJRUADVDS[[#This Row],[Ver]]</f>
        <v>1</v>
      </c>
      <c r="D46" t="str">
        <f>TableMJRUADVDS[[#This Row],[Structure Line]]</f>
        <v>Integrated Marketing Communications</v>
      </c>
      <c r="E46" s="19">
        <f>TableMJRUADVDS[[#This Row],[Credit Points]]</f>
        <v>25</v>
      </c>
      <c r="F46">
        <v>2</v>
      </c>
      <c r="G46" t="s">
        <v>407</v>
      </c>
      <c r="H46">
        <v>0</v>
      </c>
      <c r="I46" t="s">
        <v>408</v>
      </c>
      <c r="J46" t="s">
        <v>112</v>
      </c>
      <c r="K46">
        <v>1</v>
      </c>
      <c r="L46" t="s">
        <v>375</v>
      </c>
      <c r="M46">
        <v>25</v>
      </c>
      <c r="N46" s="23">
        <v>42005</v>
      </c>
      <c r="O46" s="23"/>
      <c r="Q46" t="s">
        <v>112</v>
      </c>
      <c r="R46">
        <v>1</v>
      </c>
    </row>
    <row r="47" spans="1:18" x14ac:dyDescent="0.25">
      <c r="A47" t="str">
        <f>TableMJRUADVDS[[#This Row],[Study Package Code]]</f>
        <v>MKTG3002</v>
      </c>
      <c r="B47" s="2">
        <f>TableMJRUADVDS[[#This Row],[Ver]]</f>
        <v>3</v>
      </c>
      <c r="D47" t="str">
        <f>TableMJRUADVDS[[#This Row],[Structure Line]]</f>
        <v>Contemporary Advertising Practice</v>
      </c>
      <c r="E47" s="19">
        <f>TableMJRUADVDS[[#This Row],[Credit Points]]</f>
        <v>25</v>
      </c>
      <c r="F47">
        <v>3</v>
      </c>
      <c r="G47" t="s">
        <v>407</v>
      </c>
      <c r="H47">
        <v>0</v>
      </c>
      <c r="I47" t="s">
        <v>408</v>
      </c>
      <c r="J47" t="s">
        <v>165</v>
      </c>
      <c r="K47">
        <v>3</v>
      </c>
      <c r="L47" t="s">
        <v>456</v>
      </c>
      <c r="M47">
        <v>25</v>
      </c>
      <c r="N47" s="23">
        <v>45658</v>
      </c>
      <c r="O47" s="23"/>
      <c r="Q47" t="s">
        <v>165</v>
      </c>
      <c r="R47">
        <v>2</v>
      </c>
    </row>
    <row r="48" spans="1:18" x14ac:dyDescent="0.25">
      <c r="A48" t="str">
        <f>TableMJRUADVDS[[#This Row],[Study Package Code]]</f>
        <v>GRDE3011</v>
      </c>
      <c r="B48" s="2">
        <f>TableMJRUADVDS[[#This Row],[Ver]]</f>
        <v>1</v>
      </c>
      <c r="D48" t="str">
        <f>TableMJRUADVDS[[#This Row],[Structure Line]]</f>
        <v>Advertising Design 3</v>
      </c>
      <c r="E48" s="19">
        <f>TableMJRUADVDS[[#This Row],[Credit Points]]</f>
        <v>25</v>
      </c>
      <c r="F48">
        <v>4</v>
      </c>
      <c r="G48" t="s">
        <v>407</v>
      </c>
      <c r="H48">
        <v>0</v>
      </c>
      <c r="I48" t="s">
        <v>408</v>
      </c>
      <c r="J48" t="s">
        <v>170</v>
      </c>
      <c r="K48">
        <v>1</v>
      </c>
      <c r="L48" t="s">
        <v>421</v>
      </c>
      <c r="M48">
        <v>25</v>
      </c>
      <c r="N48" s="23">
        <v>42005</v>
      </c>
      <c r="O48" s="23"/>
      <c r="Q48" t="s">
        <v>170</v>
      </c>
      <c r="R48">
        <v>1</v>
      </c>
    </row>
    <row r="49" spans="1:18" x14ac:dyDescent="0.25">
      <c r="A49" t="str">
        <f>TableMJRUADVDS[[#This Row],[Study Package Code]]</f>
        <v>GRDE1027</v>
      </c>
      <c r="B49" s="2">
        <f>TableMJRUADVDS[[#This Row],[Ver]]</f>
        <v>1</v>
      </c>
      <c r="D49" t="str">
        <f>TableMJRUADVDS[[#This Row],[Structure Line]]</f>
        <v>Advertising Design 1</v>
      </c>
      <c r="E49" s="19">
        <f>TableMJRUADVDS[[#This Row],[Credit Points]]</f>
        <v>25</v>
      </c>
      <c r="F49">
        <v>5</v>
      </c>
      <c r="G49" t="s">
        <v>407</v>
      </c>
      <c r="H49">
        <v>0</v>
      </c>
      <c r="I49" t="s">
        <v>408</v>
      </c>
      <c r="J49" t="s">
        <v>77</v>
      </c>
      <c r="K49">
        <v>1</v>
      </c>
      <c r="L49" t="s">
        <v>318</v>
      </c>
      <c r="M49">
        <v>25</v>
      </c>
      <c r="N49" s="23">
        <v>43831</v>
      </c>
      <c r="O49" s="23"/>
      <c r="Q49" t="s">
        <v>77</v>
      </c>
      <c r="R49">
        <v>1</v>
      </c>
    </row>
    <row r="50" spans="1:18" x14ac:dyDescent="0.25">
      <c r="A50" t="str">
        <f>TableMJRUADVDS[[#This Row],[Study Package Code]]</f>
        <v>GRDE3013</v>
      </c>
      <c r="B50" s="2">
        <f>TableMJRUADVDS[[#This Row],[Ver]]</f>
        <v>1</v>
      </c>
      <c r="D50" t="str">
        <f>TableMJRUADVDS[[#This Row],[Structure Line]]</f>
        <v>Advertising Design 4</v>
      </c>
      <c r="E50" s="19">
        <f>TableMJRUADVDS[[#This Row],[Credit Points]]</f>
        <v>25</v>
      </c>
      <c r="F50">
        <v>6</v>
      </c>
      <c r="G50" t="s">
        <v>407</v>
      </c>
      <c r="H50">
        <v>0</v>
      </c>
      <c r="I50" t="s">
        <v>408</v>
      </c>
      <c r="J50" t="s">
        <v>171</v>
      </c>
      <c r="K50">
        <v>1</v>
      </c>
      <c r="L50" t="s">
        <v>422</v>
      </c>
      <c r="M50">
        <v>25</v>
      </c>
      <c r="N50" s="23">
        <v>42005</v>
      </c>
      <c r="O50" s="23"/>
      <c r="Q50" t="s">
        <v>171</v>
      </c>
      <c r="R50">
        <v>1</v>
      </c>
    </row>
    <row r="51" spans="1:18" x14ac:dyDescent="0.25">
      <c r="A51" t="str">
        <f>TableMJRUADVDS[[#This Row],[Study Package Code]]</f>
        <v>GRDE2034</v>
      </c>
      <c r="B51" s="2">
        <f>TableMJRUADVDS[[#This Row],[Ver]]</f>
        <v>1</v>
      </c>
      <c r="D51" t="str">
        <f>TableMJRUADVDS[[#This Row],[Structure Line]]</f>
        <v>Art Direction in Design and Advertising</v>
      </c>
      <c r="E51" s="19">
        <f>TableMJRUADVDS[[#This Row],[Credit Points]]</f>
        <v>25</v>
      </c>
      <c r="F51">
        <v>7</v>
      </c>
      <c r="G51" t="s">
        <v>407</v>
      </c>
      <c r="H51">
        <v>0</v>
      </c>
      <c r="I51" t="s">
        <v>408</v>
      </c>
      <c r="J51" t="s">
        <v>118</v>
      </c>
      <c r="K51">
        <v>1</v>
      </c>
      <c r="L51" t="s">
        <v>341</v>
      </c>
      <c r="M51">
        <v>25</v>
      </c>
      <c r="N51" s="23">
        <v>42552</v>
      </c>
      <c r="O51" s="23"/>
      <c r="Q51" t="s">
        <v>118</v>
      </c>
      <c r="R51">
        <v>1</v>
      </c>
    </row>
    <row r="52" spans="1:18" x14ac:dyDescent="0.25">
      <c r="A52" t="str">
        <f>TableMJRUADVDS[[#This Row],[Study Package Code]]</f>
        <v>AC-ADVDS</v>
      </c>
      <c r="B52" s="2">
        <f>TableMJRUADVDS[[#This Row],[Ver]]</f>
        <v>0</v>
      </c>
      <c r="D52" t="str">
        <f>TableMJRUADVDS[[#This Row],[Structure Line]]</f>
        <v>Choose GRDE2033 or MKTG2001</v>
      </c>
      <c r="E52" s="19">
        <f>TableMJRUADVDS[[#This Row],[Credit Points]]</f>
        <v>25</v>
      </c>
      <c r="F52">
        <v>8</v>
      </c>
      <c r="G52" t="s">
        <v>414</v>
      </c>
      <c r="H52">
        <v>0</v>
      </c>
      <c r="I52" t="s">
        <v>408</v>
      </c>
      <c r="J52" t="s">
        <v>119</v>
      </c>
      <c r="K52">
        <v>0</v>
      </c>
      <c r="L52" t="s">
        <v>424</v>
      </c>
      <c r="M52">
        <v>25</v>
      </c>
      <c r="O52" s="23"/>
      <c r="Q52" t="s">
        <v>423</v>
      </c>
      <c r="R52">
        <v>0</v>
      </c>
    </row>
    <row r="53" spans="1:18" x14ac:dyDescent="0.25">
      <c r="A53" t="str">
        <f>TableMJRUADVDS[[#This Row],[Study Package Code]]</f>
        <v>GRDE2033</v>
      </c>
      <c r="B53" s="2">
        <f>TableMJRUADVDS[[#This Row],[Ver]]</f>
        <v>2</v>
      </c>
      <c r="D53" t="str">
        <f>TableMJRUADVDS[[#This Row],[Structure Line]]</f>
        <v>Copywriting for Design and Advertising</v>
      </c>
      <c r="E53" s="19">
        <f>TableMJRUADVDS[[#This Row],[Credit Points]]</f>
        <v>25</v>
      </c>
      <c r="F53">
        <v>8</v>
      </c>
      <c r="G53" t="s">
        <v>414</v>
      </c>
      <c r="H53">
        <v>0</v>
      </c>
      <c r="I53" t="s">
        <v>408</v>
      </c>
      <c r="J53" t="s">
        <v>217</v>
      </c>
      <c r="K53">
        <v>2</v>
      </c>
      <c r="L53" t="s">
        <v>340</v>
      </c>
      <c r="M53">
        <v>25</v>
      </c>
      <c r="N53" s="23">
        <v>45292</v>
      </c>
      <c r="O53" s="23"/>
      <c r="Q53" t="s">
        <v>217</v>
      </c>
      <c r="R53">
        <v>2</v>
      </c>
    </row>
    <row r="54" spans="1:18" x14ac:dyDescent="0.25">
      <c r="A54" t="str">
        <f>TableMJRUADVDS[[#This Row],[Study Package Code]]</f>
        <v>MKTG2001</v>
      </c>
      <c r="B54" s="2">
        <f>TableMJRUADVDS[[#This Row],[Ver]]</f>
        <v>1</v>
      </c>
      <c r="D54" t="str">
        <f>TableMJRUADVDS[[#This Row],[Structure Line]]</f>
        <v>Brand Management</v>
      </c>
      <c r="E54" s="19">
        <f>TableMJRUADVDS[[#This Row],[Credit Points]]</f>
        <v>25</v>
      </c>
      <c r="F54">
        <v>8</v>
      </c>
      <c r="G54" t="s">
        <v>414</v>
      </c>
      <c r="H54">
        <v>0</v>
      </c>
      <c r="I54" t="s">
        <v>408</v>
      </c>
      <c r="J54" t="s">
        <v>210</v>
      </c>
      <c r="K54">
        <v>1</v>
      </c>
      <c r="L54" t="s">
        <v>376</v>
      </c>
      <c r="M54">
        <v>25</v>
      </c>
      <c r="N54" s="23">
        <v>42005</v>
      </c>
      <c r="O54" s="23"/>
      <c r="Q54" t="s">
        <v>210</v>
      </c>
      <c r="R54">
        <v>1</v>
      </c>
    </row>
    <row r="55" spans="1:18" x14ac:dyDescent="0.25">
      <c r="B55"/>
      <c r="E55"/>
      <c r="F55" s="17"/>
      <c r="G55" s="18" t="s">
        <v>393</v>
      </c>
      <c r="H55" s="114">
        <v>43831</v>
      </c>
      <c r="I55" s="18"/>
      <c r="J55" s="115" t="s">
        <v>138</v>
      </c>
      <c r="K55" s="116" t="s">
        <v>139</v>
      </c>
      <c r="L55" s="21" t="s">
        <v>137</v>
      </c>
      <c r="M55" s="18"/>
      <c r="N55" s="24" t="s">
        <v>394</v>
      </c>
      <c r="O55" s="23">
        <v>45601</v>
      </c>
    </row>
    <row r="56" spans="1:18" x14ac:dyDescent="0.25">
      <c r="A56" t="s">
        <v>0</v>
      </c>
      <c r="B56" s="2" t="s">
        <v>396</v>
      </c>
      <c r="C56" t="s">
        <v>397</v>
      </c>
      <c r="D56" t="s">
        <v>3</v>
      </c>
      <c r="E56" s="19" t="s">
        <v>398</v>
      </c>
      <c r="F56" t="s">
        <v>399</v>
      </c>
      <c r="G56" t="s">
        <v>400</v>
      </c>
      <c r="H56" t="s">
        <v>401</v>
      </c>
      <c r="I56" t="s">
        <v>24</v>
      </c>
      <c r="J56" t="s">
        <v>402</v>
      </c>
      <c r="K56" t="s">
        <v>1</v>
      </c>
      <c r="L56" t="s">
        <v>403</v>
      </c>
      <c r="M56" t="s">
        <v>60</v>
      </c>
      <c r="N56" t="s">
        <v>404</v>
      </c>
      <c r="O56" t="s">
        <v>405</v>
      </c>
      <c r="Q56" t="s">
        <v>116</v>
      </c>
      <c r="R56" t="s">
        <v>406</v>
      </c>
    </row>
    <row r="57" spans="1:18" x14ac:dyDescent="0.25">
      <c r="A57" t="str">
        <f>TableMJRUANIGD[[#This Row],[Study Package Code]]</f>
        <v>GRDE1001</v>
      </c>
      <c r="B57" s="2">
        <f>TableMJRUANIGD[[#This Row],[Ver]]</f>
        <v>1</v>
      </c>
      <c r="D57" t="str">
        <f>TableMJRUANIGD[[#This Row],[Structure Line]]</f>
        <v>Animation Design Introduction</v>
      </c>
      <c r="E57" s="19">
        <f>TableMJRUANIGD[[#This Row],[Credit Points]]</f>
        <v>25</v>
      </c>
      <c r="F57">
        <v>1</v>
      </c>
      <c r="G57" t="s">
        <v>407</v>
      </c>
      <c r="H57">
        <v>1</v>
      </c>
      <c r="I57" t="s">
        <v>408</v>
      </c>
      <c r="J57" t="s">
        <v>78</v>
      </c>
      <c r="K57">
        <v>1</v>
      </c>
      <c r="L57" t="s">
        <v>303</v>
      </c>
      <c r="M57">
        <v>25</v>
      </c>
      <c r="N57" s="23">
        <v>42005</v>
      </c>
      <c r="O57" s="23"/>
      <c r="Q57" t="s">
        <v>78</v>
      </c>
      <c r="R57">
        <v>1</v>
      </c>
    </row>
    <row r="58" spans="1:18" x14ac:dyDescent="0.25">
      <c r="A58" t="str">
        <f>TableMJRUANIGD[[#This Row],[Study Package Code]]</f>
        <v>GRDE1020</v>
      </c>
      <c r="B58" s="2">
        <f>TableMJRUANIGD[[#This Row],[Ver]]</f>
        <v>1</v>
      </c>
      <c r="D58" t="str">
        <f>TableMJRUANIGD[[#This Row],[Structure Line]]</f>
        <v>Game Design Introduction</v>
      </c>
      <c r="E58" s="19">
        <f>TableMJRUANIGD[[#This Row],[Credit Points]]</f>
        <v>25</v>
      </c>
      <c r="F58">
        <v>2</v>
      </c>
      <c r="G58" t="s">
        <v>407</v>
      </c>
      <c r="H58">
        <v>1</v>
      </c>
      <c r="I58" t="s">
        <v>408</v>
      </c>
      <c r="J58" t="s">
        <v>79</v>
      </c>
      <c r="K58">
        <v>1</v>
      </c>
      <c r="L58" t="s">
        <v>314</v>
      </c>
      <c r="M58">
        <v>25</v>
      </c>
      <c r="N58" s="23">
        <v>42736</v>
      </c>
      <c r="O58" s="23"/>
      <c r="Q58" t="s">
        <v>79</v>
      </c>
      <c r="R58">
        <v>1</v>
      </c>
    </row>
    <row r="59" spans="1:18" x14ac:dyDescent="0.25">
      <c r="A59" t="str">
        <f>TableMJRUANIGD[[#This Row],[Study Package Code]]</f>
        <v>GRDE2037</v>
      </c>
      <c r="B59" s="2">
        <f>TableMJRUANIGD[[#This Row],[Ver]]</f>
        <v>2</v>
      </c>
      <c r="D59" t="str">
        <f>TableMJRUANIGD[[#This Row],[Structure Line]]</f>
        <v>3D Level Design</v>
      </c>
      <c r="E59" s="19">
        <f>TableMJRUANIGD[[#This Row],[Credit Points]]</f>
        <v>25</v>
      </c>
      <c r="F59">
        <v>3</v>
      </c>
      <c r="G59" t="s">
        <v>407</v>
      </c>
      <c r="H59">
        <v>2</v>
      </c>
      <c r="I59" t="s">
        <v>408</v>
      </c>
      <c r="J59" t="s">
        <v>120</v>
      </c>
      <c r="K59">
        <v>2</v>
      </c>
      <c r="L59" t="s">
        <v>344</v>
      </c>
      <c r="M59">
        <v>25</v>
      </c>
      <c r="N59" s="23">
        <v>43466</v>
      </c>
      <c r="O59" s="23"/>
      <c r="Q59" t="s">
        <v>120</v>
      </c>
      <c r="R59">
        <v>2</v>
      </c>
    </row>
    <row r="60" spans="1:18" x14ac:dyDescent="0.25">
      <c r="A60" t="str">
        <f>TableMJRUANIGD[[#This Row],[Study Package Code]]</f>
        <v>GRDE2014</v>
      </c>
      <c r="B60" s="2">
        <f>TableMJRUANIGD[[#This Row],[Ver]]</f>
        <v>1</v>
      </c>
      <c r="D60" t="str">
        <f>TableMJRUANIGD[[#This Row],[Structure Line]]</f>
        <v>Animation and Game Texture Design</v>
      </c>
      <c r="E60" s="19">
        <f>TableMJRUANIGD[[#This Row],[Credit Points]]</f>
        <v>25</v>
      </c>
      <c r="F60">
        <v>4</v>
      </c>
      <c r="G60" t="s">
        <v>407</v>
      </c>
      <c r="H60">
        <v>2</v>
      </c>
      <c r="I60" t="s">
        <v>408</v>
      </c>
      <c r="J60" t="s">
        <v>121</v>
      </c>
      <c r="K60">
        <v>1</v>
      </c>
      <c r="L60" t="s">
        <v>330</v>
      </c>
      <c r="M60">
        <v>25</v>
      </c>
      <c r="N60" s="23">
        <v>42005</v>
      </c>
      <c r="O60" s="23"/>
      <c r="Q60" t="s">
        <v>121</v>
      </c>
      <c r="R60">
        <v>1</v>
      </c>
    </row>
    <row r="61" spans="1:18" x14ac:dyDescent="0.25">
      <c r="A61" t="str">
        <f>TableMJRUANIGD[[#This Row],[Study Package Code]]</f>
        <v>GRDE2038</v>
      </c>
      <c r="B61" s="2">
        <f>TableMJRUANIGD[[#This Row],[Ver]]</f>
        <v>1</v>
      </c>
      <c r="D61" t="str">
        <f>TableMJRUANIGD[[#This Row],[Structure Line]]</f>
        <v>Animation and Special Effects Compositing</v>
      </c>
      <c r="E61" s="19">
        <f>TableMJRUANIGD[[#This Row],[Credit Points]]</f>
        <v>25</v>
      </c>
      <c r="F61">
        <v>5</v>
      </c>
      <c r="G61" t="s">
        <v>407</v>
      </c>
      <c r="H61">
        <v>2</v>
      </c>
      <c r="I61" t="s">
        <v>408</v>
      </c>
      <c r="J61" t="s">
        <v>133</v>
      </c>
      <c r="K61">
        <v>1</v>
      </c>
      <c r="L61" t="s">
        <v>346</v>
      </c>
      <c r="M61">
        <v>25</v>
      </c>
      <c r="N61" s="23">
        <v>42736</v>
      </c>
      <c r="O61" s="23"/>
      <c r="Q61" t="s">
        <v>133</v>
      </c>
      <c r="R61">
        <v>1</v>
      </c>
    </row>
    <row r="62" spans="1:18" x14ac:dyDescent="0.25">
      <c r="A62" t="str">
        <f>TableMJRUANIGD[[#This Row],[Study Package Code]]</f>
        <v>GRDE2035</v>
      </c>
      <c r="B62" s="2">
        <f>TableMJRUANIGD[[#This Row],[Ver]]</f>
        <v>1</v>
      </c>
      <c r="D62" t="str">
        <f>TableMJRUANIGD[[#This Row],[Structure Line]]</f>
        <v>Introduction to 3D Modelling and Rendering</v>
      </c>
      <c r="E62" s="19">
        <f>TableMJRUANIGD[[#This Row],[Credit Points]]</f>
        <v>25</v>
      </c>
      <c r="F62">
        <v>6</v>
      </c>
      <c r="G62" t="s">
        <v>407</v>
      </c>
      <c r="H62">
        <v>2</v>
      </c>
      <c r="I62" t="s">
        <v>408</v>
      </c>
      <c r="J62" t="s">
        <v>103</v>
      </c>
      <c r="K62">
        <v>1</v>
      </c>
      <c r="L62" t="s">
        <v>342</v>
      </c>
      <c r="M62">
        <v>25</v>
      </c>
      <c r="N62" s="23">
        <v>42736</v>
      </c>
      <c r="O62" s="23"/>
      <c r="Q62" t="s">
        <v>103</v>
      </c>
      <c r="R62">
        <v>1</v>
      </c>
    </row>
    <row r="63" spans="1:18" x14ac:dyDescent="0.25">
      <c r="A63" t="str">
        <f>TableMJRUANIGD[[#This Row],[Study Package Code]]</f>
        <v>GRDE3015</v>
      </c>
      <c r="B63" s="2">
        <f>TableMJRUANIGD[[#This Row],[Ver]]</f>
        <v>1</v>
      </c>
      <c r="D63" t="str">
        <f>TableMJRUANIGD[[#This Row],[Structure Line]]</f>
        <v>Advanced Animation</v>
      </c>
      <c r="E63" s="19">
        <f>TableMJRUANIGD[[#This Row],[Credit Points]]</f>
        <v>25</v>
      </c>
      <c r="F63">
        <v>7</v>
      </c>
      <c r="G63" t="s">
        <v>407</v>
      </c>
      <c r="H63">
        <v>3</v>
      </c>
      <c r="I63" t="s">
        <v>408</v>
      </c>
      <c r="J63" t="s">
        <v>172</v>
      </c>
      <c r="K63">
        <v>1</v>
      </c>
      <c r="L63" t="s">
        <v>355</v>
      </c>
      <c r="M63">
        <v>25</v>
      </c>
      <c r="N63" s="23">
        <v>42005</v>
      </c>
      <c r="O63" s="23"/>
      <c r="Q63" t="s">
        <v>172</v>
      </c>
      <c r="R63">
        <v>1</v>
      </c>
    </row>
    <row r="64" spans="1:18" x14ac:dyDescent="0.25">
      <c r="A64" t="str">
        <f>TableMJRUANIGD[[#This Row],[Study Package Code]]</f>
        <v>GRDE3029</v>
      </c>
      <c r="B64" s="2">
        <f>TableMJRUANIGD[[#This Row],[Ver]]</f>
        <v>1</v>
      </c>
      <c r="D64" t="str">
        <f>TableMJRUANIGD[[#This Row],[Structure Line]]</f>
        <v>Visual Narrative Studio</v>
      </c>
      <c r="E64" s="19">
        <f>TableMJRUANIGD[[#This Row],[Credit Points]]</f>
        <v>25</v>
      </c>
      <c r="F64">
        <v>8</v>
      </c>
      <c r="G64" t="s">
        <v>407</v>
      </c>
      <c r="H64">
        <v>3</v>
      </c>
      <c r="I64" t="s">
        <v>408</v>
      </c>
      <c r="J64" t="s">
        <v>180</v>
      </c>
      <c r="K64">
        <v>1</v>
      </c>
      <c r="L64" t="s">
        <v>362</v>
      </c>
      <c r="M64">
        <v>25</v>
      </c>
      <c r="N64" s="23">
        <v>42736</v>
      </c>
      <c r="O64" s="23"/>
      <c r="Q64" t="s">
        <v>180</v>
      </c>
      <c r="R64">
        <v>1</v>
      </c>
    </row>
    <row r="65" spans="1:18" x14ac:dyDescent="0.25">
      <c r="B65"/>
      <c r="E65"/>
      <c r="F65" s="17"/>
      <c r="G65" s="18" t="s">
        <v>393</v>
      </c>
      <c r="H65" s="114">
        <v>43831</v>
      </c>
      <c r="I65" s="18"/>
      <c r="J65" s="115" t="s">
        <v>147</v>
      </c>
      <c r="K65" s="116" t="s">
        <v>148</v>
      </c>
      <c r="L65" s="21" t="s">
        <v>146</v>
      </c>
      <c r="M65" s="18"/>
      <c r="N65" s="24" t="s">
        <v>394</v>
      </c>
      <c r="O65" s="23">
        <v>45601</v>
      </c>
    </row>
    <row r="66" spans="1:18" x14ac:dyDescent="0.25">
      <c r="A66" t="s">
        <v>0</v>
      </c>
      <c r="B66" s="2" t="s">
        <v>396</v>
      </c>
      <c r="C66" t="s">
        <v>397</v>
      </c>
      <c r="D66" t="s">
        <v>3</v>
      </c>
      <c r="E66" s="19" t="s">
        <v>398</v>
      </c>
      <c r="F66" t="s">
        <v>399</v>
      </c>
      <c r="G66" t="s">
        <v>400</v>
      </c>
      <c r="H66" t="s">
        <v>401</v>
      </c>
      <c r="I66" t="s">
        <v>24</v>
      </c>
      <c r="J66" t="s">
        <v>402</v>
      </c>
      <c r="K66" t="s">
        <v>1</v>
      </c>
      <c r="L66" t="s">
        <v>403</v>
      </c>
      <c r="M66" t="s">
        <v>60</v>
      </c>
      <c r="N66" t="s">
        <v>404</v>
      </c>
      <c r="O66" t="s">
        <v>405</v>
      </c>
      <c r="Q66" t="s">
        <v>116</v>
      </c>
      <c r="R66" t="s">
        <v>406</v>
      </c>
    </row>
    <row r="67" spans="1:18" x14ac:dyDescent="0.25">
      <c r="A67" t="str">
        <f>TableMJRUDIGDE[[#This Row],[Study Package Code]]</f>
        <v>GRDE1016</v>
      </c>
      <c r="B67" s="2">
        <f>TableMJRUDIGDE[[#This Row],[Ver]]</f>
        <v>2</v>
      </c>
      <c r="D67" t="str">
        <f>TableMJRUDIGDE[[#This Row],[Structure Line]]</f>
        <v>Digital Design 1</v>
      </c>
      <c r="E67" s="19">
        <f>TableMJRUDIGDE[[#This Row],[Credit Points]]</f>
        <v>25</v>
      </c>
      <c r="F67">
        <v>1</v>
      </c>
      <c r="G67" t="s">
        <v>407</v>
      </c>
      <c r="H67">
        <v>1</v>
      </c>
      <c r="I67" t="s">
        <v>408</v>
      </c>
      <c r="J67" t="s">
        <v>74</v>
      </c>
      <c r="K67">
        <v>2</v>
      </c>
      <c r="L67" t="s">
        <v>312</v>
      </c>
      <c r="M67">
        <v>25</v>
      </c>
      <c r="N67" s="23">
        <v>44197</v>
      </c>
      <c r="O67" s="23"/>
      <c r="Q67" t="s">
        <v>74</v>
      </c>
      <c r="R67">
        <v>2</v>
      </c>
    </row>
    <row r="68" spans="1:18" x14ac:dyDescent="0.25">
      <c r="A68" t="str">
        <f>TableMJRUDIGDE[[#This Row],[Study Package Code]]</f>
        <v>GRDE1018</v>
      </c>
      <c r="B68" s="2">
        <f>TableMJRUDIGDE[[#This Row],[Ver]]</f>
        <v>3</v>
      </c>
      <c r="D68" t="str">
        <f>TableMJRUDIGDE[[#This Row],[Structure Line]]</f>
        <v>UX Design 1</v>
      </c>
      <c r="E68" s="19">
        <f>TableMJRUDIGDE[[#This Row],[Credit Points]]</f>
        <v>25</v>
      </c>
      <c r="F68">
        <v>2</v>
      </c>
      <c r="G68" t="s">
        <v>407</v>
      </c>
      <c r="H68">
        <v>1</v>
      </c>
      <c r="I68" t="s">
        <v>408</v>
      </c>
      <c r="J68" t="s">
        <v>81</v>
      </c>
      <c r="K68">
        <v>3</v>
      </c>
      <c r="L68" t="s">
        <v>313</v>
      </c>
      <c r="M68">
        <v>25</v>
      </c>
      <c r="N68" s="23">
        <v>45658</v>
      </c>
      <c r="O68" s="23"/>
      <c r="Q68" t="s">
        <v>81</v>
      </c>
      <c r="R68">
        <v>2</v>
      </c>
    </row>
    <row r="69" spans="1:18" x14ac:dyDescent="0.25">
      <c r="A69" t="str">
        <f>TableMJRUDIGDE[[#This Row],[Study Package Code]]</f>
        <v>ICTE2002</v>
      </c>
      <c r="B69" s="2">
        <f>TableMJRUDIGDE[[#This Row],[Ver]]</f>
        <v>4</v>
      </c>
      <c r="D69" t="str">
        <f>TableMJRUDIGDE[[#This Row],[Structure Line]]</f>
        <v>UX Design 2</v>
      </c>
      <c r="E69" s="19">
        <f>TableMJRUDIGDE[[#This Row],[Credit Points]]</f>
        <v>25</v>
      </c>
      <c r="F69">
        <v>3</v>
      </c>
      <c r="G69" t="s">
        <v>407</v>
      </c>
      <c r="H69">
        <v>2</v>
      </c>
      <c r="I69" t="s">
        <v>408</v>
      </c>
      <c r="J69" t="s">
        <v>96</v>
      </c>
      <c r="K69">
        <v>4</v>
      </c>
      <c r="L69" t="s">
        <v>369</v>
      </c>
      <c r="M69">
        <v>25</v>
      </c>
      <c r="N69" s="23">
        <v>45658</v>
      </c>
      <c r="O69" s="23"/>
      <c r="Q69" t="s">
        <v>96</v>
      </c>
      <c r="R69">
        <v>3</v>
      </c>
    </row>
    <row r="70" spans="1:18" x14ac:dyDescent="0.25">
      <c r="A70" t="str">
        <f>TableMJRUDIGDE[[#This Row],[Study Package Code]]</f>
        <v>GRDE2011</v>
      </c>
      <c r="B70" s="2">
        <f>TableMJRUDIGDE[[#This Row],[Ver]]</f>
        <v>2</v>
      </c>
      <c r="D70" t="str">
        <f>TableMJRUDIGDE[[#This Row],[Structure Line]]</f>
        <v>Web Design 1</v>
      </c>
      <c r="E70" s="19">
        <f>TableMJRUDIGDE[[#This Row],[Credit Points]]</f>
        <v>25</v>
      </c>
      <c r="F70">
        <v>4</v>
      </c>
      <c r="G70" t="s">
        <v>407</v>
      </c>
      <c r="H70">
        <v>2</v>
      </c>
      <c r="I70" t="s">
        <v>408</v>
      </c>
      <c r="J70" t="s">
        <v>104</v>
      </c>
      <c r="K70">
        <v>2</v>
      </c>
      <c r="L70" t="s">
        <v>327</v>
      </c>
      <c r="M70">
        <v>25</v>
      </c>
      <c r="N70" s="23">
        <v>44197</v>
      </c>
      <c r="O70" s="23"/>
      <c r="Q70" t="s">
        <v>104</v>
      </c>
      <c r="R70">
        <v>2</v>
      </c>
    </row>
    <row r="71" spans="1:18" x14ac:dyDescent="0.25">
      <c r="A71" t="str">
        <f>TableMJRUDIGDE[[#This Row],[Study Package Code]]</f>
        <v>GRDE2040</v>
      </c>
      <c r="B71" s="2">
        <f>TableMJRUDIGDE[[#This Row],[Ver]]</f>
        <v>3</v>
      </c>
      <c r="D71" t="str">
        <f>TableMJRUDIGDE[[#This Row],[Structure Line]]</f>
        <v>Multimodal Design 1</v>
      </c>
      <c r="E71" s="19">
        <f>TableMJRUDIGDE[[#This Row],[Credit Points]]</f>
        <v>25</v>
      </c>
      <c r="F71">
        <v>5</v>
      </c>
      <c r="G71" t="s">
        <v>407</v>
      </c>
      <c r="H71">
        <v>2</v>
      </c>
      <c r="I71" t="s">
        <v>408</v>
      </c>
      <c r="J71" t="s">
        <v>122</v>
      </c>
      <c r="K71">
        <v>3</v>
      </c>
      <c r="L71" t="s">
        <v>348</v>
      </c>
      <c r="M71">
        <v>25</v>
      </c>
      <c r="N71" s="23">
        <v>44927</v>
      </c>
      <c r="O71" s="23"/>
      <c r="Q71" t="s">
        <v>122</v>
      </c>
      <c r="R71">
        <v>3</v>
      </c>
    </row>
    <row r="72" spans="1:18" x14ac:dyDescent="0.25">
      <c r="A72" t="str">
        <f>TableMJRUDIGDE[[#This Row],[Study Package Code]]</f>
        <v>GRDE2013</v>
      </c>
      <c r="B72" s="2">
        <f>TableMJRUDIGDE[[#This Row],[Ver]]</f>
        <v>3</v>
      </c>
      <c r="D72" t="str">
        <f>TableMJRUDIGDE[[#This Row],[Structure Line]]</f>
        <v>Web Design 2</v>
      </c>
      <c r="E72" s="19">
        <f>TableMJRUDIGDE[[#This Row],[Credit Points]]</f>
        <v>25</v>
      </c>
      <c r="F72">
        <v>6</v>
      </c>
      <c r="G72" t="s">
        <v>407</v>
      </c>
      <c r="H72">
        <v>2</v>
      </c>
      <c r="I72" t="s">
        <v>408</v>
      </c>
      <c r="J72" t="s">
        <v>134</v>
      </c>
      <c r="K72">
        <v>3</v>
      </c>
      <c r="L72" t="s">
        <v>329</v>
      </c>
      <c r="M72">
        <v>25</v>
      </c>
      <c r="N72" s="23">
        <v>44197</v>
      </c>
      <c r="O72" s="23"/>
      <c r="Q72" t="s">
        <v>134</v>
      </c>
      <c r="R72">
        <v>3</v>
      </c>
    </row>
    <row r="73" spans="1:18" x14ac:dyDescent="0.25">
      <c r="A73" t="str">
        <f>TableMJRUDIGDE[[#This Row],[Study Package Code]]</f>
        <v>GRDE3014</v>
      </c>
      <c r="B73" s="2">
        <f>TableMJRUDIGDE[[#This Row],[Ver]]</f>
        <v>4</v>
      </c>
      <c r="D73" t="str">
        <f>TableMJRUDIGDE[[#This Row],[Structure Line]]</f>
        <v>DigEx Major Project 1</v>
      </c>
      <c r="E73" s="19">
        <f>TableMJRUDIGDE[[#This Row],[Credit Points]]</f>
        <v>25</v>
      </c>
      <c r="F73">
        <v>7</v>
      </c>
      <c r="G73" t="s">
        <v>407</v>
      </c>
      <c r="H73">
        <v>3</v>
      </c>
      <c r="I73" t="s">
        <v>408</v>
      </c>
      <c r="J73" t="s">
        <v>150</v>
      </c>
      <c r="K73">
        <v>4</v>
      </c>
      <c r="L73" t="s">
        <v>353</v>
      </c>
      <c r="M73">
        <v>25</v>
      </c>
      <c r="N73" s="23">
        <v>44927</v>
      </c>
      <c r="O73" s="23"/>
      <c r="Q73" t="s">
        <v>150</v>
      </c>
      <c r="R73">
        <v>4</v>
      </c>
    </row>
    <row r="74" spans="1:18" x14ac:dyDescent="0.25">
      <c r="A74" t="str">
        <f>TableMJRUDIGDE[[#This Row],[Study Package Code]]</f>
        <v>GRDE3016</v>
      </c>
      <c r="B74" s="2">
        <f>TableMJRUDIGDE[[#This Row],[Ver]]</f>
        <v>4</v>
      </c>
      <c r="D74" t="str">
        <f>TableMJRUDIGDE[[#This Row],[Structure Line]]</f>
        <v>DigEx Major Project 2</v>
      </c>
      <c r="E74" s="19">
        <f>TableMJRUDIGDE[[#This Row],[Credit Points]]</f>
        <v>25</v>
      </c>
      <c r="F74">
        <v>8</v>
      </c>
      <c r="G74" t="s">
        <v>407</v>
      </c>
      <c r="H74">
        <v>3</v>
      </c>
      <c r="I74" t="s">
        <v>408</v>
      </c>
      <c r="J74" t="s">
        <v>173</v>
      </c>
      <c r="K74">
        <v>4</v>
      </c>
      <c r="L74" t="s">
        <v>357</v>
      </c>
      <c r="M74">
        <v>25</v>
      </c>
      <c r="N74" s="23">
        <v>44927</v>
      </c>
      <c r="O74" s="23"/>
      <c r="Q74" t="s">
        <v>173</v>
      </c>
      <c r="R74">
        <v>4</v>
      </c>
    </row>
    <row r="75" spans="1:18" x14ac:dyDescent="0.25">
      <c r="B75"/>
      <c r="E75"/>
      <c r="F75" s="17"/>
      <c r="G75" s="18" t="s">
        <v>393</v>
      </c>
      <c r="H75" s="114">
        <v>45292</v>
      </c>
      <c r="I75" s="18"/>
      <c r="J75" s="115" t="s">
        <v>142</v>
      </c>
      <c r="K75" s="116" t="s">
        <v>139</v>
      </c>
      <c r="L75" s="21" t="s">
        <v>141</v>
      </c>
      <c r="M75" s="18"/>
      <c r="N75" s="24" t="s">
        <v>394</v>
      </c>
      <c r="O75" s="23">
        <v>45601</v>
      </c>
    </row>
    <row r="76" spans="1:18" x14ac:dyDescent="0.25">
      <c r="A76" t="s">
        <v>0</v>
      </c>
      <c r="B76" s="2" t="s">
        <v>396</v>
      </c>
      <c r="C76" t="s">
        <v>397</v>
      </c>
      <c r="D76" t="s">
        <v>3</v>
      </c>
      <c r="E76" s="19" t="s">
        <v>398</v>
      </c>
      <c r="F76" t="s">
        <v>399</v>
      </c>
      <c r="G76" t="s">
        <v>400</v>
      </c>
      <c r="H76" t="s">
        <v>401</v>
      </c>
      <c r="I76" t="s">
        <v>24</v>
      </c>
      <c r="J76" t="s">
        <v>402</v>
      </c>
      <c r="K76" t="s">
        <v>1</v>
      </c>
      <c r="L76" t="s">
        <v>403</v>
      </c>
      <c r="M76" t="s">
        <v>60</v>
      </c>
      <c r="N76" t="s">
        <v>404</v>
      </c>
      <c r="O76" t="s">
        <v>405</v>
      </c>
      <c r="Q76" t="s">
        <v>116</v>
      </c>
      <c r="R76" t="s">
        <v>406</v>
      </c>
    </row>
    <row r="77" spans="1:18" x14ac:dyDescent="0.25">
      <c r="A77" t="str">
        <f>TableMJRUDINFB[[#This Row],[Study Package Code]]</f>
        <v>GRDE1003</v>
      </c>
      <c r="B77" s="2">
        <f>TableMJRUDINFB[[#This Row],[Ver]]</f>
        <v>2</v>
      </c>
      <c r="D77" t="str">
        <f>TableMJRUDINFB[[#This Row],[Structure Line]]</f>
        <v>3D Design Practice</v>
      </c>
      <c r="E77" s="19">
        <f>TableMJRUDINFB[[#This Row],[Credit Points]]</f>
        <v>25</v>
      </c>
      <c r="F77">
        <v>1</v>
      </c>
      <c r="G77" t="s">
        <v>407</v>
      </c>
      <c r="H77">
        <v>1</v>
      </c>
      <c r="I77" t="s">
        <v>408</v>
      </c>
      <c r="J77" t="s">
        <v>82</v>
      </c>
      <c r="K77">
        <v>2</v>
      </c>
      <c r="L77" t="s">
        <v>305</v>
      </c>
      <c r="M77">
        <v>25</v>
      </c>
      <c r="N77" s="23">
        <v>45292</v>
      </c>
      <c r="O77" s="23"/>
      <c r="Q77" t="s">
        <v>82</v>
      </c>
      <c r="R77">
        <v>2</v>
      </c>
    </row>
    <row r="78" spans="1:18" x14ac:dyDescent="0.25">
      <c r="A78" t="str">
        <f>TableMJRUDINFB[[#This Row],[Study Package Code]]</f>
        <v>GRDE2003</v>
      </c>
      <c r="B78" s="2">
        <f>TableMJRUDINFB[[#This Row],[Ver]]</f>
        <v>2</v>
      </c>
      <c r="D78" t="str">
        <f>TableMJRUDINFB[[#This Row],[Structure Line]]</f>
        <v>Design Technology and User Experience</v>
      </c>
      <c r="E78" s="19">
        <f>TableMJRUDINFB[[#This Row],[Credit Points]]</f>
        <v>25</v>
      </c>
      <c r="F78">
        <v>2</v>
      </c>
      <c r="G78" t="s">
        <v>407</v>
      </c>
      <c r="H78">
        <v>2</v>
      </c>
      <c r="I78" t="s">
        <v>408</v>
      </c>
      <c r="J78" t="s">
        <v>105</v>
      </c>
      <c r="K78">
        <v>2</v>
      </c>
      <c r="L78" t="s">
        <v>320</v>
      </c>
      <c r="M78">
        <v>25</v>
      </c>
      <c r="N78" s="23">
        <v>45292</v>
      </c>
      <c r="O78" s="23"/>
      <c r="Q78" t="s">
        <v>105</v>
      </c>
      <c r="R78">
        <v>2</v>
      </c>
    </row>
    <row r="79" spans="1:18" x14ac:dyDescent="0.25">
      <c r="A79" t="str">
        <f>TableMJRUDINFB[[#This Row],[Study Package Code]]</f>
        <v>GRDE2004</v>
      </c>
      <c r="B79" s="2">
        <f>TableMJRUDINFB[[#This Row],[Ver]]</f>
        <v>2</v>
      </c>
      <c r="D79" t="str">
        <f>TableMJRUDINFB[[#This Row],[Structure Line]]</f>
        <v>3D Modelling and Digital Fabrication</v>
      </c>
      <c r="E79" s="19">
        <f>TableMJRUDINFB[[#This Row],[Credit Points]]</f>
        <v>25</v>
      </c>
      <c r="F79">
        <v>3</v>
      </c>
      <c r="G79" t="s">
        <v>407</v>
      </c>
      <c r="H79">
        <v>2</v>
      </c>
      <c r="I79" t="s">
        <v>408</v>
      </c>
      <c r="J79" t="s">
        <v>135</v>
      </c>
      <c r="K79">
        <v>2</v>
      </c>
      <c r="L79" t="s">
        <v>321</v>
      </c>
      <c r="M79">
        <v>25</v>
      </c>
      <c r="N79" s="23">
        <v>45292</v>
      </c>
      <c r="O79" s="23"/>
      <c r="Q79" t="s">
        <v>135</v>
      </c>
      <c r="R79">
        <v>2</v>
      </c>
    </row>
    <row r="80" spans="1:18" x14ac:dyDescent="0.25">
      <c r="A80" t="str">
        <f>TableMJRUDINFB[[#This Row],[Study Package Code]]</f>
        <v>GRDE2006</v>
      </c>
      <c r="B80" s="2">
        <f>TableMJRUDINFB[[#This Row],[Ver]]</f>
        <v>2</v>
      </c>
      <c r="D80" t="str">
        <f>TableMJRUDINFB[[#This Row],[Structure Line]]</f>
        <v>Design Innovation and Smart Technology</v>
      </c>
      <c r="E80" s="19">
        <f>TableMJRUDINFB[[#This Row],[Credit Points]]</f>
        <v>25</v>
      </c>
      <c r="F80">
        <v>4</v>
      </c>
      <c r="G80" t="s">
        <v>407</v>
      </c>
      <c r="H80">
        <v>2</v>
      </c>
      <c r="I80" t="s">
        <v>408</v>
      </c>
      <c r="J80" t="s">
        <v>123</v>
      </c>
      <c r="K80">
        <v>2</v>
      </c>
      <c r="L80" t="s">
        <v>323</v>
      </c>
      <c r="M80">
        <v>25</v>
      </c>
      <c r="N80" s="23">
        <v>45292</v>
      </c>
      <c r="O80" s="23"/>
      <c r="Q80" t="s">
        <v>123</v>
      </c>
      <c r="R80">
        <v>2</v>
      </c>
    </row>
    <row r="81" spans="1:18" x14ac:dyDescent="0.25">
      <c r="A81" t="str">
        <f>TableMJRUDINFB[[#This Row],[Study Package Code]]</f>
        <v>INAR2024</v>
      </c>
      <c r="B81" s="2">
        <f>TableMJRUDINFB[[#This Row],[Ver]]</f>
        <v>1</v>
      </c>
      <c r="D81" t="str">
        <f>TableMJRUDINFB[[#This Row],[Structure Line]]</f>
        <v>Design Fabrication</v>
      </c>
      <c r="E81" s="19">
        <f>TableMJRUDINFB[[#This Row],[Credit Points]]</f>
        <v>25</v>
      </c>
      <c r="F81">
        <v>5</v>
      </c>
      <c r="G81" t="s">
        <v>407</v>
      </c>
      <c r="H81">
        <v>2</v>
      </c>
      <c r="I81" t="s">
        <v>408</v>
      </c>
      <c r="J81" t="s">
        <v>97</v>
      </c>
      <c r="K81">
        <v>1</v>
      </c>
      <c r="L81" t="s">
        <v>370</v>
      </c>
      <c r="M81">
        <v>25</v>
      </c>
      <c r="N81" s="23">
        <v>45292</v>
      </c>
      <c r="O81" s="23"/>
      <c r="Q81" t="s">
        <v>97</v>
      </c>
      <c r="R81">
        <v>1</v>
      </c>
    </row>
    <row r="82" spans="1:18" x14ac:dyDescent="0.25">
      <c r="A82" t="str">
        <f>TableMJRUDINFB[[#This Row],[Study Package Code]]</f>
        <v>GRDE3006</v>
      </c>
      <c r="B82" s="2">
        <f>TableMJRUDINFB[[#This Row],[Ver]]</f>
        <v>2</v>
      </c>
      <c r="D82" t="str">
        <f>TableMJRUDINFB[[#This Row],[Structure Line]]</f>
        <v>Advanced 3D Modelling and Digital Fabrication</v>
      </c>
      <c r="E82" s="19">
        <f>TableMJRUDINFB[[#This Row],[Credit Points]]</f>
        <v>25</v>
      </c>
      <c r="F82">
        <v>6</v>
      </c>
      <c r="G82" t="s">
        <v>407</v>
      </c>
      <c r="H82">
        <v>3</v>
      </c>
      <c r="I82" t="s">
        <v>408</v>
      </c>
      <c r="J82" t="s">
        <v>151</v>
      </c>
      <c r="K82">
        <v>2</v>
      </c>
      <c r="L82" t="s">
        <v>425</v>
      </c>
      <c r="M82">
        <v>25</v>
      </c>
      <c r="N82" s="23">
        <v>45292</v>
      </c>
      <c r="O82" s="23"/>
      <c r="Q82" t="s">
        <v>151</v>
      </c>
      <c r="R82">
        <v>2</v>
      </c>
    </row>
    <row r="83" spans="1:18" x14ac:dyDescent="0.25">
      <c r="A83" t="str">
        <f>TableMJRUDINFB[[#This Row],[Study Package Code]]</f>
        <v>GRDE3005</v>
      </c>
      <c r="B83" s="2">
        <f>TableMJRUDINFB[[#This Row],[Ver]]</f>
        <v>2</v>
      </c>
      <c r="D83" t="str">
        <f>TableMJRUDINFB[[#This Row],[Structure Line]]</f>
        <v>Design Innovation Futures</v>
      </c>
      <c r="E83" s="19">
        <f>TableMJRUDINFB[[#This Row],[Credit Points]]</f>
        <v>25</v>
      </c>
      <c r="F83">
        <v>7</v>
      </c>
      <c r="G83" t="s">
        <v>407</v>
      </c>
      <c r="H83">
        <v>3</v>
      </c>
      <c r="I83" t="s">
        <v>408</v>
      </c>
      <c r="J83" t="s">
        <v>144</v>
      </c>
      <c r="K83">
        <v>2</v>
      </c>
      <c r="L83" t="s">
        <v>426</v>
      </c>
      <c r="M83">
        <v>25</v>
      </c>
      <c r="N83" s="23">
        <v>45292</v>
      </c>
      <c r="O83" s="23"/>
      <c r="Q83" t="s">
        <v>144</v>
      </c>
      <c r="R83">
        <v>2</v>
      </c>
    </row>
    <row r="84" spans="1:18" x14ac:dyDescent="0.25">
      <c r="A84" t="str">
        <f>TableMJRUDINFB[[#This Row],[Study Package Code]]</f>
        <v>GRDE3007</v>
      </c>
      <c r="B84" s="2">
        <f>TableMJRUDINFB[[#This Row],[Ver]]</f>
        <v>2</v>
      </c>
      <c r="D84" t="str">
        <f>TableMJRUDINFB[[#This Row],[Structure Line]]</f>
        <v>3D Digital Production</v>
      </c>
      <c r="E84" s="19">
        <f>TableMJRUDINFB[[#This Row],[Credit Points]]</f>
        <v>25</v>
      </c>
      <c r="F84">
        <v>8</v>
      </c>
      <c r="G84" t="s">
        <v>407</v>
      </c>
      <c r="H84">
        <v>3</v>
      </c>
      <c r="I84" t="s">
        <v>408</v>
      </c>
      <c r="J84" t="s">
        <v>174</v>
      </c>
      <c r="K84">
        <v>2</v>
      </c>
      <c r="L84" t="s">
        <v>427</v>
      </c>
      <c r="M84">
        <v>25</v>
      </c>
      <c r="N84" s="23">
        <v>45292</v>
      </c>
      <c r="O84" s="23"/>
      <c r="Q84" t="s">
        <v>174</v>
      </c>
      <c r="R84">
        <v>2</v>
      </c>
    </row>
    <row r="85" spans="1:18" x14ac:dyDescent="0.25">
      <c r="B85"/>
      <c r="E85"/>
      <c r="F85" s="17"/>
      <c r="G85" s="18" t="s">
        <v>393</v>
      </c>
      <c r="H85" s="114">
        <v>43831</v>
      </c>
      <c r="I85" s="18"/>
      <c r="J85" s="115" t="s">
        <v>156</v>
      </c>
      <c r="K85" s="116" t="s">
        <v>139</v>
      </c>
      <c r="L85" s="21" t="s">
        <v>155</v>
      </c>
      <c r="M85" s="18"/>
      <c r="N85" s="24" t="s">
        <v>394</v>
      </c>
      <c r="O85" s="23">
        <v>45601</v>
      </c>
    </row>
    <row r="86" spans="1:18" x14ac:dyDescent="0.25">
      <c r="A86" t="s">
        <v>0</v>
      </c>
      <c r="B86" s="2" t="s">
        <v>396</v>
      </c>
      <c r="C86" t="s">
        <v>397</v>
      </c>
      <c r="D86" t="s">
        <v>3</v>
      </c>
      <c r="E86" s="19" t="s">
        <v>398</v>
      </c>
      <c r="F86" t="s">
        <v>399</v>
      </c>
      <c r="G86" t="s">
        <v>400</v>
      </c>
      <c r="H86" t="s">
        <v>401</v>
      </c>
      <c r="I86" t="s">
        <v>24</v>
      </c>
      <c r="J86" t="s">
        <v>402</v>
      </c>
      <c r="K86" t="s">
        <v>1</v>
      </c>
      <c r="L86" t="s">
        <v>403</v>
      </c>
      <c r="M86" t="s">
        <v>60</v>
      </c>
      <c r="N86" t="s">
        <v>404</v>
      </c>
      <c r="O86" t="s">
        <v>405</v>
      </c>
      <c r="Q86" t="s">
        <v>116</v>
      </c>
      <c r="R86" t="s">
        <v>406</v>
      </c>
    </row>
    <row r="87" spans="1:18" x14ac:dyDescent="0.25">
      <c r="A87" t="str">
        <f>TableMJRUFASHN[[#This Row],[Study Package Code]]</f>
        <v>FASH1000</v>
      </c>
      <c r="B87" s="2">
        <f>TableMJRUFASHN[[#This Row],[Ver]]</f>
        <v>1</v>
      </c>
      <c r="D87" t="str">
        <f>TableMJRUFASHN[[#This Row],[Structure Line]]</f>
        <v>Form and Structure</v>
      </c>
      <c r="E87" s="19">
        <f>TableMJRUFASHN[[#This Row],[Credit Points]]</f>
        <v>25</v>
      </c>
      <c r="F87">
        <v>1</v>
      </c>
      <c r="G87" t="s">
        <v>407</v>
      </c>
      <c r="H87">
        <v>1</v>
      </c>
      <c r="I87" t="s">
        <v>408</v>
      </c>
      <c r="J87" t="s">
        <v>83</v>
      </c>
      <c r="K87">
        <v>1</v>
      </c>
      <c r="L87" t="s">
        <v>288</v>
      </c>
      <c r="M87">
        <v>25</v>
      </c>
      <c r="N87" s="23">
        <v>42005</v>
      </c>
      <c r="O87" s="23"/>
      <c r="Q87" t="s">
        <v>83</v>
      </c>
      <c r="R87">
        <v>1</v>
      </c>
    </row>
    <row r="88" spans="1:18" x14ac:dyDescent="0.25">
      <c r="A88" t="str">
        <f>TableMJRUFASHN[[#This Row],[Study Package Code]]</f>
        <v>FASH2001</v>
      </c>
      <c r="B88" s="2">
        <f>TableMJRUFASHN[[#This Row],[Ver]]</f>
        <v>1</v>
      </c>
      <c r="D88" t="str">
        <f>TableMJRUFASHN[[#This Row],[Structure Line]]</f>
        <v>Culture and Dress</v>
      </c>
      <c r="E88" s="19">
        <f>TableMJRUFASHN[[#This Row],[Credit Points]]</f>
        <v>25</v>
      </c>
      <c r="F88">
        <v>2</v>
      </c>
      <c r="G88" t="s">
        <v>407</v>
      </c>
      <c r="H88">
        <v>2</v>
      </c>
      <c r="I88" t="s">
        <v>408</v>
      </c>
      <c r="J88" t="s">
        <v>124</v>
      </c>
      <c r="K88">
        <v>1</v>
      </c>
      <c r="L88" t="s">
        <v>291</v>
      </c>
      <c r="M88">
        <v>25</v>
      </c>
      <c r="N88" s="23">
        <v>42005</v>
      </c>
      <c r="O88" s="23"/>
      <c r="Q88" t="s">
        <v>124</v>
      </c>
      <c r="R88">
        <v>1</v>
      </c>
    </row>
    <row r="89" spans="1:18" x14ac:dyDescent="0.25">
      <c r="A89" t="str">
        <f>TableMJRUFASHN[[#This Row],[Study Package Code]]</f>
        <v>FASH2000</v>
      </c>
      <c r="B89" s="2">
        <f>TableMJRUFASHN[[#This Row],[Ver]]</f>
        <v>1</v>
      </c>
      <c r="D89" t="str">
        <f>TableMJRUFASHN[[#This Row],[Structure Line]]</f>
        <v>Garment and The Body</v>
      </c>
      <c r="E89" s="19">
        <f>TableMJRUFASHN[[#This Row],[Credit Points]]</f>
        <v>25</v>
      </c>
      <c r="F89">
        <v>3</v>
      </c>
      <c r="G89" t="s">
        <v>407</v>
      </c>
      <c r="H89">
        <v>2</v>
      </c>
      <c r="I89" t="s">
        <v>408</v>
      </c>
      <c r="J89" t="s">
        <v>98</v>
      </c>
      <c r="K89">
        <v>1</v>
      </c>
      <c r="L89" t="s">
        <v>290</v>
      </c>
      <c r="M89">
        <v>25</v>
      </c>
      <c r="N89" s="23">
        <v>42005</v>
      </c>
      <c r="O89" s="23"/>
      <c r="Q89" t="s">
        <v>98</v>
      </c>
      <c r="R89">
        <v>1</v>
      </c>
    </row>
    <row r="90" spans="1:18" x14ac:dyDescent="0.25">
      <c r="A90" t="str">
        <f>TableMJRUFASHN[[#This Row],[Study Package Code]]</f>
        <v>FASH2002</v>
      </c>
      <c r="B90" s="2">
        <f>TableMJRUFASHN[[#This Row],[Ver]]</f>
        <v>1</v>
      </c>
      <c r="D90" t="str">
        <f>TableMJRUFASHN[[#This Row],[Structure Line]]</f>
        <v>Sustainable Fashion</v>
      </c>
      <c r="E90" s="19">
        <f>TableMJRUFASHN[[#This Row],[Credit Points]]</f>
        <v>25</v>
      </c>
      <c r="F90">
        <v>4</v>
      </c>
      <c r="G90" t="s">
        <v>407</v>
      </c>
      <c r="H90">
        <v>2</v>
      </c>
      <c r="I90" t="s">
        <v>408</v>
      </c>
      <c r="J90" t="s">
        <v>106</v>
      </c>
      <c r="K90">
        <v>1</v>
      </c>
      <c r="L90" t="s">
        <v>292</v>
      </c>
      <c r="M90">
        <v>25</v>
      </c>
      <c r="N90" s="23">
        <v>42005</v>
      </c>
      <c r="O90" s="23"/>
      <c r="Q90" t="s">
        <v>106</v>
      </c>
      <c r="R90">
        <v>1</v>
      </c>
    </row>
    <row r="91" spans="1:18" x14ac:dyDescent="0.25">
      <c r="A91" t="str">
        <f>TableMJRUFASHN[[#This Row],[Study Package Code]]</f>
        <v>FASH2003</v>
      </c>
      <c r="B91" s="2">
        <f>TableMJRUFASHN[[#This Row],[Ver]]</f>
        <v>1</v>
      </c>
      <c r="D91" t="str">
        <f>TableMJRUFASHN[[#This Row],[Structure Line]]</f>
        <v>Technology and Dress</v>
      </c>
      <c r="E91" s="19">
        <f>TableMJRUFASHN[[#This Row],[Credit Points]]</f>
        <v>25</v>
      </c>
      <c r="F91">
        <v>5</v>
      </c>
      <c r="G91" t="s">
        <v>407</v>
      </c>
      <c r="H91">
        <v>2</v>
      </c>
      <c r="I91" t="s">
        <v>408</v>
      </c>
      <c r="J91" t="s">
        <v>136</v>
      </c>
      <c r="K91">
        <v>1</v>
      </c>
      <c r="L91" t="s">
        <v>294</v>
      </c>
      <c r="M91">
        <v>25</v>
      </c>
      <c r="N91" s="23">
        <v>42005</v>
      </c>
      <c r="O91" s="23"/>
      <c r="Q91" t="s">
        <v>136</v>
      </c>
      <c r="R91">
        <v>1</v>
      </c>
    </row>
    <row r="92" spans="1:18" x14ac:dyDescent="0.25">
      <c r="A92" t="str">
        <f>TableMJRUFASHN[[#This Row],[Study Package Code]]</f>
        <v>FASH3002</v>
      </c>
      <c r="B92" s="2">
        <f>TableMJRUFASHN[[#This Row],[Ver]]</f>
        <v>1</v>
      </c>
      <c r="D92" t="str">
        <f>TableMJRUFASHN[[#This Row],[Structure Line]]</f>
        <v>Collection Development</v>
      </c>
      <c r="E92" s="19">
        <f>TableMJRUFASHN[[#This Row],[Credit Points]]</f>
        <v>25</v>
      </c>
      <c r="F92">
        <v>6</v>
      </c>
      <c r="G92" t="s">
        <v>407</v>
      </c>
      <c r="H92">
        <v>3</v>
      </c>
      <c r="I92" t="s">
        <v>408</v>
      </c>
      <c r="J92" t="s">
        <v>175</v>
      </c>
      <c r="K92">
        <v>1</v>
      </c>
      <c r="L92" t="s">
        <v>300</v>
      </c>
      <c r="M92">
        <v>25</v>
      </c>
      <c r="N92" s="23">
        <v>42005</v>
      </c>
      <c r="O92" s="23"/>
      <c r="Q92" t="s">
        <v>175</v>
      </c>
      <c r="R92">
        <v>1</v>
      </c>
    </row>
    <row r="93" spans="1:18" x14ac:dyDescent="0.25">
      <c r="A93" t="str">
        <f>TableMJRUFASHN[[#This Row],[Study Package Code]]</f>
        <v>FASH3001</v>
      </c>
      <c r="B93" s="2">
        <f>TableMJRUFASHN[[#This Row],[Ver]]</f>
        <v>1</v>
      </c>
      <c r="D93" t="str">
        <f>TableMJRUFASHN[[#This Row],[Structure Line]]</f>
        <v>Fit, Form and Function</v>
      </c>
      <c r="E93" s="19">
        <f>TableMJRUFASHN[[#This Row],[Credit Points]]</f>
        <v>25</v>
      </c>
      <c r="F93">
        <v>7</v>
      </c>
      <c r="G93" t="s">
        <v>407</v>
      </c>
      <c r="H93">
        <v>3</v>
      </c>
      <c r="I93" t="s">
        <v>408</v>
      </c>
      <c r="J93" t="s">
        <v>152</v>
      </c>
      <c r="K93">
        <v>1</v>
      </c>
      <c r="L93" t="s">
        <v>298</v>
      </c>
      <c r="M93">
        <v>25</v>
      </c>
      <c r="N93" s="23">
        <v>42005</v>
      </c>
      <c r="O93" s="23"/>
      <c r="Q93" t="s">
        <v>152</v>
      </c>
      <c r="R93">
        <v>1</v>
      </c>
    </row>
    <row r="94" spans="1:18" x14ac:dyDescent="0.25">
      <c r="A94" t="str">
        <f>TableMJRUFASHN[[#This Row],[Study Package Code]]</f>
        <v>FASH3000</v>
      </c>
      <c r="B94" s="2">
        <f>TableMJRUFASHN[[#This Row],[Ver]]</f>
        <v>1</v>
      </c>
      <c r="D94" t="str">
        <f>TableMJRUFASHN[[#This Row],[Structure Line]]</f>
        <v>Language of Dress</v>
      </c>
      <c r="E94" s="19">
        <f>TableMJRUFASHN[[#This Row],[Credit Points]]</f>
        <v>25</v>
      </c>
      <c r="F94">
        <v>8</v>
      </c>
      <c r="G94" t="s">
        <v>407</v>
      </c>
      <c r="H94">
        <v>3</v>
      </c>
      <c r="I94" t="s">
        <v>408</v>
      </c>
      <c r="J94" t="s">
        <v>145</v>
      </c>
      <c r="K94">
        <v>1</v>
      </c>
      <c r="L94" t="s">
        <v>297</v>
      </c>
      <c r="M94">
        <v>25</v>
      </c>
      <c r="N94" s="23">
        <v>42005</v>
      </c>
      <c r="O94" s="23"/>
      <c r="Q94" t="s">
        <v>145</v>
      </c>
      <c r="R94">
        <v>1</v>
      </c>
    </row>
    <row r="95" spans="1:18" x14ac:dyDescent="0.25">
      <c r="B95"/>
      <c r="E95"/>
      <c r="F95" s="17"/>
      <c r="G95" s="18" t="s">
        <v>393</v>
      </c>
      <c r="H95" s="114">
        <v>43831</v>
      </c>
      <c r="I95" s="18"/>
      <c r="J95" s="115" t="s">
        <v>158</v>
      </c>
      <c r="K95" s="116" t="s">
        <v>129</v>
      </c>
      <c r="L95" s="21" t="s">
        <v>157</v>
      </c>
      <c r="M95" s="18"/>
      <c r="N95" s="24" t="s">
        <v>394</v>
      </c>
      <c r="O95" s="23">
        <v>45601</v>
      </c>
    </row>
    <row r="96" spans="1:18" x14ac:dyDescent="0.25">
      <c r="A96" t="s">
        <v>0</v>
      </c>
      <c r="B96" s="2" t="s">
        <v>396</v>
      </c>
      <c r="C96" t="s">
        <v>397</v>
      </c>
      <c r="D96" t="s">
        <v>3</v>
      </c>
      <c r="E96" s="19" t="s">
        <v>398</v>
      </c>
      <c r="F96" t="s">
        <v>399</v>
      </c>
      <c r="G96" t="s">
        <v>400</v>
      </c>
      <c r="H96" t="s">
        <v>401</v>
      </c>
      <c r="I96" t="s">
        <v>24</v>
      </c>
      <c r="J96" t="s">
        <v>402</v>
      </c>
      <c r="K96" t="s">
        <v>1</v>
      </c>
      <c r="L96" t="s">
        <v>403</v>
      </c>
      <c r="M96" t="s">
        <v>60</v>
      </c>
      <c r="N96" t="s">
        <v>404</v>
      </c>
      <c r="O96" t="s">
        <v>405</v>
      </c>
      <c r="Q96" t="s">
        <v>116</v>
      </c>
      <c r="R96" t="s">
        <v>406</v>
      </c>
    </row>
    <row r="97" spans="1:18" x14ac:dyDescent="0.25">
      <c r="A97" t="str">
        <f>TableMJRUGRPDS[[#This Row],[Study Package Code]]</f>
        <v>GRDE1026</v>
      </c>
      <c r="B97" s="2">
        <f>TableMJRUGRPDS[[#This Row],[Ver]]</f>
        <v>1</v>
      </c>
      <c r="D97" t="str">
        <f>TableMJRUGRPDS[[#This Row],[Structure Line]]</f>
        <v>Start Design Thinking</v>
      </c>
      <c r="E97" s="19">
        <f>TableMJRUGRPDS[[#This Row],[Credit Points]]</f>
        <v>25</v>
      </c>
      <c r="F97">
        <v>1</v>
      </c>
      <c r="G97" t="s">
        <v>407</v>
      </c>
      <c r="H97">
        <v>1</v>
      </c>
      <c r="I97" t="s">
        <v>408</v>
      </c>
      <c r="J97" t="s">
        <v>84</v>
      </c>
      <c r="K97">
        <v>1</v>
      </c>
      <c r="L97" t="s">
        <v>317</v>
      </c>
      <c r="M97">
        <v>25</v>
      </c>
      <c r="N97" s="23">
        <v>43466</v>
      </c>
      <c r="O97" s="23"/>
      <c r="Q97" t="s">
        <v>84</v>
      </c>
      <c r="R97">
        <v>1</v>
      </c>
    </row>
    <row r="98" spans="1:18" x14ac:dyDescent="0.25">
      <c r="A98" t="str">
        <f>TableMJRUGRPDS[[#This Row],[Study Package Code]]</f>
        <v>GRDE1005</v>
      </c>
      <c r="B98" s="2">
        <f>TableMJRUGRPDS[[#This Row],[Ver]]</f>
        <v>1</v>
      </c>
      <c r="D98" t="str">
        <f>TableMJRUGRPDS[[#This Row],[Structure Line]]</f>
        <v>Typography</v>
      </c>
      <c r="E98" s="19">
        <f>TableMJRUGRPDS[[#This Row],[Credit Points]]</f>
        <v>25</v>
      </c>
      <c r="F98">
        <v>2</v>
      </c>
      <c r="G98" t="s">
        <v>407</v>
      </c>
      <c r="H98">
        <v>1</v>
      </c>
      <c r="I98" t="s">
        <v>408</v>
      </c>
      <c r="J98" t="s">
        <v>99</v>
      </c>
      <c r="K98">
        <v>1</v>
      </c>
      <c r="L98" t="s">
        <v>308</v>
      </c>
      <c r="M98">
        <v>25</v>
      </c>
      <c r="N98" s="23">
        <v>42005</v>
      </c>
      <c r="O98" s="23"/>
      <c r="Q98" t="s">
        <v>99</v>
      </c>
      <c r="R98">
        <v>1</v>
      </c>
    </row>
    <row r="99" spans="1:18" x14ac:dyDescent="0.25">
      <c r="A99" t="str">
        <f>TableMJRUGRPDS[[#This Row],[Study Package Code]]</f>
        <v>GRDE2026</v>
      </c>
      <c r="B99" s="2">
        <f>TableMJRUGRPDS[[#This Row],[Ver]]</f>
        <v>1</v>
      </c>
      <c r="D99" t="str">
        <f>TableMJRUGRPDS[[#This Row],[Structure Line]]</f>
        <v>Creative Design Studio</v>
      </c>
      <c r="E99" s="19">
        <f>TableMJRUGRPDS[[#This Row],[Credit Points]]</f>
        <v>25</v>
      </c>
      <c r="F99">
        <v>3</v>
      </c>
      <c r="G99" t="s">
        <v>407</v>
      </c>
      <c r="H99">
        <v>2</v>
      </c>
      <c r="I99" t="s">
        <v>408</v>
      </c>
      <c r="J99" t="s">
        <v>125</v>
      </c>
      <c r="K99">
        <v>1</v>
      </c>
      <c r="L99" t="s">
        <v>336</v>
      </c>
      <c r="M99">
        <v>25</v>
      </c>
      <c r="N99" s="23">
        <v>42005</v>
      </c>
      <c r="O99" s="23"/>
      <c r="Q99" t="s">
        <v>125</v>
      </c>
      <c r="R99">
        <v>1</v>
      </c>
    </row>
    <row r="100" spans="1:18" x14ac:dyDescent="0.25">
      <c r="A100" t="str">
        <f>TableMJRUGRPDS[[#This Row],[Study Package Code]]</f>
        <v>GRDE2001</v>
      </c>
      <c r="B100" s="2">
        <f>TableMJRUGRPDS[[#This Row],[Ver]]</f>
        <v>1</v>
      </c>
      <c r="D100" t="str">
        <f>TableMJRUGRPDS[[#This Row],[Structure Line]]</f>
        <v>Graphic Design 1</v>
      </c>
      <c r="E100" s="19">
        <f>TableMJRUGRPDS[[#This Row],[Credit Points]]</f>
        <v>25</v>
      </c>
      <c r="F100">
        <v>4</v>
      </c>
      <c r="G100" t="s">
        <v>407</v>
      </c>
      <c r="H100">
        <v>2</v>
      </c>
      <c r="I100" t="s">
        <v>408</v>
      </c>
      <c r="J100" t="s">
        <v>114</v>
      </c>
      <c r="K100">
        <v>1</v>
      </c>
      <c r="L100" t="s">
        <v>319</v>
      </c>
      <c r="M100">
        <v>25</v>
      </c>
      <c r="N100" s="23">
        <v>42005</v>
      </c>
      <c r="O100" s="23"/>
      <c r="Q100" t="s">
        <v>114</v>
      </c>
      <c r="R100">
        <v>1</v>
      </c>
    </row>
    <row r="101" spans="1:18" x14ac:dyDescent="0.25">
      <c r="A101" t="str">
        <f>TableMJRUGRPDS[[#This Row],[Study Package Code]]</f>
        <v>GRDE2007</v>
      </c>
      <c r="B101" s="2">
        <f>TableMJRUGRPDS[[#This Row],[Ver]]</f>
        <v>1</v>
      </c>
      <c r="D101" t="str">
        <f>TableMJRUGRPDS[[#This Row],[Structure Line]]</f>
        <v>Graphic Design 2</v>
      </c>
      <c r="E101" s="19">
        <f>TableMJRUGRPDS[[#This Row],[Credit Points]]</f>
        <v>25</v>
      </c>
      <c r="F101">
        <v>5</v>
      </c>
      <c r="G101" t="s">
        <v>407</v>
      </c>
      <c r="H101">
        <v>2</v>
      </c>
      <c r="I101" t="s">
        <v>408</v>
      </c>
      <c r="J101" t="s">
        <v>153</v>
      </c>
      <c r="K101">
        <v>1</v>
      </c>
      <c r="L101" t="s">
        <v>324</v>
      </c>
      <c r="M101">
        <v>25</v>
      </c>
      <c r="N101" s="23">
        <v>42005</v>
      </c>
      <c r="O101" s="23"/>
      <c r="Q101" t="s">
        <v>153</v>
      </c>
      <c r="R101">
        <v>1</v>
      </c>
    </row>
    <row r="102" spans="1:18" x14ac:dyDescent="0.25">
      <c r="A102" t="str">
        <f>TableMJRUGRPDS[[#This Row],[Study Package Code]]</f>
        <v>GRDE3001</v>
      </c>
      <c r="B102" s="2">
        <f>TableMJRUGRPDS[[#This Row],[Ver]]</f>
        <v>1</v>
      </c>
      <c r="D102" t="str">
        <f>TableMJRUGRPDS[[#This Row],[Structure Line]]</f>
        <v>Graphic Design 3</v>
      </c>
      <c r="E102" s="19">
        <f>TableMJRUGRPDS[[#This Row],[Credit Points]]</f>
        <v>25</v>
      </c>
      <c r="F102">
        <v>6</v>
      </c>
      <c r="G102" t="s">
        <v>407</v>
      </c>
      <c r="H102">
        <v>3</v>
      </c>
      <c r="I102" t="s">
        <v>408</v>
      </c>
      <c r="J102" t="s">
        <v>176</v>
      </c>
      <c r="K102">
        <v>1</v>
      </c>
      <c r="L102" t="s">
        <v>350</v>
      </c>
      <c r="M102">
        <v>25</v>
      </c>
      <c r="N102" s="23">
        <v>42005</v>
      </c>
      <c r="O102" s="23"/>
      <c r="Q102" t="s">
        <v>176</v>
      </c>
      <c r="R102">
        <v>1</v>
      </c>
    </row>
    <row r="103" spans="1:18" x14ac:dyDescent="0.25">
      <c r="A103" t="str">
        <f>TableMJRUGRPDS[[#This Row],[Study Package Code]]</f>
        <v>GRDE3010</v>
      </c>
      <c r="B103" s="2">
        <f>TableMJRUGRPDS[[#This Row],[Ver]]</f>
        <v>1</v>
      </c>
      <c r="D103" t="str">
        <f>TableMJRUGRPDS[[#This Row],[Structure Line]]</f>
        <v>Graphic Design 4</v>
      </c>
      <c r="E103" s="19">
        <f>TableMJRUGRPDS[[#This Row],[Credit Points]]</f>
        <v>25</v>
      </c>
      <c r="F103">
        <v>7</v>
      </c>
      <c r="G103" t="s">
        <v>407</v>
      </c>
      <c r="H103">
        <v>3</v>
      </c>
      <c r="I103" t="s">
        <v>408</v>
      </c>
      <c r="J103" t="s">
        <v>184</v>
      </c>
      <c r="K103">
        <v>1</v>
      </c>
      <c r="L103" t="s">
        <v>352</v>
      </c>
      <c r="M103">
        <v>25</v>
      </c>
      <c r="N103" s="23">
        <v>42005</v>
      </c>
      <c r="O103" s="23"/>
      <c r="Q103" t="s">
        <v>184</v>
      </c>
      <c r="R103">
        <v>1</v>
      </c>
    </row>
    <row r="104" spans="1:18" x14ac:dyDescent="0.25">
      <c r="A104" t="str">
        <f>TableMJRUGRPDS[[#This Row],[Study Package Code]]</f>
        <v>GRDE3009</v>
      </c>
      <c r="B104" s="2">
        <f>TableMJRUGRPDS[[#This Row],[Ver]]</f>
        <v>1</v>
      </c>
      <c r="D104" t="str">
        <f>TableMJRUGRPDS[[#This Row],[Structure Line]]</f>
        <v>Visual Communication</v>
      </c>
      <c r="E104" s="19">
        <f>TableMJRUGRPDS[[#This Row],[Credit Points]]</f>
        <v>25</v>
      </c>
      <c r="F104">
        <v>8</v>
      </c>
      <c r="G104" t="s">
        <v>407</v>
      </c>
      <c r="H104">
        <v>3</v>
      </c>
      <c r="I104" t="s">
        <v>408</v>
      </c>
      <c r="J104" t="s">
        <v>167</v>
      </c>
      <c r="K104">
        <v>1</v>
      </c>
      <c r="L104" t="s">
        <v>351</v>
      </c>
      <c r="M104">
        <v>25</v>
      </c>
      <c r="N104" s="23">
        <v>42005</v>
      </c>
      <c r="O104" s="23"/>
      <c r="Q104" t="s">
        <v>167</v>
      </c>
      <c r="R104">
        <v>1</v>
      </c>
    </row>
    <row r="105" spans="1:18" x14ac:dyDescent="0.25">
      <c r="B105"/>
      <c r="E105"/>
      <c r="F105" s="17"/>
      <c r="G105" s="18" t="s">
        <v>393</v>
      </c>
      <c r="H105" s="114">
        <v>43466</v>
      </c>
      <c r="I105" s="18"/>
      <c r="J105" s="115" t="s">
        <v>160</v>
      </c>
      <c r="K105" s="116" t="s">
        <v>129</v>
      </c>
      <c r="L105" s="21" t="s">
        <v>159</v>
      </c>
      <c r="M105" s="18"/>
      <c r="N105" s="24" t="s">
        <v>394</v>
      </c>
      <c r="O105" s="23">
        <v>45601</v>
      </c>
    </row>
    <row r="106" spans="1:18" x14ac:dyDescent="0.25">
      <c r="A106" t="s">
        <v>0</v>
      </c>
      <c r="B106" s="2" t="s">
        <v>396</v>
      </c>
      <c r="C106" t="s">
        <v>397</v>
      </c>
      <c r="D106" t="s">
        <v>3</v>
      </c>
      <c r="E106" s="19" t="s">
        <v>398</v>
      </c>
      <c r="F106" t="s">
        <v>399</v>
      </c>
      <c r="G106" t="s">
        <v>400</v>
      </c>
      <c r="H106" t="s">
        <v>401</v>
      </c>
      <c r="I106" t="s">
        <v>24</v>
      </c>
      <c r="J106" t="s">
        <v>402</v>
      </c>
      <c r="K106" t="s">
        <v>1</v>
      </c>
      <c r="L106" t="s">
        <v>403</v>
      </c>
      <c r="M106" t="s">
        <v>60</v>
      </c>
      <c r="N106" t="s">
        <v>404</v>
      </c>
      <c r="O106" t="s">
        <v>405</v>
      </c>
      <c r="Q106" t="s">
        <v>116</v>
      </c>
      <c r="R106" t="s">
        <v>406</v>
      </c>
    </row>
    <row r="107" spans="1:18" x14ac:dyDescent="0.25">
      <c r="A107" t="str">
        <f>TableMJRUPHOTO[[#This Row],[Study Package Code]]</f>
        <v>GRDE1002</v>
      </c>
      <c r="B107" s="2">
        <f>TableMJRUPHOTO[[#This Row],[Ver]]</f>
        <v>1</v>
      </c>
      <c r="D107" t="str">
        <f>TableMJRUPHOTO[[#This Row],[Structure Line]]</f>
        <v>Photography Core Principles</v>
      </c>
      <c r="E107" s="19">
        <f>TableMJRUPHOTO[[#This Row],[Credit Points]]</f>
        <v>25</v>
      </c>
      <c r="F107">
        <v>1</v>
      </c>
      <c r="G107" t="s">
        <v>407</v>
      </c>
      <c r="H107">
        <v>1</v>
      </c>
      <c r="I107" t="s">
        <v>408</v>
      </c>
      <c r="J107" t="s">
        <v>85</v>
      </c>
      <c r="K107">
        <v>1</v>
      </c>
      <c r="L107" t="s">
        <v>304</v>
      </c>
      <c r="M107">
        <v>25</v>
      </c>
      <c r="N107" s="23">
        <v>42005</v>
      </c>
      <c r="O107" s="23"/>
      <c r="Q107" t="s">
        <v>85</v>
      </c>
      <c r="R107">
        <v>1</v>
      </c>
    </row>
    <row r="108" spans="1:18" x14ac:dyDescent="0.25">
      <c r="A108" t="str">
        <f>TableMJRUPHOTO[[#This Row],[Study Package Code]]</f>
        <v>GRDE2016</v>
      </c>
      <c r="B108" s="2">
        <f>TableMJRUPHOTO[[#This Row],[Ver]]</f>
        <v>2</v>
      </c>
      <c r="D108" t="str">
        <f>TableMJRUPHOTO[[#This Row],[Structure Line]]</f>
        <v>Image Design Culture</v>
      </c>
      <c r="E108" s="19">
        <f>TableMJRUPHOTO[[#This Row],[Credit Points]]</f>
        <v>25</v>
      </c>
      <c r="F108">
        <v>2</v>
      </c>
      <c r="G108" t="s">
        <v>407</v>
      </c>
      <c r="H108">
        <v>2</v>
      </c>
      <c r="I108" t="s">
        <v>408</v>
      </c>
      <c r="J108" t="s">
        <v>126</v>
      </c>
      <c r="K108">
        <v>2</v>
      </c>
      <c r="L108" t="s">
        <v>331</v>
      </c>
      <c r="M108">
        <v>25</v>
      </c>
      <c r="N108" s="23">
        <v>43101</v>
      </c>
      <c r="O108" s="23"/>
      <c r="Q108" t="s">
        <v>126</v>
      </c>
      <c r="R108">
        <v>2</v>
      </c>
    </row>
    <row r="109" spans="1:18" x14ac:dyDescent="0.25">
      <c r="A109" t="str">
        <f>TableMJRUPHOTO[[#This Row],[Study Package Code]]</f>
        <v>GRDE2027</v>
      </c>
      <c r="B109" s="2">
        <f>TableMJRUPHOTO[[#This Row],[Ver]]</f>
        <v>1</v>
      </c>
      <c r="D109" t="str">
        <f>TableMJRUPHOTO[[#This Row],[Structure Line]]</f>
        <v>Photography Contexts and Practice</v>
      </c>
      <c r="E109" s="19">
        <f>TableMJRUPHOTO[[#This Row],[Credit Points]]</f>
        <v>25</v>
      </c>
      <c r="F109">
        <v>3</v>
      </c>
      <c r="G109" t="s">
        <v>407</v>
      </c>
      <c r="H109">
        <v>2</v>
      </c>
      <c r="I109" t="s">
        <v>408</v>
      </c>
      <c r="J109" t="s">
        <v>100</v>
      </c>
      <c r="K109">
        <v>1</v>
      </c>
      <c r="L109" t="s">
        <v>338</v>
      </c>
      <c r="M109">
        <v>25</v>
      </c>
      <c r="N109" s="23">
        <v>42005</v>
      </c>
      <c r="O109" s="23"/>
      <c r="Q109" t="s">
        <v>100</v>
      </c>
      <c r="R109">
        <v>1</v>
      </c>
    </row>
    <row r="110" spans="1:18" x14ac:dyDescent="0.25">
      <c r="A110" t="str">
        <f>TableMJRUPHOTO[[#This Row],[Study Package Code]]</f>
        <v>GRDE2025</v>
      </c>
      <c r="B110" s="2">
        <f>TableMJRUPHOTO[[#This Row],[Ver]]</f>
        <v>1</v>
      </c>
      <c r="D110" t="str">
        <f>TableMJRUPHOTO[[#This Row],[Structure Line]]</f>
        <v>Photography Studio Processes</v>
      </c>
      <c r="E110" s="19">
        <f>TableMJRUPHOTO[[#This Row],[Credit Points]]</f>
        <v>25</v>
      </c>
      <c r="F110">
        <v>4</v>
      </c>
      <c r="G110" t="s">
        <v>407</v>
      </c>
      <c r="H110">
        <v>2</v>
      </c>
      <c r="I110" t="s">
        <v>408</v>
      </c>
      <c r="J110" t="s">
        <v>127</v>
      </c>
      <c r="K110">
        <v>1</v>
      </c>
      <c r="L110" t="s">
        <v>335</v>
      </c>
      <c r="M110">
        <v>25</v>
      </c>
      <c r="N110" s="23">
        <v>42005</v>
      </c>
      <c r="O110" s="23"/>
      <c r="Q110" t="s">
        <v>127</v>
      </c>
      <c r="R110">
        <v>1</v>
      </c>
    </row>
    <row r="111" spans="1:18" x14ac:dyDescent="0.25">
      <c r="A111" t="str">
        <f>TableMJRUPHOTO[[#This Row],[Study Package Code]]</f>
        <v>GRDE3031</v>
      </c>
      <c r="B111" s="2">
        <f>TableMJRUPHOTO[[#This Row],[Ver]]</f>
        <v>1</v>
      </c>
      <c r="D111" t="str">
        <f>TableMJRUPHOTO[[#This Row],[Structure Line]]</f>
        <v>Image Concepts</v>
      </c>
      <c r="E111" s="19">
        <f>TableMJRUPHOTO[[#This Row],[Credit Points]]</f>
        <v>25</v>
      </c>
      <c r="F111">
        <v>5</v>
      </c>
      <c r="G111" t="s">
        <v>407</v>
      </c>
      <c r="H111">
        <v>3</v>
      </c>
      <c r="I111" t="s">
        <v>408</v>
      </c>
      <c r="J111" t="s">
        <v>178</v>
      </c>
      <c r="K111">
        <v>1</v>
      </c>
      <c r="L111" t="s">
        <v>366</v>
      </c>
      <c r="M111">
        <v>25</v>
      </c>
      <c r="N111" s="23">
        <v>42736</v>
      </c>
      <c r="O111" s="23"/>
      <c r="Q111" t="s">
        <v>178</v>
      </c>
      <c r="R111">
        <v>1</v>
      </c>
    </row>
    <row r="112" spans="1:18" x14ac:dyDescent="0.25">
      <c r="A112" t="str">
        <f>TableMJRUPHOTO[[#This Row],[Study Package Code]]</f>
        <v>VISA3018</v>
      </c>
      <c r="B112" s="2">
        <f>TableMJRUPHOTO[[#This Row],[Ver]]</f>
        <v>1</v>
      </c>
      <c r="D112" t="str">
        <f>TableMJRUPHOTO[[#This Row],[Structure Line]]</f>
        <v>Photography Professional Practices 1</v>
      </c>
      <c r="E112" s="19">
        <f>TableMJRUPHOTO[[#This Row],[Credit Points]]</f>
        <v>25</v>
      </c>
      <c r="F112">
        <v>6</v>
      </c>
      <c r="G112" t="s">
        <v>407</v>
      </c>
      <c r="H112">
        <v>3</v>
      </c>
      <c r="I112" t="s">
        <v>408</v>
      </c>
      <c r="J112" t="s">
        <v>154</v>
      </c>
      <c r="K112">
        <v>1</v>
      </c>
      <c r="L112" t="s">
        <v>389</v>
      </c>
      <c r="M112">
        <v>25</v>
      </c>
      <c r="N112" s="23">
        <v>42005</v>
      </c>
      <c r="O112" s="23"/>
      <c r="Q112" t="s">
        <v>154</v>
      </c>
      <c r="R112">
        <v>1</v>
      </c>
    </row>
    <row r="113" spans="1:18" x14ac:dyDescent="0.25">
      <c r="A113" t="str">
        <f>TableMJRUPHOTO[[#This Row],[Study Package Code]]</f>
        <v>VISA3019</v>
      </c>
      <c r="B113" s="2">
        <f>TableMJRUPHOTO[[#This Row],[Ver]]</f>
        <v>1</v>
      </c>
      <c r="D113" t="str">
        <f>TableMJRUPHOTO[[#This Row],[Structure Line]]</f>
        <v>Photography Professional Practices 2</v>
      </c>
      <c r="E113" s="19">
        <f>TableMJRUPHOTO[[#This Row],[Credit Points]]</f>
        <v>25</v>
      </c>
      <c r="F113">
        <v>7</v>
      </c>
      <c r="G113" t="s">
        <v>407</v>
      </c>
      <c r="H113">
        <v>3</v>
      </c>
      <c r="I113" t="s">
        <v>408</v>
      </c>
      <c r="J113" t="s">
        <v>168</v>
      </c>
      <c r="K113">
        <v>1</v>
      </c>
      <c r="L113" t="s">
        <v>390</v>
      </c>
      <c r="M113">
        <v>25</v>
      </c>
      <c r="N113" s="23">
        <v>42005</v>
      </c>
      <c r="O113" s="23"/>
      <c r="Q113" t="s">
        <v>168</v>
      </c>
      <c r="R113">
        <v>1</v>
      </c>
    </row>
    <row r="114" spans="1:18" x14ac:dyDescent="0.25">
      <c r="A114" t="str">
        <f>TableMJRUPHOTO[[#This Row],[Study Package Code]]</f>
        <v>GRDE3036</v>
      </c>
      <c r="B114" s="2">
        <f>TableMJRUPHOTO[[#This Row],[Ver]]</f>
        <v>1</v>
      </c>
      <c r="D114" t="str">
        <f>TableMJRUPHOTO[[#This Row],[Structure Line]]</f>
        <v>Photography Project</v>
      </c>
      <c r="E114" s="19">
        <f>TableMJRUPHOTO[[#This Row],[Credit Points]]</f>
        <v>25</v>
      </c>
      <c r="F114">
        <v>8</v>
      </c>
      <c r="G114" t="s">
        <v>407</v>
      </c>
      <c r="H114">
        <v>3</v>
      </c>
      <c r="I114" t="s">
        <v>408</v>
      </c>
      <c r="J114" t="s">
        <v>177</v>
      </c>
      <c r="K114">
        <v>1</v>
      </c>
      <c r="L114" t="s">
        <v>368</v>
      </c>
      <c r="M114">
        <v>25</v>
      </c>
      <c r="N114" s="23">
        <v>43831</v>
      </c>
      <c r="O114" s="23"/>
      <c r="Q114" t="s">
        <v>177</v>
      </c>
      <c r="R114">
        <v>1</v>
      </c>
    </row>
    <row r="115" spans="1:18" x14ac:dyDescent="0.25">
      <c r="A115" s="45"/>
      <c r="B115" s="102"/>
      <c r="C115" s="45"/>
      <c r="D115" s="45"/>
      <c r="E115" s="102"/>
      <c r="F115" s="45"/>
      <c r="G115" s="45"/>
      <c r="H115" s="45"/>
      <c r="I115" s="45"/>
      <c r="J115" s="45"/>
      <c r="K115" s="45"/>
      <c r="L115" s="45"/>
      <c r="M115" s="45"/>
      <c r="N115" s="103"/>
      <c r="O115" s="103"/>
    </row>
    <row r="116" spans="1:18" x14ac:dyDescent="0.25">
      <c r="B116"/>
      <c r="E116"/>
      <c r="F116" s="17"/>
      <c r="G116" s="18" t="s">
        <v>393</v>
      </c>
      <c r="H116" s="114">
        <v>44927</v>
      </c>
      <c r="I116" s="18"/>
      <c r="J116" s="115" t="s">
        <v>181</v>
      </c>
      <c r="K116" s="116" t="s">
        <v>139</v>
      </c>
      <c r="L116" s="21" t="s">
        <v>73</v>
      </c>
      <c r="M116" s="18"/>
      <c r="N116" s="24" t="s">
        <v>394</v>
      </c>
      <c r="O116" s="101">
        <v>45601</v>
      </c>
    </row>
    <row r="117" spans="1:18" x14ac:dyDescent="0.25">
      <c r="A117" t="s">
        <v>0</v>
      </c>
      <c r="B117" s="2" t="s">
        <v>396</v>
      </c>
      <c r="C117" t="s">
        <v>397</v>
      </c>
      <c r="D117" t="s">
        <v>3</v>
      </c>
      <c r="E117" s="19" t="s">
        <v>398</v>
      </c>
      <c r="F117" t="s">
        <v>399</v>
      </c>
      <c r="G117" t="s">
        <v>400</v>
      </c>
      <c r="H117" t="s">
        <v>401</v>
      </c>
      <c r="I117" t="s">
        <v>24</v>
      </c>
      <c r="J117" t="s">
        <v>402</v>
      </c>
      <c r="K117" t="s">
        <v>1</v>
      </c>
      <c r="L117" t="s">
        <v>403</v>
      </c>
      <c r="M117" t="s">
        <v>60</v>
      </c>
      <c r="N117" t="s">
        <v>404</v>
      </c>
      <c r="O117" t="s">
        <v>405</v>
      </c>
      <c r="Q117" t="s">
        <v>116</v>
      </c>
      <c r="R117" t="s">
        <v>406</v>
      </c>
    </row>
    <row r="118" spans="1:18" x14ac:dyDescent="0.25">
      <c r="A118" t="str">
        <f>TableSPUCANIGD[[#This Row],[Study Package Code]]</f>
        <v>GRDE2014</v>
      </c>
      <c r="B118" s="2">
        <f>TableSPUCANIGD[[#This Row],[Ver]]</f>
        <v>1</v>
      </c>
      <c r="D118" t="str">
        <f>TableSPUCANIGD[[#This Row],[Structure Line]]</f>
        <v>Animation and Game Texture Design</v>
      </c>
      <c r="E118" s="19">
        <f>TableSPUCANIGD[[#This Row],[Credit Points]]</f>
        <v>25</v>
      </c>
      <c r="F118">
        <v>1</v>
      </c>
      <c r="G118" t="s">
        <v>407</v>
      </c>
      <c r="H118">
        <v>0</v>
      </c>
      <c r="I118" t="s">
        <v>408</v>
      </c>
      <c r="J118" t="s">
        <v>121</v>
      </c>
      <c r="K118">
        <v>1</v>
      </c>
      <c r="L118" t="s">
        <v>330</v>
      </c>
      <c r="M118">
        <v>25</v>
      </c>
      <c r="N118" s="23">
        <v>42005</v>
      </c>
      <c r="O118" s="23"/>
      <c r="Q118" t="s">
        <v>121</v>
      </c>
      <c r="R118">
        <v>1</v>
      </c>
    </row>
    <row r="119" spans="1:18" x14ac:dyDescent="0.25">
      <c r="A119" t="str">
        <f>TableSPUCANIGD[[#This Row],[Study Package Code]]</f>
        <v>GRDE1020</v>
      </c>
      <c r="B119" s="2">
        <f>TableSPUCANIGD[[#This Row],[Ver]]</f>
        <v>1</v>
      </c>
      <c r="D119" t="str">
        <f>TableSPUCANIGD[[#This Row],[Structure Line]]</f>
        <v>Game Design Introduction</v>
      </c>
      <c r="E119" s="19">
        <f>TableSPUCANIGD[[#This Row],[Credit Points]]</f>
        <v>25</v>
      </c>
      <c r="F119">
        <v>2</v>
      </c>
      <c r="G119" t="s">
        <v>407</v>
      </c>
      <c r="H119">
        <v>0</v>
      </c>
      <c r="I119" t="s">
        <v>408</v>
      </c>
      <c r="J119" t="s">
        <v>79</v>
      </c>
      <c r="K119">
        <v>1</v>
      </c>
      <c r="L119" t="s">
        <v>314</v>
      </c>
      <c r="M119">
        <v>25</v>
      </c>
      <c r="N119" s="23">
        <v>42736</v>
      </c>
      <c r="O119" s="23"/>
      <c r="Q119" t="s">
        <v>79</v>
      </c>
      <c r="R119">
        <v>1</v>
      </c>
    </row>
    <row r="120" spans="1:18" x14ac:dyDescent="0.25">
      <c r="A120" t="str">
        <f>TableSPUCANIGD[[#This Row],[Study Package Code]]</f>
        <v>GRDE2035</v>
      </c>
      <c r="B120" s="2">
        <f>TableSPUCANIGD[[#This Row],[Ver]]</f>
        <v>1</v>
      </c>
      <c r="D120" t="str">
        <f>TableSPUCANIGD[[#This Row],[Structure Line]]</f>
        <v>Introduction to 3D Modelling and Rendering</v>
      </c>
      <c r="E120" s="19">
        <f>TableSPUCANIGD[[#This Row],[Credit Points]]</f>
        <v>25</v>
      </c>
      <c r="F120">
        <v>3</v>
      </c>
      <c r="G120" t="s">
        <v>407</v>
      </c>
      <c r="H120">
        <v>0</v>
      </c>
      <c r="I120" t="s">
        <v>408</v>
      </c>
      <c r="J120" t="s">
        <v>103</v>
      </c>
      <c r="K120">
        <v>1</v>
      </c>
      <c r="L120" t="s">
        <v>342</v>
      </c>
      <c r="M120">
        <v>25</v>
      </c>
      <c r="N120" s="23">
        <v>42736</v>
      </c>
      <c r="O120" s="23"/>
      <c r="Q120" t="s">
        <v>103</v>
      </c>
      <c r="R120">
        <v>1</v>
      </c>
    </row>
    <row r="121" spans="1:18" x14ac:dyDescent="0.25">
      <c r="A121" t="str">
        <f>TableSPUCANIGD[[#This Row],[Study Package Code]]</f>
        <v>AC-ANIGD</v>
      </c>
      <c r="B121" s="2">
        <f>TableSPUCANIGD[[#This Row],[Ver]]</f>
        <v>0</v>
      </c>
      <c r="D121" t="str">
        <f>TableSPUCANIGD[[#This Row],[Structure Line]]</f>
        <v>Choose GRDE3030 or WORK3000</v>
      </c>
      <c r="E121" s="19">
        <f>TableSPUCANIGD[[#This Row],[Credit Points]]</f>
        <v>25</v>
      </c>
      <c r="F121">
        <v>4</v>
      </c>
      <c r="G121" t="s">
        <v>414</v>
      </c>
      <c r="H121">
        <v>0</v>
      </c>
      <c r="I121" t="s">
        <v>408</v>
      </c>
      <c r="J121" t="s">
        <v>222</v>
      </c>
      <c r="K121">
        <v>0</v>
      </c>
      <c r="L121" t="s">
        <v>429</v>
      </c>
      <c r="M121">
        <v>25</v>
      </c>
      <c r="O121" s="23"/>
      <c r="Q121" t="s">
        <v>428</v>
      </c>
      <c r="R121">
        <v>0</v>
      </c>
    </row>
    <row r="122" spans="1:18" x14ac:dyDescent="0.25">
      <c r="A122" t="str">
        <f>TableSPUCANIGD[[#This Row],[Study Package Code]]</f>
        <v>GRDE3030</v>
      </c>
      <c r="B122" s="2">
        <f>TableSPUCANIGD[[#This Row],[Ver]]</f>
        <v>2</v>
      </c>
      <c r="D122" t="str">
        <f>TableSPUCANIGD[[#This Row],[Structure Line]]</f>
        <v>Industry Project Development</v>
      </c>
      <c r="E122" s="19">
        <f>TableSPUCANIGD[[#This Row],[Credit Points]]</f>
        <v>25</v>
      </c>
      <c r="F122">
        <v>4</v>
      </c>
      <c r="G122" t="s">
        <v>414</v>
      </c>
      <c r="H122">
        <v>0</v>
      </c>
      <c r="I122" t="s">
        <v>408</v>
      </c>
      <c r="J122" t="s">
        <v>228</v>
      </c>
      <c r="K122">
        <v>2</v>
      </c>
      <c r="L122" t="s">
        <v>364</v>
      </c>
      <c r="M122">
        <v>25</v>
      </c>
      <c r="N122" s="23">
        <v>43831</v>
      </c>
      <c r="O122" s="23"/>
      <c r="Q122" t="s">
        <v>228</v>
      </c>
      <c r="R122">
        <v>2</v>
      </c>
    </row>
    <row r="123" spans="1:18" x14ac:dyDescent="0.25">
      <c r="A123" t="str">
        <f>TableSPUCANIGD[[#This Row],[Study Package Code]]</f>
        <v>WORK3000</v>
      </c>
      <c r="B123" s="2">
        <f>TableSPUCANIGD[[#This Row],[Ver]]</f>
        <v>2</v>
      </c>
      <c r="D123" t="str">
        <f>TableSPUCANIGD[[#This Row],[Structure Line]]</f>
        <v>Work Based Project</v>
      </c>
      <c r="E123" s="19">
        <f>TableSPUCANIGD[[#This Row],[Credit Points]]</f>
        <v>25</v>
      </c>
      <c r="F123">
        <v>4</v>
      </c>
      <c r="G123" t="s">
        <v>414</v>
      </c>
      <c r="H123">
        <v>0</v>
      </c>
      <c r="I123" t="s">
        <v>408</v>
      </c>
      <c r="J123" t="s">
        <v>234</v>
      </c>
      <c r="K123">
        <v>2</v>
      </c>
      <c r="L123" t="s">
        <v>419</v>
      </c>
      <c r="M123">
        <v>25</v>
      </c>
      <c r="N123" s="23">
        <v>42736</v>
      </c>
      <c r="O123" s="23"/>
      <c r="Q123" t="s">
        <v>234</v>
      </c>
      <c r="R123">
        <v>2</v>
      </c>
    </row>
    <row r="124" spans="1:18" x14ac:dyDescent="0.25">
      <c r="B124"/>
      <c r="E124"/>
      <c r="F124" s="17"/>
      <c r="G124" s="18" t="s">
        <v>393</v>
      </c>
      <c r="H124" s="114">
        <v>44927</v>
      </c>
      <c r="I124" s="18"/>
      <c r="J124" s="115" t="s">
        <v>183</v>
      </c>
      <c r="K124" s="116" t="s">
        <v>139</v>
      </c>
      <c r="L124" s="21" t="s">
        <v>132</v>
      </c>
      <c r="M124" s="18"/>
      <c r="N124" s="24" t="s">
        <v>394</v>
      </c>
      <c r="O124" s="23">
        <v>45601</v>
      </c>
    </row>
    <row r="125" spans="1:18" x14ac:dyDescent="0.25">
      <c r="A125" t="s">
        <v>0</v>
      </c>
      <c r="B125" s="2" t="s">
        <v>396</v>
      </c>
      <c r="C125" t="s">
        <v>397</v>
      </c>
      <c r="D125" t="s">
        <v>3</v>
      </c>
      <c r="E125" s="19" t="s">
        <v>398</v>
      </c>
      <c r="F125" t="s">
        <v>399</v>
      </c>
      <c r="G125" t="s">
        <v>400</v>
      </c>
      <c r="H125" t="s">
        <v>401</v>
      </c>
      <c r="I125" t="s">
        <v>24</v>
      </c>
      <c r="J125" t="s">
        <v>402</v>
      </c>
      <c r="K125" t="s">
        <v>1</v>
      </c>
      <c r="L125" t="s">
        <v>403</v>
      </c>
      <c r="M125" t="s">
        <v>60</v>
      </c>
      <c r="N125" t="s">
        <v>404</v>
      </c>
      <c r="O125" t="s">
        <v>405</v>
      </c>
      <c r="Q125" t="s">
        <v>116</v>
      </c>
      <c r="R125" t="s">
        <v>406</v>
      </c>
    </row>
    <row r="126" spans="1:18" x14ac:dyDescent="0.25">
      <c r="A126" t="str">
        <f>TableSPUCCADES[[#This Row],[Study Package Code]]</f>
        <v>GRDE1027</v>
      </c>
      <c r="B126" s="2">
        <f>TableSPUCCADES[[#This Row],[Ver]]</f>
        <v>1</v>
      </c>
      <c r="D126" t="str">
        <f>TableSPUCCADES[[#This Row],[Structure Line]]</f>
        <v>Advertising Design 1</v>
      </c>
      <c r="E126" s="19">
        <f>TableSPUCCADES[[#This Row],[Credit Points]]</f>
        <v>25</v>
      </c>
      <c r="F126">
        <v>1</v>
      </c>
      <c r="G126" t="s">
        <v>407</v>
      </c>
      <c r="H126">
        <v>0</v>
      </c>
      <c r="I126" t="s">
        <v>408</v>
      </c>
      <c r="J126" t="s">
        <v>77</v>
      </c>
      <c r="K126">
        <v>1</v>
      </c>
      <c r="L126" t="s">
        <v>318</v>
      </c>
      <c r="M126">
        <v>25</v>
      </c>
      <c r="N126" s="23">
        <v>43831</v>
      </c>
      <c r="O126" s="23"/>
      <c r="Q126" t="s">
        <v>77</v>
      </c>
      <c r="R126">
        <v>1</v>
      </c>
    </row>
    <row r="127" spans="1:18" x14ac:dyDescent="0.25">
      <c r="A127" t="str">
        <f>TableSPUCCADES[[#This Row],[Study Package Code]]</f>
        <v>GRDE2009</v>
      </c>
      <c r="B127" s="2">
        <f>TableSPUCCADES[[#This Row],[Ver]]</f>
        <v>1</v>
      </c>
      <c r="D127" t="str">
        <f>TableSPUCCADES[[#This Row],[Structure Line]]</f>
        <v>Advertising Design 2</v>
      </c>
      <c r="E127" s="19">
        <f>TableSPUCCADES[[#This Row],[Credit Points]]</f>
        <v>25</v>
      </c>
      <c r="F127">
        <v>2</v>
      </c>
      <c r="G127" t="s">
        <v>407</v>
      </c>
      <c r="H127">
        <v>0</v>
      </c>
      <c r="I127" t="s">
        <v>408</v>
      </c>
      <c r="J127" t="s">
        <v>113</v>
      </c>
      <c r="K127">
        <v>1</v>
      </c>
      <c r="L127" t="s">
        <v>326</v>
      </c>
      <c r="M127">
        <v>25</v>
      </c>
      <c r="N127" s="23">
        <v>42005</v>
      </c>
      <c r="O127" s="23"/>
      <c r="Q127" t="s">
        <v>113</v>
      </c>
      <c r="R127">
        <v>1</v>
      </c>
    </row>
    <row r="128" spans="1:18" x14ac:dyDescent="0.25">
      <c r="A128" t="str">
        <f>TableSPUCCADES[[#This Row],[Study Package Code]]</f>
        <v>GRDE2033</v>
      </c>
      <c r="B128" s="2">
        <f>TableSPUCCADES[[#This Row],[Ver]]</f>
        <v>2</v>
      </c>
      <c r="D128" t="str">
        <f>TableSPUCCADES[[#This Row],[Structure Line]]</f>
        <v>Copywriting for Design and Advertising</v>
      </c>
      <c r="E128" s="19">
        <f>TableSPUCCADES[[#This Row],[Credit Points]]</f>
        <v>25</v>
      </c>
      <c r="F128">
        <v>3</v>
      </c>
      <c r="G128" t="s">
        <v>407</v>
      </c>
      <c r="H128">
        <v>0</v>
      </c>
      <c r="I128" t="s">
        <v>408</v>
      </c>
      <c r="J128" t="s">
        <v>217</v>
      </c>
      <c r="K128">
        <v>2</v>
      </c>
      <c r="L128" t="s">
        <v>340</v>
      </c>
      <c r="M128">
        <v>25</v>
      </c>
      <c r="N128" s="23">
        <v>45292</v>
      </c>
      <c r="O128" s="23"/>
      <c r="Q128" t="s">
        <v>217</v>
      </c>
      <c r="R128">
        <v>2</v>
      </c>
    </row>
    <row r="129" spans="1:18" x14ac:dyDescent="0.25">
      <c r="A129" t="str">
        <f>TableSPUCCADES[[#This Row],[Study Package Code]]</f>
        <v>GRDE2034</v>
      </c>
      <c r="B129" s="2">
        <f>TableSPUCCADES[[#This Row],[Ver]]</f>
        <v>1</v>
      </c>
      <c r="D129" t="str">
        <f>TableSPUCCADES[[#This Row],[Structure Line]]</f>
        <v>Art Direction in Design and Advertising</v>
      </c>
      <c r="E129" s="19">
        <f>TableSPUCCADES[[#This Row],[Credit Points]]</f>
        <v>25</v>
      </c>
      <c r="F129">
        <v>4</v>
      </c>
      <c r="G129" t="s">
        <v>407</v>
      </c>
      <c r="H129">
        <v>0</v>
      </c>
      <c r="I129" t="s">
        <v>408</v>
      </c>
      <c r="J129" t="s">
        <v>118</v>
      </c>
      <c r="K129">
        <v>1</v>
      </c>
      <c r="L129" t="s">
        <v>341</v>
      </c>
      <c r="M129">
        <v>25</v>
      </c>
      <c r="N129" s="23">
        <v>42552</v>
      </c>
      <c r="O129" s="23"/>
      <c r="Q129" t="s">
        <v>118</v>
      </c>
      <c r="R129">
        <v>1</v>
      </c>
    </row>
    <row r="130" spans="1:18" x14ac:dyDescent="0.25">
      <c r="B130"/>
      <c r="E130"/>
      <c r="F130" s="17"/>
      <c r="G130" s="18" t="s">
        <v>393</v>
      </c>
      <c r="H130" s="114">
        <v>44197</v>
      </c>
      <c r="I130" s="18"/>
      <c r="J130" s="115" t="s">
        <v>185</v>
      </c>
      <c r="K130" s="116" t="s">
        <v>129</v>
      </c>
      <c r="L130" s="21" t="s">
        <v>76</v>
      </c>
      <c r="M130" s="18"/>
      <c r="N130" s="24" t="s">
        <v>394</v>
      </c>
      <c r="O130" s="23">
        <v>45601</v>
      </c>
    </row>
    <row r="131" spans="1:18" x14ac:dyDescent="0.25">
      <c r="A131" t="s">
        <v>0</v>
      </c>
      <c r="B131" s="2" t="s">
        <v>396</v>
      </c>
      <c r="C131" t="s">
        <v>397</v>
      </c>
      <c r="D131" t="s">
        <v>3</v>
      </c>
      <c r="E131" s="19" t="s">
        <v>398</v>
      </c>
      <c r="F131" t="s">
        <v>399</v>
      </c>
      <c r="G131" t="s">
        <v>400</v>
      </c>
      <c r="H131" t="s">
        <v>401</v>
      </c>
      <c r="I131" t="s">
        <v>24</v>
      </c>
      <c r="J131" t="s">
        <v>402</v>
      </c>
      <c r="K131" t="s">
        <v>1</v>
      </c>
      <c r="L131" t="s">
        <v>403</v>
      </c>
      <c r="M131" t="s">
        <v>60</v>
      </c>
      <c r="N131" t="s">
        <v>404</v>
      </c>
      <c r="O131" t="s">
        <v>405</v>
      </c>
      <c r="Q131" t="s">
        <v>116</v>
      </c>
      <c r="R131" t="s">
        <v>406</v>
      </c>
    </row>
    <row r="132" spans="1:18" x14ac:dyDescent="0.25">
      <c r="A132" t="str">
        <f>TableSPUCDIGDE[[#This Row],[Study Package Code]]</f>
        <v>GRDE1016</v>
      </c>
      <c r="B132" s="2">
        <f>TableSPUCDIGDE[[#This Row],[Ver]]</f>
        <v>2</v>
      </c>
      <c r="D132" t="str">
        <f>TableSPUCDIGDE[[#This Row],[Structure Line]]</f>
        <v>Digital Design 1</v>
      </c>
      <c r="E132" s="19">
        <f>TableSPUCDIGDE[[#This Row],[Credit Points]]</f>
        <v>25</v>
      </c>
      <c r="F132">
        <v>1</v>
      </c>
      <c r="G132" t="s">
        <v>407</v>
      </c>
      <c r="H132">
        <v>0</v>
      </c>
      <c r="I132" t="s">
        <v>408</v>
      </c>
      <c r="J132" t="s">
        <v>74</v>
      </c>
      <c r="K132">
        <v>2</v>
      </c>
      <c r="L132" t="s">
        <v>312</v>
      </c>
      <c r="M132">
        <v>25</v>
      </c>
      <c r="N132" s="23">
        <v>44197</v>
      </c>
      <c r="O132" s="23"/>
      <c r="Q132" t="s">
        <v>74</v>
      </c>
      <c r="R132">
        <v>2</v>
      </c>
    </row>
    <row r="133" spans="1:18" x14ac:dyDescent="0.25">
      <c r="A133" t="str">
        <f>TableSPUCDIGDE[[#This Row],[Study Package Code]]</f>
        <v>GRDE2011</v>
      </c>
      <c r="B133" s="2">
        <f>TableSPUCDIGDE[[#This Row],[Ver]]</f>
        <v>2</v>
      </c>
      <c r="D133" t="str">
        <f>TableSPUCDIGDE[[#This Row],[Structure Line]]</f>
        <v>Web Design 1</v>
      </c>
      <c r="E133" s="19">
        <f>TableSPUCDIGDE[[#This Row],[Credit Points]]</f>
        <v>25</v>
      </c>
      <c r="F133">
        <v>2</v>
      </c>
      <c r="G133" t="s">
        <v>407</v>
      </c>
      <c r="H133">
        <v>0</v>
      </c>
      <c r="I133" t="s">
        <v>408</v>
      </c>
      <c r="J133" t="s">
        <v>104</v>
      </c>
      <c r="K133">
        <v>2</v>
      </c>
      <c r="L133" t="s">
        <v>327</v>
      </c>
      <c r="M133">
        <v>25</v>
      </c>
      <c r="N133" s="23">
        <v>44197</v>
      </c>
      <c r="O133" s="23"/>
      <c r="Q133" t="s">
        <v>104</v>
      </c>
      <c r="R133">
        <v>2</v>
      </c>
    </row>
    <row r="134" spans="1:18" x14ac:dyDescent="0.25">
      <c r="A134" t="str">
        <f>TableSPUCDIGDE[[#This Row],[Study Package Code]]</f>
        <v>GRDE2013</v>
      </c>
      <c r="B134" s="2">
        <f>TableSPUCDIGDE[[#This Row],[Ver]]</f>
        <v>3</v>
      </c>
      <c r="D134" t="str">
        <f>TableSPUCDIGDE[[#This Row],[Structure Line]]</f>
        <v>Web Design 2</v>
      </c>
      <c r="E134" s="19">
        <f>TableSPUCDIGDE[[#This Row],[Credit Points]]</f>
        <v>25</v>
      </c>
      <c r="F134">
        <v>3</v>
      </c>
      <c r="G134" t="s">
        <v>407</v>
      </c>
      <c r="H134">
        <v>0</v>
      </c>
      <c r="I134" t="s">
        <v>408</v>
      </c>
      <c r="J134" t="s">
        <v>134</v>
      </c>
      <c r="K134">
        <v>3</v>
      </c>
      <c r="L134" t="s">
        <v>329</v>
      </c>
      <c r="M134">
        <v>25</v>
      </c>
      <c r="N134" s="23">
        <v>44197</v>
      </c>
      <c r="O134" s="23"/>
      <c r="Q134" t="s">
        <v>134</v>
      </c>
      <c r="R134">
        <v>3</v>
      </c>
    </row>
    <row r="135" spans="1:18" x14ac:dyDescent="0.25">
      <c r="A135" t="str">
        <f>TableSPUCDIGDE[[#This Row],[Study Package Code]]</f>
        <v>ICTE2002</v>
      </c>
      <c r="B135" s="2">
        <f>TableSPUCDIGDE[[#This Row],[Ver]]</f>
        <v>4</v>
      </c>
      <c r="D135" t="str">
        <f>TableSPUCDIGDE[[#This Row],[Structure Line]]</f>
        <v>UX Design 2</v>
      </c>
      <c r="E135" s="19">
        <f>TableSPUCDIGDE[[#This Row],[Credit Points]]</f>
        <v>25</v>
      </c>
      <c r="F135">
        <v>4</v>
      </c>
      <c r="G135" t="s">
        <v>407</v>
      </c>
      <c r="H135">
        <v>0</v>
      </c>
      <c r="I135" t="s">
        <v>408</v>
      </c>
      <c r="J135" t="s">
        <v>96</v>
      </c>
      <c r="K135">
        <v>4</v>
      </c>
      <c r="L135" t="s">
        <v>369</v>
      </c>
      <c r="M135">
        <v>25</v>
      </c>
      <c r="N135" s="23">
        <v>45658</v>
      </c>
      <c r="O135" s="23"/>
      <c r="Q135" t="s">
        <v>96</v>
      </c>
      <c r="R135">
        <v>3</v>
      </c>
    </row>
    <row r="136" spans="1:18" x14ac:dyDescent="0.25">
      <c r="B136"/>
      <c r="E136"/>
      <c r="F136" s="17"/>
      <c r="G136" s="18" t="s">
        <v>393</v>
      </c>
      <c r="H136" s="114">
        <v>44197</v>
      </c>
      <c r="I136" s="18"/>
      <c r="J136" s="115" t="s">
        <v>186</v>
      </c>
      <c r="K136" s="116" t="s">
        <v>129</v>
      </c>
      <c r="L136" s="21" t="s">
        <v>17</v>
      </c>
      <c r="M136" s="18"/>
      <c r="N136" s="24" t="s">
        <v>394</v>
      </c>
      <c r="O136" s="23">
        <v>45601</v>
      </c>
    </row>
    <row r="137" spans="1:18" x14ac:dyDescent="0.25">
      <c r="A137" t="s">
        <v>0</v>
      </c>
      <c r="B137" s="2" t="s">
        <v>396</v>
      </c>
      <c r="C137" t="s">
        <v>397</v>
      </c>
      <c r="D137" t="s">
        <v>3</v>
      </c>
      <c r="E137" s="19" t="s">
        <v>398</v>
      </c>
      <c r="F137" t="s">
        <v>399</v>
      </c>
      <c r="G137" t="s">
        <v>400</v>
      </c>
      <c r="H137" t="s">
        <v>401</v>
      </c>
      <c r="I137" t="s">
        <v>24</v>
      </c>
      <c r="J137" t="s">
        <v>402</v>
      </c>
      <c r="K137" t="s">
        <v>1</v>
      </c>
      <c r="L137" t="s">
        <v>403</v>
      </c>
      <c r="M137" t="s">
        <v>60</v>
      </c>
      <c r="N137" t="s">
        <v>404</v>
      </c>
      <c r="O137" t="s">
        <v>405</v>
      </c>
      <c r="Q137" t="s">
        <v>116</v>
      </c>
      <c r="R137" t="s">
        <v>406</v>
      </c>
    </row>
    <row r="138" spans="1:18" x14ac:dyDescent="0.25">
      <c r="A138" t="str">
        <f>TableSPUCFASHN[[#This Row],[Study Package Code]]</f>
        <v>FASH3003</v>
      </c>
      <c r="B138" s="2">
        <f>TableSPUCFASHN[[#This Row],[Ver]]</f>
        <v>1</v>
      </c>
      <c r="D138" t="str">
        <f>TableSPUCFASHN[[#This Row],[Structure Line]]</f>
        <v>Clothing in Context -The Business of Fashion</v>
      </c>
      <c r="E138" s="19">
        <f>TableSPUCFASHN[[#This Row],[Credit Points]]</f>
        <v>25</v>
      </c>
      <c r="F138">
        <v>1</v>
      </c>
      <c r="G138" t="s">
        <v>407</v>
      </c>
      <c r="H138">
        <v>0</v>
      </c>
      <c r="I138" t="s">
        <v>408</v>
      </c>
      <c r="J138" t="s">
        <v>209</v>
      </c>
      <c r="K138">
        <v>1</v>
      </c>
      <c r="L138" t="s">
        <v>301</v>
      </c>
      <c r="M138">
        <v>25</v>
      </c>
      <c r="N138" s="23">
        <v>42005</v>
      </c>
      <c r="O138" s="23"/>
      <c r="Q138" t="s">
        <v>209</v>
      </c>
      <c r="R138">
        <v>1</v>
      </c>
    </row>
    <row r="139" spans="1:18" x14ac:dyDescent="0.25">
      <c r="A139" t="str">
        <f>TableSPUCFASHN[[#This Row],[Study Package Code]]</f>
        <v>GRDE1003</v>
      </c>
      <c r="B139" s="2">
        <f>TableSPUCFASHN[[#This Row],[Ver]]</f>
        <v>2</v>
      </c>
      <c r="D139" t="str">
        <f>TableSPUCFASHN[[#This Row],[Structure Line]]</f>
        <v>3D Design Practice</v>
      </c>
      <c r="E139" s="19">
        <f>TableSPUCFASHN[[#This Row],[Credit Points]]</f>
        <v>25</v>
      </c>
      <c r="F139">
        <v>2</v>
      </c>
      <c r="G139" t="s">
        <v>407</v>
      </c>
      <c r="H139">
        <v>0</v>
      </c>
      <c r="I139" t="s">
        <v>408</v>
      </c>
      <c r="J139" t="s">
        <v>82</v>
      </c>
      <c r="K139">
        <v>2</v>
      </c>
      <c r="L139" t="s">
        <v>305</v>
      </c>
      <c r="M139">
        <v>25</v>
      </c>
      <c r="N139" s="23">
        <v>45292</v>
      </c>
      <c r="O139" s="23"/>
      <c r="Q139" t="s">
        <v>82</v>
      </c>
      <c r="R139">
        <v>2</v>
      </c>
    </row>
    <row r="140" spans="1:18" x14ac:dyDescent="0.25">
      <c r="A140" t="str">
        <f>TableSPUCFASHN[[#This Row],[Study Package Code]]</f>
        <v>Opt-FASHN</v>
      </c>
      <c r="B140" s="2">
        <f>TableSPUCFASHN[[#This Row],[Ver]]</f>
        <v>0</v>
      </c>
      <c r="D140" t="str">
        <f>TableSPUCFASHN[[#This Row],[Structure Line]]</f>
        <v>Choose an Option</v>
      </c>
      <c r="E140" s="19">
        <f>TableSPUCFASHN[[#This Row],[Credit Points]]</f>
        <v>50</v>
      </c>
      <c r="F140">
        <v>3</v>
      </c>
      <c r="G140" t="s">
        <v>409</v>
      </c>
      <c r="H140">
        <v>0</v>
      </c>
      <c r="I140" t="s">
        <v>408</v>
      </c>
      <c r="J140" t="s">
        <v>218</v>
      </c>
      <c r="K140">
        <v>0</v>
      </c>
      <c r="L140" t="s">
        <v>431</v>
      </c>
      <c r="M140">
        <v>50</v>
      </c>
      <c r="O140" s="23"/>
      <c r="Q140" t="s">
        <v>430</v>
      </c>
      <c r="R140">
        <v>0</v>
      </c>
    </row>
    <row r="141" spans="1:18" x14ac:dyDescent="0.25">
      <c r="A141" t="str">
        <f>TableSPUCFASHN[[#This Row],[Study Package Code]]</f>
        <v>FASH1001</v>
      </c>
      <c r="B141" s="2">
        <f>TableSPUCFASHN[[#This Row],[Ver]]</f>
        <v>1</v>
      </c>
      <c r="D141" t="str">
        <f>TableSPUCFASHN[[#This Row],[Structure Line]]</f>
        <v>Style Hunting</v>
      </c>
      <c r="E141" s="19">
        <f>TableSPUCFASHN[[#This Row],[Credit Points]]</f>
        <v>25</v>
      </c>
      <c r="F141">
        <v>3</v>
      </c>
      <c r="G141" t="s">
        <v>409</v>
      </c>
      <c r="H141">
        <v>0</v>
      </c>
      <c r="I141" t="s">
        <v>408</v>
      </c>
      <c r="J141" t="s">
        <v>223</v>
      </c>
      <c r="K141">
        <v>1</v>
      </c>
      <c r="L141" t="s">
        <v>289</v>
      </c>
      <c r="M141">
        <v>25</v>
      </c>
      <c r="N141" s="23">
        <v>42005</v>
      </c>
      <c r="O141" s="23"/>
      <c r="Q141" t="s">
        <v>223</v>
      </c>
      <c r="R141">
        <v>1</v>
      </c>
    </row>
    <row r="142" spans="1:18" x14ac:dyDescent="0.25">
      <c r="A142" t="str">
        <f>TableSPUCFASHN[[#This Row],[Study Package Code]]</f>
        <v>FASH2004</v>
      </c>
      <c r="B142" s="2">
        <f>TableSPUCFASHN[[#This Row],[Ver]]</f>
        <v>1</v>
      </c>
      <c r="D142" t="str">
        <f>TableSPUCFASHN[[#This Row],[Structure Line]]</f>
        <v>Fashion Design and Illustration</v>
      </c>
      <c r="E142" s="19">
        <f>TableSPUCFASHN[[#This Row],[Credit Points]]</f>
        <v>25</v>
      </c>
      <c r="F142">
        <v>3</v>
      </c>
      <c r="G142" t="s">
        <v>409</v>
      </c>
      <c r="H142">
        <v>0</v>
      </c>
      <c r="I142" t="s">
        <v>408</v>
      </c>
      <c r="J142" t="s">
        <v>229</v>
      </c>
      <c r="K142">
        <v>1</v>
      </c>
      <c r="L142" t="s">
        <v>296</v>
      </c>
      <c r="M142">
        <v>25</v>
      </c>
      <c r="N142" s="23">
        <v>42005</v>
      </c>
      <c r="O142" s="23"/>
      <c r="Q142" t="s">
        <v>229</v>
      </c>
      <c r="R142">
        <v>1</v>
      </c>
    </row>
    <row r="143" spans="1:18" x14ac:dyDescent="0.25">
      <c r="A143" t="str">
        <f>TableSPUCFASHN[[#This Row],[Study Package Code]]</f>
        <v>FASH3004</v>
      </c>
      <c r="B143" s="2">
        <f>TableSPUCFASHN[[#This Row],[Ver]]</f>
        <v>1</v>
      </c>
      <c r="D143" t="str">
        <f>TableSPUCFASHN[[#This Row],[Structure Line]]</f>
        <v>Fashion Merchandising</v>
      </c>
      <c r="E143" s="19">
        <f>TableSPUCFASHN[[#This Row],[Credit Points]]</f>
        <v>25</v>
      </c>
      <c r="F143">
        <v>3</v>
      </c>
      <c r="G143" t="s">
        <v>409</v>
      </c>
      <c r="H143">
        <v>0</v>
      </c>
      <c r="I143" t="s">
        <v>408</v>
      </c>
      <c r="J143" t="s">
        <v>240</v>
      </c>
      <c r="K143">
        <v>1</v>
      </c>
      <c r="L143" t="s">
        <v>302</v>
      </c>
      <c r="M143">
        <v>25</v>
      </c>
      <c r="N143" s="23">
        <v>42005</v>
      </c>
      <c r="O143" s="23"/>
      <c r="Q143" t="s">
        <v>240</v>
      </c>
      <c r="R143">
        <v>1</v>
      </c>
    </row>
    <row r="144" spans="1:18" x14ac:dyDescent="0.25">
      <c r="A144" t="str">
        <f>TableSPUCFASHN[[#This Row],[Study Package Code]]</f>
        <v>GRDE2021</v>
      </c>
      <c r="B144" s="2">
        <f>TableSPUCFASHN[[#This Row],[Ver]]</f>
        <v>2</v>
      </c>
      <c r="D144" t="str">
        <f>TableSPUCFASHN[[#This Row],[Structure Line]]</f>
        <v>Surface Design</v>
      </c>
      <c r="E144" s="19">
        <f>TableSPUCFASHN[[#This Row],[Credit Points]]</f>
        <v>25</v>
      </c>
      <c r="F144">
        <v>3</v>
      </c>
      <c r="G144" t="s">
        <v>409</v>
      </c>
      <c r="H144">
        <v>0</v>
      </c>
      <c r="I144" t="s">
        <v>408</v>
      </c>
      <c r="J144" t="s">
        <v>235</v>
      </c>
      <c r="K144">
        <v>2</v>
      </c>
      <c r="L144" t="s">
        <v>334</v>
      </c>
      <c r="M144">
        <v>25</v>
      </c>
      <c r="N144" s="23">
        <v>43831</v>
      </c>
      <c r="O144" s="23"/>
      <c r="Q144" t="s">
        <v>235</v>
      </c>
      <c r="R144">
        <v>2</v>
      </c>
    </row>
    <row r="145" spans="1:18" x14ac:dyDescent="0.25">
      <c r="A145" t="str">
        <f>TableSPUCFASHN[[#This Row],[Study Package Code]]</f>
        <v>GRDE2027</v>
      </c>
      <c r="B145" s="2">
        <f>TableSPUCFASHN[[#This Row],[Ver]]</f>
        <v>1</v>
      </c>
      <c r="D145" t="str">
        <f>TableSPUCFASHN[[#This Row],[Structure Line]]</f>
        <v>Photography Contexts and Practice</v>
      </c>
      <c r="E145" s="19">
        <f>TableSPUCFASHN[[#This Row],[Credit Points]]</f>
        <v>25</v>
      </c>
      <c r="F145">
        <v>3</v>
      </c>
      <c r="G145" t="s">
        <v>409</v>
      </c>
      <c r="H145">
        <v>0</v>
      </c>
      <c r="I145" t="s">
        <v>408</v>
      </c>
      <c r="J145" t="s">
        <v>100</v>
      </c>
      <c r="K145">
        <v>1</v>
      </c>
      <c r="L145" t="s">
        <v>338</v>
      </c>
      <c r="M145">
        <v>25</v>
      </c>
      <c r="N145" s="23">
        <v>42005</v>
      </c>
      <c r="O145" s="23"/>
      <c r="Q145" t="s">
        <v>100</v>
      </c>
      <c r="R145">
        <v>1</v>
      </c>
    </row>
    <row r="146" spans="1:18" x14ac:dyDescent="0.25">
      <c r="B146"/>
      <c r="E146"/>
      <c r="F146" s="17"/>
      <c r="G146" s="18" t="s">
        <v>393</v>
      </c>
      <c r="H146" s="118">
        <v>45658</v>
      </c>
      <c r="I146" s="18"/>
      <c r="J146" s="115" t="s">
        <v>187</v>
      </c>
      <c r="K146" s="119" t="s">
        <v>139</v>
      </c>
      <c r="L146" s="21" t="s">
        <v>92</v>
      </c>
      <c r="M146" s="18"/>
      <c r="N146" s="24" t="s">
        <v>394</v>
      </c>
      <c r="O146" s="23">
        <v>45601</v>
      </c>
    </row>
    <row r="147" spans="1:18" x14ac:dyDescent="0.25">
      <c r="A147" t="s">
        <v>0</v>
      </c>
      <c r="B147" s="2" t="s">
        <v>396</v>
      </c>
      <c r="C147" t="s">
        <v>397</v>
      </c>
      <c r="D147" t="s">
        <v>3</v>
      </c>
      <c r="E147" s="19" t="s">
        <v>398</v>
      </c>
      <c r="F147" t="s">
        <v>399</v>
      </c>
      <c r="G147" t="s">
        <v>400</v>
      </c>
      <c r="H147" t="s">
        <v>401</v>
      </c>
      <c r="I147" t="s">
        <v>24</v>
      </c>
      <c r="J147" t="s">
        <v>402</v>
      </c>
      <c r="K147" t="s">
        <v>1</v>
      </c>
      <c r="L147" t="s">
        <v>403</v>
      </c>
      <c r="M147" t="s">
        <v>60</v>
      </c>
      <c r="N147" t="s">
        <v>404</v>
      </c>
      <c r="O147" t="s">
        <v>405</v>
      </c>
      <c r="Q147" t="s">
        <v>116</v>
      </c>
      <c r="R147" t="s">
        <v>406</v>
      </c>
    </row>
    <row r="148" spans="1:18" x14ac:dyDescent="0.25">
      <c r="A148" t="str">
        <f>TableSPUCFSHMK[[#This Row],[Study Package Code]]</f>
        <v>FASH3003</v>
      </c>
      <c r="B148" s="2">
        <f>TableSPUCFSHMK[[#This Row],[Ver]]</f>
        <v>1</v>
      </c>
      <c r="D148" t="str">
        <f>TableSPUCFSHMK[[#This Row],[Structure Line]]</f>
        <v>Clothing in Context -The Business of Fashion</v>
      </c>
      <c r="E148" s="19">
        <f>TableSPUCFSHMK[[#This Row],[Credit Points]]</f>
        <v>25</v>
      </c>
      <c r="F148">
        <v>1</v>
      </c>
      <c r="G148" t="s">
        <v>407</v>
      </c>
      <c r="H148">
        <v>0</v>
      </c>
      <c r="I148" t="s">
        <v>408</v>
      </c>
      <c r="J148" t="s">
        <v>209</v>
      </c>
      <c r="K148">
        <v>1</v>
      </c>
      <c r="L148" t="s">
        <v>301</v>
      </c>
      <c r="M148">
        <v>25</v>
      </c>
      <c r="N148" s="23">
        <v>42005</v>
      </c>
      <c r="O148" s="23"/>
      <c r="Q148" t="s">
        <v>209</v>
      </c>
      <c r="R148">
        <v>1</v>
      </c>
    </row>
    <row r="149" spans="1:18" x14ac:dyDescent="0.25">
      <c r="A149" t="str">
        <f>TableSPUCFSHMK[[#This Row],[Study Package Code]]</f>
        <v>MKTG2001</v>
      </c>
      <c r="B149" s="2">
        <f>TableSPUCFSHMK[[#This Row],[Ver]]</f>
        <v>1</v>
      </c>
      <c r="D149" t="str">
        <f>TableSPUCFSHMK[[#This Row],[Structure Line]]</f>
        <v>Brand Management</v>
      </c>
      <c r="E149" s="19">
        <f>TableSPUCFSHMK[[#This Row],[Credit Points]]</f>
        <v>25</v>
      </c>
      <c r="F149">
        <v>2</v>
      </c>
      <c r="G149" t="s">
        <v>407</v>
      </c>
      <c r="H149">
        <v>0</v>
      </c>
      <c r="I149" t="s">
        <v>408</v>
      </c>
      <c r="J149" t="s">
        <v>210</v>
      </c>
      <c r="K149">
        <v>1</v>
      </c>
      <c r="L149" t="s">
        <v>376</v>
      </c>
      <c r="M149">
        <v>25</v>
      </c>
      <c r="N149" s="23">
        <v>42005</v>
      </c>
      <c r="O149" s="23"/>
      <c r="Q149" t="s">
        <v>432</v>
      </c>
      <c r="R149">
        <v>0</v>
      </c>
    </row>
    <row r="150" spans="1:18" x14ac:dyDescent="0.25">
      <c r="A150" t="str">
        <f>TableSPUCFSHMK[[#This Row],[Study Package Code]]</f>
        <v>Opt-FSHMK</v>
      </c>
      <c r="B150" s="2">
        <f>TableSPUCFSHMK[[#This Row],[Ver]]</f>
        <v>0</v>
      </c>
      <c r="D150" t="str">
        <f>TableSPUCFSHMK[[#This Row],[Structure Line]]</f>
        <v>Fashion Specialisation Optional List</v>
      </c>
      <c r="E150" s="19">
        <f>TableSPUCFSHMK[[#This Row],[Credit Points]]</f>
        <v>50</v>
      </c>
      <c r="F150">
        <v>3</v>
      </c>
      <c r="G150" t="s">
        <v>409</v>
      </c>
      <c r="H150">
        <v>0</v>
      </c>
      <c r="I150" t="s">
        <v>408</v>
      </c>
      <c r="J150" t="s">
        <v>230</v>
      </c>
      <c r="K150">
        <v>0</v>
      </c>
      <c r="L150" t="s">
        <v>434</v>
      </c>
      <c r="M150">
        <v>50</v>
      </c>
      <c r="O150" s="23"/>
      <c r="Q150" t="s">
        <v>433</v>
      </c>
      <c r="R150">
        <v>0</v>
      </c>
    </row>
    <row r="151" spans="1:18" x14ac:dyDescent="0.25">
      <c r="A151" t="str">
        <f>TableSPUCFSHMK[[#This Row],[Study Package Code]]</f>
        <v>FASH3000</v>
      </c>
      <c r="B151" s="2">
        <f>TableSPUCFSHMK[[#This Row],[Ver]]</f>
        <v>1</v>
      </c>
      <c r="D151" t="str">
        <f>TableSPUCFSHMK[[#This Row],[Structure Line]]</f>
        <v>Language of Dress</v>
      </c>
      <c r="E151" s="19">
        <f>TableSPUCFSHMK[[#This Row],[Credit Points]]</f>
        <v>25</v>
      </c>
      <c r="F151">
        <v>3</v>
      </c>
      <c r="G151" t="s">
        <v>409</v>
      </c>
      <c r="H151">
        <v>0</v>
      </c>
      <c r="I151" t="s">
        <v>408</v>
      </c>
      <c r="J151" t="s">
        <v>145</v>
      </c>
      <c r="K151">
        <v>1</v>
      </c>
      <c r="L151" t="s">
        <v>297</v>
      </c>
      <c r="M151">
        <v>25</v>
      </c>
      <c r="N151" s="23">
        <v>42005</v>
      </c>
      <c r="O151" s="23"/>
      <c r="Q151" t="s">
        <v>145</v>
      </c>
      <c r="R151">
        <v>1</v>
      </c>
    </row>
    <row r="152" spans="1:18" x14ac:dyDescent="0.25">
      <c r="A152" t="str">
        <f>TableSPUCFSHMK[[#This Row],[Study Package Code]]</f>
        <v>FASH3004</v>
      </c>
      <c r="B152" s="2">
        <f>TableSPUCFSHMK[[#This Row],[Ver]]</f>
        <v>1</v>
      </c>
      <c r="D152" t="str">
        <f>TableSPUCFSHMK[[#This Row],[Structure Line]]</f>
        <v>Fashion Merchandising</v>
      </c>
      <c r="E152" s="19">
        <f>TableSPUCFSHMK[[#This Row],[Credit Points]]</f>
        <v>25</v>
      </c>
      <c r="F152">
        <v>3</v>
      </c>
      <c r="G152" t="s">
        <v>409</v>
      </c>
      <c r="H152">
        <v>0</v>
      </c>
      <c r="I152" t="s">
        <v>408</v>
      </c>
      <c r="J152" t="s">
        <v>240</v>
      </c>
      <c r="K152">
        <v>1</v>
      </c>
      <c r="L152" t="s">
        <v>302</v>
      </c>
      <c r="M152">
        <v>25</v>
      </c>
      <c r="N152" s="23">
        <v>42005</v>
      </c>
      <c r="O152" s="23"/>
      <c r="Q152" t="s">
        <v>240</v>
      </c>
      <c r="R152">
        <v>1</v>
      </c>
    </row>
    <row r="153" spans="1:18" x14ac:dyDescent="0.25">
      <c r="A153" t="str">
        <f>TableSPUCFSHMK[[#This Row],[Study Package Code]]</f>
        <v>MKTG1000</v>
      </c>
      <c r="B153" s="2">
        <f>TableSPUCFSHMK[[#This Row],[Ver]]</f>
        <v>1</v>
      </c>
      <c r="D153" t="str">
        <f>TableSPUCFSHMK[[#This Row],[Structure Line]]</f>
        <v>Discovering Marketing</v>
      </c>
      <c r="E153" s="19">
        <f>TableSPUCFSHMK[[#This Row],[Credit Points]]</f>
        <v>25</v>
      </c>
      <c r="F153">
        <v>3</v>
      </c>
      <c r="G153" t="s">
        <v>409</v>
      </c>
      <c r="H153">
        <v>0</v>
      </c>
      <c r="I153" t="s">
        <v>408</v>
      </c>
      <c r="J153" t="s">
        <v>206</v>
      </c>
      <c r="K153">
        <v>1</v>
      </c>
      <c r="L153" t="s">
        <v>374</v>
      </c>
      <c r="M153">
        <v>25</v>
      </c>
      <c r="N153" s="23">
        <v>42005</v>
      </c>
      <c r="O153" s="23"/>
      <c r="Q153" t="s">
        <v>206</v>
      </c>
      <c r="R153">
        <v>1</v>
      </c>
    </row>
    <row r="154" spans="1:18" x14ac:dyDescent="0.25">
      <c r="A154" t="str">
        <f>TableSPUCFSHMK[[#This Row],[Study Package Code]]</f>
        <v>MKTG2002</v>
      </c>
      <c r="B154" s="2">
        <f>TableSPUCFSHMK[[#This Row],[Ver]]</f>
        <v>2</v>
      </c>
      <c r="D154" t="str">
        <f>TableSPUCFSHMK[[#This Row],[Structure Line]]</f>
        <v>Marketing Across Borders</v>
      </c>
      <c r="E154" s="19">
        <f>TableSPUCFSHMK[[#This Row],[Credit Points]]</f>
        <v>25</v>
      </c>
      <c r="F154">
        <v>3</v>
      </c>
      <c r="G154" t="s">
        <v>409</v>
      </c>
      <c r="H154">
        <v>0</v>
      </c>
      <c r="I154" t="s">
        <v>408</v>
      </c>
      <c r="J154" t="s">
        <v>457</v>
      </c>
      <c r="K154">
        <v>2</v>
      </c>
      <c r="L154" t="s">
        <v>458</v>
      </c>
      <c r="M154">
        <v>25</v>
      </c>
      <c r="N154" s="23">
        <v>43831</v>
      </c>
      <c r="O154" s="23"/>
    </row>
    <row r="155" spans="1:18" x14ac:dyDescent="0.25">
      <c r="A155" t="str">
        <f>TableSPUCFSHMK[[#This Row],[Study Package Code]]</f>
        <v>MKTG2004</v>
      </c>
      <c r="B155" s="2">
        <f>TableSPUCFSHMK[[#This Row],[Ver]]</f>
        <v>1</v>
      </c>
      <c r="D155" t="str">
        <f>TableSPUCFSHMK[[#This Row],[Structure Line]]</f>
        <v>Consumer Behaviour</v>
      </c>
      <c r="E155" s="19">
        <f>TableSPUCFSHMK[[#This Row],[Credit Points]]</f>
        <v>25</v>
      </c>
      <c r="F155">
        <v>3</v>
      </c>
      <c r="G155" t="s">
        <v>409</v>
      </c>
      <c r="H155">
        <v>0</v>
      </c>
      <c r="I155" t="s">
        <v>408</v>
      </c>
      <c r="J155" t="s">
        <v>243</v>
      </c>
      <c r="K155">
        <v>1</v>
      </c>
      <c r="L155" t="s">
        <v>377</v>
      </c>
      <c r="M155">
        <v>25</v>
      </c>
      <c r="N155" s="23">
        <v>42005</v>
      </c>
      <c r="O155" s="23"/>
      <c r="Q155" t="s">
        <v>243</v>
      </c>
      <c r="R155">
        <v>1</v>
      </c>
    </row>
    <row r="156" spans="1:18" x14ac:dyDescent="0.25">
      <c r="A156">
        <f>TableSPUCFSHMK[[#This Row],[Study Package Code]]</f>
        <v>0</v>
      </c>
      <c r="B156" s="2">
        <f>TableSPUCFSHMK[[#This Row],[Ver]]</f>
        <v>0</v>
      </c>
      <c r="D156">
        <f>TableSPUCFSHMK[[#This Row],[Structure Line]]</f>
        <v>0</v>
      </c>
      <c r="E156" s="19">
        <f>TableSPUCFSHMK[[#This Row],[Credit Points]]</f>
        <v>0</v>
      </c>
      <c r="O156" s="23"/>
      <c r="Q156" t="s">
        <v>112</v>
      </c>
      <c r="R156">
        <v>1</v>
      </c>
    </row>
    <row r="157" spans="1:18" x14ac:dyDescent="0.25">
      <c r="A157">
        <f>TableSPUCFSHMK[[#This Row],[Study Package Code]]</f>
        <v>0</v>
      </c>
      <c r="B157" s="2">
        <f>TableSPUCFSHMK[[#This Row],[Ver]]</f>
        <v>0</v>
      </c>
      <c r="D157">
        <f>TableSPUCFSHMK[[#This Row],[Structure Line]]</f>
        <v>0</v>
      </c>
      <c r="E157" s="19">
        <f>TableSPUCFSHMK[[#This Row],[Credit Points]]</f>
        <v>0</v>
      </c>
      <c r="O157" s="23"/>
      <c r="Q157" t="s">
        <v>210</v>
      </c>
      <c r="R157">
        <v>1</v>
      </c>
    </row>
    <row r="158" spans="1:18" x14ac:dyDescent="0.25">
      <c r="A158">
        <f>TableSPUCFSHMK[[#This Row],[Study Package Code]]</f>
        <v>0</v>
      </c>
      <c r="B158" s="2">
        <f>TableSPUCFSHMK[[#This Row],[Ver]]</f>
        <v>0</v>
      </c>
      <c r="D158">
        <f>TableSPUCFSHMK[[#This Row],[Structure Line]]</f>
        <v>0</v>
      </c>
      <c r="E158" s="19">
        <f>TableSPUCFSHMK[[#This Row],[Credit Points]]</f>
        <v>0</v>
      </c>
      <c r="O158" s="23"/>
    </row>
    <row r="159" spans="1:18" x14ac:dyDescent="0.25">
      <c r="B159"/>
      <c r="E159"/>
      <c r="F159" s="17"/>
      <c r="G159" s="18" t="s">
        <v>393</v>
      </c>
      <c r="H159" s="114">
        <v>44197</v>
      </c>
      <c r="I159" s="18"/>
      <c r="J159" s="115" t="s">
        <v>196</v>
      </c>
      <c r="K159" s="116" t="s">
        <v>129</v>
      </c>
      <c r="L159" s="21" t="s">
        <v>94</v>
      </c>
      <c r="M159" s="18"/>
      <c r="N159" s="24" t="s">
        <v>394</v>
      </c>
      <c r="O159" s="23">
        <v>45601</v>
      </c>
    </row>
    <row r="160" spans="1:18" x14ac:dyDescent="0.25">
      <c r="A160" t="s">
        <v>0</v>
      </c>
      <c r="B160" s="2" t="s">
        <v>396</v>
      </c>
      <c r="C160" t="s">
        <v>397</v>
      </c>
      <c r="D160" t="s">
        <v>3</v>
      </c>
      <c r="E160" s="19" t="s">
        <v>398</v>
      </c>
      <c r="F160" t="s">
        <v>399</v>
      </c>
      <c r="G160" t="s">
        <v>400</v>
      </c>
      <c r="H160" t="s">
        <v>401</v>
      </c>
      <c r="I160" t="s">
        <v>24</v>
      </c>
      <c r="J160" t="s">
        <v>402</v>
      </c>
      <c r="K160" t="s">
        <v>1</v>
      </c>
      <c r="L160" t="s">
        <v>403</v>
      </c>
      <c r="M160" t="s">
        <v>60</v>
      </c>
      <c r="N160" t="s">
        <v>404</v>
      </c>
      <c r="O160" t="s">
        <v>405</v>
      </c>
      <c r="Q160" t="s">
        <v>116</v>
      </c>
      <c r="R160" t="s">
        <v>406</v>
      </c>
    </row>
    <row r="161" spans="1:18" x14ac:dyDescent="0.25">
      <c r="A161" t="str">
        <f>TableSPUCGRPDS[[#This Row],[Study Package Code]]</f>
        <v>GRDE2007</v>
      </c>
      <c r="B161" s="2">
        <f>TableSPUCGRPDS[[#This Row],[Ver]]</f>
        <v>1</v>
      </c>
      <c r="D161" t="str">
        <f>TableSPUCGRPDS[[#This Row],[Structure Line]]</f>
        <v>Graphic Design 2</v>
      </c>
      <c r="E161" s="19">
        <f>TableSPUCGRPDS[[#This Row],[Credit Points]]</f>
        <v>25</v>
      </c>
      <c r="F161">
        <v>1</v>
      </c>
      <c r="G161" t="s">
        <v>407</v>
      </c>
      <c r="H161">
        <v>0</v>
      </c>
      <c r="I161" t="s">
        <v>408</v>
      </c>
      <c r="J161" t="s">
        <v>153</v>
      </c>
      <c r="K161">
        <v>1</v>
      </c>
      <c r="L161" t="s">
        <v>324</v>
      </c>
      <c r="M161">
        <v>25</v>
      </c>
      <c r="N161" s="23">
        <v>42005</v>
      </c>
      <c r="O161" s="23"/>
      <c r="Q161" t="s">
        <v>153</v>
      </c>
      <c r="R161">
        <v>1</v>
      </c>
    </row>
    <row r="162" spans="1:18" x14ac:dyDescent="0.25">
      <c r="A162" t="str">
        <f>TableSPUCGRPDS[[#This Row],[Study Package Code]]</f>
        <v>GRDE1026</v>
      </c>
      <c r="B162" s="2">
        <f>TableSPUCGRPDS[[#This Row],[Ver]]</f>
        <v>1</v>
      </c>
      <c r="D162" t="str">
        <f>TableSPUCGRPDS[[#This Row],[Structure Line]]</f>
        <v>Start Design Thinking</v>
      </c>
      <c r="E162" s="19">
        <f>TableSPUCGRPDS[[#This Row],[Credit Points]]</f>
        <v>25</v>
      </c>
      <c r="F162">
        <v>2</v>
      </c>
      <c r="G162" t="s">
        <v>407</v>
      </c>
      <c r="H162">
        <v>0</v>
      </c>
      <c r="I162" t="s">
        <v>408</v>
      </c>
      <c r="J162" t="s">
        <v>84</v>
      </c>
      <c r="K162">
        <v>1</v>
      </c>
      <c r="L162" t="s">
        <v>317</v>
      </c>
      <c r="M162">
        <v>25</v>
      </c>
      <c r="N162" s="23">
        <v>43466</v>
      </c>
      <c r="O162" s="23"/>
      <c r="Q162" t="s">
        <v>84</v>
      </c>
      <c r="R162">
        <v>1</v>
      </c>
    </row>
    <row r="163" spans="1:18" x14ac:dyDescent="0.25">
      <c r="A163" t="str">
        <f>TableSPUCGRPDS[[#This Row],[Study Package Code]]</f>
        <v>GRDE1005</v>
      </c>
      <c r="B163" s="2">
        <f>TableSPUCGRPDS[[#This Row],[Ver]]</f>
        <v>1</v>
      </c>
      <c r="D163" t="str">
        <f>TableSPUCGRPDS[[#This Row],[Structure Line]]</f>
        <v>Typography</v>
      </c>
      <c r="E163" s="19">
        <f>TableSPUCGRPDS[[#This Row],[Credit Points]]</f>
        <v>25</v>
      </c>
      <c r="F163">
        <v>3</v>
      </c>
      <c r="G163" t="s">
        <v>407</v>
      </c>
      <c r="H163">
        <v>0</v>
      </c>
      <c r="I163" t="s">
        <v>408</v>
      </c>
      <c r="J163" t="s">
        <v>99</v>
      </c>
      <c r="K163">
        <v>1</v>
      </c>
      <c r="L163" t="s">
        <v>308</v>
      </c>
      <c r="M163">
        <v>25</v>
      </c>
      <c r="N163" s="23">
        <v>42005</v>
      </c>
      <c r="O163" s="23"/>
      <c r="Q163" t="s">
        <v>99</v>
      </c>
      <c r="R163">
        <v>1</v>
      </c>
    </row>
    <row r="164" spans="1:18" x14ac:dyDescent="0.25">
      <c r="A164" t="str">
        <f>TableSPUCGRPDS[[#This Row],[Study Package Code]]</f>
        <v>AC-GRPDS</v>
      </c>
      <c r="B164" s="2">
        <f>TableSPUCGRPDS[[#This Row],[Ver]]</f>
        <v>0</v>
      </c>
      <c r="D164" t="str">
        <f>TableSPUCGRPDS[[#This Row],[Structure Line]]</f>
        <v>Choose GRDE2008 or GRDE2026</v>
      </c>
      <c r="E164" s="19">
        <f>TableSPUCGRPDS[[#This Row],[Credit Points]]</f>
        <v>25</v>
      </c>
      <c r="F164">
        <v>4</v>
      </c>
      <c r="G164" t="s">
        <v>414</v>
      </c>
      <c r="H164">
        <v>0</v>
      </c>
      <c r="I164" t="s">
        <v>408</v>
      </c>
      <c r="J164" t="s">
        <v>224</v>
      </c>
      <c r="K164">
        <v>0</v>
      </c>
      <c r="L164" t="s">
        <v>436</v>
      </c>
      <c r="M164">
        <v>25</v>
      </c>
      <c r="O164" s="23"/>
      <c r="Q164" t="s">
        <v>435</v>
      </c>
      <c r="R164">
        <v>0</v>
      </c>
    </row>
    <row r="165" spans="1:18" x14ac:dyDescent="0.25">
      <c r="A165" t="str">
        <f>TableSPUCGRPDS[[#This Row],[Study Package Code]]</f>
        <v>GRDE2008</v>
      </c>
      <c r="B165" s="2">
        <f>TableSPUCGRPDS[[#This Row],[Ver]]</f>
        <v>3</v>
      </c>
      <c r="D165" t="str">
        <f>TableSPUCGRPDS[[#This Row],[Structure Line]]</f>
        <v>Design Thinking and Visual Narrative</v>
      </c>
      <c r="E165" s="19">
        <f>TableSPUCGRPDS[[#This Row],[Credit Points]]</f>
        <v>25</v>
      </c>
      <c r="F165">
        <v>4</v>
      </c>
      <c r="G165" t="s">
        <v>414</v>
      </c>
      <c r="H165">
        <v>0</v>
      </c>
      <c r="I165" t="s">
        <v>408</v>
      </c>
      <c r="J165" t="s">
        <v>231</v>
      </c>
      <c r="K165">
        <v>3</v>
      </c>
      <c r="L165" t="s">
        <v>325</v>
      </c>
      <c r="M165">
        <v>25</v>
      </c>
      <c r="N165" s="23">
        <v>43831</v>
      </c>
      <c r="O165" s="23"/>
      <c r="Q165" t="s">
        <v>231</v>
      </c>
      <c r="R165">
        <v>3</v>
      </c>
    </row>
    <row r="166" spans="1:18" x14ac:dyDescent="0.25">
      <c r="A166" t="str">
        <f>TableSPUCGRPDS[[#This Row],[Study Package Code]]</f>
        <v>GRDE2026</v>
      </c>
      <c r="B166" s="2">
        <f>TableSPUCGRPDS[[#This Row],[Ver]]</f>
        <v>1</v>
      </c>
      <c r="D166" t="str">
        <f>TableSPUCGRPDS[[#This Row],[Structure Line]]</f>
        <v>Creative Design Studio</v>
      </c>
      <c r="E166" s="19">
        <f>TableSPUCGRPDS[[#This Row],[Credit Points]]</f>
        <v>25</v>
      </c>
      <c r="F166">
        <v>4</v>
      </c>
      <c r="G166" t="s">
        <v>414</v>
      </c>
      <c r="H166">
        <v>0</v>
      </c>
      <c r="I166" t="s">
        <v>408</v>
      </c>
      <c r="J166" t="s">
        <v>125</v>
      </c>
      <c r="K166">
        <v>1</v>
      </c>
      <c r="L166" t="s">
        <v>336</v>
      </c>
      <c r="M166">
        <v>25</v>
      </c>
      <c r="N166" s="23">
        <v>42005</v>
      </c>
      <c r="O166" s="23"/>
      <c r="Q166" t="s">
        <v>125</v>
      </c>
      <c r="R166">
        <v>1</v>
      </c>
    </row>
    <row r="167" spans="1:18" x14ac:dyDescent="0.25">
      <c r="B167"/>
      <c r="E167"/>
      <c r="F167" s="17"/>
      <c r="G167" s="18" t="s">
        <v>393</v>
      </c>
      <c r="H167" s="114">
        <v>44197</v>
      </c>
      <c r="I167" s="18"/>
      <c r="J167" s="115" t="s">
        <v>198</v>
      </c>
      <c r="K167" s="116" t="s">
        <v>129</v>
      </c>
      <c r="L167" s="21" t="s">
        <v>101</v>
      </c>
      <c r="M167" s="18"/>
      <c r="N167" s="24" t="s">
        <v>394</v>
      </c>
      <c r="O167" s="23">
        <v>45601</v>
      </c>
    </row>
    <row r="168" spans="1:18" x14ac:dyDescent="0.25">
      <c r="A168" t="s">
        <v>0</v>
      </c>
      <c r="B168" s="2" t="s">
        <v>396</v>
      </c>
      <c r="C168" t="s">
        <v>397</v>
      </c>
      <c r="D168" t="s">
        <v>3</v>
      </c>
      <c r="E168" s="19" t="s">
        <v>398</v>
      </c>
      <c r="F168" t="s">
        <v>399</v>
      </c>
      <c r="G168" t="s">
        <v>400</v>
      </c>
      <c r="H168" t="s">
        <v>401</v>
      </c>
      <c r="I168" t="s">
        <v>24</v>
      </c>
      <c r="J168" t="s">
        <v>402</v>
      </c>
      <c r="K168" t="s">
        <v>1</v>
      </c>
      <c r="L168" t="s">
        <v>403</v>
      </c>
      <c r="M168" t="s">
        <v>60</v>
      </c>
      <c r="N168" t="s">
        <v>404</v>
      </c>
      <c r="O168" t="s">
        <v>405</v>
      </c>
      <c r="Q168" t="s">
        <v>116</v>
      </c>
      <c r="R168" t="s">
        <v>406</v>
      </c>
    </row>
    <row r="169" spans="1:18" x14ac:dyDescent="0.25">
      <c r="A169" t="str">
        <f>TableSPUCILLUS[[#This Row],[Study Package Code]]</f>
        <v>GRDE2031</v>
      </c>
      <c r="B169" s="2">
        <f>TableSPUCILLUS[[#This Row],[Ver]]</f>
        <v>1</v>
      </c>
      <c r="D169" t="str">
        <f>TableSPUCILLUS[[#This Row],[Structure Line]]</f>
        <v>Digital Illustration Production</v>
      </c>
      <c r="E169" s="19">
        <f>TableSPUCILLUS[[#This Row],[Credit Points]]</f>
        <v>25</v>
      </c>
      <c r="F169">
        <v>1</v>
      </c>
      <c r="G169" t="s">
        <v>407</v>
      </c>
      <c r="H169">
        <v>0</v>
      </c>
      <c r="I169" t="s">
        <v>408</v>
      </c>
      <c r="J169" t="s">
        <v>211</v>
      </c>
      <c r="K169">
        <v>1</v>
      </c>
      <c r="L169" t="s">
        <v>339</v>
      </c>
      <c r="M169">
        <v>25</v>
      </c>
      <c r="N169" s="23">
        <v>42370</v>
      </c>
      <c r="O169" s="23"/>
      <c r="Q169" t="s">
        <v>211</v>
      </c>
      <c r="R169">
        <v>1</v>
      </c>
    </row>
    <row r="170" spans="1:18" x14ac:dyDescent="0.25">
      <c r="A170" t="str">
        <f>TableSPUCILLUS[[#This Row],[Study Package Code]]</f>
        <v>GRDE3018</v>
      </c>
      <c r="B170" s="2">
        <f>TableSPUCILLUS[[#This Row],[Ver]]</f>
        <v>2</v>
      </c>
      <c r="D170" t="str">
        <f>TableSPUCILLUS[[#This Row],[Structure Line]]</f>
        <v>Illustration and Visual Development</v>
      </c>
      <c r="E170" s="19">
        <f>TableSPUCILLUS[[#This Row],[Credit Points]]</f>
        <v>25</v>
      </c>
      <c r="F170">
        <v>2</v>
      </c>
      <c r="G170" t="s">
        <v>407</v>
      </c>
      <c r="H170">
        <v>0</v>
      </c>
      <c r="I170" t="s">
        <v>408</v>
      </c>
      <c r="J170" t="s">
        <v>219</v>
      </c>
      <c r="K170">
        <v>2</v>
      </c>
      <c r="L170" t="s">
        <v>358</v>
      </c>
      <c r="M170">
        <v>25</v>
      </c>
      <c r="N170" s="23">
        <v>43831</v>
      </c>
      <c r="O170" s="23"/>
      <c r="Q170" t="s">
        <v>219</v>
      </c>
      <c r="R170">
        <v>2</v>
      </c>
    </row>
    <row r="171" spans="1:18" x14ac:dyDescent="0.25">
      <c r="A171" t="str">
        <f>TableSPUCILLUS[[#This Row],[Study Package Code]]</f>
        <v>GRDE2017</v>
      </c>
      <c r="B171" s="2">
        <f>TableSPUCILLUS[[#This Row],[Ver]]</f>
        <v>2</v>
      </c>
      <c r="D171" t="str">
        <f>TableSPUCILLUS[[#This Row],[Structure Line]]</f>
        <v>Illustration Concepts and Processes</v>
      </c>
      <c r="E171" s="19">
        <f>TableSPUCILLUS[[#This Row],[Credit Points]]</f>
        <v>25</v>
      </c>
      <c r="F171">
        <v>3</v>
      </c>
      <c r="G171" t="s">
        <v>407</v>
      </c>
      <c r="H171">
        <v>0</v>
      </c>
      <c r="I171" t="s">
        <v>408</v>
      </c>
      <c r="J171" t="s">
        <v>214</v>
      </c>
      <c r="K171">
        <v>2</v>
      </c>
      <c r="L171" t="s">
        <v>332</v>
      </c>
      <c r="M171">
        <v>25</v>
      </c>
      <c r="N171" s="23">
        <v>43831</v>
      </c>
      <c r="O171" s="23"/>
      <c r="Q171" t="s">
        <v>214</v>
      </c>
      <c r="R171">
        <v>2</v>
      </c>
    </row>
    <row r="172" spans="1:18" x14ac:dyDescent="0.25">
      <c r="A172" t="str">
        <f>TableSPUCILLUS[[#This Row],[Study Package Code]]</f>
        <v>GRDE1015</v>
      </c>
      <c r="B172" s="2">
        <f>TableSPUCILLUS[[#This Row],[Ver]]</f>
        <v>1</v>
      </c>
      <c r="D172" t="str">
        <f>TableSPUCILLUS[[#This Row],[Structure Line]]</f>
        <v>Illustration Fundamentals</v>
      </c>
      <c r="E172" s="19">
        <f>TableSPUCILLUS[[#This Row],[Credit Points]]</f>
        <v>25</v>
      </c>
      <c r="F172">
        <v>4</v>
      </c>
      <c r="G172" t="s">
        <v>407</v>
      </c>
      <c r="H172">
        <v>0</v>
      </c>
      <c r="I172" t="s">
        <v>408</v>
      </c>
      <c r="J172" t="s">
        <v>207</v>
      </c>
      <c r="K172">
        <v>1</v>
      </c>
      <c r="L172" t="s">
        <v>311</v>
      </c>
      <c r="M172">
        <v>25</v>
      </c>
      <c r="N172" s="23">
        <v>42552</v>
      </c>
      <c r="O172" s="23"/>
      <c r="Q172" t="s">
        <v>207</v>
      </c>
      <c r="R172">
        <v>1</v>
      </c>
    </row>
    <row r="173" spans="1:18" x14ac:dyDescent="0.25">
      <c r="B173"/>
      <c r="E173"/>
      <c r="F173" s="17"/>
      <c r="G173" s="18" t="s">
        <v>393</v>
      </c>
      <c r="H173" s="114">
        <v>44197</v>
      </c>
      <c r="I173" s="18"/>
      <c r="J173" s="115" t="s">
        <v>200</v>
      </c>
      <c r="K173" s="116" t="s">
        <v>129</v>
      </c>
      <c r="L173" s="21" t="s">
        <v>108</v>
      </c>
      <c r="M173" s="18"/>
      <c r="N173" s="24" t="s">
        <v>394</v>
      </c>
      <c r="O173" s="23">
        <v>45601</v>
      </c>
    </row>
    <row r="174" spans="1:18" x14ac:dyDescent="0.25">
      <c r="A174" t="s">
        <v>0</v>
      </c>
      <c r="B174" s="2" t="s">
        <v>396</v>
      </c>
      <c r="C174" t="s">
        <v>397</v>
      </c>
      <c r="D174" t="s">
        <v>3</v>
      </c>
      <c r="E174" s="19" t="s">
        <v>398</v>
      </c>
      <c r="F174" t="s">
        <v>399</v>
      </c>
      <c r="G174" t="s">
        <v>400</v>
      </c>
      <c r="H174" t="s">
        <v>401</v>
      </c>
      <c r="I174" t="s">
        <v>24</v>
      </c>
      <c r="J174" t="s">
        <v>402</v>
      </c>
      <c r="K174" t="s">
        <v>1</v>
      </c>
      <c r="L174" t="s">
        <v>403</v>
      </c>
      <c r="M174" t="s">
        <v>60</v>
      </c>
      <c r="N174" t="s">
        <v>404</v>
      </c>
      <c r="O174" t="s">
        <v>405</v>
      </c>
      <c r="Q174" t="s">
        <v>116</v>
      </c>
      <c r="R174" t="s">
        <v>406</v>
      </c>
    </row>
    <row r="175" spans="1:18" x14ac:dyDescent="0.25">
      <c r="A175" t="str">
        <f>TableSPUCPHOTO[[#This Row],[Study Package Code]]</f>
        <v>GRDE2027</v>
      </c>
      <c r="B175" s="2">
        <f>TableSPUCPHOTO[[#This Row],[Ver]]</f>
        <v>1</v>
      </c>
      <c r="D175" t="str">
        <f>TableSPUCPHOTO[[#This Row],[Structure Line]]</f>
        <v>Photography Contexts and Practice</v>
      </c>
      <c r="E175" s="19">
        <f>TableSPUCPHOTO[[#This Row],[Credit Points]]</f>
        <v>25</v>
      </c>
      <c r="F175">
        <v>1</v>
      </c>
      <c r="G175" t="s">
        <v>407</v>
      </c>
      <c r="H175">
        <v>0</v>
      </c>
      <c r="I175" t="s">
        <v>408</v>
      </c>
      <c r="J175" t="s">
        <v>100</v>
      </c>
      <c r="K175">
        <v>1</v>
      </c>
      <c r="L175" t="s">
        <v>338</v>
      </c>
      <c r="M175">
        <v>25</v>
      </c>
      <c r="N175" s="23">
        <v>42005</v>
      </c>
      <c r="O175" s="23"/>
      <c r="Q175" t="s">
        <v>100</v>
      </c>
      <c r="R175">
        <v>1</v>
      </c>
    </row>
    <row r="176" spans="1:18" x14ac:dyDescent="0.25">
      <c r="A176" t="str">
        <f>TableSPUCPHOTO[[#This Row],[Study Package Code]]</f>
        <v>VISA3018</v>
      </c>
      <c r="B176" s="2">
        <f>TableSPUCPHOTO[[#This Row],[Ver]]</f>
        <v>1</v>
      </c>
      <c r="D176" t="str">
        <f>TableSPUCPHOTO[[#This Row],[Structure Line]]</f>
        <v>Photography Professional Practices 1</v>
      </c>
      <c r="E176" s="19">
        <f>TableSPUCPHOTO[[#This Row],[Credit Points]]</f>
        <v>25</v>
      </c>
      <c r="F176">
        <v>2</v>
      </c>
      <c r="G176" t="s">
        <v>407</v>
      </c>
      <c r="H176">
        <v>0</v>
      </c>
      <c r="I176" t="s">
        <v>408</v>
      </c>
      <c r="J176" t="s">
        <v>154</v>
      </c>
      <c r="K176">
        <v>1</v>
      </c>
      <c r="L176" t="s">
        <v>389</v>
      </c>
      <c r="M176">
        <v>25</v>
      </c>
      <c r="N176" s="23">
        <v>42005</v>
      </c>
      <c r="O176" s="23"/>
      <c r="Q176" t="s">
        <v>154</v>
      </c>
      <c r="R176">
        <v>1</v>
      </c>
    </row>
    <row r="177" spans="1:18" x14ac:dyDescent="0.25">
      <c r="A177" t="str">
        <f>TableSPUCPHOTO[[#This Row],[Study Package Code]]</f>
        <v>GRDE3036</v>
      </c>
      <c r="B177" s="2">
        <f>TableSPUCPHOTO[[#This Row],[Ver]]</f>
        <v>1</v>
      </c>
      <c r="D177" t="str">
        <f>TableSPUCPHOTO[[#This Row],[Structure Line]]</f>
        <v>Photography Project</v>
      </c>
      <c r="E177" s="19">
        <f>TableSPUCPHOTO[[#This Row],[Credit Points]]</f>
        <v>25</v>
      </c>
      <c r="F177">
        <v>3</v>
      </c>
      <c r="G177" t="s">
        <v>407</v>
      </c>
      <c r="H177">
        <v>0</v>
      </c>
      <c r="I177" t="s">
        <v>408</v>
      </c>
      <c r="J177" t="s">
        <v>177</v>
      </c>
      <c r="K177">
        <v>1</v>
      </c>
      <c r="L177" t="s">
        <v>368</v>
      </c>
      <c r="M177">
        <v>25</v>
      </c>
      <c r="N177" s="23">
        <v>43831</v>
      </c>
      <c r="O177" s="23"/>
      <c r="Q177" t="s">
        <v>177</v>
      </c>
      <c r="R177">
        <v>1</v>
      </c>
    </row>
    <row r="178" spans="1:18" x14ac:dyDescent="0.25">
      <c r="A178" t="str">
        <f>TableSPUCPHOTO[[#This Row],[Study Package Code]]</f>
        <v>GRDE2025</v>
      </c>
      <c r="B178" s="2">
        <f>TableSPUCPHOTO[[#This Row],[Ver]]</f>
        <v>1</v>
      </c>
      <c r="D178" t="str">
        <f>TableSPUCPHOTO[[#This Row],[Structure Line]]</f>
        <v>Photography Studio Processes</v>
      </c>
      <c r="E178" s="19">
        <f>TableSPUCPHOTO[[#This Row],[Credit Points]]</f>
        <v>25</v>
      </c>
      <c r="F178">
        <v>4</v>
      </c>
      <c r="G178" t="s">
        <v>407</v>
      </c>
      <c r="H178">
        <v>0</v>
      </c>
      <c r="I178" t="s">
        <v>408</v>
      </c>
      <c r="J178" t="s">
        <v>127</v>
      </c>
      <c r="K178">
        <v>1</v>
      </c>
      <c r="L178" t="s">
        <v>335</v>
      </c>
      <c r="M178">
        <v>25</v>
      </c>
      <c r="N178" s="23">
        <v>42005</v>
      </c>
      <c r="O178" s="23"/>
      <c r="Q178" t="s">
        <v>127</v>
      </c>
      <c r="R178">
        <v>1</v>
      </c>
    </row>
  </sheetData>
  <conditionalFormatting sqref="J3:J41">
    <cfRule type="duplicateValues" dxfId="65" priority="138"/>
  </conditionalFormatting>
  <conditionalFormatting sqref="J45:J54">
    <cfRule type="duplicateValues" dxfId="64" priority="52"/>
  </conditionalFormatting>
  <conditionalFormatting sqref="J57:J64">
    <cfRule type="duplicateValues" dxfId="63" priority="49"/>
  </conditionalFormatting>
  <conditionalFormatting sqref="J67:J74">
    <cfRule type="duplicateValues" dxfId="62" priority="46"/>
  </conditionalFormatting>
  <conditionalFormatting sqref="J77:J84">
    <cfRule type="duplicateValues" dxfId="61" priority="43"/>
  </conditionalFormatting>
  <conditionalFormatting sqref="J87:J94">
    <cfRule type="duplicateValues" dxfId="60" priority="40"/>
  </conditionalFormatting>
  <conditionalFormatting sqref="J97:J104">
    <cfRule type="duplicateValues" dxfId="59" priority="37"/>
  </conditionalFormatting>
  <conditionalFormatting sqref="J107:J114">
    <cfRule type="duplicateValues" dxfId="58" priority="34"/>
  </conditionalFormatting>
  <conditionalFormatting sqref="J118:J123">
    <cfRule type="duplicateValues" dxfId="57" priority="31"/>
  </conditionalFormatting>
  <conditionalFormatting sqref="J126:J129">
    <cfRule type="duplicateValues" dxfId="56" priority="28"/>
  </conditionalFormatting>
  <conditionalFormatting sqref="J132:J135">
    <cfRule type="duplicateValues" dxfId="55" priority="25"/>
  </conditionalFormatting>
  <conditionalFormatting sqref="J138:J145">
    <cfRule type="duplicateValues" dxfId="54" priority="22"/>
  </conditionalFormatting>
  <conditionalFormatting sqref="J148:J158">
    <cfRule type="duplicateValues" dxfId="53" priority="19"/>
  </conditionalFormatting>
  <conditionalFormatting sqref="J161:J166">
    <cfRule type="duplicateValues" dxfId="52" priority="16"/>
  </conditionalFormatting>
  <conditionalFormatting sqref="J169:J172">
    <cfRule type="duplicateValues" dxfId="51" priority="13"/>
  </conditionalFormatting>
  <conditionalFormatting sqref="J175:J178">
    <cfRule type="duplicateValues" dxfId="50" priority="10"/>
  </conditionalFormatting>
  <conditionalFormatting sqref="N3:N41">
    <cfRule type="cellIs" dxfId="49" priority="53" operator="greaterThan">
      <formula>$P$1</formula>
    </cfRule>
  </conditionalFormatting>
  <conditionalFormatting sqref="N45:N54">
    <cfRule type="cellIs" dxfId="48" priority="50" operator="greaterThan">
      <formula>$P$1</formula>
    </cfRule>
  </conditionalFormatting>
  <conditionalFormatting sqref="N57:N64">
    <cfRule type="cellIs" dxfId="47" priority="47" operator="greaterThan">
      <formula>$P$1</formula>
    </cfRule>
  </conditionalFormatting>
  <conditionalFormatting sqref="N67:N74">
    <cfRule type="cellIs" dxfId="46" priority="44" operator="greaterThan">
      <formula>$P$1</formula>
    </cfRule>
  </conditionalFormatting>
  <conditionalFormatting sqref="N77:N84">
    <cfRule type="cellIs" dxfId="45" priority="41" operator="greaterThan">
      <formula>$P$1</formula>
    </cfRule>
  </conditionalFormatting>
  <conditionalFormatting sqref="N87:N94">
    <cfRule type="cellIs" dxfId="44" priority="38" operator="greaterThan">
      <formula>$P$1</formula>
    </cfRule>
  </conditionalFormatting>
  <conditionalFormatting sqref="N97:N104">
    <cfRule type="cellIs" dxfId="43" priority="35" operator="greaterThan">
      <formula>$P$1</formula>
    </cfRule>
  </conditionalFormatting>
  <conditionalFormatting sqref="N107:N114">
    <cfRule type="cellIs" dxfId="42" priority="32" operator="greaterThan">
      <formula>$P$1</formula>
    </cfRule>
  </conditionalFormatting>
  <conditionalFormatting sqref="N118:N123">
    <cfRule type="cellIs" dxfId="41" priority="29" operator="greaterThan">
      <formula>$P$1</formula>
    </cfRule>
  </conditionalFormatting>
  <conditionalFormatting sqref="N126:N129">
    <cfRule type="cellIs" dxfId="40" priority="26" operator="greaterThan">
      <formula>$P$1</formula>
    </cfRule>
  </conditionalFormatting>
  <conditionalFormatting sqref="N132:N135">
    <cfRule type="cellIs" dxfId="39" priority="23" operator="greaterThan">
      <formula>$P$1</formula>
    </cfRule>
  </conditionalFormatting>
  <conditionalFormatting sqref="N138:N145">
    <cfRule type="cellIs" dxfId="38" priority="20" operator="greaterThan">
      <formula>$P$1</formula>
    </cfRule>
  </conditionalFormatting>
  <conditionalFormatting sqref="N148:N158">
    <cfRule type="cellIs" dxfId="37" priority="17" operator="greaterThan">
      <formula>$P$1</formula>
    </cfRule>
  </conditionalFormatting>
  <conditionalFormatting sqref="N161:N166">
    <cfRule type="cellIs" dxfId="36" priority="14" operator="greaterThan">
      <formula>$P$1</formula>
    </cfRule>
  </conditionalFormatting>
  <conditionalFormatting sqref="N169:N172">
    <cfRule type="cellIs" dxfId="35" priority="11" operator="greaterThan">
      <formula>$P$1</formula>
    </cfRule>
  </conditionalFormatting>
  <conditionalFormatting sqref="N175:N178">
    <cfRule type="cellIs" dxfId="34" priority="8" operator="greaterThan">
      <formula>$P$1</formula>
    </cfRule>
  </conditionalFormatting>
  <conditionalFormatting sqref="O3:O41">
    <cfRule type="notContainsBlanks" dxfId="33" priority="90">
      <formula>LEN(TRIM(O3))&gt;0</formula>
    </cfRule>
  </conditionalFormatting>
  <conditionalFormatting sqref="O45:O54">
    <cfRule type="notContainsBlanks" dxfId="32" priority="51">
      <formula>LEN(TRIM(O45))&gt;0</formula>
    </cfRule>
  </conditionalFormatting>
  <conditionalFormatting sqref="O57:O64">
    <cfRule type="notContainsBlanks" dxfId="31" priority="48">
      <formula>LEN(TRIM(O57))&gt;0</formula>
    </cfRule>
  </conditionalFormatting>
  <conditionalFormatting sqref="O67:O74">
    <cfRule type="notContainsBlanks" dxfId="30" priority="45">
      <formula>LEN(TRIM(O67))&gt;0</formula>
    </cfRule>
  </conditionalFormatting>
  <conditionalFormatting sqref="O77:O84">
    <cfRule type="notContainsBlanks" dxfId="29" priority="42">
      <formula>LEN(TRIM(O77))&gt;0</formula>
    </cfRule>
  </conditionalFormatting>
  <conditionalFormatting sqref="O87:O94">
    <cfRule type="notContainsBlanks" dxfId="28" priority="39">
      <formula>LEN(TRIM(O87))&gt;0</formula>
    </cfRule>
  </conditionalFormatting>
  <conditionalFormatting sqref="O97:O104">
    <cfRule type="notContainsBlanks" dxfId="27" priority="36">
      <formula>LEN(TRIM(O97))&gt;0</formula>
    </cfRule>
  </conditionalFormatting>
  <conditionalFormatting sqref="O107:O114">
    <cfRule type="notContainsBlanks" dxfId="26" priority="33">
      <formula>LEN(TRIM(O107))&gt;0</formula>
    </cfRule>
  </conditionalFormatting>
  <conditionalFormatting sqref="O115">
    <cfRule type="notContainsBlanks" dxfId="25" priority="67">
      <formula>LEN(TRIM(O115))&gt;0</formula>
    </cfRule>
  </conditionalFormatting>
  <conditionalFormatting sqref="O118:O123">
    <cfRule type="notContainsBlanks" dxfId="24" priority="30">
      <formula>LEN(TRIM(O118))&gt;0</formula>
    </cfRule>
  </conditionalFormatting>
  <conditionalFormatting sqref="O126:O129">
    <cfRule type="notContainsBlanks" dxfId="23" priority="27">
      <formula>LEN(TRIM(O126))&gt;0</formula>
    </cfRule>
  </conditionalFormatting>
  <conditionalFormatting sqref="O132:O135">
    <cfRule type="notContainsBlanks" dxfId="22" priority="24">
      <formula>LEN(TRIM(O132))&gt;0</formula>
    </cfRule>
  </conditionalFormatting>
  <conditionalFormatting sqref="O138:O145">
    <cfRule type="notContainsBlanks" dxfId="21" priority="21">
      <formula>LEN(TRIM(O138))&gt;0</formula>
    </cfRule>
  </conditionalFormatting>
  <conditionalFormatting sqref="O148:O158">
    <cfRule type="notContainsBlanks" dxfId="20" priority="18">
      <formula>LEN(TRIM(O148))&gt;0</formula>
    </cfRule>
  </conditionalFormatting>
  <conditionalFormatting sqref="O161:O166">
    <cfRule type="notContainsBlanks" dxfId="19" priority="15">
      <formula>LEN(TRIM(O161))&gt;0</formula>
    </cfRule>
  </conditionalFormatting>
  <conditionalFormatting sqref="O169:O172">
    <cfRule type="notContainsBlanks" dxfId="18" priority="12">
      <formula>LEN(TRIM(O169))&gt;0</formula>
    </cfRule>
  </conditionalFormatting>
  <conditionalFormatting sqref="O175:O178">
    <cfRule type="notContainsBlanks" dxfId="17" priority="9">
      <formula>LEN(TRIM(O175))&gt;0</formula>
    </cfRule>
  </conditionalFormatting>
  <conditionalFormatting sqref="Q126:Q129">
    <cfRule type="duplicateValues" dxfId="16" priority="7"/>
  </conditionalFormatting>
  <conditionalFormatting sqref="Q3:R21">
    <cfRule type="expression" dxfId="15" priority="89">
      <formula>Q3&lt;&gt;J3</formula>
    </cfRule>
  </conditionalFormatting>
  <conditionalFormatting sqref="Q22:R42">
    <cfRule type="expression" dxfId="14" priority="54">
      <formula>Q22&lt;&gt;J22</formula>
    </cfRule>
  </conditionalFormatting>
  <conditionalFormatting sqref="Q45:R54">
    <cfRule type="expression" dxfId="13" priority="88">
      <formula>Q45&lt;&gt;J45</formula>
    </cfRule>
  </conditionalFormatting>
  <conditionalFormatting sqref="Q57:R64">
    <cfRule type="expression" dxfId="12" priority="87">
      <formula>Q57&lt;&gt;J57</formula>
    </cfRule>
  </conditionalFormatting>
  <conditionalFormatting sqref="Q67:R74">
    <cfRule type="expression" dxfId="11" priority="86">
      <formula>Q67&lt;&gt;J67</formula>
    </cfRule>
  </conditionalFormatting>
  <conditionalFormatting sqref="Q77:R84">
    <cfRule type="expression" dxfId="10" priority="85">
      <formula>Q77&lt;&gt;J77</formula>
    </cfRule>
  </conditionalFormatting>
  <conditionalFormatting sqref="Q87:R94">
    <cfRule type="expression" dxfId="9" priority="84">
      <formula>Q87&lt;&gt;J87</formula>
    </cfRule>
  </conditionalFormatting>
  <conditionalFormatting sqref="Q97:R104">
    <cfRule type="expression" dxfId="8" priority="83">
      <formula>Q97&lt;&gt;J97</formula>
    </cfRule>
  </conditionalFormatting>
  <conditionalFormatting sqref="Q107:R115">
    <cfRule type="expression" dxfId="7" priority="82">
      <formula>Q107&lt;&gt;J107</formula>
    </cfRule>
  </conditionalFormatting>
  <conditionalFormatting sqref="Q118:R123">
    <cfRule type="expression" dxfId="6" priority="81">
      <formula>Q118&lt;&gt;J118</formula>
    </cfRule>
  </conditionalFormatting>
  <conditionalFormatting sqref="Q132:R135">
    <cfRule type="expression" dxfId="5" priority="79">
      <formula>Q132&lt;&gt;J132</formula>
    </cfRule>
  </conditionalFormatting>
  <conditionalFormatting sqref="Q138:R145">
    <cfRule type="expression" dxfId="4" priority="5">
      <formula>Q138&lt;&gt;J138</formula>
    </cfRule>
  </conditionalFormatting>
  <conditionalFormatting sqref="Q148:R158">
    <cfRule type="expression" dxfId="3" priority="55">
      <formula>Q148&lt;&gt;J148</formula>
    </cfRule>
  </conditionalFormatting>
  <conditionalFormatting sqref="Q161:R166">
    <cfRule type="expression" dxfId="2" priority="3">
      <formula>Q161&lt;&gt;J161</formula>
    </cfRule>
  </conditionalFormatting>
  <conditionalFormatting sqref="Q169:R172">
    <cfRule type="expression" dxfId="1" priority="2">
      <formula>Q169&lt;&gt;J169</formula>
    </cfRule>
  </conditionalFormatting>
  <conditionalFormatting sqref="Q175:R178">
    <cfRule type="expression" dxfId="0" priority="1">
      <formula>Q175&lt;&gt;J175</formula>
    </cfRule>
  </conditionalFormatting>
  <pageMargins left="0.7" right="0.7" top="0.75" bottom="0.75" header="0.3" footer="0.3"/>
  <pageSetup paperSize="9" orientation="portrait" r:id="rId1"/>
  <tableParts count="32">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83"/>
  <sheetViews>
    <sheetView workbookViewId="0">
      <selection activeCell="A24" sqref="A24:A31"/>
    </sheetView>
  </sheetViews>
  <sheetFormatPr defaultRowHeight="15.75" x14ac:dyDescent="0.25"/>
  <cols>
    <col min="1" max="1" width="12.375" bestFit="1" customWidth="1"/>
    <col min="2" max="5" width="5.375" bestFit="1" customWidth="1"/>
    <col min="6" max="6" width="11.5" bestFit="1" customWidth="1"/>
    <col min="7" max="7" width="9.375" bestFit="1" customWidth="1"/>
    <col min="8" max="8" width="10.125" bestFit="1" customWidth="1"/>
    <col min="9" max="13" width="1.875" bestFit="1" customWidth="1"/>
  </cols>
  <sheetData>
    <row r="1" spans="1:12" x14ac:dyDescent="0.25">
      <c r="F1" s="41" t="s">
        <v>394</v>
      </c>
      <c r="G1" s="62">
        <v>45601</v>
      </c>
    </row>
    <row r="2" spans="1:12" ht="72" x14ac:dyDescent="0.25">
      <c r="A2" t="s">
        <v>437</v>
      </c>
      <c r="B2" s="104" t="s">
        <v>438</v>
      </c>
      <c r="C2" s="104" t="s">
        <v>439</v>
      </c>
      <c r="D2" s="104" t="s">
        <v>440</v>
      </c>
      <c r="E2" s="104" t="s">
        <v>441</v>
      </c>
    </row>
    <row r="3" spans="1:12" x14ac:dyDescent="0.25">
      <c r="A3" t="s">
        <v>89</v>
      </c>
      <c r="B3" s="2">
        <v>2</v>
      </c>
      <c r="C3" s="2">
        <v>2</v>
      </c>
      <c r="D3" s="2">
        <v>2</v>
      </c>
      <c r="E3" s="2">
        <v>2</v>
      </c>
      <c r="G3" s="25"/>
      <c r="H3" t="s">
        <v>89</v>
      </c>
      <c r="I3">
        <v>2</v>
      </c>
      <c r="J3">
        <v>2</v>
      </c>
      <c r="K3">
        <v>2</v>
      </c>
      <c r="L3">
        <v>2</v>
      </c>
    </row>
    <row r="4" spans="1:12" x14ac:dyDescent="0.25">
      <c r="A4" t="s">
        <v>83</v>
      </c>
      <c r="B4" s="2">
        <v>1</v>
      </c>
      <c r="C4" s="2"/>
      <c r="D4" s="2">
        <v>1</v>
      </c>
      <c r="E4" s="2"/>
      <c r="G4" s="25"/>
      <c r="H4" t="s">
        <v>83</v>
      </c>
      <c r="I4">
        <v>1</v>
      </c>
      <c r="K4">
        <v>1</v>
      </c>
    </row>
    <row r="5" spans="1:12" x14ac:dyDescent="0.25">
      <c r="A5" t="s">
        <v>223</v>
      </c>
      <c r="B5" s="2">
        <v>1</v>
      </c>
      <c r="C5" s="2"/>
      <c r="D5" s="2">
        <v>1</v>
      </c>
      <c r="E5" s="2"/>
      <c r="G5" s="25"/>
      <c r="H5" t="s">
        <v>223</v>
      </c>
      <c r="I5">
        <v>1</v>
      </c>
      <c r="K5">
        <v>1</v>
      </c>
    </row>
    <row r="6" spans="1:12" x14ac:dyDescent="0.25">
      <c r="A6" t="s">
        <v>98</v>
      </c>
      <c r="B6" s="2">
        <v>1</v>
      </c>
      <c r="C6" s="2"/>
      <c r="D6" s="2"/>
      <c r="E6" s="2"/>
      <c r="G6" s="25"/>
      <c r="H6" t="s">
        <v>98</v>
      </c>
      <c r="I6">
        <v>1</v>
      </c>
    </row>
    <row r="7" spans="1:12" x14ac:dyDescent="0.25">
      <c r="A7" t="s">
        <v>124</v>
      </c>
      <c r="B7" s="2">
        <v>1</v>
      </c>
      <c r="C7" s="2"/>
      <c r="D7" s="2"/>
      <c r="E7" s="2"/>
      <c r="G7" s="25"/>
      <c r="H7" t="s">
        <v>124</v>
      </c>
      <c r="K7">
        <v>1</v>
      </c>
    </row>
    <row r="8" spans="1:12" x14ac:dyDescent="0.25">
      <c r="A8" t="s">
        <v>106</v>
      </c>
      <c r="B8" s="2"/>
      <c r="C8" s="2"/>
      <c r="D8" s="2">
        <v>1</v>
      </c>
      <c r="E8" s="2"/>
      <c r="G8" s="25"/>
      <c r="H8" t="s">
        <v>106</v>
      </c>
      <c r="I8">
        <v>1</v>
      </c>
    </row>
    <row r="9" spans="1:12" x14ac:dyDescent="0.25">
      <c r="A9" t="s">
        <v>136</v>
      </c>
      <c r="B9" s="2"/>
      <c r="C9" s="2"/>
      <c r="D9" s="2">
        <v>1</v>
      </c>
      <c r="E9" s="2"/>
      <c r="G9" s="25"/>
      <c r="H9" t="s">
        <v>136</v>
      </c>
      <c r="K9">
        <v>1</v>
      </c>
    </row>
    <row r="10" spans="1:12" x14ac:dyDescent="0.25">
      <c r="A10" t="s">
        <v>229</v>
      </c>
      <c r="B10" s="2">
        <v>1</v>
      </c>
      <c r="C10" s="2"/>
      <c r="D10" s="2">
        <v>1</v>
      </c>
      <c r="E10" s="2"/>
      <c r="G10" s="25"/>
      <c r="H10" t="s">
        <v>229</v>
      </c>
      <c r="I10">
        <v>1</v>
      </c>
      <c r="K10">
        <v>1</v>
      </c>
    </row>
    <row r="11" spans="1:12" x14ac:dyDescent="0.25">
      <c r="A11" t="s">
        <v>145</v>
      </c>
      <c r="B11" s="2">
        <v>1</v>
      </c>
      <c r="C11" s="2"/>
      <c r="D11" s="2"/>
      <c r="E11" s="2"/>
      <c r="G11" s="25"/>
      <c r="H11" t="s">
        <v>145</v>
      </c>
      <c r="I11">
        <v>1</v>
      </c>
    </row>
    <row r="12" spans="1:12" x14ac:dyDescent="0.25">
      <c r="A12" t="s">
        <v>152</v>
      </c>
      <c r="B12" s="2">
        <v>1</v>
      </c>
      <c r="C12" s="2"/>
      <c r="D12" s="2"/>
      <c r="E12" s="2"/>
      <c r="G12" s="25"/>
      <c r="H12" t="s">
        <v>152</v>
      </c>
      <c r="I12">
        <v>1</v>
      </c>
    </row>
    <row r="13" spans="1:12" x14ac:dyDescent="0.25">
      <c r="A13" t="s">
        <v>175</v>
      </c>
      <c r="B13" s="2"/>
      <c r="C13" s="2"/>
      <c r="D13" s="2">
        <v>1</v>
      </c>
      <c r="E13" s="2"/>
      <c r="G13" s="25"/>
      <c r="H13" t="s">
        <v>175</v>
      </c>
      <c r="K13">
        <v>1</v>
      </c>
    </row>
    <row r="14" spans="1:12" x14ac:dyDescent="0.25">
      <c r="A14" t="s">
        <v>209</v>
      </c>
      <c r="B14" s="2">
        <v>1</v>
      </c>
      <c r="C14" s="2"/>
      <c r="D14" s="2">
        <v>1</v>
      </c>
      <c r="E14" s="2"/>
      <c r="G14" s="25"/>
      <c r="H14" t="s">
        <v>209</v>
      </c>
      <c r="I14">
        <v>1</v>
      </c>
      <c r="K14">
        <v>1</v>
      </c>
    </row>
    <row r="15" spans="1:12" x14ac:dyDescent="0.25">
      <c r="A15" t="s">
        <v>240</v>
      </c>
      <c r="B15" s="2">
        <v>1</v>
      </c>
      <c r="C15" s="2"/>
      <c r="D15" s="2"/>
      <c r="E15" s="2"/>
      <c r="G15" s="25"/>
      <c r="H15" t="s">
        <v>240</v>
      </c>
      <c r="I15">
        <v>1</v>
      </c>
      <c r="K15">
        <v>1</v>
      </c>
    </row>
    <row r="16" spans="1:12" x14ac:dyDescent="0.25">
      <c r="A16" t="s">
        <v>78</v>
      </c>
      <c r="B16" s="2">
        <v>1</v>
      </c>
      <c r="C16" s="2"/>
      <c r="D16" s="2">
        <v>1</v>
      </c>
      <c r="E16" s="2"/>
      <c r="G16" s="25"/>
      <c r="H16" t="s">
        <v>78</v>
      </c>
      <c r="I16">
        <v>1</v>
      </c>
      <c r="K16">
        <v>1</v>
      </c>
    </row>
    <row r="17" spans="1:11" x14ac:dyDescent="0.25">
      <c r="A17" t="s">
        <v>85</v>
      </c>
      <c r="B17" s="2">
        <v>1</v>
      </c>
      <c r="C17" s="2"/>
      <c r="D17" s="2">
        <v>1</v>
      </c>
      <c r="E17" s="2"/>
      <c r="G17" s="25"/>
      <c r="H17" t="s">
        <v>85</v>
      </c>
      <c r="I17">
        <v>1</v>
      </c>
      <c r="K17">
        <v>1</v>
      </c>
    </row>
    <row r="18" spans="1:11" x14ac:dyDescent="0.25">
      <c r="A18" t="s">
        <v>82</v>
      </c>
      <c r="B18" s="2">
        <v>1</v>
      </c>
      <c r="C18" s="2"/>
      <c r="D18" s="2">
        <v>1</v>
      </c>
      <c r="E18" s="2"/>
      <c r="G18" s="25"/>
      <c r="H18" t="s">
        <v>82</v>
      </c>
      <c r="I18">
        <v>1</v>
      </c>
      <c r="K18">
        <v>1</v>
      </c>
    </row>
    <row r="19" spans="1:11" x14ac:dyDescent="0.25">
      <c r="A19" t="s">
        <v>65</v>
      </c>
      <c r="B19" s="2">
        <v>1</v>
      </c>
      <c r="C19" s="2"/>
      <c r="D19" s="2">
        <v>1</v>
      </c>
      <c r="E19" s="2"/>
      <c r="G19" s="25"/>
      <c r="H19" t="s">
        <v>65</v>
      </c>
      <c r="I19">
        <v>1</v>
      </c>
      <c r="K19">
        <v>1</v>
      </c>
    </row>
    <row r="20" spans="1:11" x14ac:dyDescent="0.25">
      <c r="A20" t="s">
        <v>99</v>
      </c>
      <c r="B20" s="2">
        <v>1</v>
      </c>
      <c r="C20" s="2"/>
      <c r="D20" s="2">
        <v>1</v>
      </c>
      <c r="E20" s="2"/>
      <c r="G20" s="25"/>
      <c r="H20" t="s">
        <v>99</v>
      </c>
      <c r="I20">
        <v>1</v>
      </c>
      <c r="K20">
        <v>1</v>
      </c>
    </row>
    <row r="21" spans="1:11" x14ac:dyDescent="0.25">
      <c r="A21" t="s">
        <v>71</v>
      </c>
      <c r="B21" s="2">
        <v>1</v>
      </c>
      <c r="C21" s="2"/>
      <c r="D21" s="2">
        <v>1</v>
      </c>
      <c r="E21" s="2"/>
      <c r="G21" s="25"/>
      <c r="H21" t="s">
        <v>71</v>
      </c>
      <c r="I21">
        <v>1</v>
      </c>
      <c r="K21">
        <v>1</v>
      </c>
    </row>
    <row r="22" spans="1:11" x14ac:dyDescent="0.25">
      <c r="A22" t="s">
        <v>207</v>
      </c>
      <c r="B22" s="2">
        <v>1</v>
      </c>
      <c r="C22" s="2"/>
      <c r="D22" s="2">
        <v>1</v>
      </c>
      <c r="E22" s="2"/>
      <c r="G22" s="25"/>
      <c r="H22" t="s">
        <v>207</v>
      </c>
      <c r="I22">
        <v>1</v>
      </c>
      <c r="K22">
        <v>1</v>
      </c>
    </row>
    <row r="23" spans="1:11" x14ac:dyDescent="0.25">
      <c r="A23" t="s">
        <v>74</v>
      </c>
      <c r="B23" s="2">
        <v>1</v>
      </c>
      <c r="C23" s="2"/>
      <c r="D23" s="2">
        <v>1</v>
      </c>
      <c r="E23" s="2"/>
      <c r="G23" s="25"/>
      <c r="H23" t="s">
        <v>74</v>
      </c>
      <c r="I23">
        <v>1</v>
      </c>
      <c r="K23">
        <v>1</v>
      </c>
    </row>
    <row r="24" spans="1:11" x14ac:dyDescent="0.25">
      <c r="A24" t="s">
        <v>81</v>
      </c>
      <c r="B24" s="2">
        <v>1</v>
      </c>
      <c r="C24" s="2"/>
      <c r="D24" s="2">
        <v>1</v>
      </c>
      <c r="E24" s="2"/>
      <c r="G24" s="25"/>
      <c r="H24" t="s">
        <v>81</v>
      </c>
      <c r="I24">
        <v>1</v>
      </c>
      <c r="K24">
        <v>1</v>
      </c>
    </row>
    <row r="25" spans="1:11" x14ac:dyDescent="0.25">
      <c r="A25" t="s">
        <v>79</v>
      </c>
      <c r="B25" s="2"/>
      <c r="C25" s="2"/>
      <c r="D25" s="2">
        <v>1</v>
      </c>
      <c r="E25" s="2"/>
      <c r="G25" s="25"/>
      <c r="H25" t="s">
        <v>79</v>
      </c>
      <c r="K25">
        <v>1</v>
      </c>
    </row>
    <row r="26" spans="1:11" x14ac:dyDescent="0.25">
      <c r="A26" t="s">
        <v>255</v>
      </c>
      <c r="B26" s="2"/>
      <c r="C26" s="2"/>
      <c r="D26" s="2">
        <v>1</v>
      </c>
      <c r="E26" s="2"/>
      <c r="G26" s="25"/>
      <c r="H26" t="s">
        <v>255</v>
      </c>
      <c r="K26">
        <v>1</v>
      </c>
    </row>
    <row r="27" spans="1:11" x14ac:dyDescent="0.25">
      <c r="A27" t="s">
        <v>63</v>
      </c>
      <c r="B27" s="2">
        <v>1</v>
      </c>
      <c r="C27" s="2"/>
      <c r="D27" s="2">
        <v>1</v>
      </c>
      <c r="E27" s="2"/>
      <c r="G27" s="25"/>
      <c r="H27" t="s">
        <v>63</v>
      </c>
      <c r="I27">
        <v>1</v>
      </c>
      <c r="K27">
        <v>1</v>
      </c>
    </row>
    <row r="28" spans="1:11" x14ac:dyDescent="0.25">
      <c r="A28" t="s">
        <v>84</v>
      </c>
      <c r="B28" s="2">
        <v>1</v>
      </c>
      <c r="C28" s="2"/>
      <c r="D28" s="2">
        <v>1</v>
      </c>
      <c r="E28" s="2"/>
      <c r="G28" s="25"/>
      <c r="H28" t="s">
        <v>84</v>
      </c>
      <c r="I28">
        <v>1</v>
      </c>
      <c r="K28">
        <v>1</v>
      </c>
    </row>
    <row r="29" spans="1:11" x14ac:dyDescent="0.25">
      <c r="A29" t="s">
        <v>77</v>
      </c>
      <c r="B29" s="2">
        <v>1</v>
      </c>
      <c r="C29" s="2"/>
      <c r="D29" s="2">
        <v>1</v>
      </c>
      <c r="E29" s="2"/>
      <c r="G29" s="25"/>
      <c r="H29" t="s">
        <v>77</v>
      </c>
      <c r="I29">
        <v>1</v>
      </c>
      <c r="K29">
        <v>1</v>
      </c>
    </row>
    <row r="30" spans="1:11" x14ac:dyDescent="0.25">
      <c r="A30" t="s">
        <v>114</v>
      </c>
      <c r="B30" s="2">
        <v>1</v>
      </c>
      <c r="C30" s="2"/>
      <c r="D30" s="2">
        <v>1</v>
      </c>
      <c r="E30" s="2"/>
      <c r="G30" s="25"/>
      <c r="H30" t="s">
        <v>114</v>
      </c>
      <c r="I30">
        <v>1</v>
      </c>
      <c r="K30">
        <v>1</v>
      </c>
    </row>
    <row r="31" spans="1:11" x14ac:dyDescent="0.25">
      <c r="A31" t="s">
        <v>105</v>
      </c>
      <c r="B31" s="2">
        <v>1</v>
      </c>
      <c r="C31" s="2"/>
      <c r="D31" s="2"/>
      <c r="E31" s="2"/>
      <c r="G31" s="25"/>
      <c r="H31" t="s">
        <v>105</v>
      </c>
      <c r="I31">
        <v>1</v>
      </c>
    </row>
    <row r="32" spans="1:11" x14ac:dyDescent="0.25">
      <c r="A32" t="s">
        <v>135</v>
      </c>
      <c r="B32" s="2"/>
      <c r="C32" s="2"/>
      <c r="D32" s="2">
        <v>1</v>
      </c>
      <c r="E32" s="2"/>
      <c r="G32" s="25"/>
      <c r="H32" t="s">
        <v>135</v>
      </c>
      <c r="K32">
        <v>1</v>
      </c>
    </row>
    <row r="33" spans="1:11" x14ac:dyDescent="0.25">
      <c r="A33" t="s">
        <v>123</v>
      </c>
      <c r="B33" s="2"/>
      <c r="C33" s="2"/>
      <c r="D33" s="2">
        <v>1</v>
      </c>
      <c r="E33" s="2"/>
      <c r="G33" s="25"/>
      <c r="H33" t="s">
        <v>123</v>
      </c>
      <c r="K33">
        <v>1</v>
      </c>
    </row>
    <row r="34" spans="1:11" x14ac:dyDescent="0.25">
      <c r="A34" t="s">
        <v>153</v>
      </c>
      <c r="B34" s="2">
        <v>1</v>
      </c>
      <c r="C34" s="2"/>
      <c r="D34" s="2">
        <v>1</v>
      </c>
      <c r="E34" s="2"/>
      <c r="G34" s="25"/>
      <c r="H34" t="s">
        <v>153</v>
      </c>
      <c r="I34">
        <v>1</v>
      </c>
      <c r="K34">
        <v>1</v>
      </c>
    </row>
    <row r="35" spans="1:11" x14ac:dyDescent="0.25">
      <c r="A35" t="s">
        <v>231</v>
      </c>
      <c r="B35" s="2"/>
      <c r="C35" s="2"/>
      <c r="D35" s="2">
        <v>1</v>
      </c>
      <c r="E35" s="2"/>
      <c r="G35" s="25"/>
      <c r="H35" t="s">
        <v>231</v>
      </c>
      <c r="K35">
        <v>1</v>
      </c>
    </row>
    <row r="36" spans="1:11" x14ac:dyDescent="0.25">
      <c r="A36" t="s">
        <v>113</v>
      </c>
      <c r="B36" s="2"/>
      <c r="C36" s="2"/>
      <c r="D36" s="2">
        <v>1</v>
      </c>
      <c r="E36" s="2"/>
      <c r="G36" s="25"/>
      <c r="H36" t="s">
        <v>113</v>
      </c>
      <c r="K36">
        <v>1</v>
      </c>
    </row>
    <row r="37" spans="1:11" x14ac:dyDescent="0.25">
      <c r="A37" t="s">
        <v>104</v>
      </c>
      <c r="B37" s="2">
        <v>1</v>
      </c>
      <c r="C37" s="2"/>
      <c r="D37" s="2"/>
      <c r="E37" s="2"/>
      <c r="G37" s="25"/>
      <c r="H37" t="s">
        <v>104</v>
      </c>
      <c r="I37">
        <v>1</v>
      </c>
    </row>
    <row r="38" spans="1:11" x14ac:dyDescent="0.25">
      <c r="A38" t="s">
        <v>134</v>
      </c>
      <c r="B38" s="2"/>
      <c r="C38" s="2"/>
      <c r="D38" s="2">
        <v>1</v>
      </c>
      <c r="E38" s="2"/>
      <c r="G38" s="25"/>
      <c r="H38" t="s">
        <v>134</v>
      </c>
      <c r="K38">
        <v>1</v>
      </c>
    </row>
    <row r="39" spans="1:11" x14ac:dyDescent="0.25">
      <c r="A39" t="s">
        <v>121</v>
      </c>
      <c r="B39" s="2"/>
      <c r="C39" s="2"/>
      <c r="D39" s="2">
        <v>1</v>
      </c>
      <c r="E39" s="2"/>
      <c r="G39" s="25"/>
      <c r="H39" t="s">
        <v>121</v>
      </c>
      <c r="K39">
        <v>1</v>
      </c>
    </row>
    <row r="40" spans="1:11" x14ac:dyDescent="0.25">
      <c r="A40" t="s">
        <v>126</v>
      </c>
      <c r="B40" s="2">
        <v>1</v>
      </c>
      <c r="C40" s="2"/>
      <c r="D40" s="2"/>
      <c r="E40" s="2"/>
      <c r="G40" s="25"/>
      <c r="H40" t="s">
        <v>126</v>
      </c>
      <c r="I40">
        <v>1</v>
      </c>
    </row>
    <row r="41" spans="1:11" x14ac:dyDescent="0.25">
      <c r="A41" t="s">
        <v>214</v>
      </c>
      <c r="B41" s="2">
        <v>1</v>
      </c>
      <c r="C41" s="2"/>
      <c r="D41" s="2">
        <v>1</v>
      </c>
      <c r="E41" s="2"/>
      <c r="G41" s="25"/>
      <c r="H41" t="s">
        <v>214</v>
      </c>
      <c r="I41">
        <v>1</v>
      </c>
      <c r="K41">
        <v>1</v>
      </c>
    </row>
    <row r="42" spans="1:11" x14ac:dyDescent="0.25">
      <c r="A42" t="s">
        <v>235</v>
      </c>
      <c r="B42" s="2">
        <v>1</v>
      </c>
      <c r="C42" s="2"/>
      <c r="D42" s="2">
        <v>1</v>
      </c>
      <c r="E42" s="2"/>
      <c r="G42" s="25"/>
      <c r="H42" t="s">
        <v>235</v>
      </c>
      <c r="I42">
        <v>1</v>
      </c>
      <c r="K42">
        <v>1</v>
      </c>
    </row>
    <row r="43" spans="1:11" x14ac:dyDescent="0.25">
      <c r="A43" t="s">
        <v>127</v>
      </c>
      <c r="B43" s="2">
        <v>1</v>
      </c>
      <c r="C43" s="2"/>
      <c r="D43" s="2">
        <v>1</v>
      </c>
      <c r="E43" s="2"/>
      <c r="G43" s="25"/>
      <c r="H43" t="s">
        <v>127</v>
      </c>
      <c r="I43">
        <v>1</v>
      </c>
      <c r="K43">
        <v>1</v>
      </c>
    </row>
    <row r="44" spans="1:11" x14ac:dyDescent="0.25">
      <c r="A44" t="s">
        <v>125</v>
      </c>
      <c r="B44" s="2">
        <v>1</v>
      </c>
      <c r="C44" s="2"/>
      <c r="D44" s="2">
        <v>1</v>
      </c>
      <c r="E44" s="2"/>
      <c r="G44" s="25"/>
      <c r="H44" t="s">
        <v>125</v>
      </c>
      <c r="I44">
        <v>1</v>
      </c>
      <c r="K44">
        <v>1</v>
      </c>
    </row>
    <row r="45" spans="1:11" x14ac:dyDescent="0.25">
      <c r="A45" t="s">
        <v>100</v>
      </c>
      <c r="B45" s="2">
        <v>1</v>
      </c>
      <c r="C45" s="2"/>
      <c r="D45" s="2">
        <v>1</v>
      </c>
      <c r="E45" s="2"/>
      <c r="G45" s="25"/>
      <c r="H45" t="s">
        <v>100</v>
      </c>
      <c r="I45">
        <v>1</v>
      </c>
      <c r="K45">
        <v>1</v>
      </c>
    </row>
    <row r="46" spans="1:11" x14ac:dyDescent="0.25">
      <c r="A46" t="s">
        <v>211</v>
      </c>
      <c r="B46" s="2">
        <v>1</v>
      </c>
      <c r="C46" s="2"/>
      <c r="D46" s="2">
        <v>1</v>
      </c>
      <c r="E46" s="2"/>
      <c r="H46" t="s">
        <v>211</v>
      </c>
      <c r="I46">
        <v>1</v>
      </c>
      <c r="K46">
        <v>1</v>
      </c>
    </row>
    <row r="47" spans="1:11" x14ac:dyDescent="0.25">
      <c r="A47" t="s">
        <v>217</v>
      </c>
      <c r="B47" s="2"/>
      <c r="C47" s="2"/>
      <c r="D47" s="2">
        <v>1</v>
      </c>
      <c r="E47" s="2"/>
      <c r="H47" t="s">
        <v>217</v>
      </c>
      <c r="K47">
        <v>1</v>
      </c>
    </row>
    <row r="48" spans="1:11" x14ac:dyDescent="0.25">
      <c r="A48" t="s">
        <v>118</v>
      </c>
      <c r="B48" s="2">
        <v>1</v>
      </c>
      <c r="C48" s="2"/>
      <c r="D48" s="2">
        <v>1</v>
      </c>
      <c r="E48" s="2"/>
      <c r="H48" t="s">
        <v>118</v>
      </c>
      <c r="I48">
        <v>1</v>
      </c>
      <c r="K48">
        <v>1</v>
      </c>
    </row>
    <row r="49" spans="1:11" x14ac:dyDescent="0.25">
      <c r="A49" t="s">
        <v>103</v>
      </c>
      <c r="B49" s="2">
        <v>1</v>
      </c>
      <c r="C49" s="2"/>
      <c r="D49" s="2"/>
      <c r="E49" s="2"/>
      <c r="H49" t="s">
        <v>103</v>
      </c>
      <c r="I49">
        <v>1</v>
      </c>
    </row>
    <row r="50" spans="1:11" x14ac:dyDescent="0.25">
      <c r="A50" t="s">
        <v>120</v>
      </c>
      <c r="B50" s="2">
        <v>1</v>
      </c>
      <c r="C50" s="2"/>
      <c r="D50" s="2"/>
      <c r="E50" s="2"/>
      <c r="H50" t="s">
        <v>120</v>
      </c>
      <c r="I50">
        <v>1</v>
      </c>
    </row>
    <row r="51" spans="1:11" x14ac:dyDescent="0.25">
      <c r="A51" t="s">
        <v>133</v>
      </c>
      <c r="B51" s="2"/>
      <c r="C51" s="2"/>
      <c r="D51" s="2">
        <v>1</v>
      </c>
      <c r="E51" s="2"/>
      <c r="H51" t="s">
        <v>133</v>
      </c>
      <c r="K51">
        <v>1</v>
      </c>
    </row>
    <row r="52" spans="1:11" x14ac:dyDescent="0.25">
      <c r="A52" t="s">
        <v>122</v>
      </c>
      <c r="B52" s="2"/>
      <c r="C52" s="2"/>
      <c r="D52" s="2">
        <v>1</v>
      </c>
      <c r="E52" s="2"/>
      <c r="H52" t="s">
        <v>122</v>
      </c>
      <c r="K52">
        <v>1</v>
      </c>
    </row>
    <row r="53" spans="1:11" x14ac:dyDescent="0.25">
      <c r="A53" t="s">
        <v>110</v>
      </c>
      <c r="B53" s="2">
        <v>1</v>
      </c>
      <c r="C53" s="2"/>
      <c r="D53" s="2">
        <v>1</v>
      </c>
      <c r="E53" s="2"/>
      <c r="H53" t="s">
        <v>110</v>
      </c>
      <c r="I53">
        <v>1</v>
      </c>
      <c r="K53">
        <v>1</v>
      </c>
    </row>
    <row r="54" spans="1:11" x14ac:dyDescent="0.25">
      <c r="A54" t="s">
        <v>176</v>
      </c>
      <c r="B54" s="2">
        <v>1</v>
      </c>
      <c r="C54" s="2"/>
      <c r="D54" s="2">
        <v>1</v>
      </c>
      <c r="E54" s="2"/>
      <c r="H54" t="s">
        <v>176</v>
      </c>
      <c r="I54">
        <v>1</v>
      </c>
      <c r="K54">
        <v>1</v>
      </c>
    </row>
    <row r="55" spans="1:11" x14ac:dyDescent="0.25">
      <c r="A55" t="s">
        <v>144</v>
      </c>
      <c r="B55" s="2">
        <v>1</v>
      </c>
      <c r="C55" s="2"/>
      <c r="D55" s="2"/>
      <c r="E55" s="2"/>
      <c r="H55" t="s">
        <v>144</v>
      </c>
    </row>
    <row r="56" spans="1:11" x14ac:dyDescent="0.25">
      <c r="A56" t="s">
        <v>151</v>
      </c>
      <c r="B56" s="2">
        <v>1</v>
      </c>
      <c r="C56" s="2"/>
      <c r="D56" s="2"/>
      <c r="E56" s="2"/>
      <c r="H56" t="s">
        <v>151</v>
      </c>
    </row>
    <row r="57" spans="1:11" x14ac:dyDescent="0.25">
      <c r="A57" t="s">
        <v>174</v>
      </c>
      <c r="B57" s="2"/>
      <c r="C57" s="2"/>
      <c r="D57" s="2">
        <v>1</v>
      </c>
      <c r="E57" s="2"/>
      <c r="H57" t="s">
        <v>174</v>
      </c>
    </row>
    <row r="58" spans="1:11" x14ac:dyDescent="0.25">
      <c r="A58" t="s">
        <v>167</v>
      </c>
      <c r="B58" s="2">
        <v>1</v>
      </c>
      <c r="C58" s="2"/>
      <c r="D58" s="2">
        <v>1</v>
      </c>
      <c r="E58" s="2"/>
      <c r="H58" t="s">
        <v>167</v>
      </c>
      <c r="I58">
        <v>1</v>
      </c>
      <c r="K58">
        <v>1</v>
      </c>
    </row>
    <row r="59" spans="1:11" x14ac:dyDescent="0.25">
      <c r="A59" t="s">
        <v>184</v>
      </c>
      <c r="B59" s="2">
        <v>1</v>
      </c>
      <c r="C59" s="2"/>
      <c r="D59" s="2">
        <v>1</v>
      </c>
      <c r="E59" s="2"/>
      <c r="H59" t="s">
        <v>184</v>
      </c>
      <c r="I59">
        <v>1</v>
      </c>
      <c r="K59">
        <v>1</v>
      </c>
    </row>
    <row r="60" spans="1:11" x14ac:dyDescent="0.25">
      <c r="A60" t="s">
        <v>170</v>
      </c>
      <c r="B60" s="2">
        <v>1</v>
      </c>
      <c r="C60" s="2"/>
      <c r="D60" s="2"/>
      <c r="E60" s="2"/>
      <c r="H60" t="s">
        <v>150</v>
      </c>
      <c r="I60">
        <v>1</v>
      </c>
    </row>
    <row r="61" spans="1:11" x14ac:dyDescent="0.25">
      <c r="A61" t="s">
        <v>171</v>
      </c>
      <c r="B61" s="2"/>
      <c r="C61" s="2"/>
      <c r="D61" s="2">
        <v>1</v>
      </c>
      <c r="E61" s="2"/>
      <c r="H61" t="s">
        <v>172</v>
      </c>
      <c r="I61">
        <v>1</v>
      </c>
    </row>
    <row r="62" spans="1:11" x14ac:dyDescent="0.25">
      <c r="A62" t="s">
        <v>150</v>
      </c>
      <c r="B62" s="2">
        <v>1</v>
      </c>
      <c r="C62" s="2"/>
      <c r="D62" s="2"/>
      <c r="E62" s="2"/>
      <c r="H62" t="s">
        <v>173</v>
      </c>
      <c r="K62">
        <v>1</v>
      </c>
    </row>
    <row r="63" spans="1:11" x14ac:dyDescent="0.25">
      <c r="A63" t="s">
        <v>172</v>
      </c>
      <c r="B63" s="2">
        <v>1</v>
      </c>
      <c r="C63" s="2"/>
      <c r="D63" s="2"/>
      <c r="E63" s="2"/>
      <c r="H63" t="s">
        <v>219</v>
      </c>
      <c r="I63">
        <v>1</v>
      </c>
      <c r="K63">
        <v>1</v>
      </c>
    </row>
    <row r="64" spans="1:11" x14ac:dyDescent="0.25">
      <c r="A64" t="s">
        <v>173</v>
      </c>
      <c r="B64" s="2"/>
      <c r="C64" s="2"/>
      <c r="D64" s="2">
        <v>1</v>
      </c>
      <c r="E64" s="2"/>
      <c r="H64" t="s">
        <v>266</v>
      </c>
      <c r="K64">
        <v>1</v>
      </c>
    </row>
    <row r="65" spans="1:12" x14ac:dyDescent="0.25">
      <c r="A65" t="s">
        <v>219</v>
      </c>
      <c r="B65" s="2">
        <v>1</v>
      </c>
      <c r="C65" s="2"/>
      <c r="D65" s="2">
        <v>1</v>
      </c>
      <c r="E65" s="2"/>
      <c r="H65" t="s">
        <v>180</v>
      </c>
      <c r="I65">
        <v>1</v>
      </c>
    </row>
    <row r="66" spans="1:12" x14ac:dyDescent="0.25">
      <c r="A66" t="s">
        <v>266</v>
      </c>
      <c r="B66" s="2"/>
      <c r="C66" s="2"/>
      <c r="D66" s="2">
        <v>1</v>
      </c>
      <c r="E66" s="2"/>
      <c r="H66" t="s">
        <v>228</v>
      </c>
      <c r="K66">
        <v>1</v>
      </c>
    </row>
    <row r="67" spans="1:12" x14ac:dyDescent="0.25">
      <c r="A67" t="s">
        <v>180</v>
      </c>
      <c r="B67" s="2">
        <v>1</v>
      </c>
      <c r="C67" s="2"/>
      <c r="D67" s="2"/>
      <c r="E67" s="2"/>
      <c r="H67" t="s">
        <v>178</v>
      </c>
      <c r="K67">
        <v>1</v>
      </c>
    </row>
    <row r="68" spans="1:12" x14ac:dyDescent="0.25">
      <c r="A68" t="s">
        <v>228</v>
      </c>
      <c r="B68" s="2"/>
      <c r="C68" s="2"/>
      <c r="D68" s="2">
        <v>1</v>
      </c>
      <c r="E68" s="2"/>
      <c r="H68" t="s">
        <v>166</v>
      </c>
      <c r="I68">
        <v>1</v>
      </c>
      <c r="K68">
        <v>1</v>
      </c>
    </row>
    <row r="69" spans="1:12" x14ac:dyDescent="0.25">
      <c r="A69" t="s">
        <v>178</v>
      </c>
      <c r="B69" s="2"/>
      <c r="C69" s="2"/>
      <c r="D69" s="2">
        <v>1</v>
      </c>
      <c r="E69" s="2"/>
      <c r="H69" t="s">
        <v>177</v>
      </c>
      <c r="I69">
        <v>1</v>
      </c>
      <c r="K69">
        <v>1</v>
      </c>
    </row>
    <row r="70" spans="1:12" x14ac:dyDescent="0.25">
      <c r="A70" t="s">
        <v>166</v>
      </c>
      <c r="B70" s="2">
        <v>1</v>
      </c>
      <c r="C70" s="2"/>
      <c r="D70" s="2">
        <v>1</v>
      </c>
      <c r="E70" s="2"/>
      <c r="H70" t="s">
        <v>96</v>
      </c>
      <c r="I70">
        <v>1</v>
      </c>
    </row>
    <row r="71" spans="1:12" x14ac:dyDescent="0.25">
      <c r="A71" t="s">
        <v>177</v>
      </c>
      <c r="B71" s="2">
        <v>1</v>
      </c>
      <c r="C71" s="2"/>
      <c r="D71" s="2">
        <v>1</v>
      </c>
      <c r="E71" s="2"/>
      <c r="H71" t="s">
        <v>97</v>
      </c>
      <c r="I71">
        <v>1</v>
      </c>
    </row>
    <row r="72" spans="1:12" x14ac:dyDescent="0.25">
      <c r="A72" t="s">
        <v>96</v>
      </c>
      <c r="B72" s="2">
        <v>1</v>
      </c>
      <c r="C72" s="2"/>
      <c r="D72" s="2"/>
      <c r="E72" s="2"/>
      <c r="H72" t="s">
        <v>206</v>
      </c>
      <c r="I72">
        <v>1</v>
      </c>
      <c r="J72">
        <v>1</v>
      </c>
      <c r="K72">
        <v>1</v>
      </c>
      <c r="L72">
        <v>1</v>
      </c>
    </row>
    <row r="73" spans="1:12" x14ac:dyDescent="0.25">
      <c r="A73" t="s">
        <v>97</v>
      </c>
      <c r="B73" s="2">
        <v>1</v>
      </c>
      <c r="C73" s="2"/>
      <c r="D73" s="2"/>
      <c r="E73" s="2"/>
      <c r="H73" t="s">
        <v>112</v>
      </c>
      <c r="I73">
        <v>1</v>
      </c>
      <c r="J73">
        <v>1</v>
      </c>
      <c r="K73">
        <v>1</v>
      </c>
    </row>
    <row r="74" spans="1:12" x14ac:dyDescent="0.25">
      <c r="A74" t="s">
        <v>206</v>
      </c>
      <c r="B74" s="2">
        <v>1</v>
      </c>
      <c r="C74" s="2">
        <v>1</v>
      </c>
      <c r="D74" s="2">
        <v>1</v>
      </c>
      <c r="E74" s="2">
        <v>1</v>
      </c>
      <c r="H74" t="s">
        <v>210</v>
      </c>
      <c r="K74">
        <v>1</v>
      </c>
    </row>
    <row r="75" spans="1:12" x14ac:dyDescent="0.25">
      <c r="A75" t="s">
        <v>112</v>
      </c>
      <c r="B75" s="2">
        <v>1</v>
      </c>
      <c r="C75" s="2">
        <v>1</v>
      </c>
      <c r="D75" s="2"/>
      <c r="E75" s="2"/>
      <c r="H75" t="s">
        <v>243</v>
      </c>
      <c r="I75">
        <v>1</v>
      </c>
      <c r="J75">
        <v>1</v>
      </c>
      <c r="K75">
        <v>1</v>
      </c>
      <c r="L75">
        <v>1</v>
      </c>
    </row>
    <row r="76" spans="1:12" x14ac:dyDescent="0.25">
      <c r="A76" t="s">
        <v>210</v>
      </c>
      <c r="B76" s="2"/>
      <c r="C76" s="2"/>
      <c r="D76" s="2">
        <v>1</v>
      </c>
      <c r="E76" s="2"/>
      <c r="H76" t="s">
        <v>165</v>
      </c>
      <c r="I76">
        <v>1</v>
      </c>
    </row>
    <row r="77" spans="1:12" x14ac:dyDescent="0.25">
      <c r="A77" t="s">
        <v>457</v>
      </c>
      <c r="B77" s="2">
        <v>1</v>
      </c>
      <c r="C77" s="2">
        <v>1</v>
      </c>
      <c r="D77" s="2">
        <v>1</v>
      </c>
      <c r="E77" s="2">
        <v>1</v>
      </c>
      <c r="H77" t="s">
        <v>269</v>
      </c>
      <c r="I77">
        <v>1</v>
      </c>
      <c r="K77">
        <v>1</v>
      </c>
    </row>
    <row r="78" spans="1:12" x14ac:dyDescent="0.25">
      <c r="A78" t="s">
        <v>243</v>
      </c>
      <c r="B78" s="2">
        <v>1</v>
      </c>
      <c r="C78" s="2">
        <v>1</v>
      </c>
      <c r="D78" s="2">
        <v>1</v>
      </c>
      <c r="E78" s="2">
        <v>1</v>
      </c>
      <c r="H78" t="s">
        <v>154</v>
      </c>
      <c r="I78">
        <v>1</v>
      </c>
    </row>
    <row r="79" spans="1:12" x14ac:dyDescent="0.25">
      <c r="A79" t="s">
        <v>165</v>
      </c>
      <c r="B79" s="2">
        <v>1</v>
      </c>
      <c r="C79" s="2"/>
      <c r="D79" s="2"/>
      <c r="E79" s="2"/>
      <c r="H79" t="s">
        <v>168</v>
      </c>
      <c r="K79">
        <v>1</v>
      </c>
    </row>
    <row r="80" spans="1:12" x14ac:dyDescent="0.25">
      <c r="A80" t="s">
        <v>269</v>
      </c>
      <c r="B80" s="2">
        <v>1</v>
      </c>
      <c r="C80" s="2"/>
      <c r="D80" s="2">
        <v>1</v>
      </c>
      <c r="E80" s="2"/>
      <c r="H80" t="s">
        <v>234</v>
      </c>
    </row>
    <row r="81" spans="1:13" x14ac:dyDescent="0.25">
      <c r="A81" t="s">
        <v>154</v>
      </c>
      <c r="B81" s="2">
        <v>1</v>
      </c>
      <c r="C81" s="2"/>
      <c r="D81" s="2"/>
      <c r="E81" s="2"/>
      <c r="H81" t="s">
        <v>119</v>
      </c>
      <c r="K81">
        <v>1</v>
      </c>
      <c r="M81">
        <v>1</v>
      </c>
    </row>
    <row r="82" spans="1:13" x14ac:dyDescent="0.25">
      <c r="A82" t="s">
        <v>168</v>
      </c>
      <c r="B82" s="2"/>
      <c r="C82" s="2"/>
      <c r="D82" s="2">
        <v>1</v>
      </c>
      <c r="E82" s="2"/>
    </row>
    <row r="83" spans="1:13" x14ac:dyDescent="0.25">
      <c r="A83" s="88" t="s">
        <v>119</v>
      </c>
      <c r="B83" s="105"/>
      <c r="C83" s="105"/>
      <c r="D83" s="105">
        <v>1</v>
      </c>
      <c r="E83" s="105"/>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
  <sheetViews>
    <sheetView zoomScale="85" zoomScaleNormal="85" workbookViewId="0">
      <selection activeCell="A24" sqref="A24:A31"/>
    </sheetView>
  </sheetViews>
  <sheetFormatPr defaultRowHeight="15.75" x14ac:dyDescent="0.25"/>
  <cols>
    <col min="1" max="1" width="10.75" bestFit="1" customWidth="1"/>
    <col min="2" max="2" width="12.375" bestFit="1" customWidth="1"/>
    <col min="3" max="3" width="6.25" bestFit="1" customWidth="1"/>
    <col min="4" max="4" width="9.875" bestFit="1" customWidth="1"/>
    <col min="5" max="5" width="30.625" bestFit="1" customWidth="1"/>
    <col min="6" max="6" width="62.25" customWidth="1"/>
    <col min="7" max="7" width="52" bestFit="1" customWidth="1"/>
  </cols>
  <sheetData>
    <row r="1" spans="1:7" x14ac:dyDescent="0.25">
      <c r="A1" s="91" t="s">
        <v>442</v>
      </c>
      <c r="B1" s="91" t="s">
        <v>0</v>
      </c>
      <c r="C1" s="92" t="s">
        <v>1</v>
      </c>
      <c r="D1" s="92" t="s">
        <v>2</v>
      </c>
      <c r="E1" s="92" t="s">
        <v>274</v>
      </c>
      <c r="F1" s="93" t="s">
        <v>443</v>
      </c>
      <c r="G1" s="92" t="s">
        <v>444</v>
      </c>
    </row>
    <row r="2" spans="1:7" ht="31.5" x14ac:dyDescent="0.25">
      <c r="A2" s="91">
        <v>45611</v>
      </c>
      <c r="B2" s="91" t="s">
        <v>273</v>
      </c>
      <c r="C2" s="94">
        <v>1</v>
      </c>
      <c r="D2" s="92"/>
      <c r="E2" s="92" t="s">
        <v>310</v>
      </c>
      <c r="F2" s="93" t="s">
        <v>445</v>
      </c>
      <c r="G2" s="129" t="s">
        <v>474</v>
      </c>
    </row>
    <row r="3" spans="1:7" x14ac:dyDescent="0.25">
      <c r="A3" s="91">
        <v>45611</v>
      </c>
      <c r="B3" s="91" t="s">
        <v>214</v>
      </c>
      <c r="C3" s="94">
        <v>2</v>
      </c>
      <c r="D3" s="92"/>
      <c r="E3" s="92" t="s">
        <v>332</v>
      </c>
      <c r="F3" s="93" t="s">
        <v>446</v>
      </c>
      <c r="G3" s="93"/>
    </row>
    <row r="4" spans="1:7" ht="31.5" x14ac:dyDescent="0.25">
      <c r="A4" s="91">
        <v>45611</v>
      </c>
      <c r="B4" s="91" t="s">
        <v>228</v>
      </c>
      <c r="C4" s="94">
        <v>2</v>
      </c>
      <c r="D4" s="92"/>
      <c r="E4" s="92" t="s">
        <v>364</v>
      </c>
      <c r="F4" s="93" t="s">
        <v>447</v>
      </c>
      <c r="G4" s="93"/>
    </row>
    <row r="5" spans="1:7" ht="31.5" x14ac:dyDescent="0.25">
      <c r="A5" s="91">
        <v>45611</v>
      </c>
      <c r="B5" s="91" t="s">
        <v>97</v>
      </c>
      <c r="C5" s="94">
        <v>1</v>
      </c>
      <c r="D5" s="92"/>
      <c r="E5" s="92" t="s">
        <v>370</v>
      </c>
      <c r="F5" s="93" t="s">
        <v>475</v>
      </c>
      <c r="G5" s="129" t="s">
        <v>486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ba69df13-0c3c-4942-8695-6ca01564010c"/>
    <ds:schemaRef ds:uri="http://www.w3.org/XML/1998/namespace"/>
    <ds:schemaRef ds:uri="2380bd5d-8f09-40a9-a9cb-2482ec2cd2ca"/>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0B1D6B4-5D3D-416D-9DF1-1B1048BF9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B-Design Planner</vt:lpstr>
      <vt:lpstr>Unitsets</vt:lpstr>
      <vt:lpstr>Handbook</vt:lpstr>
      <vt:lpstr>Structures</vt:lpstr>
      <vt:lpstr>Availabilities</vt:lpstr>
      <vt:lpstr>Issues Log</vt:lpstr>
      <vt:lpstr>DDADVDS</vt:lpstr>
      <vt:lpstr>DDANIGD</vt:lpstr>
      <vt:lpstr>DDDIGDE</vt:lpstr>
      <vt:lpstr>DDDINFB</vt:lpstr>
      <vt:lpstr>DDFASHN</vt:lpstr>
      <vt:lpstr>DDGRPDS</vt:lpstr>
      <vt:lpstr>DDPHOTO</vt:lpstr>
      <vt:lpstr>'B-Design Planner'!Print_Area</vt:lpstr>
      <vt:lpstr>RangeMajorOptions</vt:lpstr>
      <vt:lpstr>RangeSpecialisations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2024-11-19T02:48:22Z</cp:lastPrinted>
  <dcterms:created xsi:type="dcterms:W3CDTF">2022-02-28T04:48:12Z</dcterms:created>
  <dcterms:modified xsi:type="dcterms:W3CDTF">2024-11-19T02:49:48Z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